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defaultThemeVersion="166925"/>
  <mc:AlternateContent xmlns:mc="http://schemas.openxmlformats.org/markup-compatibility/2006">
    <mc:Choice Requires="x15">
      <x15ac:absPath xmlns:x15ac="http://schemas.microsoft.com/office/spreadsheetml/2010/11/ac" url="C:\Users\obras500063\Desktop\"/>
    </mc:Choice>
  </mc:AlternateContent>
  <xr:revisionPtr revIDLastSave="0" documentId="8_{C1BC91F7-B24F-40F6-B7EF-F34961193F94}" xr6:coauthVersionLast="47" xr6:coauthVersionMax="47" xr10:uidLastSave="{00000000-0000-0000-0000-000000000000}"/>
  <bookViews>
    <workbookView xWindow="-120" yWindow="-120" windowWidth="29040" windowHeight="15840" tabRatio="714" activeTab="9" xr2:uid="{00000000-000D-0000-FFFF-FFFF00000000}"/>
  </bookViews>
  <sheets>
    <sheet name="CSINAPI" sheetId="1" r:id="rId1"/>
    <sheet name="CDER-ES" sheetId="4" r:id="rId2"/>
    <sheet name="ISINAPI" sheetId="2" r:id="rId3"/>
    <sheet name="IDER-ES" sheetId="12" r:id="rId4"/>
    <sheet name="CCESAN" sheetId="3" state="hidden" r:id="rId5"/>
    <sheet name="CSCORIO" sheetId="13" r:id="rId6"/>
    <sheet name="DADOS" sheetId="17" state="hidden" r:id="rId7"/>
    <sheet name="BDI" sheetId="6" r:id="rId8"/>
    <sheet name="Auxiliar" sheetId="7" state="hidden" r:id="rId9"/>
    <sheet name="ORCAMENTO" sheetId="8" r:id="rId10"/>
    <sheet name="MEMÓRIA DE CÁLCULO" sheetId="14" r:id="rId11"/>
    <sheet name="COMPOSICAO" sheetId="9" r:id="rId12"/>
    <sheet name="CRONOGRAMA" sheetId="16" r:id="rId13"/>
    <sheet name="MERCADO" sheetId="10" r:id="rId14"/>
    <sheet name="Pranchas" sheetId="23" state="hidden" r:id="rId15"/>
    <sheet name="QUADRO DE ÁREAS" sheetId="25" state="hidden" r:id="rId16"/>
    <sheet name="QUADRO DE ESQUADRIAS" sheetId="26" state="hidden" r:id="rId17"/>
    <sheet name="HIDRÁULICA" sheetId="27" state="hidden" r:id="rId18"/>
    <sheet name="SANITÁRIA" sheetId="28" state="hidden" r:id="rId19"/>
    <sheet name="DRENAGEM" sheetId="29" state="hidden" r:id="rId20"/>
  </sheets>
  <definedNames>
    <definedName name="_xlnm._FilterDatabase" localSheetId="5" hidden="1">CSCORIO!$A$2:$D$5748</definedName>
    <definedName name="_xlnm._FilterDatabase" localSheetId="0" hidden="1">CSINAPI!$C$1:$C$7203</definedName>
    <definedName name="_xlnm._FilterDatabase" localSheetId="3" hidden="1">'IDER-ES'!$A$3:$D$1417</definedName>
    <definedName name="_xlnm._FilterDatabase" localSheetId="9" hidden="1">ORCAMENTO!$A$5:$J$351</definedName>
    <definedName name="AC">BDI!$C$10</definedName>
    <definedName name="_xlnm.Print_Area" localSheetId="7">BDI!$A$1:$D$42</definedName>
    <definedName name="_xlnm.Print_Area" localSheetId="11">COMPOSICAO!$A$1:$H$119</definedName>
    <definedName name="_xlnm.Print_Area" localSheetId="12">CRONOGRAMA!$A$1:$N$60</definedName>
    <definedName name="_xlnm.Print_Area" localSheetId="10">'MEMÓRIA DE CÁLCULO'!$A$1:$H$1613</definedName>
    <definedName name="_xlnm.Print_Area" localSheetId="13">MERCADO!$A$1:$E$41</definedName>
    <definedName name="_xlnm.Print_Area" localSheetId="9">ORCAMENTO!$A$1:$I$360</definedName>
    <definedName name="_xlnm.Print_Area" localSheetId="14">Pranchas!$A$1:$C$51</definedName>
    <definedName name="BC">BDI!$C$20</definedName>
    <definedName name="BDI" comment="BDI">BDI!$C$27</definedName>
    <definedName name="CCESAN" comment="Composições Cesan">CCESAN!$A$3:$E$1598</definedName>
    <definedName name="CIOPES" comment="Composições IOPES">'CDER-ES'!$A$3:$D$1191</definedName>
    <definedName name="COFINS">BDI!$C$23</definedName>
    <definedName name="COMP" comment="Composição própria">COMPOSICAO!$A$54:$H$425</definedName>
    <definedName name="CONTRATO">BDI!$B$4</definedName>
    <definedName name="CSCORIO" comment="Composições SCO RIO">CSCORIO!$A$3:$D$5780</definedName>
    <definedName name="CSINAPI" comment="composições sinapi">CSINAPI!$A$5:$D$6498</definedName>
    <definedName name="DADOS" comment="Lista Suspensa">DADOS!$A$1:$A$8</definedName>
    <definedName name="DF">BDI!$C$13</definedName>
    <definedName name="DT">BDI!$C$18</definedName>
    <definedName name="IIOPES" comment="Insumos Iopes">'IDER-ES'!$A$4:$D$1547</definedName>
    <definedName name="ISINAPI" comment="Insumos Sinapi">ISINAPI!$A$4:$E$5492</definedName>
    <definedName name="ISS">BDI!$C$21</definedName>
    <definedName name="LUC">BDI!$C$15</definedName>
    <definedName name="MCALCULO">'MEMÓRIA DE CÁLCULO'!$A$4:$H$387</definedName>
    <definedName name="MERC" comment="Cotações de Mercado">MERCADO!$C$6:$E$84</definedName>
    <definedName name="OBRA" comment="Nome da obra">BDI!$B$3</definedName>
    <definedName name="PIS">BDI!$C$24</definedName>
    <definedName name="PREV" comment="Com desoneração ou sem desoneração">BDI!$B$6</definedName>
    <definedName name="RIS">BDI!$C$11</definedName>
    <definedName name="SERVICOS">ORCAMENTO!$A$6:$I$352</definedName>
    <definedName name="SG">BDI!$C$12</definedName>
    <definedName name="TIPO">BDI!$B$8</definedName>
    <definedName name="_xlnm.Print_Titles" localSheetId="11">COMPOSICAO!$1:$3</definedName>
    <definedName name="_xlnm.Print_Titles" localSheetId="12">CRONOGRAMA!$1:$5</definedName>
    <definedName name="_xlnm.Print_Titles" localSheetId="10">'MEMÓRIA DE CÁLCULO'!$1:$3</definedName>
    <definedName name="_xlnm.Print_Titles" localSheetId="9">ORCAMENTO!$1:$5</definedName>
    <definedName name="VERIFICA">Auxiliar!$A$17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10" l="1"/>
  <c r="E24" i="10" s="1"/>
  <c r="E29" i="10"/>
  <c r="H1582" i="14" l="1"/>
  <c r="H1580" i="14" s="1"/>
  <c r="G342" i="8"/>
  <c r="E342" i="8"/>
  <c r="D342" i="8"/>
  <c r="B1220" i="14" l="1"/>
  <c r="B1217" i="14"/>
  <c r="B1214" i="14"/>
  <c r="B1193" i="14"/>
  <c r="B1187" i="14"/>
  <c r="F10" i="26"/>
  <c r="F9" i="26"/>
  <c r="H1485" i="14" l="1"/>
  <c r="H1483" i="14" s="1"/>
  <c r="G307" i="8"/>
  <c r="E307" i="8"/>
  <c r="D307" i="8"/>
  <c r="H1478" i="14"/>
  <c r="C789" i="14"/>
  <c r="C788" i="14"/>
  <c r="H788" i="14" s="1"/>
  <c r="D783" i="14"/>
  <c r="D782" i="14"/>
  <c r="H782" i="14" s="1"/>
  <c r="C690" i="14"/>
  <c r="C689" i="14"/>
  <c r="H689" i="14" s="1"/>
  <c r="F15" i="9" l="1"/>
  <c r="B1066" i="14" l="1"/>
  <c r="H1066" i="14" s="1"/>
  <c r="B1067" i="14"/>
  <c r="C1067" i="14"/>
  <c r="A1066" i="14"/>
  <c r="A1067" i="14"/>
  <c r="C983" i="14"/>
  <c r="H983" i="14" s="1"/>
  <c r="B943" i="14"/>
  <c r="H942" i="14"/>
  <c r="D942" i="14"/>
  <c r="H994" i="14"/>
  <c r="H993" i="14"/>
  <c r="G152" i="8"/>
  <c r="E152" i="8"/>
  <c r="D152" i="8"/>
  <c r="B925" i="14"/>
  <c r="H924" i="14"/>
  <c r="H923" i="14"/>
  <c r="B919" i="14"/>
  <c r="H712" i="14"/>
  <c r="C711" i="14"/>
  <c r="H711" i="14" s="1"/>
  <c r="C1594" i="14"/>
  <c r="H1594" i="14" s="1"/>
  <c r="C1589" i="14"/>
  <c r="C1588" i="14"/>
  <c r="H1588" i="14" s="1"/>
  <c r="D134" i="14"/>
  <c r="D133" i="14"/>
  <c r="D132" i="14"/>
  <c r="D131" i="14"/>
  <c r="D130" i="14"/>
  <c r="D128" i="14"/>
  <c r="D158" i="14" s="1"/>
  <c r="D127" i="14"/>
  <c r="D157" i="14" s="1"/>
  <c r="D126" i="14"/>
  <c r="D156" i="14" s="1"/>
  <c r="D125" i="14"/>
  <c r="D155" i="14" s="1"/>
  <c r="D124" i="14"/>
  <c r="D154" i="14" s="1"/>
  <c r="D123" i="14"/>
  <c r="D122" i="14"/>
  <c r="H122" i="14" s="1"/>
  <c r="D121" i="14"/>
  <c r="D120" i="14"/>
  <c r="D119" i="14"/>
  <c r="D149" i="14" s="1"/>
  <c r="D118" i="14"/>
  <c r="D116" i="14"/>
  <c r="D115" i="14"/>
  <c r="D114" i="14"/>
  <c r="D113" i="14"/>
  <c r="D112" i="14"/>
  <c r="D111" i="14"/>
  <c r="E116" i="14"/>
  <c r="E115" i="14"/>
  <c r="E114" i="14"/>
  <c r="E113" i="14"/>
  <c r="E112" i="14"/>
  <c r="E111" i="14"/>
  <c r="E110" i="14"/>
  <c r="D110" i="14"/>
  <c r="E109" i="14"/>
  <c r="D109" i="14"/>
  <c r="D607" i="14"/>
  <c r="D606" i="14"/>
  <c r="D605" i="14"/>
  <c r="C435" i="14"/>
  <c r="H435" i="14" s="1"/>
  <c r="B308" i="14"/>
  <c r="C308" i="14"/>
  <c r="B309" i="14"/>
  <c r="C309" i="14"/>
  <c r="B310" i="14"/>
  <c r="C310" i="14"/>
  <c r="B311" i="14"/>
  <c r="C311" i="14"/>
  <c r="E311" i="14"/>
  <c r="B312" i="14"/>
  <c r="C312" i="14"/>
  <c r="B313" i="14"/>
  <c r="C313" i="14"/>
  <c r="B314" i="14"/>
  <c r="C314" i="14"/>
  <c r="B315" i="14"/>
  <c r="C315" i="14"/>
  <c r="B316" i="14"/>
  <c r="C316" i="14"/>
  <c r="E316" i="14"/>
  <c r="B317" i="14"/>
  <c r="C317" i="14"/>
  <c r="C307" i="14"/>
  <c r="B307" i="14"/>
  <c r="A307" i="14"/>
  <c r="A149" i="14"/>
  <c r="B149" i="14"/>
  <c r="C149" i="14"/>
  <c r="A150" i="14"/>
  <c r="B150" i="14"/>
  <c r="C150" i="14"/>
  <c r="A151" i="14"/>
  <c r="B151" i="14"/>
  <c r="C151" i="14"/>
  <c r="A152" i="14"/>
  <c r="B152" i="14"/>
  <c r="C152" i="14"/>
  <c r="E152" i="14"/>
  <c r="A153" i="14"/>
  <c r="B153" i="14"/>
  <c r="C153" i="14"/>
  <c r="A154" i="14"/>
  <c r="B154" i="14"/>
  <c r="C154" i="14"/>
  <c r="A155" i="14"/>
  <c r="B155" i="14"/>
  <c r="C155" i="14"/>
  <c r="A156" i="14"/>
  <c r="B156" i="14"/>
  <c r="C156" i="14"/>
  <c r="A157" i="14"/>
  <c r="B157" i="14"/>
  <c r="C157" i="14"/>
  <c r="E157" i="14"/>
  <c r="A158" i="14"/>
  <c r="B158" i="14"/>
  <c r="C158" i="14"/>
  <c r="B148" i="14"/>
  <c r="C148" i="14"/>
  <c r="A148" i="14"/>
  <c r="E120" i="14"/>
  <c r="E150" i="14" s="1"/>
  <c r="E128" i="14"/>
  <c r="E317" i="14" s="1"/>
  <c r="E126" i="14"/>
  <c r="E156" i="14" s="1"/>
  <c r="E125" i="14"/>
  <c r="E314" i="14" s="1"/>
  <c r="E124" i="14"/>
  <c r="E154" i="14" s="1"/>
  <c r="E123" i="14"/>
  <c r="E312" i="14" s="1"/>
  <c r="E121" i="14"/>
  <c r="E151" i="14" s="1"/>
  <c r="E119" i="14"/>
  <c r="E308" i="14" s="1"/>
  <c r="E118" i="14"/>
  <c r="E307" i="14" s="1"/>
  <c r="H255" i="14"/>
  <c r="H254" i="14"/>
  <c r="G43" i="8"/>
  <c r="E43" i="8"/>
  <c r="D43" i="8"/>
  <c r="H251" i="14"/>
  <c r="H250" i="14"/>
  <c r="E222" i="14"/>
  <c r="H222" i="14" s="1"/>
  <c r="E221" i="14"/>
  <c r="H221" i="14" s="1"/>
  <c r="H233" i="14"/>
  <c r="H232" i="14"/>
  <c r="G42" i="8"/>
  <c r="E42" i="8"/>
  <c r="G223" i="14" s="1"/>
  <c r="D42" i="8"/>
  <c r="B223" i="14" s="1"/>
  <c r="A105" i="14"/>
  <c r="B105" i="14"/>
  <c r="C105" i="14"/>
  <c r="C1066" i="14" l="1"/>
  <c r="H120" i="14"/>
  <c r="H118" i="14"/>
  <c r="H121" i="14"/>
  <c r="E155" i="14"/>
  <c r="E158" i="14"/>
  <c r="D151" i="14"/>
  <c r="H151" i="14" s="1"/>
  <c r="E315" i="14"/>
  <c r="E313" i="14"/>
  <c r="E309" i="14"/>
  <c r="H119" i="14"/>
  <c r="H123" i="14"/>
  <c r="E148" i="14"/>
  <c r="E153" i="14"/>
  <c r="E149" i="14"/>
  <c r="H149" i="14" s="1"/>
  <c r="E310" i="14"/>
  <c r="D148" i="14"/>
  <c r="D150" i="14"/>
  <c r="H150" i="14" s="1"/>
  <c r="D152" i="14"/>
  <c r="H152" i="14" s="1"/>
  <c r="D153" i="14"/>
  <c r="H153" i="14" s="1"/>
  <c r="H252" i="14"/>
  <c r="H437" i="14"/>
  <c r="H438" i="14"/>
  <c r="H439" i="14"/>
  <c r="H436" i="14"/>
  <c r="B595" i="14"/>
  <c r="D198" i="14"/>
  <c r="D247" i="14" s="1"/>
  <c r="E163" i="14"/>
  <c r="E183" i="14" s="1"/>
  <c r="E198" i="14" s="1"/>
  <c r="E218" i="14" s="1"/>
  <c r="C229" i="14" s="1"/>
  <c r="D229" i="14" s="1"/>
  <c r="H229" i="14" s="1"/>
  <c r="C163" i="14"/>
  <c r="B163" i="14"/>
  <c r="B183" i="14" s="1"/>
  <c r="B198" i="14" s="1"/>
  <c r="A163" i="14"/>
  <c r="A183" i="14" s="1"/>
  <c r="A198" i="14" s="1"/>
  <c r="H133" i="14"/>
  <c r="G61" i="8"/>
  <c r="E61" i="8"/>
  <c r="D61" i="8"/>
  <c r="H1254" i="14"/>
  <c r="G61" i="9"/>
  <c r="F61" i="9"/>
  <c r="E61" i="9"/>
  <c r="G58" i="9"/>
  <c r="H58" i="9" s="1"/>
  <c r="E58" i="9"/>
  <c r="D58" i="9"/>
  <c r="G59" i="9"/>
  <c r="H59" i="9" s="1"/>
  <c r="E59" i="9"/>
  <c r="D59" i="9"/>
  <c r="G71" i="9"/>
  <c r="H71" i="9" s="1"/>
  <c r="E71" i="9"/>
  <c r="D71" i="9"/>
  <c r="G70" i="9"/>
  <c r="H70" i="9" s="1"/>
  <c r="E70" i="9"/>
  <c r="D70" i="9"/>
  <c r="G69" i="9"/>
  <c r="H69" i="9" s="1"/>
  <c r="E69" i="9"/>
  <c r="D69" i="9"/>
  <c r="G68" i="9"/>
  <c r="H68" i="9" s="1"/>
  <c r="E68" i="9"/>
  <c r="D68" i="9"/>
  <c r="G67" i="9"/>
  <c r="H67" i="9" s="1"/>
  <c r="E67" i="9"/>
  <c r="D67" i="9"/>
  <c r="H953" i="14"/>
  <c r="F952" i="14"/>
  <c r="E952" i="14"/>
  <c r="D952" i="14"/>
  <c r="B396" i="14"/>
  <c r="H396" i="14" s="1"/>
  <c r="D197" i="14"/>
  <c r="D246" i="14" s="1"/>
  <c r="A147" i="14"/>
  <c r="A159" i="14"/>
  <c r="A160" i="14"/>
  <c r="A161" i="14"/>
  <c r="A162" i="14"/>
  <c r="A182" i="14" s="1"/>
  <c r="A197" i="14" s="1"/>
  <c r="A164" i="14"/>
  <c r="A140" i="14"/>
  <c r="A141" i="14"/>
  <c r="A142" i="14"/>
  <c r="A143" i="14"/>
  <c r="A144" i="14"/>
  <c r="A145" i="14"/>
  <c r="A146" i="14"/>
  <c r="A139" i="14"/>
  <c r="A138" i="14"/>
  <c r="E162" i="14"/>
  <c r="E182" i="14" s="1"/>
  <c r="E197" i="14" s="1"/>
  <c r="E217" i="14" s="1"/>
  <c r="C228" i="14" s="1"/>
  <c r="D228" i="14" s="1"/>
  <c r="H228" i="14" s="1"/>
  <c r="C162" i="14"/>
  <c r="B162" i="14"/>
  <c r="B182" i="14" s="1"/>
  <c r="B197" i="14" s="1"/>
  <c r="B217" i="14" s="1"/>
  <c r="B228" i="14" s="1"/>
  <c r="D162" i="14"/>
  <c r="H61" i="9" l="1"/>
  <c r="H148" i="14"/>
  <c r="A217" i="14"/>
  <c r="A228" i="14"/>
  <c r="A247" i="14"/>
  <c r="A218" i="14"/>
  <c r="A229" i="14"/>
  <c r="B247" i="14"/>
  <c r="B218" i="14"/>
  <c r="B229" i="14" s="1"/>
  <c r="H217" i="14"/>
  <c r="A407" i="14"/>
  <c r="H433" i="14"/>
  <c r="E247" i="14"/>
  <c r="H395" i="14" s="1"/>
  <c r="D163" i="14"/>
  <c r="H163" i="14" s="1"/>
  <c r="C183" i="14"/>
  <c r="H407" i="14" s="1"/>
  <c r="H952" i="14"/>
  <c r="A246" i="14"/>
  <c r="E246" i="14"/>
  <c r="B394" i="14" s="1"/>
  <c r="B246" i="14"/>
  <c r="H132" i="14"/>
  <c r="H162" i="14"/>
  <c r="C182" i="14"/>
  <c r="H1607" i="14"/>
  <c r="H1608" i="14"/>
  <c r="G114" i="9"/>
  <c r="H114" i="9" s="1"/>
  <c r="E114" i="9"/>
  <c r="D114" i="9"/>
  <c r="G113" i="9"/>
  <c r="H113" i="9" s="1"/>
  <c r="E113" i="9"/>
  <c r="D113" i="9"/>
  <c r="G112" i="9"/>
  <c r="H112" i="9" s="1"/>
  <c r="E112" i="9"/>
  <c r="D112" i="9"/>
  <c r="H183" i="14" l="1"/>
  <c r="C198" i="14"/>
  <c r="H198" i="14" s="1"/>
  <c r="H1605" i="14"/>
  <c r="H182" i="14"/>
  <c r="C197" i="14"/>
  <c r="H197" i="14" s="1"/>
  <c r="C1592" i="14"/>
  <c r="A1593" i="14"/>
  <c r="A1592" i="14"/>
  <c r="C1587" i="14"/>
  <c r="H1587" i="14" s="1"/>
  <c r="H1399" i="14"/>
  <c r="H1330" i="14"/>
  <c r="B1306" i="14"/>
  <c r="B1260" i="14"/>
  <c r="A1072" i="14"/>
  <c r="B1072" i="14"/>
  <c r="C1072" i="14"/>
  <c r="D1072" i="14"/>
  <c r="A1073" i="14"/>
  <c r="B1073" i="14"/>
  <c r="C1073" i="14"/>
  <c r="D1073" i="14"/>
  <c r="A1074" i="14"/>
  <c r="B1074" i="14"/>
  <c r="C1074" i="14"/>
  <c r="D1074" i="14"/>
  <c r="A1075" i="14"/>
  <c r="B1075" i="14"/>
  <c r="C1075" i="14"/>
  <c r="D1075" i="14"/>
  <c r="A1076" i="14"/>
  <c r="B1076" i="14"/>
  <c r="C1076" i="14"/>
  <c r="D1076" i="14"/>
  <c r="A1077" i="14"/>
  <c r="B1077" i="14"/>
  <c r="C1077" i="14"/>
  <c r="D1077" i="14"/>
  <c r="A1078" i="14"/>
  <c r="B1078" i="14"/>
  <c r="C1078" i="14"/>
  <c r="D1078" i="14"/>
  <c r="A1079" i="14"/>
  <c r="B1079" i="14"/>
  <c r="C1079" i="14"/>
  <c r="D1079" i="14"/>
  <c r="A1080" i="14"/>
  <c r="B1080" i="14"/>
  <c r="C1080" i="14"/>
  <c r="D1080" i="14"/>
  <c r="A1081" i="14"/>
  <c r="B1081" i="14"/>
  <c r="C1081" i="14"/>
  <c r="D1081" i="14"/>
  <c r="A1082" i="14"/>
  <c r="B1082" i="14"/>
  <c r="C1082" i="14"/>
  <c r="D1082" i="14"/>
  <c r="A1083" i="14"/>
  <c r="B1083" i="14"/>
  <c r="C1083" i="14"/>
  <c r="D1083" i="14"/>
  <c r="B1071" i="14"/>
  <c r="C1071" i="14"/>
  <c r="D1071" i="14"/>
  <c r="A1071" i="14"/>
  <c r="A1065" i="14"/>
  <c r="A1064" i="14"/>
  <c r="B1065" i="14"/>
  <c r="B1064" i="14"/>
  <c r="F947" i="14"/>
  <c r="H947" i="14" s="1"/>
  <c r="A1020" i="14"/>
  <c r="B1020" i="14"/>
  <c r="A1021" i="14"/>
  <c r="B1021" i="14"/>
  <c r="A1022" i="14"/>
  <c r="B1022" i="14"/>
  <c r="A1023" i="14"/>
  <c r="B1023" i="14"/>
  <c r="A1024" i="14"/>
  <c r="B1024" i="14"/>
  <c r="A1025" i="14"/>
  <c r="B1025" i="14"/>
  <c r="A1026" i="14"/>
  <c r="B1026" i="14"/>
  <c r="A1027" i="14"/>
  <c r="B1027" i="14"/>
  <c r="A1028" i="14"/>
  <c r="B1028" i="14"/>
  <c r="A1029" i="14"/>
  <c r="B1029" i="14"/>
  <c r="A1030" i="14"/>
  <c r="B1030" i="14"/>
  <c r="B1019" i="14"/>
  <c r="A1019" i="14"/>
  <c r="H1014" i="14"/>
  <c r="H1012" i="14" s="1"/>
  <c r="G159" i="8"/>
  <c r="E159" i="8"/>
  <c r="D159" i="8"/>
  <c r="H1004" i="14"/>
  <c r="H1002" i="14" s="1"/>
  <c r="G157" i="8"/>
  <c r="E157" i="8"/>
  <c r="G1002" i="14" s="1"/>
  <c r="D157" i="8"/>
  <c r="B1002" i="14" s="1"/>
  <c r="G153" i="8"/>
  <c r="E153" i="8"/>
  <c r="G991" i="14" s="1"/>
  <c r="D153" i="8"/>
  <c r="B991" i="14" s="1"/>
  <c r="C247" i="14" l="1"/>
  <c r="H247" i="14" s="1"/>
  <c r="C246" i="14"/>
  <c r="H246" i="14" s="1"/>
  <c r="C1593" i="14"/>
  <c r="H976" i="14" l="1"/>
  <c r="H989" i="14"/>
  <c r="H990" i="14"/>
  <c r="H988" i="14"/>
  <c r="C982" i="14"/>
  <c r="C981" i="14"/>
  <c r="E949" i="14"/>
  <c r="H949" i="14" s="1"/>
  <c r="F5" i="26"/>
  <c r="H673" i="14"/>
  <c r="E673" i="14" s="1"/>
  <c r="D941" i="14"/>
  <c r="D940" i="14"/>
  <c r="D939" i="14"/>
  <c r="D938" i="14"/>
  <c r="D937" i="14"/>
  <c r="D936" i="14"/>
  <c r="D935" i="14"/>
  <c r="D922" i="14"/>
  <c r="H922" i="14" s="1"/>
  <c r="D920" i="14"/>
  <c r="H920" i="14" s="1"/>
  <c r="H919" i="14"/>
  <c r="A880" i="14"/>
  <c r="A883" i="14" s="1"/>
  <c r="A879" i="14"/>
  <c r="A876" i="14"/>
  <c r="A875" i="14"/>
  <c r="B875" i="14"/>
  <c r="B879" i="14" s="1"/>
  <c r="C870" i="14"/>
  <c r="C875" i="14" s="1"/>
  <c r="C879" i="14" s="1"/>
  <c r="B862" i="14"/>
  <c r="B861" i="14"/>
  <c r="A835" i="14"/>
  <c r="A836" i="14"/>
  <c r="D714" i="14"/>
  <c r="D713" i="14"/>
  <c r="D709" i="14"/>
  <c r="D708" i="14"/>
  <c r="D707" i="14"/>
  <c r="D706" i="14"/>
  <c r="H706" i="14" s="1"/>
  <c r="D705" i="14"/>
  <c r="H705" i="14" s="1"/>
  <c r="H699" i="14"/>
  <c r="D704" i="14"/>
  <c r="C704" i="14"/>
  <c r="D703" i="14"/>
  <c r="H703" i="14" s="1"/>
  <c r="D702" i="14"/>
  <c r="H702" i="14" s="1"/>
  <c r="H690" i="14"/>
  <c r="C698" i="14"/>
  <c r="H698" i="14" s="1"/>
  <c r="H694" i="14"/>
  <c r="B693" i="14"/>
  <c r="H693" i="14" s="1"/>
  <c r="E95" i="8"/>
  <c r="G691" i="14" s="1"/>
  <c r="D95" i="8"/>
  <c r="B691" i="14" s="1"/>
  <c r="F33" i="9"/>
  <c r="F32" i="9"/>
  <c r="F31" i="9"/>
  <c r="F30" i="9"/>
  <c r="G34" i="9"/>
  <c r="H34" i="9" s="1"/>
  <c r="E34" i="9"/>
  <c r="D34" i="9"/>
  <c r="G33" i="9"/>
  <c r="E33" i="9"/>
  <c r="D33" i="9"/>
  <c r="G32" i="9"/>
  <c r="H32" i="9" s="1"/>
  <c r="E32" i="9"/>
  <c r="D32" i="9"/>
  <c r="G31" i="9"/>
  <c r="E31" i="9"/>
  <c r="D31" i="9"/>
  <c r="G30" i="9"/>
  <c r="E30" i="9"/>
  <c r="D30" i="9"/>
  <c r="G29" i="9"/>
  <c r="H29" i="9" s="1"/>
  <c r="E29" i="9"/>
  <c r="D29" i="9"/>
  <c r="A660" i="14"/>
  <c r="A665" i="14" s="1"/>
  <c r="A661" i="14"/>
  <c r="A666" i="14" s="1"/>
  <c r="C660" i="14"/>
  <c r="C661" i="14"/>
  <c r="C659" i="14"/>
  <c r="B655" i="14"/>
  <c r="H655" i="14" s="1"/>
  <c r="B654" i="14"/>
  <c r="H654" i="14" s="1"/>
  <c r="G84" i="8"/>
  <c r="E84" i="8"/>
  <c r="D84" i="8"/>
  <c r="A612" i="14"/>
  <c r="A620" i="14" s="1"/>
  <c r="A625" i="14" s="1"/>
  <c r="A631" i="14" s="1"/>
  <c r="A636" i="14" s="1"/>
  <c r="A640" i="14" s="1"/>
  <c r="A645" i="14" s="1"/>
  <c r="B612" i="14"/>
  <c r="B620" i="14" s="1"/>
  <c r="B625" i="14" s="1"/>
  <c r="B631" i="14" s="1"/>
  <c r="B636" i="14" s="1"/>
  <c r="B640" i="14" s="1"/>
  <c r="B645" i="14" s="1"/>
  <c r="C612" i="14"/>
  <c r="C620" i="14" s="1"/>
  <c r="C625" i="14" s="1"/>
  <c r="E612" i="14"/>
  <c r="E620" i="14" s="1"/>
  <c r="D625" i="14" s="1"/>
  <c r="D631" i="14" s="1"/>
  <c r="D636" i="14" s="1"/>
  <c r="D640" i="14" s="1"/>
  <c r="E645" i="14" s="1"/>
  <c r="A613" i="14"/>
  <c r="A621" i="14" s="1"/>
  <c r="A626" i="14" s="1"/>
  <c r="A632" i="14" s="1"/>
  <c r="A637" i="14" s="1"/>
  <c r="A641" i="14" s="1"/>
  <c r="A646" i="14" s="1"/>
  <c r="B613" i="14"/>
  <c r="B621" i="14" s="1"/>
  <c r="B626" i="14" s="1"/>
  <c r="B632" i="14" s="1"/>
  <c r="B637" i="14" s="1"/>
  <c r="B641" i="14" s="1"/>
  <c r="B646" i="14" s="1"/>
  <c r="C613" i="14"/>
  <c r="C621" i="14" s="1"/>
  <c r="C626" i="14" s="1"/>
  <c r="E613" i="14"/>
  <c r="E621" i="14" s="1"/>
  <c r="D626" i="14" s="1"/>
  <c r="D632" i="14" s="1"/>
  <c r="D637" i="14" s="1"/>
  <c r="D641" i="14" s="1"/>
  <c r="E646" i="14" s="1"/>
  <c r="C611" i="14"/>
  <c r="C619" i="14" s="1"/>
  <c r="C624" i="14" s="1"/>
  <c r="E611" i="14"/>
  <c r="E619" i="14" s="1"/>
  <c r="D624" i="14" s="1"/>
  <c r="D630" i="14" s="1"/>
  <c r="D635" i="14" s="1"/>
  <c r="D639" i="14" s="1"/>
  <c r="B611" i="14"/>
  <c r="B619" i="14" s="1"/>
  <c r="B624" i="14" s="1"/>
  <c r="B630" i="14" s="1"/>
  <c r="B635" i="14" s="1"/>
  <c r="B639" i="14" s="1"/>
  <c r="B644" i="14" s="1"/>
  <c r="A611" i="14"/>
  <c r="A619" i="14" s="1"/>
  <c r="A624" i="14" s="1"/>
  <c r="A630" i="14" s="1"/>
  <c r="A635" i="14" s="1"/>
  <c r="A639" i="14" s="1"/>
  <c r="A644" i="14" s="1"/>
  <c r="A649" i="14" s="1"/>
  <c r="A654" i="14" s="1"/>
  <c r="A659" i="14" s="1"/>
  <c r="A664" i="14" s="1"/>
  <c r="A590" i="14"/>
  <c r="B590" i="14"/>
  <c r="C590" i="14"/>
  <c r="D590" i="14"/>
  <c r="F590" i="14"/>
  <c r="F589" i="14"/>
  <c r="D589" i="14"/>
  <c r="C589" i="14"/>
  <c r="B589" i="14"/>
  <c r="A589" i="14"/>
  <c r="A586" i="14"/>
  <c r="B586" i="14"/>
  <c r="C586" i="14"/>
  <c r="D586" i="14"/>
  <c r="E586" i="14"/>
  <c r="F586" i="14"/>
  <c r="A587" i="14"/>
  <c r="B587" i="14"/>
  <c r="C587" i="14"/>
  <c r="D587" i="14"/>
  <c r="E587" i="14"/>
  <c r="F587" i="14"/>
  <c r="F585" i="14"/>
  <c r="E585" i="14"/>
  <c r="D585" i="14"/>
  <c r="C585" i="14"/>
  <c r="B585" i="14"/>
  <c r="A585" i="14"/>
  <c r="A578" i="14"/>
  <c r="B578" i="14"/>
  <c r="C578" i="14"/>
  <c r="D578" i="14"/>
  <c r="E578" i="14"/>
  <c r="F578" i="14"/>
  <c r="A579" i="14"/>
  <c r="B579" i="14"/>
  <c r="C579" i="14"/>
  <c r="D579" i="14"/>
  <c r="E579" i="14"/>
  <c r="F579" i="14"/>
  <c r="A580" i="14"/>
  <c r="B580" i="14"/>
  <c r="C580" i="14"/>
  <c r="D580" i="14"/>
  <c r="E580" i="14"/>
  <c r="F580" i="14"/>
  <c r="A581" i="14"/>
  <c r="B581" i="14"/>
  <c r="C581" i="14"/>
  <c r="D581" i="14"/>
  <c r="E581" i="14"/>
  <c r="F581" i="14"/>
  <c r="A582" i="14"/>
  <c r="B582" i="14"/>
  <c r="C582" i="14"/>
  <c r="D582" i="14"/>
  <c r="E582" i="14"/>
  <c r="F582" i="14"/>
  <c r="A583" i="14"/>
  <c r="B583" i="14"/>
  <c r="C583" i="14"/>
  <c r="D583" i="14"/>
  <c r="E583" i="14"/>
  <c r="F583" i="14"/>
  <c r="F577" i="14"/>
  <c r="E577" i="14"/>
  <c r="D577" i="14"/>
  <c r="C577" i="14"/>
  <c r="B577" i="14"/>
  <c r="A577" i="14"/>
  <c r="A574" i="14"/>
  <c r="B574" i="14"/>
  <c r="C574" i="14"/>
  <c r="D574" i="14"/>
  <c r="E574" i="14"/>
  <c r="F574" i="14"/>
  <c r="A575" i="14"/>
  <c r="B575" i="14"/>
  <c r="C575" i="14"/>
  <c r="D575" i="14"/>
  <c r="E575" i="14"/>
  <c r="F575" i="14"/>
  <c r="C573" i="14"/>
  <c r="D573" i="14"/>
  <c r="E573" i="14"/>
  <c r="F573" i="14"/>
  <c r="B573" i="14"/>
  <c r="A573" i="14"/>
  <c r="F528" i="14"/>
  <c r="C528" i="14"/>
  <c r="C549" i="14" s="1"/>
  <c r="C569" i="14" s="1"/>
  <c r="B528" i="14"/>
  <c r="B549" i="14" s="1"/>
  <c r="B569" i="14" s="1"/>
  <c r="A528" i="14"/>
  <c r="A549" i="14" s="1"/>
  <c r="A569" i="14" s="1"/>
  <c r="F527" i="14"/>
  <c r="C527" i="14"/>
  <c r="C548" i="14" s="1"/>
  <c r="C568" i="14" s="1"/>
  <c r="B527" i="14"/>
  <c r="B548" i="14" s="1"/>
  <c r="B568" i="14" s="1"/>
  <c r="A527" i="14"/>
  <c r="A548" i="14" s="1"/>
  <c r="A568" i="14" s="1"/>
  <c r="A526" i="14"/>
  <c r="A547" i="14" s="1"/>
  <c r="A567" i="14" s="1"/>
  <c r="A524" i="14"/>
  <c r="A545" i="14" s="1"/>
  <c r="A565" i="14" s="1"/>
  <c r="B524" i="14"/>
  <c r="B545" i="14" s="1"/>
  <c r="B565" i="14" s="1"/>
  <c r="C524" i="14"/>
  <c r="C545" i="14" s="1"/>
  <c r="C565" i="14" s="1"/>
  <c r="D524" i="14"/>
  <c r="D545" i="14" s="1"/>
  <c r="D565" i="14" s="1"/>
  <c r="A525" i="14"/>
  <c r="A546" i="14" s="1"/>
  <c r="A566" i="14" s="1"/>
  <c r="B525" i="14"/>
  <c r="B546" i="14" s="1"/>
  <c r="B566" i="14" s="1"/>
  <c r="C525" i="14"/>
  <c r="C546" i="14" s="1"/>
  <c r="C566" i="14" s="1"/>
  <c r="D525" i="14"/>
  <c r="D546" i="14" s="1"/>
  <c r="D566" i="14" s="1"/>
  <c r="D523" i="14"/>
  <c r="E523" i="14" s="1"/>
  <c r="C523" i="14"/>
  <c r="C544" i="14" s="1"/>
  <c r="C564" i="14" s="1"/>
  <c r="B523" i="14"/>
  <c r="B544" i="14" s="1"/>
  <c r="B564" i="14" s="1"/>
  <c r="A523" i="14"/>
  <c r="A544" i="14" s="1"/>
  <c r="A564" i="14" s="1"/>
  <c r="F523" i="14"/>
  <c r="A522" i="14"/>
  <c r="A543" i="14" s="1"/>
  <c r="A563" i="14" s="1"/>
  <c r="A516" i="14"/>
  <c r="A537" i="14" s="1"/>
  <c r="A557" i="14" s="1"/>
  <c r="B516" i="14"/>
  <c r="B537" i="14" s="1"/>
  <c r="B557" i="14" s="1"/>
  <c r="C516" i="14"/>
  <c r="C537" i="14" s="1"/>
  <c r="C557" i="14" s="1"/>
  <c r="D516" i="14"/>
  <c r="D537" i="14" s="1"/>
  <c r="D557" i="14" s="1"/>
  <c r="A517" i="14"/>
  <c r="A538" i="14" s="1"/>
  <c r="A558" i="14" s="1"/>
  <c r="B517" i="14"/>
  <c r="B538" i="14" s="1"/>
  <c r="B558" i="14" s="1"/>
  <c r="C517" i="14"/>
  <c r="C538" i="14" s="1"/>
  <c r="C558" i="14" s="1"/>
  <c r="D517" i="14"/>
  <c r="D538" i="14" s="1"/>
  <c r="D558" i="14" s="1"/>
  <c r="A518" i="14"/>
  <c r="A539" i="14" s="1"/>
  <c r="A559" i="14" s="1"/>
  <c r="B518" i="14"/>
  <c r="B539" i="14" s="1"/>
  <c r="B559" i="14" s="1"/>
  <c r="C518" i="14"/>
  <c r="C539" i="14" s="1"/>
  <c r="C559" i="14" s="1"/>
  <c r="D518" i="14"/>
  <c r="D539" i="14" s="1"/>
  <c r="D559" i="14" s="1"/>
  <c r="A519" i="14"/>
  <c r="A540" i="14" s="1"/>
  <c r="A560" i="14" s="1"/>
  <c r="B519" i="14"/>
  <c r="B540" i="14" s="1"/>
  <c r="B560" i="14" s="1"/>
  <c r="C519" i="14"/>
  <c r="C540" i="14" s="1"/>
  <c r="C560" i="14" s="1"/>
  <c r="D519" i="14"/>
  <c r="D540" i="14" s="1"/>
  <c r="D560" i="14" s="1"/>
  <c r="A520" i="14"/>
  <c r="A541" i="14" s="1"/>
  <c r="A561" i="14" s="1"/>
  <c r="B520" i="14"/>
  <c r="B541" i="14" s="1"/>
  <c r="B561" i="14" s="1"/>
  <c r="C520" i="14"/>
  <c r="C541" i="14" s="1"/>
  <c r="C561" i="14" s="1"/>
  <c r="D520" i="14"/>
  <c r="D541" i="14" s="1"/>
  <c r="D561" i="14" s="1"/>
  <c r="A521" i="14"/>
  <c r="A542" i="14" s="1"/>
  <c r="A562" i="14" s="1"/>
  <c r="B521" i="14"/>
  <c r="B542" i="14" s="1"/>
  <c r="B562" i="14" s="1"/>
  <c r="C521" i="14"/>
  <c r="C542" i="14" s="1"/>
  <c r="C562" i="14" s="1"/>
  <c r="D521" i="14"/>
  <c r="D542" i="14" s="1"/>
  <c r="D562" i="14" s="1"/>
  <c r="D515" i="14"/>
  <c r="D536" i="14" s="1"/>
  <c r="D556" i="14" s="1"/>
  <c r="C515" i="14"/>
  <c r="C536" i="14" s="1"/>
  <c r="C556" i="14" s="1"/>
  <c r="B515" i="14"/>
  <c r="B536" i="14" s="1"/>
  <c r="B556" i="14" s="1"/>
  <c r="A515" i="14"/>
  <c r="A536" i="14" s="1"/>
  <c r="A556" i="14" s="1"/>
  <c r="A514" i="14"/>
  <c r="A535" i="14" s="1"/>
  <c r="A555" i="14" s="1"/>
  <c r="A512" i="14"/>
  <c r="A533" i="14" s="1"/>
  <c r="A553" i="14" s="1"/>
  <c r="B512" i="14"/>
  <c r="B533" i="14" s="1"/>
  <c r="B553" i="14" s="1"/>
  <c r="C512" i="14"/>
  <c r="C533" i="14" s="1"/>
  <c r="C553" i="14" s="1"/>
  <c r="D512" i="14"/>
  <c r="D533" i="14" s="1"/>
  <c r="D553" i="14" s="1"/>
  <c r="A513" i="14"/>
  <c r="A534" i="14" s="1"/>
  <c r="A554" i="14" s="1"/>
  <c r="B513" i="14"/>
  <c r="B534" i="14" s="1"/>
  <c r="B554" i="14" s="1"/>
  <c r="C513" i="14"/>
  <c r="C534" i="14" s="1"/>
  <c r="C554" i="14" s="1"/>
  <c r="D513" i="14"/>
  <c r="D534" i="14" s="1"/>
  <c r="D554" i="14" s="1"/>
  <c r="D511" i="14"/>
  <c r="D532" i="14" s="1"/>
  <c r="D552" i="14" s="1"/>
  <c r="C511" i="14"/>
  <c r="C532" i="14" s="1"/>
  <c r="C552" i="14" s="1"/>
  <c r="B511" i="14"/>
  <c r="B532" i="14" s="1"/>
  <c r="B552" i="14" s="1"/>
  <c r="A511" i="14"/>
  <c r="A532" i="14" s="1"/>
  <c r="A552" i="14" s="1"/>
  <c r="A510" i="14"/>
  <c r="A531" i="14" s="1"/>
  <c r="A551" i="14" s="1"/>
  <c r="E506" i="14"/>
  <c r="D528" i="14" s="1"/>
  <c r="E505" i="14"/>
  <c r="D527" i="14" s="1"/>
  <c r="D548" i="14" s="1"/>
  <c r="D568" i="14" s="1"/>
  <c r="H503" i="14"/>
  <c r="H502" i="14"/>
  <c r="H501" i="14"/>
  <c r="H491" i="14"/>
  <c r="H490" i="14"/>
  <c r="H489" i="14"/>
  <c r="H33" i="9" l="1"/>
  <c r="H981" i="14"/>
  <c r="C1064" i="14"/>
  <c r="H982" i="14"/>
  <c r="C1065" i="14"/>
  <c r="H984" i="14"/>
  <c r="H704" i="14"/>
  <c r="E937" i="14"/>
  <c r="H691" i="14"/>
  <c r="H31" i="9"/>
  <c r="H30" i="9"/>
  <c r="C630" i="14"/>
  <c r="C635" i="14" s="1"/>
  <c r="C639" i="14" s="1"/>
  <c r="C644" i="14" s="1"/>
  <c r="H624" i="14"/>
  <c r="H625" i="14"/>
  <c r="C631" i="14"/>
  <c r="C636" i="14" s="1"/>
  <c r="C640" i="14" s="1"/>
  <c r="C632" i="14"/>
  <c r="C637" i="14" s="1"/>
  <c r="C641" i="14" s="1"/>
  <c r="H626" i="14"/>
  <c r="E644" i="14"/>
  <c r="B659" i="14"/>
  <c r="H565" i="14"/>
  <c r="B660" i="14"/>
  <c r="H562" i="14"/>
  <c r="H559" i="14"/>
  <c r="H556" i="14"/>
  <c r="H566" i="14"/>
  <c r="H557" i="14"/>
  <c r="E590" i="14"/>
  <c r="H552" i="14"/>
  <c r="H560" i="14"/>
  <c r="A572" i="14"/>
  <c r="H553" i="14"/>
  <c r="A576" i="14"/>
  <c r="H558" i="14"/>
  <c r="H568" i="14"/>
  <c r="A584" i="14"/>
  <c r="E589" i="14"/>
  <c r="A588" i="14"/>
  <c r="H554" i="14"/>
  <c r="H561" i="14"/>
  <c r="D544" i="14"/>
  <c r="D564" i="14" s="1"/>
  <c r="H564" i="14" s="1"/>
  <c r="E528" i="14"/>
  <c r="H528" i="14" s="1"/>
  <c r="D549" i="14"/>
  <c r="D569" i="14" s="1"/>
  <c r="H569" i="14" s="1"/>
  <c r="E527" i="14"/>
  <c r="H527" i="14" s="1"/>
  <c r="H523" i="14"/>
  <c r="A479" i="14"/>
  <c r="B479" i="14"/>
  <c r="C479" i="14"/>
  <c r="D479" i="14"/>
  <c r="E479" i="14"/>
  <c r="F479" i="14"/>
  <c r="A480" i="14"/>
  <c r="B480" i="14"/>
  <c r="C480" i="14"/>
  <c r="D480" i="14"/>
  <c r="E480" i="14"/>
  <c r="F480" i="14"/>
  <c r="A481" i="14"/>
  <c r="B481" i="14"/>
  <c r="C481" i="14"/>
  <c r="D481" i="14"/>
  <c r="E481" i="14"/>
  <c r="F481" i="14"/>
  <c r="A482" i="14"/>
  <c r="B482" i="14"/>
  <c r="C482" i="14"/>
  <c r="D482" i="14"/>
  <c r="E482" i="14"/>
  <c r="F482" i="14"/>
  <c r="A483" i="14"/>
  <c r="B483" i="14"/>
  <c r="C483" i="14"/>
  <c r="D483" i="14"/>
  <c r="E483" i="14"/>
  <c r="F483" i="14"/>
  <c r="A484" i="14"/>
  <c r="B484" i="14"/>
  <c r="C484" i="14"/>
  <c r="D484" i="14"/>
  <c r="E484" i="14"/>
  <c r="F484" i="14"/>
  <c r="C478" i="14"/>
  <c r="D478" i="14"/>
  <c r="E478" i="14"/>
  <c r="F478" i="14"/>
  <c r="B478" i="14"/>
  <c r="A478" i="14"/>
  <c r="E475" i="14"/>
  <c r="E474" i="14"/>
  <c r="E470" i="14"/>
  <c r="A455" i="14"/>
  <c r="A464" i="14" s="1"/>
  <c r="B455" i="14"/>
  <c r="B464" i="14" s="1"/>
  <c r="C455" i="14"/>
  <c r="C464" i="14" s="1"/>
  <c r="D455" i="14"/>
  <c r="E464" i="14" s="1"/>
  <c r="A456" i="14"/>
  <c r="A465" i="14" s="1"/>
  <c r="B456" i="14"/>
  <c r="B465" i="14" s="1"/>
  <c r="C456" i="14"/>
  <c r="C465" i="14" s="1"/>
  <c r="D456" i="14"/>
  <c r="E465" i="14" s="1"/>
  <c r="A457" i="14"/>
  <c r="A471" i="14" s="1"/>
  <c r="A474" i="14" s="1"/>
  <c r="B457" i="14"/>
  <c r="B471" i="14" s="1"/>
  <c r="B474" i="14" s="1"/>
  <c r="C457" i="14"/>
  <c r="C471" i="14" s="1"/>
  <c r="C474" i="14" s="1"/>
  <c r="D457" i="14"/>
  <c r="A458" i="14"/>
  <c r="A466" i="14" s="1"/>
  <c r="B458" i="14"/>
  <c r="B466" i="14" s="1"/>
  <c r="C458" i="14"/>
  <c r="C466" i="14" s="1"/>
  <c r="D458" i="14"/>
  <c r="E466" i="14" s="1"/>
  <c r="A459" i="14"/>
  <c r="A467" i="14" s="1"/>
  <c r="B459" i="14"/>
  <c r="B467" i="14" s="1"/>
  <c r="C459" i="14"/>
  <c r="C467" i="14" s="1"/>
  <c r="D459" i="14"/>
  <c r="E467" i="14" s="1"/>
  <c r="A460" i="14"/>
  <c r="A472" i="14" s="1"/>
  <c r="A475" i="14" s="1"/>
  <c r="B460" i="14"/>
  <c r="B472" i="14" s="1"/>
  <c r="B475" i="14" s="1"/>
  <c r="C460" i="14"/>
  <c r="C472" i="14" s="1"/>
  <c r="C475" i="14" s="1"/>
  <c r="D460" i="14"/>
  <c r="D454" i="14"/>
  <c r="C454" i="14"/>
  <c r="C470" i="14" s="1"/>
  <c r="B454" i="14"/>
  <c r="B470" i="14" s="1"/>
  <c r="A454" i="14"/>
  <c r="A470" i="14" s="1"/>
  <c r="H449" i="14"/>
  <c r="B405" i="14"/>
  <c r="B417" i="14" s="1"/>
  <c r="B406" i="14"/>
  <c r="B418" i="14" s="1"/>
  <c r="B404" i="14"/>
  <c r="B416" i="14" s="1"/>
  <c r="A404" i="14"/>
  <c r="A416" i="14" s="1"/>
  <c r="A426" i="14" s="1"/>
  <c r="A405" i="14"/>
  <c r="A417" i="14" s="1"/>
  <c r="A427" i="14" s="1"/>
  <c r="A406" i="14"/>
  <c r="A418" i="14" s="1"/>
  <c r="A428" i="14" s="1"/>
  <c r="A409" i="14"/>
  <c r="A419" i="14" s="1"/>
  <c r="A429" i="14" s="1"/>
  <c r="A410" i="14"/>
  <c r="A420" i="14" s="1"/>
  <c r="A430" i="14" s="1"/>
  <c r="A411" i="14"/>
  <c r="A421" i="14" s="1"/>
  <c r="A431" i="14" s="1"/>
  <c r="A403" i="14"/>
  <c r="A415" i="14" s="1"/>
  <c r="A425" i="14" s="1"/>
  <c r="B410" i="14"/>
  <c r="B420" i="14" s="1"/>
  <c r="C420" i="14" s="1"/>
  <c r="H420" i="14" s="1"/>
  <c r="B399" i="14"/>
  <c r="B411" i="14" s="1"/>
  <c r="B421" i="14" s="1"/>
  <c r="C421" i="14" s="1"/>
  <c r="H421" i="14" s="1"/>
  <c r="C321" i="14"/>
  <c r="C335" i="14" s="1"/>
  <c r="C353" i="14" s="1"/>
  <c r="C365" i="14" s="1"/>
  <c r="C378" i="14" s="1"/>
  <c r="C322" i="14"/>
  <c r="C336" i="14" s="1"/>
  <c r="C323" i="14"/>
  <c r="C337" i="14" s="1"/>
  <c r="C355" i="14" s="1"/>
  <c r="C367" i="14" s="1"/>
  <c r="C380" i="14" s="1"/>
  <c r="C324" i="14"/>
  <c r="C338" i="14" s="1"/>
  <c r="C356" i="14" s="1"/>
  <c r="C368" i="14" s="1"/>
  <c r="C381" i="14" s="1"/>
  <c r="C325" i="14"/>
  <c r="C339" i="14" s="1"/>
  <c r="C357" i="14" s="1"/>
  <c r="C369" i="14" s="1"/>
  <c r="C382" i="14" s="1"/>
  <c r="C326" i="14"/>
  <c r="C340" i="14" s="1"/>
  <c r="C327" i="14"/>
  <c r="C341" i="14" s="1"/>
  <c r="C359" i="14" s="1"/>
  <c r="C371" i="14" s="1"/>
  <c r="C384" i="14" s="1"/>
  <c r="C328" i="14"/>
  <c r="C342" i="14" s="1"/>
  <c r="C360" i="14" s="1"/>
  <c r="C372" i="14" s="1"/>
  <c r="C385" i="14" s="1"/>
  <c r="C329" i="14"/>
  <c r="C343" i="14" s="1"/>
  <c r="C361" i="14" s="1"/>
  <c r="C373" i="14" s="1"/>
  <c r="C386" i="14" s="1"/>
  <c r="C330" i="14"/>
  <c r="C344" i="14" s="1"/>
  <c r="A321" i="14"/>
  <c r="A335" i="14" s="1"/>
  <c r="A353" i="14" s="1"/>
  <c r="A365" i="14" s="1"/>
  <c r="A378" i="14" s="1"/>
  <c r="B321" i="14"/>
  <c r="B335" i="14" s="1"/>
  <c r="B353" i="14" s="1"/>
  <c r="B365" i="14" s="1"/>
  <c r="B378" i="14" s="1"/>
  <c r="A322" i="14"/>
  <c r="A336" i="14" s="1"/>
  <c r="B322" i="14"/>
  <c r="B336" i="14" s="1"/>
  <c r="A323" i="14"/>
  <c r="A337" i="14" s="1"/>
  <c r="A355" i="14" s="1"/>
  <c r="A367" i="14" s="1"/>
  <c r="A380" i="14" s="1"/>
  <c r="B323" i="14"/>
  <c r="B337" i="14" s="1"/>
  <c r="B355" i="14" s="1"/>
  <c r="B367" i="14" s="1"/>
  <c r="B380" i="14" s="1"/>
  <c r="A324" i="14"/>
  <c r="A338" i="14" s="1"/>
  <c r="A356" i="14" s="1"/>
  <c r="A368" i="14" s="1"/>
  <c r="A381" i="14" s="1"/>
  <c r="B324" i="14"/>
  <c r="B338" i="14" s="1"/>
  <c r="B356" i="14" s="1"/>
  <c r="B368" i="14" s="1"/>
  <c r="B381" i="14" s="1"/>
  <c r="A325" i="14"/>
  <c r="A339" i="14" s="1"/>
  <c r="A357" i="14" s="1"/>
  <c r="A369" i="14" s="1"/>
  <c r="A382" i="14" s="1"/>
  <c r="B325" i="14"/>
  <c r="B339" i="14" s="1"/>
  <c r="B357" i="14" s="1"/>
  <c r="B369" i="14" s="1"/>
  <c r="B382" i="14" s="1"/>
  <c r="A326" i="14"/>
  <c r="A340" i="14" s="1"/>
  <c r="B326" i="14"/>
  <c r="B340" i="14" s="1"/>
  <c r="A327" i="14"/>
  <c r="A341" i="14" s="1"/>
  <c r="A359" i="14" s="1"/>
  <c r="A371" i="14" s="1"/>
  <c r="A384" i="14" s="1"/>
  <c r="B327" i="14"/>
  <c r="B341" i="14" s="1"/>
  <c r="B359" i="14" s="1"/>
  <c r="B371" i="14" s="1"/>
  <c r="B384" i="14" s="1"/>
  <c r="A328" i="14"/>
  <c r="A342" i="14" s="1"/>
  <c r="A360" i="14" s="1"/>
  <c r="A372" i="14" s="1"/>
  <c r="A385" i="14" s="1"/>
  <c r="B328" i="14"/>
  <c r="B342" i="14" s="1"/>
  <c r="B360" i="14" s="1"/>
  <c r="B372" i="14" s="1"/>
  <c r="B385" i="14" s="1"/>
  <c r="A329" i="14"/>
  <c r="A343" i="14" s="1"/>
  <c r="A361" i="14" s="1"/>
  <c r="A373" i="14" s="1"/>
  <c r="A386" i="14" s="1"/>
  <c r="B329" i="14"/>
  <c r="B343" i="14" s="1"/>
  <c r="B361" i="14" s="1"/>
  <c r="B373" i="14" s="1"/>
  <c r="B386" i="14" s="1"/>
  <c r="A330" i="14"/>
  <c r="A344" i="14" s="1"/>
  <c r="B330" i="14"/>
  <c r="B344" i="14" s="1"/>
  <c r="C320" i="14"/>
  <c r="C334" i="14" s="1"/>
  <c r="C352" i="14" s="1"/>
  <c r="C364" i="14" s="1"/>
  <c r="C377" i="14" s="1"/>
  <c r="B320" i="14"/>
  <c r="B334" i="14" s="1"/>
  <c r="B352" i="14" s="1"/>
  <c r="B364" i="14" s="1"/>
  <c r="B377" i="14" s="1"/>
  <c r="A320" i="14"/>
  <c r="A334" i="14" s="1"/>
  <c r="A352" i="14" s="1"/>
  <c r="A364" i="14" s="1"/>
  <c r="A377" i="14" s="1"/>
  <c r="B302" i="14"/>
  <c r="C302" i="14"/>
  <c r="D302" i="14"/>
  <c r="E302" i="14"/>
  <c r="F302" i="14"/>
  <c r="B303" i="14"/>
  <c r="C303" i="14"/>
  <c r="D303" i="14"/>
  <c r="E303" i="14"/>
  <c r="F303" i="14"/>
  <c r="A302" i="14"/>
  <c r="A303" i="14"/>
  <c r="A297" i="14"/>
  <c r="A298" i="14"/>
  <c r="A299" i="14"/>
  <c r="A300" i="14"/>
  <c r="A301" i="14"/>
  <c r="B297" i="14"/>
  <c r="C297" i="14"/>
  <c r="D297" i="14"/>
  <c r="E297" i="14"/>
  <c r="F297" i="14"/>
  <c r="B298" i="14"/>
  <c r="C298" i="14"/>
  <c r="D298" i="14"/>
  <c r="E298" i="14"/>
  <c r="F298" i="14"/>
  <c r="B299" i="14"/>
  <c r="C299" i="14"/>
  <c r="D299" i="14"/>
  <c r="E299" i="14"/>
  <c r="F299" i="14"/>
  <c r="B300" i="14"/>
  <c r="C300" i="14"/>
  <c r="D300" i="14"/>
  <c r="E300" i="14"/>
  <c r="F300" i="14"/>
  <c r="B301" i="14"/>
  <c r="C301" i="14"/>
  <c r="D301" i="14"/>
  <c r="E301" i="14"/>
  <c r="F301" i="14"/>
  <c r="C296" i="14"/>
  <c r="D296" i="14"/>
  <c r="E296" i="14"/>
  <c r="F296" i="14"/>
  <c r="B296" i="14"/>
  <c r="A296" i="14"/>
  <c r="A270" i="14"/>
  <c r="A279" i="14" s="1"/>
  <c r="B270" i="14"/>
  <c r="B279" i="14" s="1"/>
  <c r="C270" i="14"/>
  <c r="C279" i="14" s="1"/>
  <c r="A271" i="14"/>
  <c r="A280" i="14" s="1"/>
  <c r="B271" i="14"/>
  <c r="B280" i="14" s="1"/>
  <c r="C271" i="14"/>
  <c r="C280" i="14" s="1"/>
  <c r="A272" i="14"/>
  <c r="A281" i="14" s="1"/>
  <c r="B272" i="14"/>
  <c r="B281" i="14" s="1"/>
  <c r="C272" i="14"/>
  <c r="C281" i="14" s="1"/>
  <c r="A273" i="14"/>
  <c r="A285" i="14" s="1"/>
  <c r="B273" i="14"/>
  <c r="B290" i="14" s="1"/>
  <c r="C273" i="14"/>
  <c r="C290" i="14" s="1"/>
  <c r="H290" i="14" s="1"/>
  <c r="A274" i="14"/>
  <c r="A291" i="14" s="1"/>
  <c r="B274" i="14"/>
  <c r="B286" i="14" s="1"/>
  <c r="C274" i="14"/>
  <c r="C286" i="14" s="1"/>
  <c r="H286" i="14" s="1"/>
  <c r="A275" i="14"/>
  <c r="A287" i="14" s="1"/>
  <c r="B275" i="14"/>
  <c r="B287" i="14" s="1"/>
  <c r="C275" i="14"/>
  <c r="C292" i="14" s="1"/>
  <c r="A276" i="14"/>
  <c r="A288" i="14" s="1"/>
  <c r="B276" i="14"/>
  <c r="B288" i="14" s="1"/>
  <c r="C276" i="14"/>
  <c r="C293" i="14" s="1"/>
  <c r="C269" i="14"/>
  <c r="C284" i="14" s="1"/>
  <c r="B269" i="14"/>
  <c r="B284" i="14" s="1"/>
  <c r="A269" i="14"/>
  <c r="A284" i="14" s="1"/>
  <c r="E275" i="14"/>
  <c r="H262" i="14"/>
  <c r="H264" i="14"/>
  <c r="C213" i="14"/>
  <c r="H210" i="14"/>
  <c r="C211" i="14"/>
  <c r="H211" i="14" s="1"/>
  <c r="D196" i="14"/>
  <c r="D245" i="14" s="1"/>
  <c r="D199" i="14"/>
  <c r="D248" i="14" s="1"/>
  <c r="D195" i="14"/>
  <c r="D244" i="14" s="1"/>
  <c r="C417" i="14" l="1"/>
  <c r="H417" i="14" s="1"/>
  <c r="C416" i="14"/>
  <c r="H416" i="14" s="1"/>
  <c r="C418" i="14"/>
  <c r="H418" i="14" s="1"/>
  <c r="H27" i="9"/>
  <c r="H639" i="14"/>
  <c r="H979" i="14"/>
  <c r="H641" i="14"/>
  <c r="C646" i="14"/>
  <c r="C645" i="14"/>
  <c r="H640" i="14"/>
  <c r="C285" i="14"/>
  <c r="H398" i="14"/>
  <c r="B430" i="14"/>
  <c r="H430" i="14" s="1"/>
  <c r="B431" i="14"/>
  <c r="H302" i="14"/>
  <c r="A293" i="14"/>
  <c r="B292" i="14"/>
  <c r="B291" i="14"/>
  <c r="A362" i="14"/>
  <c r="A374" i="14" s="1"/>
  <c r="A387" i="14" s="1"/>
  <c r="A350" i="14"/>
  <c r="A349" i="14"/>
  <c r="A358" i="14"/>
  <c r="A370" i="14" s="1"/>
  <c r="A383" i="14" s="1"/>
  <c r="B354" i="14"/>
  <c r="B366" i="14" s="1"/>
  <c r="B379" i="14" s="1"/>
  <c r="B348" i="14"/>
  <c r="C348" i="14"/>
  <c r="C354" i="14"/>
  <c r="C366" i="14" s="1"/>
  <c r="C379" i="14" s="1"/>
  <c r="A354" i="14"/>
  <c r="A366" i="14" s="1"/>
  <c r="A379" i="14" s="1"/>
  <c r="A348" i="14"/>
  <c r="B349" i="14"/>
  <c r="B358" i="14"/>
  <c r="B370" i="14" s="1"/>
  <c r="B383" i="14" s="1"/>
  <c r="C350" i="14"/>
  <c r="C362" i="14"/>
  <c r="C374" i="14" s="1"/>
  <c r="C387" i="14" s="1"/>
  <c r="B362" i="14"/>
  <c r="B374" i="14" s="1"/>
  <c r="B387" i="14" s="1"/>
  <c r="B350" i="14"/>
  <c r="C358" i="14"/>
  <c r="C370" i="14" s="1"/>
  <c r="C383" i="14" s="1"/>
  <c r="C349" i="14"/>
  <c r="C288" i="14"/>
  <c r="A286" i="14"/>
  <c r="B293" i="14"/>
  <c r="C291" i="14"/>
  <c r="H291" i="14" s="1"/>
  <c r="A290" i="14"/>
  <c r="B285" i="14"/>
  <c r="C287" i="14"/>
  <c r="H287" i="14" s="1"/>
  <c r="A292" i="14"/>
  <c r="H275" i="14"/>
  <c r="D189" i="14"/>
  <c r="D238" i="14" s="1"/>
  <c r="E189" i="14"/>
  <c r="E238" i="14" s="1"/>
  <c r="D190" i="14"/>
  <c r="D239" i="14" s="1"/>
  <c r="E190" i="14"/>
  <c r="E239" i="14" s="1"/>
  <c r="D191" i="14"/>
  <c r="D240" i="14" s="1"/>
  <c r="E191" i="14"/>
  <c r="E240" i="14" s="1"/>
  <c r="D192" i="14"/>
  <c r="D241" i="14" s="1"/>
  <c r="E192" i="14"/>
  <c r="E241" i="14" s="1"/>
  <c r="D193" i="14"/>
  <c r="D242" i="14" s="1"/>
  <c r="E193" i="14"/>
  <c r="E242" i="14" s="1"/>
  <c r="D188" i="14"/>
  <c r="D237" i="14" s="1"/>
  <c r="E188" i="14"/>
  <c r="E237" i="14" s="1"/>
  <c r="A181" i="14"/>
  <c r="A196" i="14" s="1"/>
  <c r="A184" i="14"/>
  <c r="A180" i="14"/>
  <c r="A195" i="14" s="1"/>
  <c r="C164" i="14"/>
  <c r="C184" i="14" s="1"/>
  <c r="B164" i="14"/>
  <c r="B184" i="14" s="1"/>
  <c r="B199" i="14" s="1"/>
  <c r="B219" i="14" s="1"/>
  <c r="B230" i="14" s="1"/>
  <c r="C161" i="14"/>
  <c r="C181" i="14" s="1"/>
  <c r="C196" i="14" s="1"/>
  <c r="B161" i="14"/>
  <c r="B181" i="14" s="1"/>
  <c r="B196" i="14" s="1"/>
  <c r="B216" i="14" s="1"/>
  <c r="B227" i="14" s="1"/>
  <c r="C160" i="14"/>
  <c r="C180" i="14" s="1"/>
  <c r="C195" i="14" s="1"/>
  <c r="B160" i="14"/>
  <c r="B180" i="14" s="1"/>
  <c r="B195" i="14" s="1"/>
  <c r="B215" i="14" s="1"/>
  <c r="B226" i="14" s="1"/>
  <c r="A174" i="14"/>
  <c r="A189" i="14" s="1"/>
  <c r="B140" i="14"/>
  <c r="B174" i="14" s="1"/>
  <c r="B189" i="14" s="1"/>
  <c r="C140" i="14"/>
  <c r="C174" i="14" s="1"/>
  <c r="C189" i="14" s="1"/>
  <c r="A175" i="14"/>
  <c r="A190" i="14" s="1"/>
  <c r="A239" i="14" s="1"/>
  <c r="B141" i="14"/>
  <c r="B175" i="14" s="1"/>
  <c r="B190" i="14" s="1"/>
  <c r="B239" i="14" s="1"/>
  <c r="C141" i="14"/>
  <c r="C175" i="14" s="1"/>
  <c r="C190" i="14" s="1"/>
  <c r="C239" i="14" s="1"/>
  <c r="A176" i="14"/>
  <c r="A191" i="14" s="1"/>
  <c r="A240" i="14" s="1"/>
  <c r="B142" i="14"/>
  <c r="B176" i="14" s="1"/>
  <c r="B191" i="14" s="1"/>
  <c r="B240" i="14" s="1"/>
  <c r="C142" i="14"/>
  <c r="C176" i="14" s="1"/>
  <c r="C191" i="14" s="1"/>
  <c r="C240" i="14" s="1"/>
  <c r="A192" i="14"/>
  <c r="B143" i="14"/>
  <c r="B177" i="14" s="1"/>
  <c r="B192" i="14" s="1"/>
  <c r="C143" i="14"/>
  <c r="B144" i="14"/>
  <c r="C144" i="14"/>
  <c r="A193" i="14"/>
  <c r="B145" i="14"/>
  <c r="B178" i="14" s="1"/>
  <c r="B193" i="14" s="1"/>
  <c r="C145" i="14"/>
  <c r="C193" i="14" s="1"/>
  <c r="C242" i="14" s="1"/>
  <c r="B146" i="14"/>
  <c r="C146" i="14"/>
  <c r="B139" i="14"/>
  <c r="B173" i="14" s="1"/>
  <c r="B188" i="14" s="1"/>
  <c r="C139" i="14"/>
  <c r="C173" i="14" s="1"/>
  <c r="C188" i="14" s="1"/>
  <c r="A173" i="14"/>
  <c r="A188" i="14" s="1"/>
  <c r="G151" i="8"/>
  <c r="E151" i="8"/>
  <c r="G979" i="14" s="1"/>
  <c r="D151" i="8"/>
  <c r="B979" i="14" s="1"/>
  <c r="B426" i="14" l="1"/>
  <c r="B427" i="14"/>
  <c r="B428" i="14"/>
  <c r="A226" i="14"/>
  <c r="A215" i="14"/>
  <c r="A227" i="14"/>
  <c r="A216" i="14"/>
  <c r="C245" i="14"/>
  <c r="C244" i="14"/>
  <c r="A199" i="14"/>
  <c r="A408" i="14"/>
  <c r="C199" i="14"/>
  <c r="A244" i="14"/>
  <c r="A245" i="14"/>
  <c r="B248" i="14"/>
  <c r="B245" i="14"/>
  <c r="B244" i="14"/>
  <c r="A242" i="14"/>
  <c r="A212" i="14"/>
  <c r="A213" i="14" s="1"/>
  <c r="A241" i="14"/>
  <c r="A210" i="14"/>
  <c r="A211" i="14" s="1"/>
  <c r="B205" i="14"/>
  <c r="B238" i="14"/>
  <c r="A204" i="14"/>
  <c r="A237" i="14"/>
  <c r="C204" i="14"/>
  <c r="C237" i="14"/>
  <c r="B212" i="14"/>
  <c r="B213" i="14" s="1"/>
  <c r="B242" i="14"/>
  <c r="B210" i="14"/>
  <c r="B211" i="14" s="1"/>
  <c r="B241" i="14"/>
  <c r="A205" i="14"/>
  <c r="A238" i="14"/>
  <c r="B204" i="14"/>
  <c r="B237" i="14"/>
  <c r="C205" i="14"/>
  <c r="C238" i="14"/>
  <c r="A206" i="14"/>
  <c r="C206" i="14"/>
  <c r="B206" i="14"/>
  <c r="H177" i="14"/>
  <c r="C192" i="14"/>
  <c r="C241" i="14" s="1"/>
  <c r="H241" i="14" s="1"/>
  <c r="B208" i="14"/>
  <c r="B209" i="14" s="1"/>
  <c r="A208" i="14"/>
  <c r="A209" i="14" s="1"/>
  <c r="C208" i="14"/>
  <c r="C209" i="14" s="1"/>
  <c r="H209" i="14" s="1"/>
  <c r="B207" i="14" l="1"/>
  <c r="A207" i="14"/>
  <c r="C207" i="14"/>
  <c r="H207" i="14" s="1"/>
  <c r="A230" i="14"/>
  <c r="A219" i="14"/>
  <c r="C248" i="14"/>
  <c r="A248" i="14"/>
  <c r="H192" i="14"/>
  <c r="D164" i="14" l="1"/>
  <c r="D161" i="14"/>
  <c r="D160" i="14"/>
  <c r="E145" i="14"/>
  <c r="D145" i="14"/>
  <c r="E144" i="14"/>
  <c r="D144" i="14"/>
  <c r="H144" i="14" l="1"/>
  <c r="H115" i="14"/>
  <c r="H114" i="14"/>
  <c r="B1551" i="14"/>
  <c r="B1554" i="14" s="1"/>
  <c r="B1545" i="14"/>
  <c r="B1542" i="14" s="1"/>
  <c r="D330" i="8"/>
  <c r="E330" i="8"/>
  <c r="G330" i="8"/>
  <c r="B1529" i="14"/>
  <c r="B1523" i="14"/>
  <c r="B1526" i="14"/>
  <c r="H1431" i="14"/>
  <c r="H1429" i="14" s="1"/>
  <c r="G288" i="8"/>
  <c r="E288" i="8"/>
  <c r="D288" i="8"/>
  <c r="B1479" i="14"/>
  <c r="B1463" i="14"/>
  <c r="H1237" i="14" l="1"/>
  <c r="G1237" i="14"/>
  <c r="B1237" i="14"/>
  <c r="H1240" i="14"/>
  <c r="H1238" i="14" s="1"/>
  <c r="E232" i="8"/>
  <c r="D232" i="8"/>
  <c r="H1232" i="14" l="1"/>
  <c r="G216" i="8"/>
  <c r="E216" i="8"/>
  <c r="D216" i="8"/>
  <c r="D217" i="8"/>
  <c r="E217" i="8"/>
  <c r="G217" i="8"/>
  <c r="H1175" i="14"/>
  <c r="H1174" i="14"/>
  <c r="H1142" i="14" l="1"/>
  <c r="H1140" i="14" s="1"/>
  <c r="H1139" i="14"/>
  <c r="H1137" i="14" s="1"/>
  <c r="H1136" i="14"/>
  <c r="H1134" i="14" s="1"/>
  <c r="H1133" i="14"/>
  <c r="H1131" i="14" s="1"/>
  <c r="H1130" i="14"/>
  <c r="H1128" i="14" s="1"/>
  <c r="H1118" i="14"/>
  <c r="H1116" i="14" s="1"/>
  <c r="H1115" i="14"/>
  <c r="H1113" i="14" s="1"/>
  <c r="H1112" i="14"/>
  <c r="H1110" i="14" s="1"/>
  <c r="H1109" i="14"/>
  <c r="H1107" i="14" s="1"/>
  <c r="H1145" i="14"/>
  <c r="H1143" i="14" s="1"/>
  <c r="H1127" i="14"/>
  <c r="H1125" i="14" s="1"/>
  <c r="H1124" i="14"/>
  <c r="H1122" i="14" s="1"/>
  <c r="H1121" i="14"/>
  <c r="H1119" i="14" s="1"/>
  <c r="H1154" i="14"/>
  <c r="H1152" i="14" s="1"/>
  <c r="H1151" i="14"/>
  <c r="H1149" i="14" s="1"/>
  <c r="H1148" i="14"/>
  <c r="H1146" i="14" s="1"/>
  <c r="H1106" i="14"/>
  <c r="H1104" i="14" s="1"/>
  <c r="H1103" i="14"/>
  <c r="H1101" i="14" s="1"/>
  <c r="H1100" i="14"/>
  <c r="H1098" i="14" s="1"/>
  <c r="H1097" i="14"/>
  <c r="H1095" i="14" s="1"/>
  <c r="G198" i="8"/>
  <c r="E198" i="8"/>
  <c r="D198" i="8"/>
  <c r="B1140" i="14" s="1"/>
  <c r="G197" i="8"/>
  <c r="E197" i="8"/>
  <c r="D197" i="8"/>
  <c r="E196" i="8"/>
  <c r="D196" i="8"/>
  <c r="G195" i="8"/>
  <c r="E195" i="8"/>
  <c r="D195" i="8"/>
  <c r="G187" i="8"/>
  <c r="E187" i="8"/>
  <c r="G1107" i="14" s="1"/>
  <c r="D187" i="8"/>
  <c r="B1107" i="14" s="1"/>
  <c r="G186" i="8"/>
  <c r="E186" i="8"/>
  <c r="G1104" i="14" s="1"/>
  <c r="D186" i="8"/>
  <c r="B1104" i="14" s="1"/>
  <c r="G185" i="8"/>
  <c r="E185" i="8"/>
  <c r="G1101" i="14" s="1"/>
  <c r="D185" i="8"/>
  <c r="B1101" i="14" s="1"/>
  <c r="G184" i="8"/>
  <c r="E184" i="8"/>
  <c r="G1098" i="14" s="1"/>
  <c r="D184" i="8"/>
  <c r="B1098" i="14" s="1"/>
  <c r="G183" i="8"/>
  <c r="E183" i="8"/>
  <c r="G1095" i="14" s="1"/>
  <c r="D183" i="8"/>
  <c r="B1095" i="14" s="1"/>
  <c r="G182" i="8"/>
  <c r="E182" i="8"/>
  <c r="D182" i="8"/>
  <c r="G192" i="8"/>
  <c r="E192" i="8"/>
  <c r="D192" i="8"/>
  <c r="G191" i="8"/>
  <c r="E191" i="8"/>
  <c r="D191" i="8"/>
  <c r="G190" i="8"/>
  <c r="E190" i="8"/>
  <c r="G1116" i="14" s="1"/>
  <c r="D190" i="8"/>
  <c r="B1116" i="14" s="1"/>
  <c r="G189" i="8"/>
  <c r="E189" i="8"/>
  <c r="G1113" i="14" s="1"/>
  <c r="D189" i="8"/>
  <c r="B1113" i="14" s="1"/>
  <c r="G188" i="8"/>
  <c r="E188" i="8"/>
  <c r="G1110" i="14" s="1"/>
  <c r="D188" i="8"/>
  <c r="B1110" i="14" s="1"/>
  <c r="G199" i="8"/>
  <c r="E199" i="8"/>
  <c r="G1143" i="14" s="1"/>
  <c r="D199" i="8"/>
  <c r="G194" i="8"/>
  <c r="E194" i="8"/>
  <c r="D194" i="8"/>
  <c r="G193" i="8"/>
  <c r="E193" i="8"/>
  <c r="D193" i="8"/>
  <c r="G1122" i="14" l="1"/>
  <c r="B1131" i="14"/>
  <c r="B1137" i="14"/>
  <c r="G1131" i="14"/>
  <c r="B1128" i="14"/>
  <c r="B1122" i="14"/>
  <c r="G1140" i="14"/>
  <c r="G1137" i="14"/>
  <c r="B1119" i="14"/>
  <c r="G1125" i="14"/>
  <c r="G1119" i="14"/>
  <c r="B1134" i="14"/>
  <c r="G1134" i="14"/>
  <c r="B1125" i="14"/>
  <c r="B1143" i="14"/>
  <c r="G1128" i="14"/>
  <c r="M8" i="29" l="1"/>
  <c r="L8" i="29"/>
  <c r="L4" i="29"/>
  <c r="K8" i="29"/>
  <c r="I8" i="29"/>
  <c r="I7" i="29"/>
  <c r="I5" i="29"/>
  <c r="H8" i="29"/>
  <c r="H7" i="29"/>
  <c r="H4" i="29"/>
  <c r="F8" i="29"/>
  <c r="E8" i="29" l="1"/>
  <c r="E7" i="29"/>
  <c r="E6" i="29"/>
  <c r="E5" i="29"/>
  <c r="E4" i="29"/>
  <c r="E3" i="29"/>
  <c r="G6" i="27" l="1"/>
  <c r="G20" i="27"/>
  <c r="F19" i="27"/>
  <c r="P18" i="28" l="1"/>
  <c r="P9" i="28"/>
  <c r="M17" i="28" l="1"/>
  <c r="H17" i="28"/>
  <c r="J17" i="28"/>
  <c r="L17" i="28"/>
  <c r="K17" i="28"/>
  <c r="I17" i="28"/>
  <c r="F17" i="28"/>
  <c r="G18" i="28"/>
  <c r="F19" i="28"/>
  <c r="P19" i="27" l="1"/>
  <c r="H1402" i="14" l="1"/>
  <c r="G279" i="8"/>
  <c r="E279" i="8"/>
  <c r="D279" i="8"/>
  <c r="G278" i="8"/>
  <c r="E278" i="8"/>
  <c r="D278" i="8"/>
  <c r="G274" i="8" l="1"/>
  <c r="E274" i="8"/>
  <c r="D274" i="8"/>
  <c r="H729" i="14" l="1"/>
  <c r="H727" i="14" s="1"/>
  <c r="H726" i="14"/>
  <c r="G726" i="14"/>
  <c r="B726" i="14"/>
  <c r="E102" i="8" l="1"/>
  <c r="G727" i="14" s="1"/>
  <c r="D102" i="8"/>
  <c r="B727" i="14" s="1"/>
  <c r="E472" i="14" l="1"/>
  <c r="E471" i="14"/>
  <c r="H303" i="14" l="1"/>
  <c r="H301" i="14"/>
  <c r="H300" i="14"/>
  <c r="H299" i="14"/>
  <c r="H298" i="14"/>
  <c r="H297" i="14"/>
  <c r="H296" i="14"/>
  <c r="H293" i="14"/>
  <c r="H292" i="14"/>
  <c r="H288" i="14"/>
  <c r="H285" i="14"/>
  <c r="H284" i="14"/>
  <c r="H281" i="14"/>
  <c r="H280" i="14"/>
  <c r="H279" i="14"/>
  <c r="E273" i="14"/>
  <c r="E272" i="14"/>
  <c r="E271" i="14"/>
  <c r="E270" i="14"/>
  <c r="E269" i="14"/>
  <c r="H266" i="14"/>
  <c r="H265" i="14"/>
  <c r="H263" i="14"/>
  <c r="H261" i="14"/>
  <c r="H260" i="14"/>
  <c r="H259" i="14"/>
  <c r="H256" i="14"/>
  <c r="G256" i="14"/>
  <c r="B256" i="14"/>
  <c r="D48" i="8"/>
  <c r="B277" i="14" s="1"/>
  <c r="E48" i="8"/>
  <c r="G277" i="14" s="1"/>
  <c r="G48" i="8"/>
  <c r="G50" i="8"/>
  <c r="E50" i="8"/>
  <c r="G294" i="14" s="1"/>
  <c r="D50" i="8"/>
  <c r="B294" i="14" s="1"/>
  <c r="G49" i="8"/>
  <c r="E49" i="8"/>
  <c r="G282" i="14" s="1"/>
  <c r="D49" i="8"/>
  <c r="B282" i="14" s="1"/>
  <c r="G47" i="8"/>
  <c r="E47" i="8"/>
  <c r="G267" i="14" s="1"/>
  <c r="D47" i="8"/>
  <c r="B267" i="14" s="1"/>
  <c r="G46" i="8"/>
  <c r="E46" i="8"/>
  <c r="G257" i="14" s="1"/>
  <c r="D46" i="8"/>
  <c r="B257" i="14" s="1"/>
  <c r="H737" i="14"/>
  <c r="H714" i="14"/>
  <c r="C707" i="14"/>
  <c r="D701" i="14"/>
  <c r="H709" i="14"/>
  <c r="C688" i="14"/>
  <c r="H688" i="14" s="1"/>
  <c r="H1600" i="14"/>
  <c r="H1598" i="14" s="1"/>
  <c r="H707" i="14" l="1"/>
  <c r="H277" i="14"/>
  <c r="H282" i="14"/>
  <c r="H273" i="14"/>
  <c r="H271" i="14"/>
  <c r="H269" i="14"/>
  <c r="H276" i="14"/>
  <c r="H272" i="14"/>
  <c r="H294" i="14"/>
  <c r="F167" i="14" s="1"/>
  <c r="H257" i="14"/>
  <c r="H270" i="14"/>
  <c r="H274" i="14"/>
  <c r="H1597" i="14"/>
  <c r="H1595" i="14" s="1"/>
  <c r="G347" i="8"/>
  <c r="E347" i="8"/>
  <c r="G1595" i="14" s="1"/>
  <c r="D347" i="8"/>
  <c r="B1595" i="14" s="1"/>
  <c r="H267" i="14" l="1"/>
  <c r="H883" i="14"/>
  <c r="D324" i="14"/>
  <c r="D338" i="14" s="1"/>
  <c r="D356" i="14" s="1"/>
  <c r="D368" i="14" s="1"/>
  <c r="E381" i="14" s="1"/>
  <c r="D328" i="14"/>
  <c r="D342" i="14" s="1"/>
  <c r="D360" i="14" s="1"/>
  <c r="D372" i="14" s="1"/>
  <c r="E385" i="14" s="1"/>
  <c r="D330" i="14"/>
  <c r="D344" i="14" s="1"/>
  <c r="H316" i="14"/>
  <c r="D323" i="14"/>
  <c r="D337" i="14" s="1"/>
  <c r="D355" i="14" s="1"/>
  <c r="D367" i="14" s="1"/>
  <c r="E380" i="14" s="1"/>
  <c r="D322" i="14"/>
  <c r="D336" i="14" s="1"/>
  <c r="D321" i="14"/>
  <c r="D335" i="14" s="1"/>
  <c r="D353" i="14" s="1"/>
  <c r="D365" i="14" s="1"/>
  <c r="E378" i="14" s="1"/>
  <c r="D320" i="14"/>
  <c r="D334" i="14" s="1"/>
  <c r="D352" i="14" s="1"/>
  <c r="D364" i="14" s="1"/>
  <c r="E377" i="14" s="1"/>
  <c r="H311" i="14"/>
  <c r="D350" i="14" l="1"/>
  <c r="D362" i="14"/>
  <c r="D374" i="14" s="1"/>
  <c r="E387" i="14" s="1"/>
  <c r="D348" i="14"/>
  <c r="H348" i="14" s="1"/>
  <c r="D354" i="14"/>
  <c r="D366" i="14" s="1"/>
  <c r="E379" i="14" s="1"/>
  <c r="H127" i="14"/>
  <c r="H155" i="14"/>
  <c r="H125" i="14"/>
  <c r="D329" i="14"/>
  <c r="D343" i="14" s="1"/>
  <c r="D361" i="14" s="1"/>
  <c r="D373" i="14" s="1"/>
  <c r="E386" i="14" s="1"/>
  <c r="H328" i="14"/>
  <c r="H367" i="14"/>
  <c r="E342" i="14"/>
  <c r="H342" i="14" s="1"/>
  <c r="H350" i="14"/>
  <c r="H881" i="14"/>
  <c r="H875" i="14"/>
  <c r="H879" i="14"/>
  <c r="H870" i="14"/>
  <c r="D871" i="14"/>
  <c r="H858" i="14"/>
  <c r="H859" i="14"/>
  <c r="H860" i="14"/>
  <c r="H861" i="14"/>
  <c r="H862" i="14"/>
  <c r="H863" i="14"/>
  <c r="H864" i="14"/>
  <c r="H865" i="14"/>
  <c r="H866" i="14"/>
  <c r="H867" i="14"/>
  <c r="H857" i="14"/>
  <c r="H848" i="14"/>
  <c r="H847" i="14"/>
  <c r="H846" i="14"/>
  <c r="H845" i="14"/>
  <c r="H852" i="14"/>
  <c r="H851" i="14"/>
  <c r="H850" i="14"/>
  <c r="H849" i="14"/>
  <c r="G130" i="8"/>
  <c r="E130" i="8"/>
  <c r="G868" i="14" s="1"/>
  <c r="D130" i="8"/>
  <c r="B868" i="14" s="1"/>
  <c r="G131" i="8"/>
  <c r="E131" i="8"/>
  <c r="G873" i="14" s="1"/>
  <c r="D131" i="8"/>
  <c r="B873" i="14" s="1"/>
  <c r="G132" i="8"/>
  <c r="E132" i="8"/>
  <c r="G877" i="14" s="1"/>
  <c r="D132" i="8"/>
  <c r="B877" i="14" s="1"/>
  <c r="G129" i="8"/>
  <c r="E129" i="8"/>
  <c r="D129" i="8"/>
  <c r="H871" i="14" l="1"/>
  <c r="H868" i="14" s="1"/>
  <c r="D876" i="14"/>
  <c r="H360" i="14"/>
  <c r="H385" i="14"/>
  <c r="H366" i="14"/>
  <c r="H1171" i="14"/>
  <c r="H471" i="14"/>
  <c r="D880" i="14" l="1"/>
  <c r="H880" i="14" s="1"/>
  <c r="H877" i="14" s="1"/>
  <c r="H876" i="14"/>
  <c r="H873" i="14" s="1"/>
  <c r="H1172" i="14"/>
  <c r="D700" i="14"/>
  <c r="H1593" i="14"/>
  <c r="H660" i="14" l="1"/>
  <c r="H659" i="14"/>
  <c r="B651" i="14"/>
  <c r="H650" i="14"/>
  <c r="H649" i="14"/>
  <c r="G87" i="8"/>
  <c r="E87" i="8"/>
  <c r="G652" i="14" s="1"/>
  <c r="D87" i="8"/>
  <c r="B652" i="14" s="1"/>
  <c r="G86" i="8"/>
  <c r="E86" i="8"/>
  <c r="G647" i="14" s="1"/>
  <c r="D86" i="8"/>
  <c r="B647" i="14" s="1"/>
  <c r="F632" i="14"/>
  <c r="F631" i="14"/>
  <c r="F630" i="14"/>
  <c r="G85" i="8"/>
  <c r="E85" i="8"/>
  <c r="G642" i="14" s="1"/>
  <c r="D85" i="8"/>
  <c r="B642" i="14" s="1"/>
  <c r="G83" i="8"/>
  <c r="E83" i="8"/>
  <c r="G628" i="14" s="1"/>
  <c r="D83" i="8"/>
  <c r="B628" i="14" s="1"/>
  <c r="G82" i="8"/>
  <c r="E82" i="8"/>
  <c r="G622" i="14" s="1"/>
  <c r="D82" i="8"/>
  <c r="B622" i="14" s="1"/>
  <c r="G81" i="8"/>
  <c r="E81" i="8"/>
  <c r="G617" i="14" s="1"/>
  <c r="D81" i="8"/>
  <c r="B617" i="14" s="1"/>
  <c r="D613" i="14"/>
  <c r="D621" i="14" s="1"/>
  <c r="H621" i="14" s="1"/>
  <c r="H602" i="14"/>
  <c r="G602" i="14"/>
  <c r="B602" i="14"/>
  <c r="G80" i="8"/>
  <c r="E80" i="8"/>
  <c r="D80" i="8"/>
  <c r="G79" i="8"/>
  <c r="E79" i="8"/>
  <c r="D79" i="8"/>
  <c r="G88" i="8"/>
  <c r="E88" i="8"/>
  <c r="G657" i="14" s="1"/>
  <c r="D88" i="8"/>
  <c r="B657" i="14" s="1"/>
  <c r="B633" i="14" l="1"/>
  <c r="G633" i="14"/>
  <c r="B656" i="14"/>
  <c r="H605" i="14"/>
  <c r="D611" i="14"/>
  <c r="D619" i="14" s="1"/>
  <c r="H619" i="14" s="1"/>
  <c r="H606" i="14"/>
  <c r="D612" i="14"/>
  <c r="D620" i="14" s="1"/>
  <c r="H620" i="14" s="1"/>
  <c r="H651" i="14"/>
  <c r="H613" i="14"/>
  <c r="H607" i="14"/>
  <c r="E89" i="8"/>
  <c r="D89" i="8"/>
  <c r="G78" i="8"/>
  <c r="E78" i="8"/>
  <c r="G603" i="14" s="1"/>
  <c r="D78" i="8"/>
  <c r="B603" i="14" s="1"/>
  <c r="H665" i="14"/>
  <c r="H666" i="14"/>
  <c r="H664" i="14"/>
  <c r="H603" i="14" l="1"/>
  <c r="B616" i="14" s="1"/>
  <c r="H617" i="14"/>
  <c r="C616" i="14" s="1"/>
  <c r="H656" i="14"/>
  <c r="B661" i="14"/>
  <c r="H661" i="14" s="1"/>
  <c r="H657" i="14" s="1"/>
  <c r="H611" i="14"/>
  <c r="H612" i="14"/>
  <c r="H622" i="14"/>
  <c r="H662" i="14"/>
  <c r="G24" i="9"/>
  <c r="H24" i="9" s="1"/>
  <c r="E24" i="9"/>
  <c r="G23" i="9"/>
  <c r="H23" i="9" s="1"/>
  <c r="E23" i="9"/>
  <c r="G22" i="9"/>
  <c r="H22" i="9" s="1"/>
  <c r="E22" i="9"/>
  <c r="D24" i="9"/>
  <c r="D23" i="9"/>
  <c r="D22" i="9"/>
  <c r="E76" i="8"/>
  <c r="D76" i="8"/>
  <c r="G662" i="14"/>
  <c r="B662" i="14"/>
  <c r="H609" i="14" l="1"/>
  <c r="E630" i="14"/>
  <c r="H630" i="14" s="1"/>
  <c r="E631" i="14"/>
  <c r="H631" i="14" s="1"/>
  <c r="E632" i="14"/>
  <c r="H632" i="14" s="1"/>
  <c r="H20" i="9"/>
  <c r="G89" i="8" s="1"/>
  <c r="H628" i="14" l="1"/>
  <c r="H644" i="14"/>
  <c r="H635" i="14"/>
  <c r="H646" i="14"/>
  <c r="H637" i="14"/>
  <c r="H645" i="14"/>
  <c r="H636" i="14"/>
  <c r="H633" i="14" l="1"/>
  <c r="H642" i="14"/>
  <c r="D616" i="14" s="1"/>
  <c r="H943" i="14"/>
  <c r="H941" i="14"/>
  <c r="H940" i="14"/>
  <c r="H939" i="14"/>
  <c r="H938" i="14"/>
  <c r="H937" i="14"/>
  <c r="H936" i="14"/>
  <c r="H921" i="14"/>
  <c r="H925" i="14"/>
  <c r="C781" i="14"/>
  <c r="H783" i="14"/>
  <c r="D781" i="14"/>
  <c r="D795" i="14"/>
  <c r="H1554" i="14"/>
  <c r="H1552" i="14" s="1"/>
  <c r="G333" i="8"/>
  <c r="E333" i="8"/>
  <c r="G1552" i="14" s="1"/>
  <c r="D333" i="8"/>
  <c r="B1552" i="14" s="1"/>
  <c r="B1557" i="14"/>
  <c r="H1548" i="14"/>
  <c r="G346" i="8"/>
  <c r="E346" i="8"/>
  <c r="D346" i="8"/>
  <c r="H1168" i="14"/>
  <c r="G206" i="8"/>
  <c r="E206" i="8"/>
  <c r="D206" i="8"/>
  <c r="H1072" i="14"/>
  <c r="H1073" i="14"/>
  <c r="H1074" i="14"/>
  <c r="H1075" i="14"/>
  <c r="H1076" i="14"/>
  <c r="H1077" i="14"/>
  <c r="H1078" i="14"/>
  <c r="H1079" i="14"/>
  <c r="H1080" i="14"/>
  <c r="H1081" i="14"/>
  <c r="H1082" i="14"/>
  <c r="H1083" i="14"/>
  <c r="H1071" i="14"/>
  <c r="H1068" i="14"/>
  <c r="G1068" i="14"/>
  <c r="B1068" i="14"/>
  <c r="C708" i="14"/>
  <c r="H708" i="14" s="1"/>
  <c r="C713" i="14"/>
  <c r="H713" i="14" s="1"/>
  <c r="C701" i="14"/>
  <c r="H701" i="14" s="1"/>
  <c r="H410" i="14"/>
  <c r="H399" i="14"/>
  <c r="H719" i="14"/>
  <c r="C700" i="14"/>
  <c r="H700" i="14" s="1"/>
  <c r="C687" i="14"/>
  <c r="H687" i="14" s="1"/>
  <c r="H577" i="14"/>
  <c r="H578" i="14"/>
  <c r="H579" i="14"/>
  <c r="H581" i="14"/>
  <c r="H582" i="14"/>
  <c r="H583" i="14"/>
  <c r="H585" i="14"/>
  <c r="H586" i="14"/>
  <c r="H587" i="14"/>
  <c r="H589" i="14"/>
  <c r="H590" i="14"/>
  <c r="H580" i="14"/>
  <c r="H575" i="14"/>
  <c r="H574" i="14"/>
  <c r="H573" i="14"/>
  <c r="H549" i="14"/>
  <c r="H548" i="14"/>
  <c r="H546" i="14"/>
  <c r="H545" i="14"/>
  <c r="H544" i="14"/>
  <c r="H542" i="14"/>
  <c r="H541" i="14"/>
  <c r="H540" i="14"/>
  <c r="H539" i="14"/>
  <c r="H538" i="14"/>
  <c r="H537" i="14"/>
  <c r="H536" i="14"/>
  <c r="H534" i="14"/>
  <c r="H533" i="14"/>
  <c r="H532" i="14"/>
  <c r="F516" i="14"/>
  <c r="E515" i="14"/>
  <c r="E516" i="14"/>
  <c r="E517" i="14"/>
  <c r="E519" i="14"/>
  <c r="E520" i="14"/>
  <c r="E521" i="14"/>
  <c r="E524" i="14"/>
  <c r="F524" i="14"/>
  <c r="F521" i="14"/>
  <c r="F520" i="14"/>
  <c r="F519" i="14"/>
  <c r="F518" i="14"/>
  <c r="F515" i="14"/>
  <c r="F513" i="14"/>
  <c r="F512" i="14"/>
  <c r="F511" i="14"/>
  <c r="E525" i="14"/>
  <c r="E518" i="14"/>
  <c r="E513" i="14"/>
  <c r="E512" i="14"/>
  <c r="E511" i="14"/>
  <c r="H373" i="14"/>
  <c r="H368" i="14"/>
  <c r="H365" i="14"/>
  <c r="H364" i="14"/>
  <c r="H372" i="14"/>
  <c r="H374" i="14"/>
  <c r="H353" i="14"/>
  <c r="H354" i="14"/>
  <c r="H352" i="14"/>
  <c r="H355" i="14"/>
  <c r="H356" i="14"/>
  <c r="H361" i="14"/>
  <c r="H362" i="14"/>
  <c r="E334" i="14"/>
  <c r="F334" i="14"/>
  <c r="E335" i="14"/>
  <c r="F335" i="14"/>
  <c r="E336" i="14"/>
  <c r="E337" i="14"/>
  <c r="E338" i="14"/>
  <c r="E343" i="14"/>
  <c r="E344" i="14"/>
  <c r="H506" i="14"/>
  <c r="H496" i="14"/>
  <c r="H497" i="14"/>
  <c r="H495" i="14"/>
  <c r="H498" i="14"/>
  <c r="H499" i="14"/>
  <c r="H494" i="14"/>
  <c r="H493" i="14"/>
  <c r="H505" i="14"/>
  <c r="H483" i="14"/>
  <c r="H466" i="14"/>
  <c r="E459" i="14"/>
  <c r="H451" i="14"/>
  <c r="H482" i="14"/>
  <c r="H465" i="14"/>
  <c r="E458" i="14"/>
  <c r="H213" i="14"/>
  <c r="H212" i="14"/>
  <c r="H205" i="14"/>
  <c r="H206" i="14"/>
  <c r="H208" i="14"/>
  <c r="H204" i="14"/>
  <c r="G41" i="8"/>
  <c r="E41" i="8"/>
  <c r="D41" i="8"/>
  <c r="B83" i="14"/>
  <c r="H83" i="14" s="1"/>
  <c r="H81" i="14" s="1"/>
  <c r="H80" i="14"/>
  <c r="H78" i="14" s="1"/>
  <c r="G27" i="8"/>
  <c r="E27" i="8"/>
  <c r="G81" i="14" s="1"/>
  <c r="D27" i="8"/>
  <c r="B81" i="14" s="1"/>
  <c r="G26" i="8"/>
  <c r="E26" i="8"/>
  <c r="G78" i="14" s="1"/>
  <c r="D26" i="8"/>
  <c r="B78" i="14" s="1"/>
  <c r="H27" i="14"/>
  <c r="H529" i="14" l="1"/>
  <c r="H512" i="14"/>
  <c r="H511" i="14"/>
  <c r="H338" i="14"/>
  <c r="H335" i="14"/>
  <c r="H1069" i="14"/>
  <c r="H336" i="14"/>
  <c r="H344" i="14"/>
  <c r="H516" i="14"/>
  <c r="H525" i="14"/>
  <c r="H570" i="14"/>
  <c r="H521" i="14"/>
  <c r="H515" i="14"/>
  <c r="H524" i="14"/>
  <c r="H518" i="14"/>
  <c r="H459" i="14"/>
  <c r="H334" i="14"/>
  <c r="H517" i="14"/>
  <c r="H513" i="14"/>
  <c r="H337" i="14"/>
  <c r="H520" i="14"/>
  <c r="H519" i="14"/>
  <c r="H343" i="14"/>
  <c r="H458" i="14"/>
  <c r="H486" i="14"/>
  <c r="H508" i="14" l="1"/>
  <c r="E4" i="28"/>
  <c r="E5" i="28"/>
  <c r="E6" i="28"/>
  <c r="E7" i="28"/>
  <c r="E8" i="28"/>
  <c r="E9" i="28"/>
  <c r="E10" i="28"/>
  <c r="E11" i="28"/>
  <c r="E12" i="28"/>
  <c r="E13" i="28"/>
  <c r="E14" i="28"/>
  <c r="E15" i="28"/>
  <c r="E16" i="28"/>
  <c r="E3" i="28"/>
  <c r="E18" i="28"/>
  <c r="N17" i="28"/>
  <c r="E17" i="28" s="1"/>
  <c r="G19" i="28"/>
  <c r="E19" i="28" s="1"/>
  <c r="E22" i="27" l="1"/>
  <c r="E21" i="27"/>
  <c r="E20" i="27"/>
  <c r="E19" i="27"/>
  <c r="E18" i="27"/>
  <c r="E17" i="27"/>
  <c r="E16" i="27"/>
  <c r="E15" i="27"/>
  <c r="E14" i="27"/>
  <c r="E13" i="27"/>
  <c r="E12" i="27"/>
  <c r="E11" i="27"/>
  <c r="E10" i="27"/>
  <c r="E9" i="27"/>
  <c r="E8" i="27"/>
  <c r="E7" i="27"/>
  <c r="E6" i="27"/>
  <c r="E5" i="27"/>
  <c r="E4" i="27"/>
  <c r="E3" i="27"/>
  <c r="H450" i="14" l="1"/>
  <c r="H470" i="14" l="1"/>
  <c r="H475" i="14"/>
  <c r="H474" i="14"/>
  <c r="H472" i="14"/>
  <c r="H467" i="14"/>
  <c r="H464" i="14"/>
  <c r="G68" i="8"/>
  <c r="E68" i="8"/>
  <c r="G468" i="14" s="1"/>
  <c r="D68" i="8"/>
  <c r="B468" i="14" s="1"/>
  <c r="E455" i="14"/>
  <c r="E456" i="14"/>
  <c r="E457" i="14"/>
  <c r="H457" i="14" s="1"/>
  <c r="E460" i="14"/>
  <c r="E454" i="14"/>
  <c r="H479" i="14"/>
  <c r="H480" i="14"/>
  <c r="H481" i="14"/>
  <c r="H484" i="14"/>
  <c r="H478" i="14"/>
  <c r="H448" i="14"/>
  <c r="H447" i="14"/>
  <c r="H446" i="14"/>
  <c r="H445" i="14"/>
  <c r="H321" i="14"/>
  <c r="H322" i="14"/>
  <c r="H329" i="14"/>
  <c r="H320" i="14"/>
  <c r="H330" i="14"/>
  <c r="H324" i="14"/>
  <c r="H323" i="14"/>
  <c r="H427" i="14"/>
  <c r="H428" i="14"/>
  <c r="H431" i="14"/>
  <c r="H426" i="14"/>
  <c r="H411" i="14"/>
  <c r="H406" i="14"/>
  <c r="H405" i="14"/>
  <c r="H404" i="14"/>
  <c r="H394" i="14"/>
  <c r="H393" i="14"/>
  <c r="H392" i="14"/>
  <c r="H189" i="14"/>
  <c r="H190" i="14"/>
  <c r="H191" i="14"/>
  <c r="H193" i="14"/>
  <c r="H188" i="14"/>
  <c r="H388" i="14"/>
  <c r="G388" i="14"/>
  <c r="B388" i="14"/>
  <c r="G10" i="9"/>
  <c r="H10" i="9" s="1"/>
  <c r="E10" i="9"/>
  <c r="D10" i="9"/>
  <c r="G47" i="9"/>
  <c r="E47" i="9"/>
  <c r="D47" i="9"/>
  <c r="G46" i="9"/>
  <c r="F46" i="9"/>
  <c r="F47" i="9" s="1"/>
  <c r="E46" i="9"/>
  <c r="D46" i="9"/>
  <c r="G45" i="9"/>
  <c r="H45" i="9" s="1"/>
  <c r="E45" i="9"/>
  <c r="D45" i="9"/>
  <c r="G44" i="9"/>
  <c r="H44" i="9" s="1"/>
  <c r="E44" i="9"/>
  <c r="D44" i="9"/>
  <c r="G43" i="9"/>
  <c r="H43" i="9" s="1"/>
  <c r="E43" i="9"/>
  <c r="D43" i="9"/>
  <c r="G42" i="9"/>
  <c r="H42" i="9" s="1"/>
  <c r="E42" i="9"/>
  <c r="D42" i="9"/>
  <c r="G41" i="9"/>
  <c r="H41" i="9" s="1"/>
  <c r="E41" i="9"/>
  <c r="D41" i="9"/>
  <c r="G40" i="9"/>
  <c r="H40" i="9" s="1"/>
  <c r="E40" i="9"/>
  <c r="D40" i="9"/>
  <c r="G56" i="8"/>
  <c r="E56" i="8"/>
  <c r="D56" i="8"/>
  <c r="G55" i="8"/>
  <c r="E55" i="8"/>
  <c r="D55" i="8"/>
  <c r="B345" i="14" s="1"/>
  <c r="G54" i="8"/>
  <c r="E54" i="8"/>
  <c r="D54" i="8"/>
  <c r="B332" i="14" s="1"/>
  <c r="G53" i="8"/>
  <c r="E53" i="8"/>
  <c r="G318" i="14" s="1"/>
  <c r="D53" i="8"/>
  <c r="B318" i="14" s="1"/>
  <c r="G52" i="8"/>
  <c r="E52" i="8"/>
  <c r="D52" i="8"/>
  <c r="H387" i="14"/>
  <c r="H386" i="14"/>
  <c r="H381" i="14"/>
  <c r="H380" i="14"/>
  <c r="H379" i="14"/>
  <c r="H378" i="14"/>
  <c r="H377" i="14"/>
  <c r="H317" i="14"/>
  <c r="H310" i="14"/>
  <c r="H315" i="14"/>
  <c r="H309" i="14"/>
  <c r="H308" i="14"/>
  <c r="H307" i="14"/>
  <c r="B50" i="14"/>
  <c r="R46" i="16"/>
  <c r="Q46" i="16"/>
  <c r="B46" i="16"/>
  <c r="H468" i="14" l="1"/>
  <c r="H413" i="14"/>
  <c r="H314" i="14"/>
  <c r="D327" i="14"/>
  <c r="D341" i="14" s="1"/>
  <c r="D359" i="14" s="1"/>
  <c r="D371" i="14" s="1"/>
  <c r="E384" i="14" s="1"/>
  <c r="H312" i="14"/>
  <c r="D325" i="14"/>
  <c r="D339" i="14" s="1"/>
  <c r="D357" i="14" s="1"/>
  <c r="D369" i="14" s="1"/>
  <c r="E382" i="14" s="1"/>
  <c r="H313" i="14"/>
  <c r="D326" i="14"/>
  <c r="D340" i="14" s="1"/>
  <c r="H46" i="9"/>
  <c r="H456" i="14"/>
  <c r="H460" i="14"/>
  <c r="H455" i="14"/>
  <c r="H462" i="14"/>
  <c r="H454" i="14"/>
  <c r="H476" i="14"/>
  <c r="H443" i="14"/>
  <c r="H423" i="14"/>
  <c r="H389" i="14"/>
  <c r="H47" i="9"/>
  <c r="G345" i="14"/>
  <c r="H1604" i="14"/>
  <c r="H1602" i="14" s="1"/>
  <c r="H1601" i="14"/>
  <c r="G1601" i="14"/>
  <c r="B1601" i="14"/>
  <c r="G348" i="8"/>
  <c r="E348" i="8"/>
  <c r="D348" i="8"/>
  <c r="G345" i="8"/>
  <c r="E345" i="8"/>
  <c r="D345" i="8"/>
  <c r="H305" i="14" l="1"/>
  <c r="D349" i="14"/>
  <c r="D358" i="14"/>
  <c r="D370" i="14" s="1"/>
  <c r="E383" i="14" s="1"/>
  <c r="G1598" i="14"/>
  <c r="B1598" i="14"/>
  <c r="H326" i="14"/>
  <c r="H325" i="14"/>
  <c r="H327" i="14"/>
  <c r="H38" i="9"/>
  <c r="H452" i="14"/>
  <c r="G176" i="8"/>
  <c r="E176" i="8"/>
  <c r="D176" i="8"/>
  <c r="G175" i="8"/>
  <c r="E175" i="8"/>
  <c r="D175" i="8"/>
  <c r="G174" i="8"/>
  <c r="E174" i="8"/>
  <c r="D174" i="8"/>
  <c r="D178" i="8"/>
  <c r="H787" i="14"/>
  <c r="H1589" i="14"/>
  <c r="H1586" i="14"/>
  <c r="H1592" i="14"/>
  <c r="H1590" i="14" s="1"/>
  <c r="G1590" i="14"/>
  <c r="B1590" i="14"/>
  <c r="G350" i="8"/>
  <c r="E350" i="8"/>
  <c r="G1602" i="14" s="1"/>
  <c r="D350" i="8"/>
  <c r="B1602" i="14" s="1"/>
  <c r="B1001" i="14"/>
  <c r="H998" i="14"/>
  <c r="H996" i="14" s="1"/>
  <c r="G156" i="8"/>
  <c r="E156" i="8"/>
  <c r="D156" i="8"/>
  <c r="H1007" i="14"/>
  <c r="G150" i="8"/>
  <c r="E150" i="8"/>
  <c r="G966" i="14" s="1"/>
  <c r="D150" i="8"/>
  <c r="B966" i="14" s="1"/>
  <c r="H977" i="14"/>
  <c r="H975" i="14"/>
  <c r="H974" i="14"/>
  <c r="H973" i="14"/>
  <c r="H972" i="14"/>
  <c r="H991" i="14" s="1"/>
  <c r="H971" i="14"/>
  <c r="H970" i="14"/>
  <c r="H969" i="14"/>
  <c r="H968" i="14"/>
  <c r="G149" i="8"/>
  <c r="E149" i="8"/>
  <c r="D149" i="8"/>
  <c r="E341" i="14" l="1"/>
  <c r="H341" i="14" s="1"/>
  <c r="H318" i="14"/>
  <c r="E339" i="14"/>
  <c r="H339" i="14" s="1"/>
  <c r="E340" i="14"/>
  <c r="H340" i="14" s="1"/>
  <c r="B1069" i="14"/>
  <c r="H1584" i="14"/>
  <c r="H966" i="14"/>
  <c r="B987" i="14" s="1"/>
  <c r="H987" i="14" s="1"/>
  <c r="H985" i="14" s="1"/>
  <c r="H332" i="14" l="1"/>
  <c r="H349" i="14"/>
  <c r="H347" i="14" s="1"/>
  <c r="H357" i="14"/>
  <c r="H359" i="14"/>
  <c r="H358" i="14"/>
  <c r="H948" i="14"/>
  <c r="H951" i="14"/>
  <c r="C806" i="14"/>
  <c r="B804" i="14"/>
  <c r="H804" i="14" s="1"/>
  <c r="H796" i="14"/>
  <c r="H795" i="14"/>
  <c r="D794" i="14"/>
  <c r="H794" i="14" s="1"/>
  <c r="H797" i="14"/>
  <c r="D793" i="14"/>
  <c r="H793" i="14" s="1"/>
  <c r="C791" i="14"/>
  <c r="H791" i="14" s="1"/>
  <c r="H792" i="14"/>
  <c r="H740" i="14"/>
  <c r="F8" i="26"/>
  <c r="F7" i="26"/>
  <c r="F6" i="26"/>
  <c r="F4" i="26"/>
  <c r="F3" i="26"/>
  <c r="B4" i="25"/>
  <c r="B6" i="25" s="1"/>
  <c r="B7" i="25"/>
  <c r="B8" i="25" s="1"/>
  <c r="H351" i="14" l="1"/>
  <c r="H384" i="14"/>
  <c r="H371" i="14"/>
  <c r="H383" i="14"/>
  <c r="H370" i="14"/>
  <c r="H382" i="14"/>
  <c r="H369" i="14"/>
  <c r="B5" i="25"/>
  <c r="H375" i="14" l="1"/>
  <c r="H363" i="14"/>
  <c r="H345" i="14" s="1"/>
  <c r="H682" i="14" l="1"/>
  <c r="H242" i="14"/>
  <c r="H240" i="14"/>
  <c r="H239" i="14"/>
  <c r="H238" i="14"/>
  <c r="H237" i="14"/>
  <c r="E682" i="14" l="1"/>
  <c r="E167" i="14"/>
  <c r="H1091" i="14"/>
  <c r="H1263" i="14"/>
  <c r="B1259" i="14"/>
  <c r="H1259" i="14" s="1"/>
  <c r="H1253" i="14"/>
  <c r="H1255" i="14"/>
  <c r="B1248" i="14"/>
  <c r="H1248" i="14" s="1"/>
  <c r="H1249" i="14"/>
  <c r="B1247" i="14"/>
  <c r="H1247" i="14" s="1"/>
  <c r="B1246" i="14"/>
  <c r="H1246" i="14" s="1"/>
  <c r="B1245" i="14"/>
  <c r="H1245" i="14" s="1"/>
  <c r="H1362" i="14"/>
  <c r="H1360" i="14" s="1"/>
  <c r="H1359" i="14"/>
  <c r="H1357" i="14" s="1"/>
  <c r="H1356" i="14"/>
  <c r="H1355" i="14"/>
  <c r="H1354" i="14"/>
  <c r="H1353" i="14"/>
  <c r="H1352" i="14"/>
  <c r="H1351" i="14"/>
  <c r="H1348" i="14"/>
  <c r="H1347" i="14"/>
  <c r="H1346" i="14"/>
  <c r="H1345" i="14"/>
  <c r="H1344" i="14"/>
  <c r="H1343" i="14"/>
  <c r="H1340" i="14"/>
  <c r="H1339" i="14"/>
  <c r="H1338" i="14"/>
  <c r="H1337" i="14"/>
  <c r="H1336" i="14"/>
  <c r="H1335" i="14"/>
  <c r="H1327" i="14"/>
  <c r="H1326" i="14"/>
  <c r="H1322" i="14"/>
  <c r="D260" i="8"/>
  <c r="B1357" i="14" s="1"/>
  <c r="H1318" i="14"/>
  <c r="H1315" i="14"/>
  <c r="H1314" i="14"/>
  <c r="H1313" i="14"/>
  <c r="H1312" i="14"/>
  <c r="H1311" i="14"/>
  <c r="H1310" i="14"/>
  <c r="H1302" i="14"/>
  <c r="H1301" i="14"/>
  <c r="H1298" i="14"/>
  <c r="H1297" i="14"/>
  <c r="H1296" i="14"/>
  <c r="H1295" i="14"/>
  <c r="H1294" i="14"/>
  <c r="H1293" i="14"/>
  <c r="B839" i="14"/>
  <c r="H839" i="14" s="1"/>
  <c r="H840" i="14"/>
  <c r="H837" i="14" s="1"/>
  <c r="G126" i="8"/>
  <c r="E126" i="8"/>
  <c r="D126" i="8"/>
  <c r="G245" i="8"/>
  <c r="E245" i="8"/>
  <c r="D245" i="8"/>
  <c r="H1283" i="14"/>
  <c r="H1282" i="14"/>
  <c r="H1281" i="14"/>
  <c r="H1280" i="14"/>
  <c r="H1279" i="14"/>
  <c r="H1278" i="14"/>
  <c r="H1275" i="14"/>
  <c r="D243" i="8"/>
  <c r="E243" i="8"/>
  <c r="G243" i="8"/>
  <c r="H1269" i="14"/>
  <c r="H1268" i="14"/>
  <c r="H1271" i="14"/>
  <c r="H1270" i="14"/>
  <c r="H1011" i="14"/>
  <c r="H1010" i="14"/>
  <c r="H178" i="14"/>
  <c r="H175" i="14"/>
  <c r="H174" i="14"/>
  <c r="H173" i="14"/>
  <c r="H157" i="14"/>
  <c r="E164" i="14"/>
  <c r="E184" i="14" s="1"/>
  <c r="B408" i="14" s="1"/>
  <c r="H408" i="14" s="1"/>
  <c r="H401" i="14" s="1"/>
  <c r="E161" i="14"/>
  <c r="E181" i="14" s="1"/>
  <c r="E160" i="14"/>
  <c r="E180" i="14" s="1"/>
  <c r="D146" i="14"/>
  <c r="D139" i="14"/>
  <c r="E139" i="14"/>
  <c r="D140" i="14"/>
  <c r="E140" i="14"/>
  <c r="D141" i="14"/>
  <c r="E141" i="14"/>
  <c r="D142" i="14"/>
  <c r="E142" i="14"/>
  <c r="D143" i="14"/>
  <c r="E143" i="14"/>
  <c r="E146" i="14"/>
  <c r="H105" i="14"/>
  <c r="H103" i="14" s="1"/>
  <c r="G33" i="8"/>
  <c r="E33" i="8"/>
  <c r="G103" i="14" s="1"/>
  <c r="D33" i="8"/>
  <c r="B103" i="14" s="1"/>
  <c r="H102" i="14"/>
  <c r="H91" i="14"/>
  <c r="H90" i="14"/>
  <c r="H87" i="14"/>
  <c r="H86" i="14"/>
  <c r="H75" i="14"/>
  <c r="H76" i="14"/>
  <c r="H74" i="14"/>
  <c r="H70" i="14"/>
  <c r="H69" i="14"/>
  <c r="H66" i="14"/>
  <c r="H63" i="14"/>
  <c r="B62" i="14"/>
  <c r="H62" i="14" s="1"/>
  <c r="C61" i="14"/>
  <c r="B61" i="14"/>
  <c r="B60" i="14"/>
  <c r="H60" i="14" s="1"/>
  <c r="G29" i="8"/>
  <c r="E29" i="8"/>
  <c r="G88" i="14" s="1"/>
  <c r="D29" i="8"/>
  <c r="B88" i="14" s="1"/>
  <c r="H57" i="14"/>
  <c r="H56" i="14"/>
  <c r="H54" i="14"/>
  <c r="B55" i="14"/>
  <c r="H55" i="14" s="1"/>
  <c r="G24" i="8"/>
  <c r="E24" i="8"/>
  <c r="G67" i="14" s="1"/>
  <c r="D24" i="8"/>
  <c r="B67" i="14" s="1"/>
  <c r="G23" i="8"/>
  <c r="E23" i="8"/>
  <c r="G64" i="14" s="1"/>
  <c r="D23" i="8"/>
  <c r="B64" i="14" s="1"/>
  <c r="G22" i="8"/>
  <c r="E22" i="8"/>
  <c r="G58" i="14" s="1"/>
  <c r="D22" i="8"/>
  <c r="B58" i="14" s="1"/>
  <c r="H41" i="14"/>
  <c r="H39" i="14" s="1"/>
  <c r="G16" i="8"/>
  <c r="E16" i="8"/>
  <c r="G39" i="14" s="1"/>
  <c r="D16" i="8"/>
  <c r="B39" i="14" s="1"/>
  <c r="H16" i="14"/>
  <c r="H19" i="14"/>
  <c r="H22" i="14"/>
  <c r="G318" i="8"/>
  <c r="E318" i="8"/>
  <c r="D318" i="8"/>
  <c r="B835" i="14"/>
  <c r="H835" i="14" s="1"/>
  <c r="B836" i="14"/>
  <c r="H836" i="14" s="1"/>
  <c r="H833" i="14" s="1"/>
  <c r="G123" i="8"/>
  <c r="E123" i="8"/>
  <c r="D123" i="8"/>
  <c r="H832" i="14"/>
  <c r="H830" i="14" s="1"/>
  <c r="H829" i="14"/>
  <c r="H827" i="14" s="1"/>
  <c r="H819" i="14"/>
  <c r="G124" i="8"/>
  <c r="E124" i="8"/>
  <c r="D124" i="8"/>
  <c r="G122" i="8"/>
  <c r="E122" i="8"/>
  <c r="G821" i="14" s="1"/>
  <c r="D122" i="8"/>
  <c r="B821" i="14" s="1"/>
  <c r="G121" i="8"/>
  <c r="E121" i="8"/>
  <c r="D121" i="8"/>
  <c r="E196" i="14" l="1"/>
  <c r="H181" i="14"/>
  <c r="E199" i="14"/>
  <c r="E219" i="14" s="1"/>
  <c r="C230" i="14" s="1"/>
  <c r="D230" i="14" s="1"/>
  <c r="H230" i="14" s="1"/>
  <c r="H184" i="14"/>
  <c r="H124" i="14"/>
  <c r="H154" i="14"/>
  <c r="H126" i="14"/>
  <c r="H156" i="14"/>
  <c r="H143" i="14"/>
  <c r="H128" i="14"/>
  <c r="H158" i="14"/>
  <c r="E195" i="14"/>
  <c r="H180" i="14"/>
  <c r="H134" i="14"/>
  <c r="H1260" i="14"/>
  <c r="H1257" i="14" s="1"/>
  <c r="H1251" i="14"/>
  <c r="H1349" i="14"/>
  <c r="H1324" i="14"/>
  <c r="H1341" i="14"/>
  <c r="H1333" i="14"/>
  <c r="H116" i="14"/>
  <c r="H111" i="14"/>
  <c r="H1276" i="14"/>
  <c r="H88" i="14"/>
  <c r="B98" i="14" s="1"/>
  <c r="H98" i="14" s="1"/>
  <c r="H1291" i="14"/>
  <c r="H161" i="14"/>
  <c r="H1308" i="14"/>
  <c r="H146" i="14"/>
  <c r="H140" i="14"/>
  <c r="H112" i="14"/>
  <c r="H109" i="14"/>
  <c r="H160" i="14"/>
  <c r="H164" i="14"/>
  <c r="H131" i="14"/>
  <c r="H139" i="14"/>
  <c r="H142" i="14"/>
  <c r="H67" i="14"/>
  <c r="H113" i="14"/>
  <c r="H110" i="14"/>
  <c r="H141" i="14"/>
  <c r="H130" i="14"/>
  <c r="H145" i="14"/>
  <c r="H72" i="14"/>
  <c r="H176" i="14"/>
  <c r="H84" i="14"/>
  <c r="B97" i="14" s="1"/>
  <c r="H97" i="14" s="1"/>
  <c r="H61" i="14"/>
  <c r="H58" i="14" s="1"/>
  <c r="D95" i="14" s="1"/>
  <c r="H95" i="14" s="1"/>
  <c r="H64" i="14"/>
  <c r="B96" i="14" s="1"/>
  <c r="H96" i="14" s="1"/>
  <c r="H52" i="14"/>
  <c r="B94" i="14" s="1"/>
  <c r="B827" i="14"/>
  <c r="G827" i="14"/>
  <c r="B824" i="14"/>
  <c r="G824" i="14"/>
  <c r="H195" i="14" l="1"/>
  <c r="E215" i="14"/>
  <c r="C226" i="14" s="1"/>
  <c r="H196" i="14"/>
  <c r="E216" i="14"/>
  <c r="C227" i="14" s="1"/>
  <c r="D227" i="14" s="1"/>
  <c r="H227" i="14" s="1"/>
  <c r="H199" i="14"/>
  <c r="E244" i="14"/>
  <c r="H244" i="14" s="1"/>
  <c r="H218" i="14"/>
  <c r="E248" i="14"/>
  <c r="H248" i="14" s="1"/>
  <c r="E245" i="14"/>
  <c r="H245" i="14" s="1"/>
  <c r="H170" i="14"/>
  <c r="C167" i="14" s="1"/>
  <c r="H106" i="14"/>
  <c r="B167" i="14" s="1"/>
  <c r="H136" i="14"/>
  <c r="H94" i="14"/>
  <c r="H92" i="14" s="1"/>
  <c r="H234" i="14" l="1"/>
  <c r="D167" i="14" s="1"/>
  <c r="H167" i="14" s="1"/>
  <c r="H219" i="14"/>
  <c r="H216" i="14"/>
  <c r="H215" i="14"/>
  <c r="H185" i="14"/>
  <c r="H811" i="14"/>
  <c r="H810" i="14"/>
  <c r="H806" i="14"/>
  <c r="B803" i="14"/>
  <c r="H803" i="14" s="1"/>
  <c r="H802" i="14"/>
  <c r="H201" i="14" l="1"/>
  <c r="D226" i="14"/>
  <c r="H226" i="14" s="1"/>
  <c r="H808" i="14"/>
  <c r="H799" i="14"/>
  <c r="G118" i="8"/>
  <c r="E118" i="8"/>
  <c r="G808" i="14" s="1"/>
  <c r="H223" i="14" l="1"/>
  <c r="D118" i="8"/>
  <c r="B808" i="14" s="1"/>
  <c r="D119" i="8"/>
  <c r="E119" i="8"/>
  <c r="G119" i="8"/>
  <c r="H815" i="14"/>
  <c r="H789" i="14" l="1"/>
  <c r="H781" i="14"/>
  <c r="D780" i="14"/>
  <c r="H780" i="14" s="1"/>
  <c r="C779" i="14"/>
  <c r="H779" i="14" s="1"/>
  <c r="H784" i="14"/>
  <c r="H785" i="14"/>
  <c r="H786" i="14"/>
  <c r="C778" i="14" l="1"/>
  <c r="H778" i="14" s="1"/>
  <c r="H1065" i="14"/>
  <c r="H775" i="14" l="1"/>
  <c r="H1064" i="14"/>
  <c r="H1067" i="14"/>
  <c r="H908" i="14"/>
  <c r="H909" i="14"/>
  <c r="H910" i="14"/>
  <c r="H911" i="14"/>
  <c r="H912" i="14"/>
  <c r="H913" i="14"/>
  <c r="H914" i="14"/>
  <c r="H915" i="14"/>
  <c r="H916" i="14"/>
  <c r="H917" i="14"/>
  <c r="H918" i="14"/>
  <c r="H907" i="14"/>
  <c r="H900" i="14"/>
  <c r="H899" i="14"/>
  <c r="H898" i="14"/>
  <c r="H897" i="14"/>
  <c r="H896" i="14"/>
  <c r="H895" i="14"/>
  <c r="H894" i="14"/>
  <c r="H893" i="14"/>
  <c r="H892" i="14"/>
  <c r="H891" i="14"/>
  <c r="H890" i="14"/>
  <c r="H889" i="14"/>
  <c r="H820" i="14"/>
  <c r="H817" i="14" s="1"/>
  <c r="H816" i="14"/>
  <c r="G816" i="14"/>
  <c r="B816" i="14"/>
  <c r="H774" i="14"/>
  <c r="G774" i="14"/>
  <c r="B774" i="14"/>
  <c r="G127" i="8"/>
  <c r="E127" i="8"/>
  <c r="D127" i="8"/>
  <c r="H746" i="14"/>
  <c r="H745" i="14"/>
  <c r="H596" i="14"/>
  <c r="H595" i="14"/>
  <c r="H597" i="14"/>
  <c r="H598" i="14"/>
  <c r="H599" i="14"/>
  <c r="H600" i="14"/>
  <c r="H601" i="14"/>
  <c r="H594" i="14"/>
  <c r="H961" i="14"/>
  <c r="H959" i="14" s="1"/>
  <c r="H1027" i="14"/>
  <c r="H1028" i="14"/>
  <c r="H1026" i="14"/>
  <c r="H1029" i="14"/>
  <c r="H1022" i="14"/>
  <c r="H1021" i="14"/>
  <c r="H1020" i="14"/>
  <c r="H1019" i="14"/>
  <c r="H1024" i="14"/>
  <c r="H1023" i="14"/>
  <c r="H1025" i="14"/>
  <c r="A750" i="14"/>
  <c r="B750" i="14"/>
  <c r="C750" i="14"/>
  <c r="D750" i="14"/>
  <c r="A751" i="14"/>
  <c r="B751" i="14"/>
  <c r="C751" i="14"/>
  <c r="D751" i="14"/>
  <c r="A752" i="14"/>
  <c r="B752" i="14"/>
  <c r="C752" i="14"/>
  <c r="D752" i="14"/>
  <c r="A753" i="14"/>
  <c r="B753" i="14"/>
  <c r="C753" i="14"/>
  <c r="D753" i="14"/>
  <c r="A754" i="14"/>
  <c r="B754" i="14"/>
  <c r="C754" i="14"/>
  <c r="D754" i="14"/>
  <c r="A755" i="14"/>
  <c r="B755" i="14"/>
  <c r="C755" i="14"/>
  <c r="D755" i="14"/>
  <c r="A756" i="14"/>
  <c r="B756" i="14"/>
  <c r="C756" i="14"/>
  <c r="D756" i="14"/>
  <c r="B749" i="14"/>
  <c r="C749" i="14"/>
  <c r="D749" i="14"/>
  <c r="A749" i="14"/>
  <c r="H761" i="14"/>
  <c r="H762" i="14"/>
  <c r="H763" i="14"/>
  <c r="H764" i="14"/>
  <c r="H765" i="14"/>
  <c r="H760" i="14"/>
  <c r="H736" i="14"/>
  <c r="H738" i="14"/>
  <c r="H616" i="14" s="1"/>
  <c r="H614" i="14" s="1"/>
  <c r="H741" i="14"/>
  <c r="H735" i="14"/>
  <c r="H1062" i="14" l="1"/>
  <c r="B833" i="14"/>
  <c r="B837" i="14"/>
  <c r="G833" i="14"/>
  <c r="G837" i="14"/>
  <c r="B826" i="14"/>
  <c r="H826" i="14" s="1"/>
  <c r="H824" i="14" s="1"/>
  <c r="B823" i="14"/>
  <c r="H823" i="14" s="1"/>
  <c r="H821" i="14" s="1"/>
  <c r="H743" i="14"/>
  <c r="H887" i="14"/>
  <c r="B903" i="14" s="1"/>
  <c r="H592" i="14"/>
  <c r="H756" i="14"/>
  <c r="H753" i="14"/>
  <c r="H750" i="14"/>
  <c r="H754" i="14"/>
  <c r="H751" i="14"/>
  <c r="H749" i="14"/>
  <c r="H758" i="14"/>
  <c r="H755" i="14"/>
  <c r="H752" i="14"/>
  <c r="H732" i="14"/>
  <c r="H50" i="14"/>
  <c r="H47" i="14"/>
  <c r="H25" i="14"/>
  <c r="H26" i="14"/>
  <c r="H28" i="14"/>
  <c r="G12" i="8"/>
  <c r="E12" i="8"/>
  <c r="G23" i="14" s="1"/>
  <c r="D12" i="8"/>
  <c r="B23" i="14" s="1"/>
  <c r="H723" i="14"/>
  <c r="D724" i="14"/>
  <c r="H724" i="14" s="1"/>
  <c r="H676" i="14"/>
  <c r="H681" i="14"/>
  <c r="H680" i="14"/>
  <c r="H679" i="14"/>
  <c r="E679" i="14" l="1"/>
  <c r="E676" i="14"/>
  <c r="H23" i="14"/>
  <c r="H747" i="14"/>
  <c r="H721" i="14"/>
  <c r="E681" i="14"/>
  <c r="E680" i="14"/>
  <c r="H675" i="14" l="1"/>
  <c r="E939" i="14" s="1"/>
  <c r="H674" i="14"/>
  <c r="E938" i="14" s="1"/>
  <c r="H672" i="14"/>
  <c r="E936" i="14" s="1"/>
  <c r="H671" i="14"/>
  <c r="H678" i="14"/>
  <c r="E941" i="14" s="1"/>
  <c r="H677" i="14"/>
  <c r="H683" i="14"/>
  <c r="E935" i="14" l="1"/>
  <c r="H935" i="14" s="1"/>
  <c r="H933" i="14" s="1"/>
  <c r="B929" i="14" s="1"/>
  <c r="E950" i="14"/>
  <c r="H950" i="14" s="1"/>
  <c r="H945" i="14" s="1"/>
  <c r="B1047" i="14" s="1"/>
  <c r="H1047" i="14" s="1"/>
  <c r="E671" i="14"/>
  <c r="E683" i="14"/>
  <c r="H669" i="14"/>
  <c r="E678" i="14"/>
  <c r="E677" i="14"/>
  <c r="E675" i="14"/>
  <c r="E674" i="14"/>
  <c r="E672" i="14"/>
  <c r="D343" i="8"/>
  <c r="B1580" i="14" s="1"/>
  <c r="B956" i="14" l="1"/>
  <c r="H715" i="14"/>
  <c r="H696" i="14" s="1"/>
  <c r="H926" i="14"/>
  <c r="H905" i="14" s="1"/>
  <c r="F683" i="14"/>
  <c r="H965" i="14"/>
  <c r="H695" i="14"/>
  <c r="G695" i="14"/>
  <c r="B695" i="14"/>
  <c r="H1179" i="14"/>
  <c r="H1177" i="14" s="1"/>
  <c r="H1176" i="14"/>
  <c r="G1176" i="14"/>
  <c r="B1176" i="14"/>
  <c r="H1169" i="14"/>
  <c r="H1166" i="14"/>
  <c r="H1165" i="14"/>
  <c r="H1163" i="14" s="1"/>
  <c r="H1162" i="14"/>
  <c r="H1160" i="14" s="1"/>
  <c r="H1159" i="14"/>
  <c r="H1157" i="14" s="1"/>
  <c r="H1156" i="14"/>
  <c r="G1156" i="14"/>
  <c r="B1156" i="14"/>
  <c r="H1155" i="14"/>
  <c r="G1155" i="14"/>
  <c r="B1155" i="14"/>
  <c r="H717" i="14" l="1"/>
  <c r="H1307" i="14"/>
  <c r="G1307" i="14"/>
  <c r="B1307" i="14"/>
  <c r="H1290" i="14"/>
  <c r="G1290" i="14"/>
  <c r="B1290" i="14"/>
  <c r="H1265" i="14"/>
  <c r="G1265" i="14"/>
  <c r="B1265" i="14"/>
  <c r="H1242" i="14"/>
  <c r="G1242" i="14"/>
  <c r="B1242" i="14"/>
  <c r="H1057" i="14"/>
  <c r="H1058" i="14"/>
  <c r="H1061" i="14"/>
  <c r="H1059" i="14" s="1"/>
  <c r="H1054" i="14"/>
  <c r="G1054" i="14"/>
  <c r="B1054" i="14"/>
  <c r="H1044" i="14"/>
  <c r="G1044" i="14"/>
  <c r="B1044" i="14"/>
  <c r="H1037" i="14"/>
  <c r="G1037" i="14"/>
  <c r="B1037" i="14"/>
  <c r="H1016" i="14"/>
  <c r="G1016" i="14"/>
  <c r="B1016" i="14"/>
  <c r="G178" i="8"/>
  <c r="E178" i="8"/>
  <c r="G1069" i="14" s="1"/>
  <c r="B1055" i="14"/>
  <c r="H165" i="14"/>
  <c r="H100" i="14"/>
  <c r="H99" i="14"/>
  <c r="G99" i="14"/>
  <c r="B99" i="14"/>
  <c r="H12" i="14"/>
  <c r="H11" i="14"/>
  <c r="B169" i="14"/>
  <c r="B304" i="14"/>
  <c r="B591" i="14"/>
  <c r="H10" i="14"/>
  <c r="G1055" i="14" l="1"/>
  <c r="B1059" i="14"/>
  <c r="B1062" i="14"/>
  <c r="G1059" i="14"/>
  <c r="G1062" i="14"/>
  <c r="H1055" i="14"/>
  <c r="G338" i="8"/>
  <c r="E338" i="8"/>
  <c r="D338" i="8"/>
  <c r="G340" i="8"/>
  <c r="E340" i="8"/>
  <c r="D340" i="8"/>
  <c r="G339" i="8"/>
  <c r="E339" i="8"/>
  <c r="D339" i="8"/>
  <c r="G30" i="8"/>
  <c r="E30" i="8"/>
  <c r="G92" i="14" s="1"/>
  <c r="D30" i="8"/>
  <c r="B92" i="14" s="1"/>
  <c r="G28" i="8"/>
  <c r="E28" i="8"/>
  <c r="G84" i="14" s="1"/>
  <c r="D28" i="8"/>
  <c r="B84" i="14" s="1"/>
  <c r="G25" i="8"/>
  <c r="E25" i="8"/>
  <c r="G72" i="14" s="1"/>
  <c r="D25" i="8"/>
  <c r="B72" i="14" s="1"/>
  <c r="G21" i="8"/>
  <c r="E21" i="8"/>
  <c r="D21" i="8"/>
  <c r="G104" i="9" l="1"/>
  <c r="H104" i="9" s="1"/>
  <c r="E104" i="9"/>
  <c r="D104" i="9"/>
  <c r="G103" i="9"/>
  <c r="H103" i="9" s="1"/>
  <c r="E103" i="9"/>
  <c r="D103" i="9"/>
  <c r="G102" i="9"/>
  <c r="H102" i="9" s="1"/>
  <c r="E102" i="9"/>
  <c r="D102" i="9"/>
  <c r="H100" i="9" l="1"/>
  <c r="H813" i="14"/>
  <c r="E117" i="8"/>
  <c r="G799" i="14" s="1"/>
  <c r="D117" i="8"/>
  <c r="B799" i="14" s="1"/>
  <c r="G117" i="8" l="1"/>
  <c r="G15" i="9"/>
  <c r="H15" i="9" s="1"/>
  <c r="E15" i="9"/>
  <c r="D15" i="9"/>
  <c r="G14" i="9"/>
  <c r="H14" i="9" s="1"/>
  <c r="E14" i="9"/>
  <c r="D14" i="9"/>
  <c r="G13" i="9"/>
  <c r="H13" i="9" s="1"/>
  <c r="E13" i="9"/>
  <c r="D13" i="9"/>
  <c r="G12" i="9"/>
  <c r="H12" i="9" s="1"/>
  <c r="E12" i="9"/>
  <c r="D12" i="9"/>
  <c r="G11" i="9"/>
  <c r="H11" i="9" s="1"/>
  <c r="E11" i="9"/>
  <c r="D11" i="9"/>
  <c r="G9" i="9"/>
  <c r="H9" i="9" s="1"/>
  <c r="E9" i="9"/>
  <c r="D9" i="9"/>
  <c r="G8" i="9"/>
  <c r="H8" i="9" s="1"/>
  <c r="E8" i="9"/>
  <c r="D8" i="9"/>
  <c r="G7" i="9"/>
  <c r="H7" i="9" s="1"/>
  <c r="E7" i="9"/>
  <c r="D7" i="9"/>
  <c r="H5" i="9" l="1"/>
  <c r="G95" i="8" l="1"/>
  <c r="G76" i="8"/>
  <c r="G341" i="8"/>
  <c r="E341" i="8"/>
  <c r="D341" i="8"/>
  <c r="G172" i="8"/>
  <c r="E172" i="8"/>
  <c r="D172" i="8"/>
  <c r="G171" i="8"/>
  <c r="E171" i="8"/>
  <c r="G1048" i="14" s="1"/>
  <c r="D171" i="8"/>
  <c r="B1048" i="14" s="1"/>
  <c r="G170" i="8"/>
  <c r="E170" i="8"/>
  <c r="D170" i="8"/>
  <c r="H1008" i="14" l="1"/>
  <c r="G337" i="8" l="1"/>
  <c r="E337" i="8"/>
  <c r="D337" i="8"/>
  <c r="G94" i="8" l="1"/>
  <c r="E94" i="8"/>
  <c r="D94" i="8"/>
  <c r="H1043" i="14" l="1"/>
  <c r="H1030" i="14"/>
  <c r="H1017" i="14" s="1"/>
  <c r="D200" i="8"/>
  <c r="B1146" i="14" l="1"/>
  <c r="B1036" i="14"/>
  <c r="B1033" i="14"/>
  <c r="H1033" i="14" s="1"/>
  <c r="G113" i="8" l="1"/>
  <c r="E113" i="8"/>
  <c r="D113" i="8"/>
  <c r="G257" i="8" l="1"/>
  <c r="E257" i="8"/>
  <c r="G1333" i="14" s="1"/>
  <c r="D257" i="8"/>
  <c r="B1333" i="14" s="1"/>
  <c r="G239" i="8"/>
  <c r="E239" i="8"/>
  <c r="D239" i="8"/>
  <c r="G242" i="8"/>
  <c r="E242" i="8"/>
  <c r="D242" i="8"/>
  <c r="G142" i="8" l="1"/>
  <c r="E142" i="8"/>
  <c r="G933" i="14" s="1"/>
  <c r="D142" i="8"/>
  <c r="B933" i="14" s="1"/>
  <c r="G141" i="8"/>
  <c r="E141" i="8"/>
  <c r="G930" i="14" s="1"/>
  <c r="D141" i="8"/>
  <c r="B930" i="14" s="1"/>
  <c r="H1001" i="14"/>
  <c r="H999" i="14" s="1"/>
  <c r="H995" i="14"/>
  <c r="G995" i="14"/>
  <c r="B995" i="14"/>
  <c r="G167" i="8"/>
  <c r="E167" i="8"/>
  <c r="D167" i="8"/>
  <c r="G164" i="8"/>
  <c r="E164" i="8"/>
  <c r="D164" i="8"/>
  <c r="H720" i="14" l="1"/>
  <c r="G720" i="14"/>
  <c r="B720" i="14"/>
  <c r="G250" i="8" l="1"/>
  <c r="E250" i="8"/>
  <c r="D250" i="8"/>
  <c r="G238" i="8"/>
  <c r="E238" i="8"/>
  <c r="G1251" i="14" s="1"/>
  <c r="D238" i="8"/>
  <c r="B1251" i="14" s="1"/>
  <c r="H1323" i="14"/>
  <c r="H1320" i="14" s="1"/>
  <c r="D255" i="8"/>
  <c r="B1324" i="14" s="1"/>
  <c r="E255" i="8"/>
  <c r="G1324" i="14" s="1"/>
  <c r="G255" i="8"/>
  <c r="G252" i="8"/>
  <c r="E252" i="8"/>
  <c r="G1308" i="14" s="1"/>
  <c r="D252" i="8"/>
  <c r="B1308" i="14" s="1"/>
  <c r="G248" i="8"/>
  <c r="E248" i="8"/>
  <c r="D248" i="8"/>
  <c r="H685" i="14" l="1"/>
  <c r="H684" i="14"/>
  <c r="G684" i="14"/>
  <c r="B684" i="14"/>
  <c r="H956" i="14"/>
  <c r="H954" i="14" s="1"/>
  <c r="H944" i="14"/>
  <c r="G944" i="14"/>
  <c r="B944" i="14"/>
  <c r="G145" i="8"/>
  <c r="E145" i="8"/>
  <c r="G954" i="14" s="1"/>
  <c r="D145" i="8"/>
  <c r="B954" i="14" s="1"/>
  <c r="G144" i="8"/>
  <c r="E144" i="8"/>
  <c r="G945" i="14" s="1"/>
  <c r="D144" i="8"/>
  <c r="B945" i="14" s="1"/>
  <c r="H13" i="14" l="1"/>
  <c r="H8" i="14" s="1"/>
  <c r="H7" i="14" l="1"/>
  <c r="G240" i="8" l="1"/>
  <c r="E240" i="8"/>
  <c r="D240" i="8"/>
  <c r="G328" i="8"/>
  <c r="E328" i="8"/>
  <c r="D328" i="8"/>
  <c r="G332" i="8"/>
  <c r="E332" i="8"/>
  <c r="D332" i="8"/>
  <c r="G331" i="8"/>
  <c r="E331" i="8"/>
  <c r="D331" i="8"/>
  <c r="G329" i="8"/>
  <c r="E329" i="8"/>
  <c r="D329" i="8"/>
  <c r="G335" i="8"/>
  <c r="E335" i="8"/>
  <c r="D335" i="8"/>
  <c r="G334" i="8"/>
  <c r="E334" i="8"/>
  <c r="D334" i="8"/>
  <c r="H1567" i="14"/>
  <c r="H1565" i="14" s="1"/>
  <c r="H1570" i="14"/>
  <c r="H1568" i="14" s="1"/>
  <c r="H1564" i="14"/>
  <c r="H1562" i="14" s="1"/>
  <c r="H1576" i="14"/>
  <c r="H1574" i="14" s="1"/>
  <c r="H1573" i="14"/>
  <c r="H1571" i="14" s="1"/>
  <c r="H1579" i="14"/>
  <c r="H1577" i="14" s="1"/>
  <c r="G1562" i="14"/>
  <c r="B1562" i="14"/>
  <c r="G1574" i="14"/>
  <c r="B1574" i="14"/>
  <c r="G1571" i="14"/>
  <c r="B1571" i="14"/>
  <c r="G1568" i="14"/>
  <c r="B1568" i="14"/>
  <c r="G1565" i="14"/>
  <c r="B1565" i="14"/>
  <c r="H1532" i="14"/>
  <c r="H1530" i="14" s="1"/>
  <c r="H1529" i="14"/>
  <c r="H1527" i="14" s="1"/>
  <c r="H1526" i="14"/>
  <c r="H1524" i="14" s="1"/>
  <c r="H1535" i="14"/>
  <c r="H1533" i="14" s="1"/>
  <c r="H1514" i="14"/>
  <c r="G1514" i="14"/>
  <c r="B1514" i="14"/>
  <c r="G326" i="8"/>
  <c r="E326" i="8"/>
  <c r="D326" i="8"/>
  <c r="G325" i="8"/>
  <c r="E325" i="8"/>
  <c r="D325" i="8"/>
  <c r="G324" i="8"/>
  <c r="E324" i="8"/>
  <c r="D324" i="8"/>
  <c r="G323" i="8"/>
  <c r="E323" i="8"/>
  <c r="D323" i="8"/>
  <c r="G322" i="8"/>
  <c r="E322" i="8"/>
  <c r="D322" i="8"/>
  <c r="G321" i="8"/>
  <c r="E321" i="8"/>
  <c r="D321" i="8"/>
  <c r="G320" i="8"/>
  <c r="E320" i="8"/>
  <c r="D320" i="8"/>
  <c r="G317" i="8"/>
  <c r="E317" i="8"/>
  <c r="D317" i="8"/>
  <c r="B1508" i="14" s="1"/>
  <c r="G1511" i="14"/>
  <c r="B1511" i="14"/>
  <c r="G316" i="8"/>
  <c r="E316" i="8"/>
  <c r="G1505" i="14" s="1"/>
  <c r="D316" i="8"/>
  <c r="B1505" i="14" s="1"/>
  <c r="G315" i="8"/>
  <c r="E315" i="8"/>
  <c r="G1502" i="14" s="1"/>
  <c r="D315" i="8"/>
  <c r="B1502" i="14" s="1"/>
  <c r="G314" i="8"/>
  <c r="E314" i="8"/>
  <c r="G1499" i="14" s="1"/>
  <c r="D314" i="8"/>
  <c r="B1499" i="14" s="1"/>
  <c r="G313" i="8"/>
  <c r="E313" i="8"/>
  <c r="G1496" i="14" s="1"/>
  <c r="D313" i="8"/>
  <c r="B1496" i="14" s="1"/>
  <c r="G312" i="8"/>
  <c r="E312" i="8"/>
  <c r="G1493" i="14" s="1"/>
  <c r="D312" i="8"/>
  <c r="B1493" i="14" s="1"/>
  <c r="G311" i="8"/>
  <c r="E311" i="8"/>
  <c r="G1490" i="14" s="1"/>
  <c r="D311" i="8"/>
  <c r="B1490" i="14" s="1"/>
  <c r="G310" i="8"/>
  <c r="E310" i="8"/>
  <c r="G1487" i="14" s="1"/>
  <c r="D310" i="8"/>
  <c r="B1487" i="14" s="1"/>
  <c r="H1486" i="14"/>
  <c r="G1486" i="14"/>
  <c r="B1486" i="14"/>
  <c r="H1482" i="14"/>
  <c r="H1480" i="14" s="1"/>
  <c r="H1479" i="14"/>
  <c r="H1476" i="14" s="1"/>
  <c r="H1475" i="14"/>
  <c r="H1473" i="14" s="1"/>
  <c r="H1472" i="14"/>
  <c r="H1470" i="14" s="1"/>
  <c r="H1469" i="14"/>
  <c r="H1467" i="14" s="1"/>
  <c r="H1466" i="14"/>
  <c r="H1464" i="14" s="1"/>
  <c r="H1463" i="14"/>
  <c r="H1461" i="14" s="1"/>
  <c r="H1460" i="14"/>
  <c r="H1458" i="14" s="1"/>
  <c r="H1489" i="14"/>
  <c r="H1487" i="14" s="1"/>
  <c r="H1492" i="14"/>
  <c r="H1490" i="14" s="1"/>
  <c r="H1495" i="14"/>
  <c r="H1493" i="14" s="1"/>
  <c r="H1498" i="14"/>
  <c r="H1496" i="14" s="1"/>
  <c r="H1504" i="14"/>
  <c r="H1502" i="14" s="1"/>
  <c r="H1501" i="14"/>
  <c r="H1499" i="14" s="1"/>
  <c r="H1513" i="14"/>
  <c r="H1511" i="14" s="1"/>
  <c r="H1510" i="14"/>
  <c r="H1508" i="14" s="1"/>
  <c r="H1507" i="14"/>
  <c r="H1505" i="14" s="1"/>
  <c r="H1517" i="14"/>
  <c r="H1515" i="14" s="1"/>
  <c r="H1520" i="14"/>
  <c r="H1518" i="14" s="1"/>
  <c r="H1523" i="14"/>
  <c r="H1521" i="14" s="1"/>
  <c r="H1457" i="14"/>
  <c r="G1457" i="14"/>
  <c r="B1457" i="14"/>
  <c r="G308" i="8"/>
  <c r="E308" i="8"/>
  <c r="D308" i="8"/>
  <c r="G306" i="8"/>
  <c r="E306" i="8"/>
  <c r="G1476" i="14" s="1"/>
  <c r="D306" i="8"/>
  <c r="B1476" i="14" s="1"/>
  <c r="G305" i="8"/>
  <c r="E305" i="8"/>
  <c r="G1473" i="14" s="1"/>
  <c r="D305" i="8"/>
  <c r="B1473" i="14" s="1"/>
  <c r="G304" i="8"/>
  <c r="E304" i="8"/>
  <c r="G1470" i="14" s="1"/>
  <c r="D304" i="8"/>
  <c r="B1470" i="14" s="1"/>
  <c r="G303" i="8"/>
  <c r="E303" i="8"/>
  <c r="G1467" i="14" s="1"/>
  <c r="D303" i="8"/>
  <c r="B1467" i="14" s="1"/>
  <c r="G302" i="8"/>
  <c r="E302" i="8"/>
  <c r="G1464" i="14" s="1"/>
  <c r="D302" i="8"/>
  <c r="B1464" i="14" s="1"/>
  <c r="G301" i="8"/>
  <c r="E301" i="8"/>
  <c r="G1461" i="14" s="1"/>
  <c r="D301" i="8"/>
  <c r="B1461" i="14" s="1"/>
  <c r="G300" i="8"/>
  <c r="E300" i="8"/>
  <c r="G1458" i="14" s="1"/>
  <c r="D300" i="8"/>
  <c r="B1458" i="14" s="1"/>
  <c r="B1480" i="14" l="1"/>
  <c r="B1483" i="14"/>
  <c r="G1480" i="14"/>
  <c r="G1483" i="14"/>
  <c r="G1508" i="14"/>
  <c r="G1518" i="14"/>
  <c r="G1524" i="14"/>
  <c r="G1530" i="14"/>
  <c r="B1515" i="14"/>
  <c r="B1521" i="14"/>
  <c r="B1527" i="14"/>
  <c r="B1533" i="14"/>
  <c r="G1515" i="14"/>
  <c r="G1521" i="14"/>
  <c r="G1527" i="14"/>
  <c r="G1533" i="14"/>
  <c r="B1518" i="14"/>
  <c r="B1524" i="14"/>
  <c r="B1530" i="14"/>
  <c r="G343" i="8"/>
  <c r="E343" i="8"/>
  <c r="H1561" i="14"/>
  <c r="G1561" i="14"/>
  <c r="B1561" i="14"/>
  <c r="H1545" i="14"/>
  <c r="H1543" i="14" s="1"/>
  <c r="H1542" i="14"/>
  <c r="H1540" i="14" s="1"/>
  <c r="H1539" i="14"/>
  <c r="H1537" i="14" s="1"/>
  <c r="H1557" i="14"/>
  <c r="H1555" i="14" s="1"/>
  <c r="H1551" i="14"/>
  <c r="H1549" i="14" s="1"/>
  <c r="H1546" i="14"/>
  <c r="H1560" i="14"/>
  <c r="H1558" i="14" s="1"/>
  <c r="H1536" i="14"/>
  <c r="G1536" i="14"/>
  <c r="B1536" i="14"/>
  <c r="G1537" i="14"/>
  <c r="B1537" i="14"/>
  <c r="G1549" i="14"/>
  <c r="B1549" i="14"/>
  <c r="G1546" i="14"/>
  <c r="B1546" i="14"/>
  <c r="G1543" i="14"/>
  <c r="B1543" i="14"/>
  <c r="G1540" i="14"/>
  <c r="B1540" i="14"/>
  <c r="G1558" i="14"/>
  <c r="B1558" i="14"/>
  <c r="G1555" i="14"/>
  <c r="B1555" i="14"/>
  <c r="H1447" i="14"/>
  <c r="H1445" i="14" s="1"/>
  <c r="H1444" i="14"/>
  <c r="H1442" i="14" s="1"/>
  <c r="H1441" i="14"/>
  <c r="H1439" i="14" s="1"/>
  <c r="H1438" i="14"/>
  <c r="H1436" i="14" s="1"/>
  <c r="H1435" i="14"/>
  <c r="H1433" i="14" s="1"/>
  <c r="H1456" i="14"/>
  <c r="H1454" i="14" s="1"/>
  <c r="H1453" i="14"/>
  <c r="H1451" i="14" s="1"/>
  <c r="H1450" i="14"/>
  <c r="H1448" i="14" s="1"/>
  <c r="H1432" i="14"/>
  <c r="G1432" i="14"/>
  <c r="B1432" i="14"/>
  <c r="G297" i="8"/>
  <c r="E297" i="8"/>
  <c r="D297" i="8"/>
  <c r="G296" i="8"/>
  <c r="E296" i="8"/>
  <c r="D296" i="8"/>
  <c r="G295" i="8"/>
  <c r="E295" i="8"/>
  <c r="D295" i="8"/>
  <c r="G294" i="8"/>
  <c r="E294" i="8"/>
  <c r="G1442" i="14" s="1"/>
  <c r="D294" i="8"/>
  <c r="B1442" i="14" s="1"/>
  <c r="G293" i="8"/>
  <c r="E293" i="8"/>
  <c r="G1439" i="14" s="1"/>
  <c r="D293" i="8"/>
  <c r="B1439" i="14" s="1"/>
  <c r="G292" i="8"/>
  <c r="E292" i="8"/>
  <c r="G1436" i="14" s="1"/>
  <c r="D292" i="8"/>
  <c r="B1436" i="14" s="1"/>
  <c r="G291" i="8"/>
  <c r="E291" i="8"/>
  <c r="G1433" i="14" s="1"/>
  <c r="D291" i="8"/>
  <c r="B1433" i="14" s="1"/>
  <c r="G298" i="8"/>
  <c r="E298" i="8"/>
  <c r="D298" i="8"/>
  <c r="H1416" i="14"/>
  <c r="H1414" i="14" s="1"/>
  <c r="H1422" i="14"/>
  <c r="H1420" i="14" s="1"/>
  <c r="H1419" i="14"/>
  <c r="H1417" i="14" s="1"/>
  <c r="H1425" i="14"/>
  <c r="H1423" i="14" s="1"/>
  <c r="H1413" i="14"/>
  <c r="G1413" i="14"/>
  <c r="B1413" i="14"/>
  <c r="H1428" i="14"/>
  <c r="H1426" i="14" s="1"/>
  <c r="H1412" i="14"/>
  <c r="G1412" i="14"/>
  <c r="B1412" i="14"/>
  <c r="H1411" i="14"/>
  <c r="H1408" i="14"/>
  <c r="H1405" i="14"/>
  <c r="H1395" i="14"/>
  <c r="H1392" i="14"/>
  <c r="H1388" i="14"/>
  <c r="H1385" i="14"/>
  <c r="H1381" i="14"/>
  <c r="H1378" i="14"/>
  <c r="H1375" i="14"/>
  <c r="H1372" i="14"/>
  <c r="H1368" i="14"/>
  <c r="G284" i="8"/>
  <c r="E284" i="8"/>
  <c r="G1414" i="14" s="1"/>
  <c r="D284" i="8"/>
  <c r="B1414" i="14" s="1"/>
  <c r="G286" i="8"/>
  <c r="E286" i="8"/>
  <c r="G1420" i="14" s="1"/>
  <c r="D286" i="8"/>
  <c r="B1420" i="14" s="1"/>
  <c r="G285" i="8"/>
  <c r="E285" i="8"/>
  <c r="G1417" i="14" s="1"/>
  <c r="D285" i="8"/>
  <c r="B1417" i="14" s="1"/>
  <c r="G1577" i="14" l="1"/>
  <c r="G1580" i="14"/>
  <c r="G1448" i="14"/>
  <c r="B1448" i="14"/>
  <c r="B1454" i="14"/>
  <c r="G1454" i="14"/>
  <c r="G1445" i="14"/>
  <c r="B1451" i="14"/>
  <c r="B1445" i="14"/>
  <c r="G1451" i="14"/>
  <c r="H1409" i="14"/>
  <c r="H1406" i="14"/>
  <c r="H1400" i="14"/>
  <c r="H1393" i="14"/>
  <c r="H1390" i="14"/>
  <c r="H1389" i="14"/>
  <c r="G1389" i="14"/>
  <c r="B1389" i="14"/>
  <c r="H1403" i="14"/>
  <c r="H1397" i="14"/>
  <c r="H1396" i="14"/>
  <c r="G1396" i="14"/>
  <c r="B1396" i="14"/>
  <c r="H1386" i="14"/>
  <c r="H1383" i="14"/>
  <c r="H1382" i="14"/>
  <c r="G1382" i="14"/>
  <c r="B1382" i="14"/>
  <c r="H1373" i="14"/>
  <c r="H1370" i="14"/>
  <c r="H1379" i="14"/>
  <c r="H1376" i="14"/>
  <c r="H1369" i="14"/>
  <c r="G1369" i="14"/>
  <c r="B1369" i="14"/>
  <c r="H1366" i="14"/>
  <c r="H1364" i="14"/>
  <c r="G1364" i="14"/>
  <c r="B1364" i="14"/>
  <c r="H1365" i="14"/>
  <c r="G1365" i="14"/>
  <c r="B1365" i="14"/>
  <c r="G281" i="8"/>
  <c r="E281" i="8"/>
  <c r="G1403" i="14" s="1"/>
  <c r="D281" i="8"/>
  <c r="B1403" i="14" s="1"/>
  <c r="G280" i="8"/>
  <c r="E280" i="8"/>
  <c r="G1400" i="14" s="1"/>
  <c r="D280" i="8"/>
  <c r="B1400" i="14" s="1"/>
  <c r="G277" i="8"/>
  <c r="E277" i="8"/>
  <c r="G1397" i="14" s="1"/>
  <c r="D277" i="8"/>
  <c r="B1397" i="14" s="1"/>
  <c r="G275" i="8"/>
  <c r="E275" i="8"/>
  <c r="G1393" i="14" s="1"/>
  <c r="D275" i="8"/>
  <c r="B1393" i="14" s="1"/>
  <c r="G1390" i="14"/>
  <c r="B1390" i="14"/>
  <c r="G272" i="8"/>
  <c r="E272" i="8"/>
  <c r="G1386" i="14" s="1"/>
  <c r="D272" i="8"/>
  <c r="B1386" i="14" s="1"/>
  <c r="G271" i="8"/>
  <c r="E271" i="8"/>
  <c r="G1383" i="14" s="1"/>
  <c r="D271" i="8"/>
  <c r="B1383" i="14" s="1"/>
  <c r="G267" i="8"/>
  <c r="E267" i="8"/>
  <c r="G1373" i="14" s="1"/>
  <c r="D267" i="8"/>
  <c r="B1373" i="14" s="1"/>
  <c r="G266" i="8"/>
  <c r="E266" i="8"/>
  <c r="G1370" i="14" s="1"/>
  <c r="D266" i="8"/>
  <c r="B1370" i="14" s="1"/>
  <c r="G269" i="8"/>
  <c r="E269" i="8"/>
  <c r="G1379" i="14" s="1"/>
  <c r="D269" i="8"/>
  <c r="B1379" i="14" s="1"/>
  <c r="G268" i="8"/>
  <c r="E268" i="8"/>
  <c r="G1376" i="14" s="1"/>
  <c r="D268" i="8"/>
  <c r="B1376" i="14" s="1"/>
  <c r="H1331" i="14"/>
  <c r="H1328" i="14" s="1"/>
  <c r="H1319" i="14"/>
  <c r="H1316" i="14" s="1"/>
  <c r="H1303" i="14"/>
  <c r="H1299" i="14" s="1"/>
  <c r="H1306" i="14"/>
  <c r="H1304" i="14" s="1"/>
  <c r="H1289" i="14"/>
  <c r="H1287" i="14" s="1"/>
  <c r="H1286" i="14"/>
  <c r="H1284" i="14" s="1"/>
  <c r="H1273" i="14"/>
  <c r="H1272" i="14"/>
  <c r="H1266" i="14" s="1"/>
  <c r="H1261" i="14"/>
  <c r="H1250" i="14"/>
  <c r="H1243" i="14" s="1"/>
  <c r="H1241" i="14"/>
  <c r="G1241" i="14"/>
  <c r="B1241" i="14"/>
  <c r="G254" i="8"/>
  <c r="E254" i="8"/>
  <c r="D254" i="8"/>
  <c r="G1261" i="14"/>
  <c r="B1261" i="14"/>
  <c r="G1257" i="14"/>
  <c r="B1257" i="14"/>
  <c r="E253" i="8"/>
  <c r="D253" i="8"/>
  <c r="G249" i="8"/>
  <c r="E249" i="8"/>
  <c r="D249" i="8"/>
  <c r="G246" i="8"/>
  <c r="E246" i="8"/>
  <c r="D246" i="8"/>
  <c r="G244" i="8"/>
  <c r="E244" i="8"/>
  <c r="D244" i="8"/>
  <c r="G258" i="8"/>
  <c r="E258" i="8"/>
  <c r="G1341" i="14" s="1"/>
  <c r="D258" i="8"/>
  <c r="B1341" i="14" s="1"/>
  <c r="G256" i="8"/>
  <c r="E256" i="8"/>
  <c r="D256" i="8"/>
  <c r="G260" i="8"/>
  <c r="E260" i="8"/>
  <c r="G1357" i="14" s="1"/>
  <c r="E259" i="8"/>
  <c r="G1349" i="14" s="1"/>
  <c r="D259" i="8"/>
  <c r="B1349" i="14" s="1"/>
  <c r="G261" i="8"/>
  <c r="E261" i="8"/>
  <c r="G1360" i="14" s="1"/>
  <c r="D261" i="8"/>
  <c r="B1360" i="14" s="1"/>
  <c r="H1211" i="14"/>
  <c r="H1209" i="14" s="1"/>
  <c r="H1208" i="14"/>
  <c r="H1206" i="14" s="1"/>
  <c r="H1236" i="14"/>
  <c r="H1234" i="14" s="1"/>
  <c r="H1233" i="14"/>
  <c r="H1230" i="14" s="1"/>
  <c r="H1229" i="14"/>
  <c r="H1227" i="14" s="1"/>
  <c r="H1226" i="14"/>
  <c r="H1224" i="14" s="1"/>
  <c r="H1223" i="14"/>
  <c r="H1221" i="14" s="1"/>
  <c r="H1220" i="14"/>
  <c r="H1218" i="14" s="1"/>
  <c r="H1187" i="14"/>
  <c r="H1185" i="14" s="1"/>
  <c r="H1184" i="14"/>
  <c r="H1182" i="14" s="1"/>
  <c r="H1199" i="14"/>
  <c r="H1197" i="14" s="1"/>
  <c r="H1196" i="14"/>
  <c r="H1194" i="14" s="1"/>
  <c r="H1193" i="14"/>
  <c r="H1191" i="14" s="1"/>
  <c r="H1190" i="14"/>
  <c r="H1188" i="14" s="1"/>
  <c r="H1205" i="14"/>
  <c r="H1203" i="14" s="1"/>
  <c r="H1202" i="14"/>
  <c r="H1200" i="14" s="1"/>
  <c r="H1214" i="14"/>
  <c r="H1212" i="14" s="1"/>
  <c r="H1181" i="14"/>
  <c r="G1181" i="14"/>
  <c r="B1181" i="14"/>
  <c r="H1217" i="14"/>
  <c r="H1215" i="14" s="1"/>
  <c r="H1180" i="14"/>
  <c r="G1180" i="14"/>
  <c r="B1180" i="14"/>
  <c r="E225" i="8"/>
  <c r="D225" i="8"/>
  <c r="G224" i="8"/>
  <c r="E224" i="8"/>
  <c r="D224" i="8"/>
  <c r="E223" i="8"/>
  <c r="D223" i="8"/>
  <c r="G222" i="8"/>
  <c r="E222" i="8"/>
  <c r="D222" i="8"/>
  <c r="G221" i="8"/>
  <c r="E221" i="8"/>
  <c r="D221" i="8"/>
  <c r="G220" i="8"/>
  <c r="E220" i="8"/>
  <c r="D220" i="8"/>
  <c r="G219" i="8"/>
  <c r="E219" i="8"/>
  <c r="D219" i="8"/>
  <c r="G218" i="8"/>
  <c r="E218" i="8"/>
  <c r="D218" i="8"/>
  <c r="G215" i="8"/>
  <c r="E215" i="8"/>
  <c r="D215" i="8"/>
  <c r="G234" i="8"/>
  <c r="E234" i="8"/>
  <c r="D234" i="8"/>
  <c r="B1238" i="14" s="1"/>
  <c r="G231" i="8"/>
  <c r="E231" i="8"/>
  <c r="D231" i="8"/>
  <c r="B1230" i="14" s="1"/>
  <c r="G230" i="8"/>
  <c r="E230" i="8"/>
  <c r="G1227" i="14" s="1"/>
  <c r="D230" i="8"/>
  <c r="G229" i="8"/>
  <c r="E229" i="8"/>
  <c r="D229" i="8"/>
  <c r="B1224" i="14" s="1"/>
  <c r="G228" i="8"/>
  <c r="E228" i="8"/>
  <c r="G1221" i="14" s="1"/>
  <c r="D228" i="8"/>
  <c r="B1221" i="14" s="1"/>
  <c r="G227" i="8"/>
  <c r="E227" i="8"/>
  <c r="D227" i="8"/>
  <c r="G226" i="8"/>
  <c r="E226" i="8"/>
  <c r="D226" i="8"/>
  <c r="H1088" i="14"/>
  <c r="H1086" i="14" s="1"/>
  <c r="H1094" i="14"/>
  <c r="H1092" i="14" s="1"/>
  <c r="H1089" i="14"/>
  <c r="H1085" i="14"/>
  <c r="G1085" i="14"/>
  <c r="B1085" i="14"/>
  <c r="G212" i="8"/>
  <c r="E212" i="8"/>
  <c r="G1177" i="14" s="1"/>
  <c r="D212" i="8"/>
  <c r="B1177" i="14" s="1"/>
  <c r="G209" i="8"/>
  <c r="E209" i="8"/>
  <c r="D209" i="8"/>
  <c r="G208" i="8"/>
  <c r="E208" i="8"/>
  <c r="D208" i="8"/>
  <c r="G207" i="8"/>
  <c r="E207" i="8"/>
  <c r="D207" i="8"/>
  <c r="G205" i="8"/>
  <c r="E205" i="8"/>
  <c r="D205" i="8"/>
  <c r="G210" i="8"/>
  <c r="E210" i="8"/>
  <c r="D210" i="8"/>
  <c r="G1234" i="14" l="1"/>
  <c r="G1238" i="14"/>
  <c r="G1224" i="14"/>
  <c r="G1230" i="14"/>
  <c r="B1227" i="14"/>
  <c r="B1234" i="14"/>
  <c r="G1406" i="14"/>
  <c r="G1409" i="14"/>
  <c r="B1406" i="14"/>
  <c r="B1409" i="14"/>
  <c r="G1172" i="14"/>
  <c r="B1172" i="14"/>
  <c r="B1157" i="14"/>
  <c r="B1163" i="14"/>
  <c r="B1169" i="14"/>
  <c r="G1266" i="14"/>
  <c r="G1284" i="14"/>
  <c r="B1276" i="14"/>
  <c r="G1163" i="14"/>
  <c r="B1160" i="14"/>
  <c r="B1166" i="14"/>
  <c r="G1276" i="14"/>
  <c r="G1169" i="14"/>
  <c r="G1160" i="14"/>
  <c r="G1166" i="14"/>
  <c r="G1157" i="14"/>
  <c r="B1266" i="14"/>
  <c r="B1284" i="14"/>
  <c r="B1212" i="14"/>
  <c r="B1182" i="14"/>
  <c r="B1188" i="14"/>
  <c r="B1194" i="14"/>
  <c r="B1200" i="14"/>
  <c r="B1206" i="14"/>
  <c r="G1182" i="14"/>
  <c r="G1188" i="14"/>
  <c r="G1194" i="14"/>
  <c r="G1200" i="14"/>
  <c r="G1206" i="14"/>
  <c r="G1212" i="14"/>
  <c r="B1215" i="14"/>
  <c r="B1185" i="14"/>
  <c r="B1191" i="14"/>
  <c r="B1197" i="14"/>
  <c r="B1203" i="14"/>
  <c r="B1209" i="14"/>
  <c r="G1215" i="14"/>
  <c r="G1185" i="14"/>
  <c r="G1191" i="14"/>
  <c r="G1197" i="14"/>
  <c r="G1203" i="14"/>
  <c r="G1209" i="14"/>
  <c r="B1291" i="14"/>
  <c r="G1291" i="14"/>
  <c r="G1287" i="14"/>
  <c r="B1273" i="14"/>
  <c r="B1287" i="14"/>
  <c r="G1273" i="14"/>
  <c r="G1299" i="14"/>
  <c r="B1304" i="14"/>
  <c r="B1320" i="14"/>
  <c r="G1304" i="14"/>
  <c r="G1320" i="14"/>
  <c r="B1316" i="14"/>
  <c r="B1328" i="14"/>
  <c r="G1316" i="14"/>
  <c r="G1328" i="14"/>
  <c r="B1299" i="14"/>
  <c r="H1036" i="14"/>
  <c r="H1034" i="14" s="1"/>
  <c r="H1031" i="14"/>
  <c r="H1015" i="14"/>
  <c r="G1015" i="14"/>
  <c r="B1015" i="14"/>
  <c r="G201" i="8"/>
  <c r="E201" i="8"/>
  <c r="D201" i="8"/>
  <c r="G200" i="8"/>
  <c r="E200" i="8"/>
  <c r="G181" i="8"/>
  <c r="E181" i="8"/>
  <c r="G1089" i="14" s="1"/>
  <c r="D181" i="8"/>
  <c r="B1089" i="14" s="1"/>
  <c r="G180" i="8"/>
  <c r="E180" i="8"/>
  <c r="G1086" i="14" s="1"/>
  <c r="D180" i="8"/>
  <c r="B1086" i="14" s="1"/>
  <c r="H1005" i="14"/>
  <c r="H963" i="14"/>
  <c r="H958" i="14"/>
  <c r="G958" i="14"/>
  <c r="B958" i="14"/>
  <c r="H957" i="14"/>
  <c r="G957" i="14"/>
  <c r="B957" i="14"/>
  <c r="G168" i="8"/>
  <c r="E168" i="8"/>
  <c r="G1041" i="14" s="1"/>
  <c r="D168" i="8"/>
  <c r="B1041" i="14" s="1"/>
  <c r="G165" i="8"/>
  <c r="E165" i="8"/>
  <c r="D165" i="8"/>
  <c r="G163" i="8"/>
  <c r="E163" i="8"/>
  <c r="D163" i="8"/>
  <c r="G160" i="8"/>
  <c r="E160" i="8"/>
  <c r="G1012" i="14" s="1"/>
  <c r="D160" i="8"/>
  <c r="B1012" i="14" s="1"/>
  <c r="G158" i="8"/>
  <c r="E158" i="8"/>
  <c r="D158" i="8"/>
  <c r="G148" i="8"/>
  <c r="E148" i="8"/>
  <c r="D148" i="8"/>
  <c r="H929" i="14"/>
  <c r="H927" i="14" s="1"/>
  <c r="B932" i="14" s="1"/>
  <c r="H932" i="14" s="1"/>
  <c r="H930" i="14" s="1"/>
  <c r="H1040" i="14" s="1"/>
  <c r="H1038" i="14" s="1"/>
  <c r="H904" i="14"/>
  <c r="G904" i="14"/>
  <c r="B904" i="14"/>
  <c r="H903" i="14"/>
  <c r="H886" i="14"/>
  <c r="H885" i="14"/>
  <c r="G885" i="14"/>
  <c r="B885" i="14"/>
  <c r="E100" i="8"/>
  <c r="D100" i="8"/>
  <c r="G140" i="8"/>
  <c r="E140" i="8"/>
  <c r="D140" i="8"/>
  <c r="G139" i="8"/>
  <c r="E139" i="8"/>
  <c r="D139" i="8"/>
  <c r="H855" i="14"/>
  <c r="H854" i="14"/>
  <c r="H853" i="14"/>
  <c r="H842" i="14" s="1"/>
  <c r="H841" i="14"/>
  <c r="G841" i="14"/>
  <c r="B841" i="14"/>
  <c r="G133" i="8"/>
  <c r="E133" i="8"/>
  <c r="D133" i="8"/>
  <c r="G125" i="8"/>
  <c r="E125" i="8"/>
  <c r="D125" i="8"/>
  <c r="G116" i="8"/>
  <c r="E116" i="8"/>
  <c r="G775" i="14" s="1"/>
  <c r="D116" i="8"/>
  <c r="B775" i="14" s="1"/>
  <c r="H773" i="14"/>
  <c r="G773" i="14"/>
  <c r="B773" i="14"/>
  <c r="G110" i="8"/>
  <c r="E110" i="8"/>
  <c r="D110" i="8"/>
  <c r="H772" i="14"/>
  <c r="H770" i="14" s="1"/>
  <c r="H769" i="14"/>
  <c r="H767" i="14" s="1"/>
  <c r="H766" i="14"/>
  <c r="G766" i="14"/>
  <c r="B766" i="14"/>
  <c r="G108" i="8"/>
  <c r="E108" i="8"/>
  <c r="D108" i="8"/>
  <c r="G770" i="14"/>
  <c r="B770" i="14"/>
  <c r="H757" i="14"/>
  <c r="G757" i="14"/>
  <c r="B757" i="14"/>
  <c r="E107" i="8"/>
  <c r="D107" i="8"/>
  <c r="G105" i="8"/>
  <c r="E105" i="8"/>
  <c r="D105" i="8"/>
  <c r="H742" i="14"/>
  <c r="G742" i="14"/>
  <c r="B742" i="14"/>
  <c r="G112" i="8"/>
  <c r="E112" i="8"/>
  <c r="D112" i="8"/>
  <c r="H731" i="14"/>
  <c r="G731" i="14"/>
  <c r="B731" i="14"/>
  <c r="H730" i="14"/>
  <c r="G730" i="14"/>
  <c r="B730" i="14"/>
  <c r="G237" i="8"/>
  <c r="E237" i="8"/>
  <c r="G1243" i="14" s="1"/>
  <c r="D237" i="8"/>
  <c r="B1243" i="14" s="1"/>
  <c r="G98" i="8"/>
  <c r="E98" i="8"/>
  <c r="G717" i="14" s="1"/>
  <c r="D98" i="8"/>
  <c r="B717" i="14" s="1"/>
  <c r="G97" i="8"/>
  <c r="E97" i="8"/>
  <c r="G696" i="14" s="1"/>
  <c r="D97" i="8"/>
  <c r="B696" i="14" s="1"/>
  <c r="H668" i="14"/>
  <c r="G668" i="14"/>
  <c r="B668" i="14"/>
  <c r="H667" i="14"/>
  <c r="G667" i="14"/>
  <c r="B667" i="14"/>
  <c r="G74" i="8"/>
  <c r="E74" i="8"/>
  <c r="G570" i="14" s="1"/>
  <c r="D74" i="8"/>
  <c r="B570" i="14" s="1"/>
  <c r="G73" i="8"/>
  <c r="E73" i="8"/>
  <c r="D73" i="8"/>
  <c r="G72" i="8"/>
  <c r="E72" i="8"/>
  <c r="D72" i="8"/>
  <c r="G71" i="8"/>
  <c r="E71" i="8"/>
  <c r="G685" i="14" s="1"/>
  <c r="D71" i="8"/>
  <c r="B685" i="14" s="1"/>
  <c r="H485" i="14"/>
  <c r="G485" i="14"/>
  <c r="B485" i="14"/>
  <c r="H442" i="14"/>
  <c r="G442" i="14"/>
  <c r="B442" i="14"/>
  <c r="H441" i="14"/>
  <c r="G441" i="14"/>
  <c r="B441" i="14"/>
  <c r="G62" i="8"/>
  <c r="E62" i="8"/>
  <c r="G433" i="14" s="1"/>
  <c r="D62" i="8"/>
  <c r="B433" i="14" s="1"/>
  <c r="G332" i="14"/>
  <c r="G60" i="8"/>
  <c r="E60" i="8"/>
  <c r="G413" i="14" s="1"/>
  <c r="D60" i="8"/>
  <c r="B413" i="14" s="1"/>
  <c r="G59" i="8"/>
  <c r="E59" i="8"/>
  <c r="G401" i="14" s="1"/>
  <c r="D59" i="8"/>
  <c r="B401" i="14" s="1"/>
  <c r="G58" i="8"/>
  <c r="E58" i="8"/>
  <c r="D58" i="8"/>
  <c r="G44" i="8"/>
  <c r="E44" i="8"/>
  <c r="G252" i="14" s="1"/>
  <c r="D44" i="8"/>
  <c r="B252" i="14" s="1"/>
  <c r="G40" i="8"/>
  <c r="E40" i="8"/>
  <c r="D40" i="8"/>
  <c r="G39" i="8"/>
  <c r="E39" i="8"/>
  <c r="D39" i="8"/>
  <c r="G32" i="8"/>
  <c r="E32" i="8"/>
  <c r="G100" i="14" s="1"/>
  <c r="D32" i="8"/>
  <c r="B100" i="14" s="1"/>
  <c r="H48" i="14"/>
  <c r="H45" i="14"/>
  <c r="G17" i="8"/>
  <c r="E17" i="8"/>
  <c r="D17" i="8"/>
  <c r="H44" i="14"/>
  <c r="H38" i="14"/>
  <c r="H35" i="14"/>
  <c r="H32" i="14"/>
  <c r="G18" i="8"/>
  <c r="E18" i="8"/>
  <c r="D18" i="8"/>
  <c r="B1050" i="14" l="1"/>
  <c r="H1050" i="14" s="1"/>
  <c r="H1045" i="14"/>
  <c r="H1051" i="14" s="1"/>
  <c r="G1149" i="14"/>
  <c r="G1146" i="14"/>
  <c r="B1149" i="14"/>
  <c r="B886" i="14"/>
  <c r="B881" i="14"/>
  <c r="G886" i="14"/>
  <c r="G881" i="14"/>
  <c r="B529" i="14"/>
  <c r="G529" i="14"/>
  <c r="B201" i="14"/>
  <c r="B375" i="14"/>
  <c r="B423" i="14"/>
  <c r="G375" i="14"/>
  <c r="G423" i="14"/>
  <c r="B305" i="14"/>
  <c r="B389" i="14"/>
  <c r="G305" i="14"/>
  <c r="G389" i="14"/>
  <c r="H1041" i="14"/>
  <c r="G1045" i="14"/>
  <c r="B1045" i="14"/>
  <c r="B813" i="14"/>
  <c r="B830" i="14"/>
  <c r="G813" i="14"/>
  <c r="G830" i="14"/>
  <c r="B817" i="14"/>
  <c r="G817" i="14"/>
  <c r="B45" i="14"/>
  <c r="G45" i="14"/>
  <c r="G1008" i="14"/>
  <c r="G1038" i="14"/>
  <c r="B1038" i="14"/>
  <c r="B1008" i="14"/>
  <c r="B743" i="14"/>
  <c r="G743" i="14"/>
  <c r="B767" i="14"/>
  <c r="G767" i="14"/>
  <c r="B1034" i="14"/>
  <c r="B1005" i="14"/>
  <c r="B959" i="14"/>
  <c r="G959" i="14"/>
  <c r="G842" i="14"/>
  <c r="B842" i="14"/>
  <c r="B758" i="14"/>
  <c r="G758" i="14"/>
  <c r="B508" i="14"/>
  <c r="G508" i="14"/>
  <c r="G1034" i="14"/>
  <c r="B1031" i="14"/>
  <c r="B1017" i="14"/>
  <c r="G1031" i="14"/>
  <c r="G1017" i="14"/>
  <c r="B747" i="14"/>
  <c r="G747" i="14"/>
  <c r="G1005" i="14"/>
  <c r="B721" i="14"/>
  <c r="G721" i="14"/>
  <c r="B486" i="14"/>
  <c r="G486" i="14"/>
  <c r="G234" i="14"/>
  <c r="G201" i="14"/>
  <c r="G185" i="14"/>
  <c r="B234" i="14"/>
  <c r="B185" i="14"/>
  <c r="H901" i="14"/>
  <c r="H1048" i="14" l="1"/>
  <c r="B1053" i="14"/>
  <c r="H1053" i="14" s="1"/>
  <c r="Q48" i="16"/>
  <c r="Q44" i="16"/>
  <c r="Q42" i="16"/>
  <c r="Q40" i="16"/>
  <c r="Q38" i="16"/>
  <c r="Q36" i="16"/>
  <c r="Q34" i="16"/>
  <c r="Q32" i="16"/>
  <c r="Q30" i="16"/>
  <c r="Q28" i="16"/>
  <c r="Q26" i="16"/>
  <c r="Q24" i="16"/>
  <c r="Q22" i="16"/>
  <c r="Q20" i="16"/>
  <c r="Q18" i="16"/>
  <c r="Q16" i="16"/>
  <c r="Q14" i="16"/>
  <c r="Q12" i="16"/>
  <c r="Q10" i="16"/>
  <c r="Q8" i="16"/>
  <c r="Q6" i="16"/>
  <c r="C25" i="6" l="1"/>
  <c r="C18" i="6" s="1"/>
  <c r="G19" i="8" l="1"/>
  <c r="E19" i="8"/>
  <c r="G48" i="14" s="1"/>
  <c r="D19" i="8"/>
  <c r="B48" i="14" s="1"/>
  <c r="G15" i="8"/>
  <c r="E15" i="8"/>
  <c r="D15" i="8"/>
  <c r="H20" i="14" l="1"/>
  <c r="G11" i="8"/>
  <c r="E11" i="8"/>
  <c r="G20" i="14" s="1"/>
  <c r="D11" i="8"/>
  <c r="B20" i="14" s="1"/>
  <c r="B1584" i="14" l="1"/>
  <c r="G1584" i="14"/>
  <c r="B592" i="14" l="1"/>
  <c r="G592" i="14"/>
  <c r="G77" i="9"/>
  <c r="H77" i="9" s="1"/>
  <c r="E77" i="9"/>
  <c r="D77" i="9"/>
  <c r="G78" i="9"/>
  <c r="H78" i="9" s="1"/>
  <c r="E78" i="9"/>
  <c r="D78" i="9"/>
  <c r="G81" i="9"/>
  <c r="H81" i="9" s="1"/>
  <c r="E81" i="9"/>
  <c r="D81" i="9"/>
  <c r="G80" i="9"/>
  <c r="H80" i="9" s="1"/>
  <c r="E80" i="9"/>
  <c r="D80" i="9"/>
  <c r="G79" i="9"/>
  <c r="H79" i="9" s="1"/>
  <c r="E79" i="9"/>
  <c r="D79" i="9"/>
  <c r="G76" i="9"/>
  <c r="H76" i="9" s="1"/>
  <c r="E76" i="9"/>
  <c r="D76" i="9"/>
  <c r="G89" i="9"/>
  <c r="H89" i="9" s="1"/>
  <c r="E89" i="9"/>
  <c r="D89" i="9"/>
  <c r="G88" i="9"/>
  <c r="H88" i="9" s="1"/>
  <c r="E88" i="9"/>
  <c r="D88" i="9"/>
  <c r="G87" i="9"/>
  <c r="H87" i="9" s="1"/>
  <c r="E87" i="9"/>
  <c r="D87" i="9"/>
  <c r="G86" i="9"/>
  <c r="H86" i="9" s="1"/>
  <c r="E86" i="9"/>
  <c r="D86" i="9"/>
  <c r="D61" i="9"/>
  <c r="G60" i="9"/>
  <c r="H60" i="9" s="1"/>
  <c r="E60" i="9"/>
  <c r="D60" i="9"/>
  <c r="H74" i="9" l="1"/>
  <c r="H84" i="9"/>
  <c r="G232" i="8" s="1"/>
  <c r="G223" i="8" l="1"/>
  <c r="G97" i="9" l="1"/>
  <c r="H97" i="9" s="1"/>
  <c r="E97" i="9"/>
  <c r="D97" i="9"/>
  <c r="G96" i="9"/>
  <c r="H96" i="9" s="1"/>
  <c r="E96" i="9"/>
  <c r="D96" i="9"/>
  <c r="G95" i="9"/>
  <c r="H95" i="9" s="1"/>
  <c r="E95" i="9"/>
  <c r="D95" i="9"/>
  <c r="G94" i="9"/>
  <c r="H94" i="9" s="1"/>
  <c r="E94" i="9"/>
  <c r="D94" i="9"/>
  <c r="H92" i="9" l="1"/>
  <c r="G253" i="8" l="1"/>
  <c r="G259" i="8"/>
  <c r="G35" i="8"/>
  <c r="E35" i="8"/>
  <c r="D35" i="8"/>
  <c r="G36" i="8"/>
  <c r="E36" i="8"/>
  <c r="D36" i="8"/>
  <c r="B165" i="14" l="1"/>
  <c r="B614" i="14"/>
  <c r="G165" i="14"/>
  <c r="G614" i="14"/>
  <c r="B136" i="14"/>
  <c r="B609" i="14"/>
  <c r="G136" i="14"/>
  <c r="G609" i="14"/>
  <c r="G985" i="14"/>
  <c r="B985" i="14"/>
  <c r="B963" i="14" l="1"/>
  <c r="G963" i="14"/>
  <c r="E21" i="10"/>
  <c r="E20" i="10"/>
  <c r="R48" i="16"/>
  <c r="B48" i="16"/>
  <c r="R44" i="16"/>
  <c r="B44" i="16"/>
  <c r="B1218" i="14" l="1"/>
  <c r="G1218" i="14"/>
  <c r="E15" i="10"/>
  <c r="G100" i="8" l="1"/>
  <c r="G264" i="8" l="1"/>
  <c r="E264" i="8"/>
  <c r="G1366" i="14" s="1"/>
  <c r="D264" i="8"/>
  <c r="B1366" i="14" s="1"/>
  <c r="R32" i="16" l="1"/>
  <c r="B32" i="16"/>
  <c r="R30" i="16"/>
  <c r="B30" i="16"/>
  <c r="R28" i="16"/>
  <c r="B28" i="16"/>
  <c r="R26" i="16"/>
  <c r="B26" i="16"/>
  <c r="R24" i="16"/>
  <c r="B24" i="16"/>
  <c r="R22" i="16"/>
  <c r="B22" i="16"/>
  <c r="R20" i="16"/>
  <c r="B20" i="16"/>
  <c r="R18" i="16"/>
  <c r="B18" i="16"/>
  <c r="R38" i="16"/>
  <c r="B38" i="16"/>
  <c r="R36" i="16"/>
  <c r="B36" i="16"/>
  <c r="R34" i="16"/>
  <c r="B34" i="16"/>
  <c r="R16" i="16"/>
  <c r="B16" i="16"/>
  <c r="R14" i="16"/>
  <c r="B14" i="16"/>
  <c r="R42" i="16"/>
  <c r="B42" i="16"/>
  <c r="H1583" i="14"/>
  <c r="G1583" i="14"/>
  <c r="B1583" i="14"/>
  <c r="H168" i="14"/>
  <c r="G168" i="14"/>
  <c r="B168" i="14"/>
  <c r="H51" i="14"/>
  <c r="G51" i="14"/>
  <c r="B51" i="14"/>
  <c r="G136" i="8" l="1"/>
  <c r="E136" i="8"/>
  <c r="D136" i="8"/>
  <c r="E351" i="8"/>
  <c r="G1605" i="14" s="1"/>
  <c r="E69" i="8"/>
  <c r="G476" i="14" s="1"/>
  <c r="E67" i="8"/>
  <c r="G462" i="14" s="1"/>
  <c r="E66" i="8"/>
  <c r="G452" i="14" s="1"/>
  <c r="E65" i="8"/>
  <c r="G443" i="14" s="1"/>
  <c r="E34" i="8"/>
  <c r="G106" i="14" s="1"/>
  <c r="E14" i="8"/>
  <c r="E13" i="8"/>
  <c r="E10" i="8"/>
  <c r="E9" i="8"/>
  <c r="E8" i="8"/>
  <c r="E7" i="8"/>
  <c r="G69" i="8"/>
  <c r="G67" i="8"/>
  <c r="G66" i="8"/>
  <c r="G65" i="8"/>
  <c r="G34" i="8"/>
  <c r="G14" i="8"/>
  <c r="G13" i="8"/>
  <c r="G10" i="8"/>
  <c r="G9" i="8"/>
  <c r="G8" i="8"/>
  <c r="G7" i="8"/>
  <c r="D69" i="8"/>
  <c r="B476" i="14" s="1"/>
  <c r="D67" i="8"/>
  <c r="B462" i="14" s="1"/>
  <c r="D351" i="8"/>
  <c r="B1605" i="14" s="1"/>
  <c r="D66" i="8"/>
  <c r="B452" i="14" s="1"/>
  <c r="D65" i="8"/>
  <c r="B443" i="14" s="1"/>
  <c r="D34" i="8"/>
  <c r="B106" i="14" s="1"/>
  <c r="D14" i="8"/>
  <c r="D13" i="8"/>
  <c r="D10" i="8"/>
  <c r="D9" i="8"/>
  <c r="D8" i="8"/>
  <c r="D7" i="8"/>
  <c r="B905" i="14" l="1"/>
  <c r="B887" i="14"/>
  <c r="G905" i="14"/>
  <c r="G887" i="14"/>
  <c r="G52" i="14"/>
  <c r="B52" i="14"/>
  <c r="G170" i="14"/>
  <c r="B170" i="14"/>
  <c r="H42" i="14" l="1"/>
  <c r="H36" i="14"/>
  <c r="H33" i="14"/>
  <c r="H17" i="14"/>
  <c r="H14" i="14"/>
  <c r="H30" i="14" l="1"/>
  <c r="G36" i="14"/>
  <c r="B36" i="14"/>
  <c r="G42" i="14" l="1"/>
  <c r="B42" i="14"/>
  <c r="G33" i="14"/>
  <c r="B33" i="14"/>
  <c r="G30" i="14" l="1"/>
  <c r="B30" i="14"/>
  <c r="G17" i="14" l="1"/>
  <c r="B17" i="14"/>
  <c r="G14" i="14" l="1"/>
  <c r="B14" i="14"/>
  <c r="G8" i="14" l="1"/>
  <c r="B8" i="14"/>
  <c r="A5" i="14" l="1"/>
  <c r="F342" i="8" s="1"/>
  <c r="A6" i="10"/>
  <c r="F307" i="8" l="1"/>
  <c r="F116" i="8"/>
  <c r="F43" i="8"/>
  <c r="F152" i="8"/>
  <c r="F61" i="8"/>
  <c r="F42" i="8"/>
  <c r="E52" i="9"/>
  <c r="D52" i="9"/>
  <c r="F157" i="8"/>
  <c r="F159" i="8"/>
  <c r="F95" i="8"/>
  <c r="F153" i="8"/>
  <c r="F151" i="8"/>
  <c r="F84" i="8"/>
  <c r="F288" i="8"/>
  <c r="F330" i="8"/>
  <c r="F232" i="8"/>
  <c r="F217" i="8"/>
  <c r="F216" i="8"/>
  <c r="F196" i="8"/>
  <c r="F195" i="8"/>
  <c r="F198" i="8"/>
  <c r="F197" i="8"/>
  <c r="F185" i="8"/>
  <c r="F184" i="8"/>
  <c r="F183" i="8"/>
  <c r="F186" i="8"/>
  <c r="F182" i="8"/>
  <c r="F187" i="8"/>
  <c r="F190" i="8"/>
  <c r="F192" i="8"/>
  <c r="F189" i="8"/>
  <c r="F188" i="8"/>
  <c r="F191" i="8"/>
  <c r="F193" i="8"/>
  <c r="F199" i="8"/>
  <c r="F194" i="8"/>
  <c r="F274" i="8"/>
  <c r="F279" i="8"/>
  <c r="F278" i="8"/>
  <c r="F48" i="8"/>
  <c r="F102" i="8"/>
  <c r="F49" i="8"/>
  <c r="F47" i="8"/>
  <c r="F50" i="8"/>
  <c r="F46" i="8"/>
  <c r="F347" i="8"/>
  <c r="F131" i="8"/>
  <c r="F130" i="8"/>
  <c r="F129" i="8"/>
  <c r="F132" i="8"/>
  <c r="F81" i="8"/>
  <c r="F83" i="8"/>
  <c r="F82" i="8"/>
  <c r="F85" i="8"/>
  <c r="F88" i="8"/>
  <c r="F79" i="8"/>
  <c r="F80" i="8"/>
  <c r="F76" i="8"/>
  <c r="F89" i="8"/>
  <c r="F78" i="8"/>
  <c r="F333" i="8"/>
  <c r="F206" i="8"/>
  <c r="F346" i="8"/>
  <c r="F41" i="8"/>
  <c r="F26" i="8"/>
  <c r="F27" i="8"/>
  <c r="F68" i="8"/>
  <c r="F55" i="8"/>
  <c r="F52" i="8"/>
  <c r="F54" i="8"/>
  <c r="F56" i="8"/>
  <c r="F53" i="8"/>
  <c r="F348" i="8"/>
  <c r="F345" i="8"/>
  <c r="F174" i="8"/>
  <c r="F175" i="8"/>
  <c r="F176" i="8"/>
  <c r="F156" i="8"/>
  <c r="F350" i="8"/>
  <c r="F149" i="8"/>
  <c r="F150" i="8"/>
  <c r="F245" i="8"/>
  <c r="F126" i="8"/>
  <c r="F33" i="8"/>
  <c r="F243" i="8"/>
  <c r="F29" i="8"/>
  <c r="F16" i="8"/>
  <c r="F22" i="8"/>
  <c r="F24" i="8"/>
  <c r="F23" i="8"/>
  <c r="F318" i="8"/>
  <c r="F124" i="8"/>
  <c r="F123" i="8"/>
  <c r="F122" i="8"/>
  <c r="F121" i="8"/>
  <c r="F118" i="8"/>
  <c r="F119" i="8"/>
  <c r="F127" i="8"/>
  <c r="F12" i="8"/>
  <c r="F338" i="8"/>
  <c r="F178" i="8"/>
  <c r="F340" i="8"/>
  <c r="F339" i="8"/>
  <c r="F25" i="8"/>
  <c r="F21" i="8"/>
  <c r="F30" i="8"/>
  <c r="F28" i="8"/>
  <c r="F117" i="8"/>
  <c r="F172" i="8"/>
  <c r="F341" i="8"/>
  <c r="F337" i="8"/>
  <c r="F171" i="8"/>
  <c r="F170" i="8"/>
  <c r="F94" i="8"/>
  <c r="F113" i="8"/>
  <c r="F239" i="8"/>
  <c r="F257" i="8"/>
  <c r="F242" i="8"/>
  <c r="F142" i="8"/>
  <c r="F141" i="8"/>
  <c r="F164" i="8"/>
  <c r="F167" i="8"/>
  <c r="F250" i="8"/>
  <c r="F255" i="8"/>
  <c r="F238" i="8"/>
  <c r="F248" i="8"/>
  <c r="F252" i="8"/>
  <c r="F240" i="8"/>
  <c r="F145" i="8"/>
  <c r="F144" i="8"/>
  <c r="F328" i="8"/>
  <c r="F329" i="8"/>
  <c r="F332" i="8"/>
  <c r="F331" i="8"/>
  <c r="F335" i="8"/>
  <c r="F334" i="8"/>
  <c r="F326" i="8"/>
  <c r="F320" i="8"/>
  <c r="F325" i="8"/>
  <c r="F324" i="8"/>
  <c r="F323" i="8"/>
  <c r="F321" i="8"/>
  <c r="F322" i="8"/>
  <c r="F312" i="8"/>
  <c r="F311" i="8"/>
  <c r="F316" i="8"/>
  <c r="F310" i="8"/>
  <c r="F314" i="8"/>
  <c r="F315" i="8"/>
  <c r="F317" i="8"/>
  <c r="F313" i="8"/>
  <c r="F306" i="8"/>
  <c r="F300" i="8"/>
  <c r="F302" i="8"/>
  <c r="F305" i="8"/>
  <c r="F304" i="8"/>
  <c r="F303" i="8"/>
  <c r="F308" i="8"/>
  <c r="F301" i="8"/>
  <c r="F293" i="8"/>
  <c r="F297" i="8"/>
  <c r="F291" i="8"/>
  <c r="F295" i="8"/>
  <c r="F294" i="8"/>
  <c r="F292" i="8"/>
  <c r="F296" i="8"/>
  <c r="F298" i="8"/>
  <c r="F285" i="8"/>
  <c r="F284" i="8"/>
  <c r="F286" i="8"/>
  <c r="F281" i="8"/>
  <c r="F277" i="8"/>
  <c r="F280" i="8"/>
  <c r="F275" i="8"/>
  <c r="F271" i="8"/>
  <c r="F272" i="8"/>
  <c r="F267" i="8"/>
  <c r="F266" i="8"/>
  <c r="F269" i="8"/>
  <c r="F268" i="8"/>
  <c r="F254" i="8"/>
  <c r="F244" i="8"/>
  <c r="F253" i="8"/>
  <c r="F258" i="8"/>
  <c r="F246" i="8"/>
  <c r="F256" i="8"/>
  <c r="F249" i="8"/>
  <c r="F259" i="8"/>
  <c r="F260" i="8"/>
  <c r="F261" i="8"/>
  <c r="F222" i="8"/>
  <c r="F220" i="8"/>
  <c r="F225" i="8"/>
  <c r="F218" i="8"/>
  <c r="F223" i="8"/>
  <c r="F215" i="8"/>
  <c r="F221" i="8"/>
  <c r="F224" i="8"/>
  <c r="F219" i="8"/>
  <c r="F227" i="8"/>
  <c r="F231" i="8"/>
  <c r="F229" i="8"/>
  <c r="F234" i="8"/>
  <c r="F226" i="8"/>
  <c r="F230" i="8"/>
  <c r="F228" i="8"/>
  <c r="F212" i="8"/>
  <c r="F209" i="8"/>
  <c r="F207" i="8"/>
  <c r="F208" i="8"/>
  <c r="F205" i="8"/>
  <c r="F210" i="8"/>
  <c r="F200" i="8"/>
  <c r="F180" i="8"/>
  <c r="F181" i="8"/>
  <c r="F201" i="8"/>
  <c r="F163" i="8"/>
  <c r="F168" i="8"/>
  <c r="F165" i="8"/>
  <c r="F160" i="8"/>
  <c r="F158" i="8"/>
  <c r="F155" i="8"/>
  <c r="F148" i="8"/>
  <c r="F100" i="8"/>
  <c r="F139" i="8"/>
  <c r="F140" i="8"/>
  <c r="F133" i="8"/>
  <c r="F125" i="8"/>
  <c r="F110" i="8"/>
  <c r="F107" i="8"/>
  <c r="F108" i="8"/>
  <c r="F105" i="8"/>
  <c r="F112" i="8"/>
  <c r="F237" i="8"/>
  <c r="F98" i="8"/>
  <c r="F97" i="8"/>
  <c r="F73" i="8"/>
  <c r="F74" i="8"/>
  <c r="F71" i="8"/>
  <c r="F72" i="8"/>
  <c r="F58" i="8"/>
  <c r="F60" i="8"/>
  <c r="F62" i="8"/>
  <c r="F59" i="8"/>
  <c r="F39" i="8"/>
  <c r="F44" i="8"/>
  <c r="F40" i="8"/>
  <c r="F32" i="8"/>
  <c r="F18" i="8"/>
  <c r="F17" i="8"/>
  <c r="F19" i="8"/>
  <c r="F15" i="8"/>
  <c r="F11" i="8"/>
  <c r="A15" i="10"/>
  <c r="A24" i="10" s="1"/>
  <c r="F35" i="8"/>
  <c r="F36" i="8"/>
  <c r="F264" i="8"/>
  <c r="F92" i="8"/>
  <c r="F136" i="8"/>
  <c r="F137" i="8"/>
  <c r="F69" i="8"/>
  <c r="F67" i="8"/>
  <c r="F289" i="8"/>
  <c r="F343" i="8"/>
  <c r="F287" i="8"/>
  <c r="F34" i="8"/>
  <c r="F202" i="8"/>
  <c r="F351" i="8"/>
  <c r="F14" i="8"/>
  <c r="F13" i="8"/>
  <c r="F10" i="8"/>
  <c r="F65" i="8"/>
  <c r="F9" i="8"/>
  <c r="F8" i="8"/>
  <c r="F66" i="8"/>
  <c r="G5" i="14"/>
  <c r="B3" i="10"/>
  <c r="C3" i="9"/>
  <c r="C3" i="8"/>
  <c r="D111" i="9" l="1"/>
  <c r="E111" i="9"/>
  <c r="G111" i="9"/>
  <c r="H111" i="9" s="1"/>
  <c r="H109" i="9" s="1"/>
  <c r="G351" i="8" s="1"/>
  <c r="G57" i="9"/>
  <c r="H57" i="9" s="1"/>
  <c r="H55" i="9" s="1"/>
  <c r="G107" i="8" s="1"/>
  <c r="B2" i="10"/>
  <c r="C2" i="8"/>
  <c r="G4" i="14"/>
  <c r="G66" i="9" l="1"/>
  <c r="H66" i="9" s="1"/>
  <c r="H64" i="9" s="1"/>
  <c r="E66" i="9"/>
  <c r="D66" i="9"/>
  <c r="G225" i="8"/>
  <c r="D57" i="9"/>
  <c r="E57" i="9"/>
  <c r="B8" i="16"/>
  <c r="E12" i="10"/>
  <c r="H4" i="14"/>
  <c r="B4" i="14"/>
  <c r="B6" i="16"/>
  <c r="B5" i="14" l="1"/>
  <c r="R40" i="16" l="1"/>
  <c r="R12" i="16"/>
  <c r="R10" i="16"/>
  <c r="R8" i="16"/>
  <c r="R6" i="16"/>
  <c r="B10" i="16"/>
  <c r="B12" i="16"/>
  <c r="E5" i="16"/>
  <c r="F5" i="16" s="1"/>
  <c r="G5" i="16" s="1"/>
  <c r="H5" i="16" s="1"/>
  <c r="I5" i="16" s="1"/>
  <c r="J5" i="16" s="1"/>
  <c r="K5" i="16" s="1"/>
  <c r="L5" i="16" s="1"/>
  <c r="M5" i="16" s="1"/>
  <c r="N5" i="16" s="1"/>
  <c r="O5" i="16" s="1"/>
  <c r="P5" i="16" s="1"/>
  <c r="A12" i="7"/>
  <c r="B16" i="7"/>
  <c r="B15" i="7"/>
  <c r="B40" i="16" l="1"/>
  <c r="H5" i="14" l="1"/>
  <c r="F7" i="8" s="1"/>
  <c r="C3" i="16" l="1"/>
  <c r="C2" i="16"/>
  <c r="C2" i="9"/>
  <c r="B3" i="14"/>
  <c r="B2" i="14"/>
  <c r="E11" i="10" l="1"/>
  <c r="E6" i="10" s="1"/>
  <c r="G52" i="9" s="1"/>
  <c r="H52" i="9" s="1"/>
  <c r="H50" i="9" s="1"/>
  <c r="G102" i="8" l="1"/>
  <c r="H102" i="8" s="1"/>
  <c r="G196" i="8"/>
  <c r="C12" i="7"/>
  <c r="B12" i="7"/>
  <c r="A34" i="6"/>
  <c r="A31" i="6"/>
  <c r="C27" i="6"/>
  <c r="H307" i="8" l="1"/>
  <c r="I307" i="8" s="1"/>
  <c r="H342" i="8"/>
  <c r="I342" i="8" s="1"/>
  <c r="H43" i="8"/>
  <c r="I43" i="8" s="1"/>
  <c r="H152" i="8"/>
  <c r="I152" i="8" s="1"/>
  <c r="H61" i="8"/>
  <c r="I61" i="8" s="1"/>
  <c r="H42" i="8"/>
  <c r="I42" i="8" s="1"/>
  <c r="H157" i="8"/>
  <c r="I157" i="8" s="1"/>
  <c r="H159" i="8"/>
  <c r="I159" i="8" s="1"/>
  <c r="H95" i="8"/>
  <c r="I95" i="8" s="1"/>
  <c r="H153" i="8"/>
  <c r="I153" i="8" s="1"/>
  <c r="H151" i="8"/>
  <c r="I151" i="8" s="1"/>
  <c r="H84" i="8"/>
  <c r="I84" i="8" s="1"/>
  <c r="H288" i="8"/>
  <c r="I288" i="8" s="1"/>
  <c r="H330" i="8"/>
  <c r="I330" i="8" s="1"/>
  <c r="H232" i="8"/>
  <c r="I232" i="8" s="1"/>
  <c r="H217" i="8"/>
  <c r="I217" i="8" s="1"/>
  <c r="H216" i="8"/>
  <c r="I216" i="8" s="1"/>
  <c r="H196" i="8"/>
  <c r="I196" i="8" s="1"/>
  <c r="H195" i="8"/>
  <c r="I195" i="8" s="1"/>
  <c r="H197" i="8"/>
  <c r="I197" i="8" s="1"/>
  <c r="H198" i="8"/>
  <c r="I198" i="8" s="1"/>
  <c r="H183" i="8"/>
  <c r="I183" i="8" s="1"/>
  <c r="H182" i="8"/>
  <c r="I182" i="8" s="1"/>
  <c r="H185" i="8"/>
  <c r="I185" i="8" s="1"/>
  <c r="H184" i="8"/>
  <c r="I184" i="8" s="1"/>
  <c r="H186" i="8"/>
  <c r="I186" i="8" s="1"/>
  <c r="H187" i="8"/>
  <c r="I187" i="8" s="1"/>
  <c r="H189" i="8"/>
  <c r="I189" i="8" s="1"/>
  <c r="H188" i="8"/>
  <c r="I188" i="8" s="1"/>
  <c r="H190" i="8"/>
  <c r="I190" i="8" s="1"/>
  <c r="H191" i="8"/>
  <c r="I191" i="8" s="1"/>
  <c r="H192" i="8"/>
  <c r="I192" i="8" s="1"/>
  <c r="H194" i="8"/>
  <c r="I194" i="8" s="1"/>
  <c r="H199" i="8"/>
  <c r="I199" i="8" s="1"/>
  <c r="H193" i="8"/>
  <c r="I193" i="8" s="1"/>
  <c r="H274" i="8"/>
  <c r="I274" i="8" s="1"/>
  <c r="H278" i="8"/>
  <c r="I278" i="8" s="1"/>
  <c r="H279" i="8"/>
  <c r="I279" i="8" s="1"/>
  <c r="H48" i="8"/>
  <c r="I48" i="8" s="1"/>
  <c r="I102" i="8"/>
  <c r="H47" i="8"/>
  <c r="I47" i="8" s="1"/>
  <c r="H50" i="8"/>
  <c r="I50" i="8" s="1"/>
  <c r="H46" i="8"/>
  <c r="I46" i="8" s="1"/>
  <c r="H49" i="8"/>
  <c r="I49" i="8" s="1"/>
  <c r="H347" i="8"/>
  <c r="I347" i="8" s="1"/>
  <c r="H131" i="8"/>
  <c r="I131" i="8" s="1"/>
  <c r="H130" i="8"/>
  <c r="I130" i="8" s="1"/>
  <c r="H129" i="8"/>
  <c r="I129" i="8" s="1"/>
  <c r="H132" i="8"/>
  <c r="I132" i="8" s="1"/>
  <c r="H86" i="8"/>
  <c r="H87" i="8"/>
  <c r="H83" i="8"/>
  <c r="I83" i="8" s="1"/>
  <c r="H82" i="8"/>
  <c r="I82" i="8" s="1"/>
  <c r="H81" i="8"/>
  <c r="I81" i="8" s="1"/>
  <c r="H85" i="8"/>
  <c r="I85" i="8" s="1"/>
  <c r="H88" i="8"/>
  <c r="I88" i="8" s="1"/>
  <c r="H79" i="8"/>
  <c r="I79" i="8" s="1"/>
  <c r="H80" i="8"/>
  <c r="I80" i="8" s="1"/>
  <c r="H76" i="8"/>
  <c r="I76" i="8" s="1"/>
  <c r="H78" i="8"/>
  <c r="I78" i="8" s="1"/>
  <c r="H89" i="8"/>
  <c r="I89" i="8" s="1"/>
  <c r="H333" i="8"/>
  <c r="I333" i="8" s="1"/>
  <c r="H206" i="8"/>
  <c r="I206" i="8" s="1"/>
  <c r="H346" i="8"/>
  <c r="I346" i="8" s="1"/>
  <c r="H41" i="8"/>
  <c r="I41" i="8" s="1"/>
  <c r="H26" i="8"/>
  <c r="I26" i="8" s="1"/>
  <c r="H27" i="8"/>
  <c r="I27" i="8" s="1"/>
  <c r="H68" i="8"/>
  <c r="I68" i="8" s="1"/>
  <c r="H54" i="8"/>
  <c r="I54" i="8" s="1"/>
  <c r="H53" i="8"/>
  <c r="I53" i="8" s="1"/>
  <c r="H55" i="8"/>
  <c r="I55" i="8" s="1"/>
  <c r="H52" i="8"/>
  <c r="I52" i="8" s="1"/>
  <c r="H56" i="8"/>
  <c r="I56" i="8" s="1"/>
  <c r="H348" i="8"/>
  <c r="I348" i="8" s="1"/>
  <c r="H345" i="8"/>
  <c r="I345" i="8" s="1"/>
  <c r="H175" i="8"/>
  <c r="I175" i="8" s="1"/>
  <c r="H174" i="8"/>
  <c r="I174" i="8" s="1"/>
  <c r="H176" i="8"/>
  <c r="I176" i="8" s="1"/>
  <c r="H156" i="8"/>
  <c r="I156" i="8" s="1"/>
  <c r="H350" i="8"/>
  <c r="I350" i="8" s="1"/>
  <c r="H149" i="8"/>
  <c r="I149" i="8" s="1"/>
  <c r="H150" i="8"/>
  <c r="I150" i="8" s="1"/>
  <c r="H245" i="8"/>
  <c r="I245" i="8" s="1"/>
  <c r="H126" i="8"/>
  <c r="I126" i="8" s="1"/>
  <c r="H33" i="8"/>
  <c r="I33" i="8" s="1"/>
  <c r="H243" i="8"/>
  <c r="I243" i="8" s="1"/>
  <c r="H29" i="8"/>
  <c r="I29" i="8" s="1"/>
  <c r="H16" i="8"/>
  <c r="I16" i="8" s="1"/>
  <c r="H22" i="8"/>
  <c r="I22" i="8" s="1"/>
  <c r="H23" i="8"/>
  <c r="I23" i="8" s="1"/>
  <c r="H24" i="8"/>
  <c r="I24" i="8" s="1"/>
  <c r="H318" i="8"/>
  <c r="I318" i="8" s="1"/>
  <c r="H124" i="8"/>
  <c r="I124" i="8" s="1"/>
  <c r="H123" i="8"/>
  <c r="I123" i="8" s="1"/>
  <c r="H121" i="8"/>
  <c r="I121" i="8" s="1"/>
  <c r="H122" i="8"/>
  <c r="I122" i="8" s="1"/>
  <c r="H119" i="8"/>
  <c r="I119" i="8" s="1"/>
  <c r="H118" i="8"/>
  <c r="I118" i="8" s="1"/>
  <c r="H127" i="8"/>
  <c r="I127" i="8" s="1"/>
  <c r="H12" i="8"/>
  <c r="I12" i="8" s="1"/>
  <c r="H338" i="8"/>
  <c r="I338" i="8" s="1"/>
  <c r="H178" i="8"/>
  <c r="I178" i="8" s="1"/>
  <c r="H339" i="8"/>
  <c r="I339" i="8" s="1"/>
  <c r="H340" i="8"/>
  <c r="I340" i="8" s="1"/>
  <c r="H25" i="8"/>
  <c r="I25" i="8" s="1"/>
  <c r="H21" i="8"/>
  <c r="I21" i="8" s="1"/>
  <c r="H28" i="8"/>
  <c r="I28" i="8" s="1"/>
  <c r="H30" i="8"/>
  <c r="I30" i="8" s="1"/>
  <c r="H117" i="8"/>
  <c r="I117" i="8" s="1"/>
  <c r="H341" i="8"/>
  <c r="I341" i="8" s="1"/>
  <c r="H337" i="8"/>
  <c r="I337" i="8" s="1"/>
  <c r="H172" i="8"/>
  <c r="I172" i="8" s="1"/>
  <c r="H171" i="8"/>
  <c r="I171" i="8" s="1"/>
  <c r="H170" i="8"/>
  <c r="I170" i="8" s="1"/>
  <c r="H94" i="8"/>
  <c r="I94" i="8" s="1"/>
  <c r="H113" i="8"/>
  <c r="I113" i="8" s="1"/>
  <c r="H239" i="8"/>
  <c r="I239" i="8" s="1"/>
  <c r="H257" i="8"/>
  <c r="I257" i="8" s="1"/>
  <c r="H242" i="8"/>
  <c r="I242" i="8" s="1"/>
  <c r="H142" i="8"/>
  <c r="I142" i="8" s="1"/>
  <c r="H141" i="8"/>
  <c r="I141" i="8" s="1"/>
  <c r="H164" i="8"/>
  <c r="I164" i="8" s="1"/>
  <c r="H167" i="8"/>
  <c r="I167" i="8" s="1"/>
  <c r="H250" i="8"/>
  <c r="I250" i="8" s="1"/>
  <c r="H255" i="8"/>
  <c r="I255" i="8" s="1"/>
  <c r="H238" i="8"/>
  <c r="I238" i="8" s="1"/>
  <c r="H248" i="8"/>
  <c r="I248" i="8" s="1"/>
  <c r="H252" i="8"/>
  <c r="I252" i="8" s="1"/>
  <c r="H240" i="8"/>
  <c r="I240" i="8" s="1"/>
  <c r="H144" i="8"/>
  <c r="I144" i="8" s="1"/>
  <c r="H145" i="8"/>
  <c r="I145" i="8" s="1"/>
  <c r="H328" i="8"/>
  <c r="I328" i="8" s="1"/>
  <c r="H331" i="8"/>
  <c r="I331" i="8" s="1"/>
  <c r="H329" i="8"/>
  <c r="I329" i="8" s="1"/>
  <c r="H332" i="8"/>
  <c r="I332" i="8" s="1"/>
  <c r="H334" i="8"/>
  <c r="I334" i="8" s="1"/>
  <c r="H335" i="8"/>
  <c r="I335" i="8" s="1"/>
  <c r="H324" i="8"/>
  <c r="I324" i="8" s="1"/>
  <c r="H325" i="8"/>
  <c r="I325" i="8" s="1"/>
  <c r="H323" i="8"/>
  <c r="I323" i="8" s="1"/>
  <c r="H321" i="8"/>
  <c r="I321" i="8" s="1"/>
  <c r="H320" i="8"/>
  <c r="I320" i="8" s="1"/>
  <c r="H322" i="8"/>
  <c r="I322" i="8" s="1"/>
  <c r="H326" i="8"/>
  <c r="I326" i="8" s="1"/>
  <c r="H312" i="8"/>
  <c r="I312" i="8" s="1"/>
  <c r="H311" i="8"/>
  <c r="I311" i="8" s="1"/>
  <c r="H314" i="8"/>
  <c r="I314" i="8" s="1"/>
  <c r="H310" i="8"/>
  <c r="I310" i="8" s="1"/>
  <c r="H313" i="8"/>
  <c r="I313" i="8" s="1"/>
  <c r="H316" i="8"/>
  <c r="I316" i="8" s="1"/>
  <c r="H315" i="8"/>
  <c r="I315" i="8" s="1"/>
  <c r="H317" i="8"/>
  <c r="I317" i="8" s="1"/>
  <c r="H304" i="8"/>
  <c r="I304" i="8" s="1"/>
  <c r="H303" i="8"/>
  <c r="I303" i="8" s="1"/>
  <c r="H302" i="8"/>
  <c r="I302" i="8" s="1"/>
  <c r="H306" i="8"/>
  <c r="I306" i="8" s="1"/>
  <c r="H305" i="8"/>
  <c r="I305" i="8" s="1"/>
  <c r="H308" i="8"/>
  <c r="I308" i="8" s="1"/>
  <c r="H301" i="8"/>
  <c r="I301" i="8" s="1"/>
  <c r="H300" i="8"/>
  <c r="I300" i="8" s="1"/>
  <c r="H293" i="8"/>
  <c r="I293" i="8" s="1"/>
  <c r="H291" i="8"/>
  <c r="I291" i="8" s="1"/>
  <c r="H294" i="8"/>
  <c r="I294" i="8" s="1"/>
  <c r="H297" i="8"/>
  <c r="I297" i="8" s="1"/>
  <c r="H292" i="8"/>
  <c r="I292" i="8" s="1"/>
  <c r="H295" i="8"/>
  <c r="I295" i="8" s="1"/>
  <c r="H296" i="8"/>
  <c r="I296" i="8" s="1"/>
  <c r="H298" i="8"/>
  <c r="I298" i="8" s="1"/>
  <c r="H286" i="8"/>
  <c r="I286" i="8" s="1"/>
  <c r="H285" i="8"/>
  <c r="I285" i="8" s="1"/>
  <c r="H284" i="8"/>
  <c r="I284" i="8" s="1"/>
  <c r="H281" i="8"/>
  <c r="I281" i="8" s="1"/>
  <c r="H277" i="8"/>
  <c r="I277" i="8" s="1"/>
  <c r="H280" i="8"/>
  <c r="I280" i="8" s="1"/>
  <c r="H275" i="8"/>
  <c r="I275" i="8" s="1"/>
  <c r="H271" i="8"/>
  <c r="I271" i="8" s="1"/>
  <c r="H272" i="8"/>
  <c r="I272" i="8" s="1"/>
  <c r="H267" i="8"/>
  <c r="I267" i="8" s="1"/>
  <c r="H266" i="8"/>
  <c r="I266" i="8" s="1"/>
  <c r="H268" i="8"/>
  <c r="I268" i="8" s="1"/>
  <c r="H269" i="8"/>
  <c r="I269" i="8" s="1"/>
  <c r="H254" i="8"/>
  <c r="I254" i="8" s="1"/>
  <c r="H249" i="8"/>
  <c r="I249" i="8" s="1"/>
  <c r="H253" i="8"/>
  <c r="I253" i="8" s="1"/>
  <c r="H256" i="8"/>
  <c r="I256" i="8" s="1"/>
  <c r="H246" i="8"/>
  <c r="I246" i="8" s="1"/>
  <c r="H258" i="8"/>
  <c r="I258" i="8" s="1"/>
  <c r="H244" i="8"/>
  <c r="I244" i="8" s="1"/>
  <c r="H259" i="8"/>
  <c r="I259" i="8" s="1"/>
  <c r="H260" i="8"/>
  <c r="I260" i="8" s="1"/>
  <c r="H261" i="8"/>
  <c r="I261" i="8" s="1"/>
  <c r="H225" i="8"/>
  <c r="I225" i="8" s="1"/>
  <c r="H221" i="8"/>
  <c r="I221" i="8" s="1"/>
  <c r="H219" i="8"/>
  <c r="I219" i="8" s="1"/>
  <c r="H222" i="8"/>
  <c r="I222" i="8" s="1"/>
  <c r="H218" i="8"/>
  <c r="I218" i="8" s="1"/>
  <c r="H223" i="8"/>
  <c r="I223" i="8" s="1"/>
  <c r="H215" i="8"/>
  <c r="I215" i="8" s="1"/>
  <c r="H220" i="8"/>
  <c r="I220" i="8" s="1"/>
  <c r="H224" i="8"/>
  <c r="I224" i="8" s="1"/>
  <c r="H229" i="8"/>
  <c r="I229" i="8" s="1"/>
  <c r="H234" i="8"/>
  <c r="I234" i="8" s="1"/>
  <c r="H230" i="8"/>
  <c r="I230" i="8" s="1"/>
  <c r="H228" i="8"/>
  <c r="I228" i="8" s="1"/>
  <c r="H231" i="8"/>
  <c r="I231" i="8" s="1"/>
  <c r="H227" i="8"/>
  <c r="I227" i="8" s="1"/>
  <c r="H226" i="8"/>
  <c r="I226" i="8" s="1"/>
  <c r="H212" i="8"/>
  <c r="I212" i="8" s="1"/>
  <c r="H208" i="8"/>
  <c r="I208" i="8" s="1"/>
  <c r="H205" i="8"/>
  <c r="I205" i="8" s="1"/>
  <c r="H209" i="8"/>
  <c r="I209" i="8" s="1"/>
  <c r="H207" i="8"/>
  <c r="I207" i="8" s="1"/>
  <c r="H210" i="8"/>
  <c r="I210" i="8" s="1"/>
  <c r="H200" i="8"/>
  <c r="I200" i="8" s="1"/>
  <c r="H181" i="8"/>
  <c r="I181" i="8" s="1"/>
  <c r="H201" i="8"/>
  <c r="I201" i="8" s="1"/>
  <c r="H180" i="8"/>
  <c r="I180" i="8" s="1"/>
  <c r="H168" i="8"/>
  <c r="I168" i="8" s="1"/>
  <c r="H165" i="8"/>
  <c r="I165" i="8" s="1"/>
  <c r="H163" i="8"/>
  <c r="I163" i="8" s="1"/>
  <c r="H160" i="8"/>
  <c r="I160" i="8" s="1"/>
  <c r="H158" i="8"/>
  <c r="I158" i="8" s="1"/>
  <c r="H148" i="8"/>
  <c r="I148" i="8" s="1"/>
  <c r="H100" i="8"/>
  <c r="I100" i="8" s="1"/>
  <c r="H139" i="8"/>
  <c r="I139" i="8" s="1"/>
  <c r="H140" i="8"/>
  <c r="I140" i="8" s="1"/>
  <c r="H133" i="8"/>
  <c r="I133" i="8" s="1"/>
  <c r="H125" i="8"/>
  <c r="I125" i="8" s="1"/>
  <c r="H116" i="8"/>
  <c r="I116" i="8" s="1"/>
  <c r="H110" i="8"/>
  <c r="I110" i="8" s="1"/>
  <c r="H107" i="8"/>
  <c r="I107" i="8" s="1"/>
  <c r="H108" i="8"/>
  <c r="I108" i="8" s="1"/>
  <c r="H105" i="8"/>
  <c r="I105" i="8" s="1"/>
  <c r="H112" i="8"/>
  <c r="I112" i="8" s="1"/>
  <c r="H237" i="8"/>
  <c r="I237" i="8" s="1"/>
  <c r="H97" i="8"/>
  <c r="I97" i="8" s="1"/>
  <c r="H98" i="8"/>
  <c r="I98" i="8" s="1"/>
  <c r="H73" i="8"/>
  <c r="I73" i="8" s="1"/>
  <c r="H71" i="8"/>
  <c r="I71" i="8" s="1"/>
  <c r="H72" i="8"/>
  <c r="I72" i="8" s="1"/>
  <c r="H74" i="8"/>
  <c r="I74" i="8" s="1"/>
  <c r="H60" i="8"/>
  <c r="I60" i="8" s="1"/>
  <c r="H59" i="8"/>
  <c r="I59" i="8" s="1"/>
  <c r="H58" i="8"/>
  <c r="I58" i="8" s="1"/>
  <c r="H62" i="8"/>
  <c r="I62" i="8" s="1"/>
  <c r="H44" i="8"/>
  <c r="I44" i="8" s="1"/>
  <c r="H40" i="8"/>
  <c r="I40" i="8" s="1"/>
  <c r="H39" i="8"/>
  <c r="I39" i="8" s="1"/>
  <c r="H32" i="8"/>
  <c r="I32" i="8" s="1"/>
  <c r="H18" i="8"/>
  <c r="I18" i="8" s="1"/>
  <c r="H17" i="8"/>
  <c r="I17" i="8" s="1"/>
  <c r="H15" i="8"/>
  <c r="I15" i="8" s="1"/>
  <c r="H19" i="8"/>
  <c r="I19" i="8" s="1"/>
  <c r="H11" i="8"/>
  <c r="I11" i="8" s="1"/>
  <c r="H35" i="8"/>
  <c r="I35" i="8" s="1"/>
  <c r="H36" i="8"/>
  <c r="I36" i="8" s="1"/>
  <c r="H264" i="8"/>
  <c r="I264" i="8" s="1"/>
  <c r="H136" i="8"/>
  <c r="I136" i="8" s="1"/>
  <c r="H69" i="8"/>
  <c r="I69" i="8" s="1"/>
  <c r="H67" i="8"/>
  <c r="I67" i="8" s="1"/>
  <c r="H10" i="8"/>
  <c r="I10" i="8" s="1"/>
  <c r="H34" i="8"/>
  <c r="I34" i="8" s="1"/>
  <c r="H351" i="8"/>
  <c r="I351" i="8" s="1"/>
  <c r="H14" i="8"/>
  <c r="I14" i="8" s="1"/>
  <c r="H13" i="8"/>
  <c r="I13" i="8" s="1"/>
  <c r="H65" i="8"/>
  <c r="I65" i="8" s="1"/>
  <c r="H9" i="8"/>
  <c r="I9" i="8" s="1"/>
  <c r="H66" i="8"/>
  <c r="I66" i="8" s="1"/>
  <c r="H8" i="8"/>
  <c r="I8" i="8" s="1"/>
  <c r="H7" i="8"/>
  <c r="A17" i="7"/>
  <c r="E27" i="6" s="1"/>
  <c r="I128" i="8" l="1"/>
  <c r="J130" i="8" s="1"/>
  <c r="I103" i="8"/>
  <c r="I344" i="8"/>
  <c r="C47" i="16" s="1"/>
  <c r="I213" i="8"/>
  <c r="I161" i="8"/>
  <c r="J176" i="8" s="1"/>
  <c r="I235" i="8"/>
  <c r="J239" i="8" s="1"/>
  <c r="I20" i="8"/>
  <c r="J27" i="8" s="1"/>
  <c r="I37" i="8"/>
  <c r="I327" i="8"/>
  <c r="J333" i="8" s="1"/>
  <c r="I262" i="8"/>
  <c r="J274" i="8" s="1"/>
  <c r="I203" i="8"/>
  <c r="J206" i="8" s="1"/>
  <c r="I114" i="8"/>
  <c r="I31" i="8"/>
  <c r="I349" i="8"/>
  <c r="I7" i="8"/>
  <c r="J347" i="8" l="1"/>
  <c r="J348" i="8"/>
  <c r="J345" i="8"/>
  <c r="J346" i="8"/>
  <c r="J42" i="8"/>
  <c r="J43" i="8"/>
  <c r="J84" i="8"/>
  <c r="J61" i="8"/>
  <c r="J330" i="8"/>
  <c r="J217" i="8"/>
  <c r="J232" i="8"/>
  <c r="J216" i="8"/>
  <c r="J133" i="8"/>
  <c r="J278" i="8"/>
  <c r="J279" i="8"/>
  <c r="J41" i="8"/>
  <c r="J48" i="8"/>
  <c r="J49" i="8"/>
  <c r="J50" i="8"/>
  <c r="J46" i="8"/>
  <c r="J47" i="8"/>
  <c r="J129" i="8"/>
  <c r="J131" i="8"/>
  <c r="C23" i="16"/>
  <c r="J132" i="8"/>
  <c r="J85" i="8"/>
  <c r="J82" i="8"/>
  <c r="J83" i="8"/>
  <c r="J81" i="8"/>
  <c r="J24" i="8"/>
  <c r="J26" i="8"/>
  <c r="J56" i="8"/>
  <c r="J54" i="8"/>
  <c r="J53" i="8"/>
  <c r="J55" i="8"/>
  <c r="J52" i="8"/>
  <c r="P47" i="16"/>
  <c r="I47" i="16"/>
  <c r="L47" i="16"/>
  <c r="H47" i="16"/>
  <c r="K47" i="16"/>
  <c r="O47" i="16"/>
  <c r="N47" i="16"/>
  <c r="G47" i="16"/>
  <c r="J47" i="16"/>
  <c r="M47" i="16"/>
  <c r="J175" i="8"/>
  <c r="J174" i="8"/>
  <c r="J257" i="8"/>
  <c r="J250" i="8"/>
  <c r="J258" i="8"/>
  <c r="J238" i="8"/>
  <c r="J260" i="8"/>
  <c r="J249" i="8"/>
  <c r="J237" i="8"/>
  <c r="J255" i="8"/>
  <c r="J259" i="8"/>
  <c r="J246" i="8"/>
  <c r="J240" i="8"/>
  <c r="J243" i="8"/>
  <c r="J252" i="8"/>
  <c r="J245" i="8"/>
  <c r="J254" i="8"/>
  <c r="J248" i="8"/>
  <c r="J256" i="8"/>
  <c r="J242" i="8"/>
  <c r="J244" i="8"/>
  <c r="J253" i="8"/>
  <c r="J261" i="8"/>
  <c r="J350" i="8"/>
  <c r="J21" i="8"/>
  <c r="J28" i="8"/>
  <c r="J23" i="8"/>
  <c r="J22" i="8"/>
  <c r="J25" i="8"/>
  <c r="J30" i="8"/>
  <c r="J29" i="8"/>
  <c r="J170" i="8"/>
  <c r="J33" i="8"/>
  <c r="J123" i="8"/>
  <c r="J126" i="8"/>
  <c r="J118" i="8"/>
  <c r="J124" i="8"/>
  <c r="J121" i="8"/>
  <c r="J122" i="8"/>
  <c r="J119" i="8"/>
  <c r="J127" i="8"/>
  <c r="J178" i="8"/>
  <c r="J117" i="8"/>
  <c r="J172" i="8"/>
  <c r="J171" i="8"/>
  <c r="J62" i="8"/>
  <c r="J110" i="8"/>
  <c r="J113" i="8"/>
  <c r="J167" i="8"/>
  <c r="J164" i="8"/>
  <c r="J335" i="8"/>
  <c r="J328" i="8"/>
  <c r="J331" i="8"/>
  <c r="J329" i="8"/>
  <c r="J332" i="8"/>
  <c r="J334" i="8"/>
  <c r="J281" i="8"/>
  <c r="J277" i="8"/>
  <c r="J280" i="8"/>
  <c r="J275" i="8"/>
  <c r="J271" i="8"/>
  <c r="J272" i="8"/>
  <c r="J267" i="8"/>
  <c r="J266" i="8"/>
  <c r="J268" i="8"/>
  <c r="J269" i="8"/>
  <c r="J212" i="8"/>
  <c r="J208" i="8"/>
  <c r="J205" i="8"/>
  <c r="J209" i="8"/>
  <c r="J207" i="8"/>
  <c r="J210" i="8"/>
  <c r="J108" i="8"/>
  <c r="J107" i="8"/>
  <c r="J105" i="8"/>
  <c r="J112" i="8"/>
  <c r="J60" i="8"/>
  <c r="J59" i="8"/>
  <c r="J58" i="8"/>
  <c r="J44" i="8"/>
  <c r="J40" i="8"/>
  <c r="J39" i="8"/>
  <c r="J264" i="8"/>
  <c r="C43" i="16"/>
  <c r="C35" i="16"/>
  <c r="C39" i="16"/>
  <c r="J351" i="8"/>
  <c r="I6" i="8"/>
  <c r="J128" i="8" l="1"/>
  <c r="J344" i="8"/>
  <c r="J203" i="8"/>
  <c r="J103" i="8"/>
  <c r="J12" i="8"/>
  <c r="J16" i="8"/>
  <c r="J20" i="8"/>
  <c r="J37" i="8"/>
  <c r="J327" i="8"/>
  <c r="J262" i="8"/>
  <c r="J18" i="8"/>
  <c r="J17" i="8"/>
  <c r="J19" i="8"/>
  <c r="J15" i="8"/>
  <c r="J11" i="8"/>
  <c r="L35" i="16"/>
  <c r="K35" i="16"/>
  <c r="J35" i="16"/>
  <c r="N35" i="16"/>
  <c r="G35" i="16"/>
  <c r="I35" i="16"/>
  <c r="H35" i="16"/>
  <c r="M35" i="16"/>
  <c r="J43" i="16"/>
  <c r="I43" i="16"/>
  <c r="N43" i="16"/>
  <c r="H43" i="16"/>
  <c r="K43" i="16"/>
  <c r="M43" i="16"/>
  <c r="G43" i="16"/>
  <c r="L43" i="16"/>
  <c r="N39" i="16"/>
  <c r="H39" i="16"/>
  <c r="J39" i="16"/>
  <c r="M39" i="16"/>
  <c r="G39" i="16"/>
  <c r="L39" i="16"/>
  <c r="K39" i="16"/>
  <c r="I39" i="16"/>
  <c r="O43" i="16"/>
  <c r="P43" i="16"/>
  <c r="O35" i="16"/>
  <c r="P35" i="16"/>
  <c r="P39" i="16"/>
  <c r="O39" i="16"/>
  <c r="J14" i="8"/>
  <c r="J10" i="8"/>
  <c r="J13" i="8"/>
  <c r="J9" i="8"/>
  <c r="J8" i="8"/>
  <c r="J7" i="8"/>
  <c r="C7" i="16"/>
  <c r="L7" i="16" l="1"/>
  <c r="M7" i="16"/>
  <c r="H7" i="16"/>
  <c r="N7" i="16"/>
  <c r="K7" i="16"/>
  <c r="I7" i="16"/>
  <c r="J7" i="16"/>
  <c r="J6" i="8"/>
  <c r="O7" i="16"/>
  <c r="P7" i="16"/>
  <c r="G7" i="16"/>
  <c r="C11" i="16" l="1"/>
  <c r="L11" i="16" l="1"/>
  <c r="K11" i="16"/>
  <c r="N11" i="16"/>
  <c r="J11" i="16"/>
  <c r="H11" i="16"/>
  <c r="G11" i="16"/>
  <c r="I11" i="16"/>
  <c r="M11" i="16"/>
  <c r="O11" i="16" l="1"/>
  <c r="P11" i="16"/>
  <c r="J349" i="8" l="1"/>
  <c r="C21" i="16" l="1"/>
  <c r="N21" i="16" l="1"/>
  <c r="H21" i="16"/>
  <c r="M21" i="16"/>
  <c r="G21" i="16"/>
  <c r="L21" i="16"/>
  <c r="J21" i="16"/>
  <c r="I21" i="16"/>
  <c r="K21" i="16"/>
  <c r="P21" i="16"/>
  <c r="O21" i="16"/>
  <c r="D137" i="8" l="1"/>
  <c r="D92" i="8"/>
  <c r="E137" i="8"/>
  <c r="G92" i="8"/>
  <c r="H92" i="8" s="1"/>
  <c r="I92" i="8" s="1"/>
  <c r="E92" i="8"/>
  <c r="G137" i="8"/>
  <c r="H137" i="8" s="1"/>
  <c r="I137" i="8" s="1"/>
  <c r="I90" i="8" l="1"/>
  <c r="G669" i="14"/>
  <c r="G732" i="14"/>
  <c r="B669" i="14"/>
  <c r="B732" i="14"/>
  <c r="G927" i="14"/>
  <c r="G901" i="14"/>
  <c r="B927" i="14"/>
  <c r="B901" i="14"/>
  <c r="J116" i="8"/>
  <c r="J125" i="8"/>
  <c r="C19" i="16"/>
  <c r="J102" i="8" l="1"/>
  <c r="J95" i="8"/>
  <c r="J100" i="8"/>
  <c r="J97" i="8"/>
  <c r="J98" i="8"/>
  <c r="J94" i="8"/>
  <c r="J114" i="8"/>
  <c r="C13" i="16"/>
  <c r="N19" i="16"/>
  <c r="G19" i="16"/>
  <c r="P19" i="16"/>
  <c r="M19" i="16"/>
  <c r="J19" i="16"/>
  <c r="I19" i="16"/>
  <c r="O19" i="16"/>
  <c r="K19" i="16"/>
  <c r="H19" i="16"/>
  <c r="L19" i="16"/>
  <c r="N13" i="16" l="1"/>
  <c r="O13" i="16"/>
  <c r="M13" i="16"/>
  <c r="L13" i="16"/>
  <c r="G13" i="16"/>
  <c r="K13" i="16"/>
  <c r="I13" i="16"/>
  <c r="J13" i="16"/>
  <c r="H13" i="16"/>
  <c r="P13" i="16"/>
  <c r="G202" i="8" l="1"/>
  <c r="H202" i="8" s="1"/>
  <c r="I202" i="8" s="1"/>
  <c r="I179" i="8" s="1"/>
  <c r="D202" i="8"/>
  <c r="B1152" i="14" s="1"/>
  <c r="E202" i="8"/>
  <c r="G1152" i="14" s="1"/>
  <c r="G1092" i="14" l="1"/>
  <c r="B1092" i="14"/>
  <c r="J198" i="8"/>
  <c r="J197" i="8"/>
  <c r="J195" i="8"/>
  <c r="J196" i="8"/>
  <c r="J187" i="8"/>
  <c r="J186" i="8"/>
  <c r="J184" i="8"/>
  <c r="J185" i="8"/>
  <c r="J182" i="8"/>
  <c r="J183" i="8"/>
  <c r="J192" i="8"/>
  <c r="J191" i="8"/>
  <c r="J190" i="8"/>
  <c r="J188" i="8"/>
  <c r="J189" i="8"/>
  <c r="J193" i="8"/>
  <c r="J199" i="8"/>
  <c r="J194" i="8"/>
  <c r="C31" i="16"/>
  <c r="B1051" i="14"/>
  <c r="G1051" i="14"/>
  <c r="D287" i="8"/>
  <c r="B1423" i="14" s="1"/>
  <c r="E287" i="8"/>
  <c r="G1423" i="14" s="1"/>
  <c r="E289" i="8"/>
  <c r="G289" i="8"/>
  <c r="H289" i="8" s="1"/>
  <c r="I289" i="8" s="1"/>
  <c r="D289" i="8"/>
  <c r="G287" i="8"/>
  <c r="H287" i="8" s="1"/>
  <c r="I287" i="8" s="1"/>
  <c r="B1577" i="14"/>
  <c r="H343" i="8"/>
  <c r="I343" i="8" s="1"/>
  <c r="I336" i="8" s="1"/>
  <c r="J342" i="8" l="1"/>
  <c r="B1426" i="14"/>
  <c r="B1429" i="14"/>
  <c r="G1426" i="14"/>
  <c r="G1429" i="14"/>
  <c r="N31" i="16"/>
  <c r="O31" i="16"/>
  <c r="P31" i="16"/>
  <c r="H31" i="16"/>
  <c r="J31" i="16"/>
  <c r="G31" i="16"/>
  <c r="K31" i="16"/>
  <c r="I31" i="16"/>
  <c r="M31" i="16"/>
  <c r="L31" i="16"/>
  <c r="J338" i="8"/>
  <c r="J341" i="8"/>
  <c r="J340" i="8"/>
  <c r="J339" i="8"/>
  <c r="J337" i="8"/>
  <c r="I282" i="8"/>
  <c r="J224" i="8"/>
  <c r="J220" i="8"/>
  <c r="J215" i="8"/>
  <c r="J223" i="8"/>
  <c r="J218" i="8"/>
  <c r="J222" i="8"/>
  <c r="J225" i="8"/>
  <c r="J219" i="8"/>
  <c r="J221" i="8"/>
  <c r="J226" i="8"/>
  <c r="J228" i="8"/>
  <c r="J227" i="8"/>
  <c r="J231" i="8"/>
  <c r="J230" i="8"/>
  <c r="J234" i="8"/>
  <c r="J229" i="8"/>
  <c r="J180" i="8"/>
  <c r="J201" i="8"/>
  <c r="J200" i="8"/>
  <c r="J181" i="8"/>
  <c r="C49" i="16"/>
  <c r="C33" i="16"/>
  <c r="C45" i="16"/>
  <c r="C29" i="16"/>
  <c r="J202" i="8"/>
  <c r="J288" i="8" l="1"/>
  <c r="J307" i="8"/>
  <c r="J213" i="8"/>
  <c r="J318" i="8"/>
  <c r="J343" i="8"/>
  <c r="J336" i="8" s="1"/>
  <c r="J320" i="8"/>
  <c r="J325" i="8"/>
  <c r="J326" i="8"/>
  <c r="J323" i="8"/>
  <c r="J321" i="8"/>
  <c r="J324" i="8"/>
  <c r="J322" i="8"/>
  <c r="J317" i="8"/>
  <c r="J311" i="8"/>
  <c r="J310" i="8"/>
  <c r="J315" i="8"/>
  <c r="J314" i="8"/>
  <c r="J313" i="8"/>
  <c r="J312" i="8"/>
  <c r="J316" i="8"/>
  <c r="J301" i="8"/>
  <c r="J303" i="8"/>
  <c r="J304" i="8"/>
  <c r="J302" i="8"/>
  <c r="J306" i="8"/>
  <c r="J308" i="8"/>
  <c r="J300" i="8"/>
  <c r="J305" i="8"/>
  <c r="J296" i="8"/>
  <c r="J295" i="8"/>
  <c r="J291" i="8"/>
  <c r="J292" i="8"/>
  <c r="J297" i="8"/>
  <c r="J294" i="8"/>
  <c r="J293" i="8"/>
  <c r="J298" i="8"/>
  <c r="J284" i="8"/>
  <c r="J285" i="8"/>
  <c r="J286" i="8"/>
  <c r="J179" i="8"/>
  <c r="J163" i="8"/>
  <c r="J165" i="8"/>
  <c r="J168" i="8"/>
  <c r="J32" i="8"/>
  <c r="J36" i="8"/>
  <c r="J35" i="8"/>
  <c r="C37" i="16"/>
  <c r="G37" i="16" s="1"/>
  <c r="J287" i="8"/>
  <c r="J34" i="8"/>
  <c r="C9" i="16"/>
  <c r="J289" i="8"/>
  <c r="C41" i="16"/>
  <c r="M33" i="16"/>
  <c r="G33" i="16"/>
  <c r="N33" i="16"/>
  <c r="I33" i="16"/>
  <c r="K33" i="16"/>
  <c r="J33" i="16"/>
  <c r="O33" i="16"/>
  <c r="P33" i="16"/>
  <c r="H33" i="16"/>
  <c r="L33" i="16"/>
  <c r="H45" i="16"/>
  <c r="P45" i="16"/>
  <c r="K45" i="16"/>
  <c r="J45" i="16"/>
  <c r="M45" i="16"/>
  <c r="O45" i="16"/>
  <c r="G45" i="16"/>
  <c r="L45" i="16"/>
  <c r="N45" i="16"/>
  <c r="I45" i="16"/>
  <c r="I29" i="16"/>
  <c r="H29" i="16"/>
  <c r="K29" i="16"/>
  <c r="L29" i="16"/>
  <c r="J29" i="16"/>
  <c r="M29" i="16"/>
  <c r="O29" i="16"/>
  <c r="N29" i="16"/>
  <c r="P29" i="16"/>
  <c r="G29" i="16"/>
  <c r="L49" i="16"/>
  <c r="O49" i="16"/>
  <c r="I49" i="16"/>
  <c r="N49" i="16"/>
  <c r="G49" i="16"/>
  <c r="H49" i="16"/>
  <c r="K49" i="16"/>
  <c r="P49" i="16"/>
  <c r="J49" i="16"/>
  <c r="M49" i="16"/>
  <c r="J161" i="8" l="1"/>
  <c r="J282" i="8"/>
  <c r="J31" i="8"/>
  <c r="N37" i="16"/>
  <c r="K37" i="16"/>
  <c r="P37" i="16"/>
  <c r="J37" i="16"/>
  <c r="H37" i="16"/>
  <c r="O37" i="16"/>
  <c r="L37" i="16"/>
  <c r="I37" i="16"/>
  <c r="M37" i="16"/>
  <c r="H9" i="16"/>
  <c r="I9" i="16"/>
  <c r="J9" i="16"/>
  <c r="M9" i="16"/>
  <c r="L9" i="16"/>
  <c r="G9" i="16"/>
  <c r="N9" i="16"/>
  <c r="K9" i="16"/>
  <c r="P9" i="16"/>
  <c r="O9" i="16"/>
  <c r="G41" i="16"/>
  <c r="O41" i="16"/>
  <c r="N41" i="16"/>
  <c r="I41" i="16"/>
  <c r="L41" i="16"/>
  <c r="J41" i="16"/>
  <c r="H41" i="16"/>
  <c r="K41" i="16"/>
  <c r="M41" i="16"/>
  <c r="P41" i="16"/>
  <c r="E155" i="8" l="1"/>
  <c r="G155" i="8"/>
  <c r="H155" i="8" s="1"/>
  <c r="I155" i="8" s="1"/>
  <c r="G999" i="14" l="1"/>
  <c r="G996" i="14"/>
  <c r="D155" i="8"/>
  <c r="B996" i="14" s="1"/>
  <c r="B999" i="14" l="1"/>
  <c r="I146" i="8"/>
  <c r="J152" i="8" l="1"/>
  <c r="J157" i="8"/>
  <c r="J159" i="8"/>
  <c r="J151" i="8"/>
  <c r="J153" i="8"/>
  <c r="J156" i="8"/>
  <c r="J149" i="8"/>
  <c r="J150" i="8"/>
  <c r="C27" i="16"/>
  <c r="K27" i="16" s="1"/>
  <c r="I134" i="8"/>
  <c r="J158" i="8"/>
  <c r="J160" i="8"/>
  <c r="J148" i="8"/>
  <c r="J155" i="8"/>
  <c r="M27" i="16" l="1"/>
  <c r="P27" i="16"/>
  <c r="J27" i="16"/>
  <c r="O27" i="16"/>
  <c r="N27" i="16"/>
  <c r="G27" i="16"/>
  <c r="L27" i="16"/>
  <c r="C25" i="16"/>
  <c r="G25" i="16" s="1"/>
  <c r="H27" i="16"/>
  <c r="I27" i="16"/>
  <c r="C17" i="16"/>
  <c r="J235" i="8"/>
  <c r="J92" i="8"/>
  <c r="J90" i="8" s="1"/>
  <c r="J136" i="8"/>
  <c r="J142" i="8"/>
  <c r="J140" i="8"/>
  <c r="J139" i="8"/>
  <c r="J145" i="8"/>
  <c r="J144" i="8"/>
  <c r="J137" i="8"/>
  <c r="J141" i="8"/>
  <c r="J146" i="8"/>
  <c r="K25" i="16" l="1"/>
  <c r="L25" i="16"/>
  <c r="P25" i="16"/>
  <c r="J25" i="16"/>
  <c r="H25" i="16"/>
  <c r="M25" i="16"/>
  <c r="O25" i="16"/>
  <c r="I25" i="16"/>
  <c r="N25" i="16"/>
  <c r="H17" i="16"/>
  <c r="K17" i="16"/>
  <c r="P17" i="16"/>
  <c r="L17" i="16"/>
  <c r="M17" i="16"/>
  <c r="N17" i="16"/>
  <c r="O17" i="16"/>
  <c r="J17" i="16"/>
  <c r="I17" i="16"/>
  <c r="G17" i="16"/>
  <c r="N23" i="16"/>
  <c r="J23" i="16"/>
  <c r="M23" i="16"/>
  <c r="G23" i="16"/>
  <c r="I23" i="16"/>
  <c r="H23" i="16"/>
  <c r="P23" i="16"/>
  <c r="K23" i="16"/>
  <c r="L23" i="16"/>
  <c r="O23" i="16"/>
  <c r="J134" i="8"/>
  <c r="H652" i="14" l="1"/>
  <c r="F87" i="8" s="1"/>
  <c r="I87" i="8" s="1"/>
  <c r="H647" i="14"/>
  <c r="F86" i="8" s="1"/>
  <c r="I86" i="8" s="1"/>
  <c r="I63" i="8" l="1"/>
  <c r="J68" i="8" l="1"/>
  <c r="J80" i="8"/>
  <c r="J72" i="8"/>
  <c r="J65" i="8"/>
  <c r="J88" i="8"/>
  <c r="J87" i="8"/>
  <c r="J66" i="8"/>
  <c r="I352" i="8"/>
  <c r="C15" i="16"/>
  <c r="J89" i="8"/>
  <c r="J71" i="8"/>
  <c r="J67" i="8"/>
  <c r="J74" i="8"/>
  <c r="J78" i="8"/>
  <c r="J79" i="8"/>
  <c r="J73" i="8"/>
  <c r="J69" i="8"/>
  <c r="J76" i="8"/>
  <c r="J86" i="8"/>
  <c r="J63" i="8" l="1"/>
  <c r="H15" i="16"/>
  <c r="H50" i="16" s="1"/>
  <c r="K15" i="16"/>
  <c r="K50" i="16" s="1"/>
  <c r="C50" i="16"/>
  <c r="P15" i="16"/>
  <c r="P50" i="16" s="1"/>
  <c r="J15" i="16"/>
  <c r="J50" i="16" s="1"/>
  <c r="N15" i="16"/>
  <c r="N50" i="16" s="1"/>
  <c r="M15" i="16"/>
  <c r="M50" i="16" s="1"/>
  <c r="G15" i="16"/>
  <c r="G50" i="16" s="1"/>
  <c r="O15" i="16"/>
  <c r="O50" i="16" s="1"/>
  <c r="L15" i="16"/>
  <c r="L50" i="16" s="1"/>
  <c r="I15" i="16"/>
  <c r="I50" i="16" s="1"/>
  <c r="C14" i="16" l="1"/>
  <c r="F51" i="16"/>
  <c r="F53" i="16" s="1"/>
  <c r="D51" i="16"/>
  <c r="D53" i="16" s="1"/>
  <c r="E51" i="16"/>
  <c r="E53" i="16" s="1"/>
  <c r="J51" i="16"/>
  <c r="O51" i="16"/>
  <c r="P51" i="16"/>
  <c r="I51" i="16"/>
  <c r="C26" i="16"/>
  <c r="C40" i="16"/>
  <c r="C16" i="16"/>
  <c r="C28" i="16"/>
  <c r="C8" i="16"/>
  <c r="C48" i="16"/>
  <c r="C18" i="16"/>
  <c r="C46" i="16"/>
  <c r="C34" i="16"/>
  <c r="C22" i="16"/>
  <c r="C32" i="16"/>
  <c r="C10" i="16"/>
  <c r="C42" i="16"/>
  <c r="C6" i="16"/>
  <c r="C24" i="16"/>
  <c r="C30" i="16"/>
  <c r="C12" i="16"/>
  <c r="C20" i="16"/>
  <c r="C36" i="16"/>
  <c r="C44" i="16"/>
  <c r="C38" i="16"/>
  <c r="G51" i="16"/>
  <c r="G53" i="16" s="1"/>
  <c r="G52" i="16"/>
  <c r="H52" i="16" s="1"/>
  <c r="I52" i="16" s="1"/>
  <c r="J52" i="16" s="1"/>
  <c r="K52" i="16" s="1"/>
  <c r="L52" i="16" s="1"/>
  <c r="M52" i="16" s="1"/>
  <c r="N52" i="16" s="1"/>
  <c r="O52" i="16" s="1"/>
  <c r="P52" i="16" s="1"/>
  <c r="M51" i="16"/>
  <c r="K51" i="16"/>
  <c r="L51" i="16"/>
  <c r="N51" i="16"/>
  <c r="H51" i="16"/>
  <c r="H53" i="16" l="1"/>
  <c r="I53" i="16" s="1"/>
  <c r="J53" i="16" s="1"/>
  <c r="K53" i="16" s="1"/>
  <c r="L53" i="16" s="1"/>
  <c r="M53" i="16" s="1"/>
  <c r="N53" i="16" s="1"/>
  <c r="O53" i="16" s="1"/>
  <c r="P53" i="16" s="1"/>
  <c r="C51"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0700-000001000000}">
      <text>
        <r>
          <rPr>
            <sz val="9"/>
            <color rgb="FF000000"/>
            <rFont val="Liberation Sans"/>
            <family val="2"/>
          </rPr>
          <t>Nome do Orgão  ou Empresa Executante</t>
        </r>
      </text>
    </comment>
    <comment ref="B6" authorId="0" shapeId="0" xr:uid="{00000000-0006-0000-0700-000002000000}">
      <text>
        <r>
          <rPr>
            <b/>
            <sz val="9"/>
            <color rgb="FF000000"/>
            <rFont val="Liberation Sans"/>
            <family val="2"/>
          </rPr>
          <t>Escolha</t>
        </r>
        <r>
          <rPr>
            <b/>
            <sz val="9"/>
            <color rgb="FF000000"/>
            <rFont val="Liberation Sans"/>
            <family val="2"/>
          </rPr>
          <t xml:space="preserve">
</t>
        </r>
      </text>
    </comment>
    <comment ref="B8" authorId="0" shapeId="0" xr:uid="{00000000-0006-0000-0700-00000300000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0" authorId="0" shapeId="0" xr:uid="{00000000-0006-0000-0700-00000400000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1" authorId="0" shapeId="0" xr:uid="{00000000-0006-0000-0700-00000500000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13" authorId="0" shapeId="0" xr:uid="{00000000-0006-0000-0700-00000600000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15" authorId="0" shapeId="0" xr:uid="{00000000-0006-0000-0700-00000700000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18" authorId="0" shapeId="0" xr:uid="{00000000-0006-0000-0700-00000800000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23" authorId="0" shapeId="0" xr:uid="{00000000-0006-0000-0700-000009000000}">
      <text>
        <r>
          <rPr>
            <sz val="10"/>
            <color rgb="FF000000"/>
            <rFont val="Liberation Sans"/>
            <family val="2"/>
          </rPr>
          <t>COFINS (Contribuição para Financiamento da Seguridade Socia Financia a seguridade social pelo sistema S (SESC, SESI, SENAC, SENAI, SEST, SENAT, SENAR E SEBRAE).</t>
        </r>
      </text>
    </comment>
    <comment ref="C24" authorId="0" shapeId="0" xr:uid="{00000000-0006-0000-0700-00000A00000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<sst xmlns="http://schemas.openxmlformats.org/spreadsheetml/2006/main" count="43303" uniqueCount="19129">
  <si>
    <t>2</t>
  </si>
  <si>
    <t>3</t>
  </si>
  <si>
    <t>5</t>
  </si>
  <si>
    <t>CODIGO  DA COMPOSICAO</t>
  </si>
  <si>
    <t>DESCRICAO DA COMPOSICAO</t>
  </si>
  <si>
    <t>UNIDADE</t>
  </si>
  <si>
    <t>M</t>
  </si>
  <si>
    <t>UN</t>
  </si>
  <si>
    <t>KG</t>
  </si>
  <si>
    <t>M2</t>
  </si>
  <si>
    <t>H</t>
  </si>
  <si>
    <t>COBERTURA</t>
  </si>
  <si>
    <t>M3</t>
  </si>
  <si>
    <t>DISJUNTORES</t>
  </si>
  <si>
    <t>TRANSFORMADORES</t>
  </si>
  <si>
    <t>MOVIMENTO DE TERRA</t>
  </si>
  <si>
    <t>ML</t>
  </si>
  <si>
    <t>L</t>
  </si>
  <si>
    <t xml:space="preserve">CODIGO  </t>
  </si>
  <si>
    <t>DESCRICAO DO INSUMO</t>
  </si>
  <si>
    <t>ORIGEM DO PRECO</t>
  </si>
  <si>
    <t xml:space="preserve">  PRECO MEDIANO R$</t>
  </si>
  <si>
    <t>PAR</t>
  </si>
  <si>
    <t>CJ</t>
  </si>
  <si>
    <t>GASOLINA COMUM</t>
  </si>
  <si>
    <t>MASSA PARA VIDRO</t>
  </si>
  <si>
    <t>OLEO DE LINHACA</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</si>
  <si>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</si>
  <si>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</si>
  <si>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</si>
  <si>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</si>
  <si>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</si>
  <si>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</si>
  <si>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</si>
  <si>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</si>
  <si>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</si>
  <si>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</si>
  <si>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</si>
  <si>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</si>
  <si>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</si>
  <si>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</si>
  <si>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</si>
  <si>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</si>
  <si>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</si>
  <si>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</si>
  <si>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</si>
  <si>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</si>
  <si>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</si>
  <si>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</si>
  <si>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</si>
  <si>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</si>
  <si>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</si>
  <si>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</si>
  <si>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</si>
  <si>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</si>
  <si>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</si>
  <si>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</si>
  <si>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</si>
  <si>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</si>
  <si>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</si>
  <si>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</si>
  <si>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</si>
  <si>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</si>
  <si>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</si>
  <si>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</si>
  <si>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</si>
  <si>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</si>
  <si>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</si>
  <si>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</si>
  <si>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</si>
  <si>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</si>
  <si>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</si>
  <si>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</si>
  <si>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</si>
  <si>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</si>
  <si>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</si>
  <si>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</si>
  <si>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</si>
  <si>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</si>
  <si>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</si>
  <si>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</si>
  <si>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</si>
  <si>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</si>
  <si>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</si>
  <si>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</si>
  <si>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</si>
  <si>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</si>
  <si>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</si>
  <si>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</si>
  <si>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</si>
  <si>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</si>
  <si>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</si>
  <si>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</si>
  <si>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</si>
  <si>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</si>
  <si>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</si>
  <si>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</si>
  <si>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</si>
  <si>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</si>
  <si>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</si>
  <si>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</si>
  <si>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</si>
  <si>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</si>
  <si>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</si>
  <si>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</si>
  <si>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</si>
  <si>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</si>
  <si>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</si>
  <si>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</si>
  <si>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</si>
  <si>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</si>
  <si>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</si>
  <si>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</si>
  <si>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</si>
  <si>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</si>
  <si>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</si>
  <si>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</si>
  <si>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</si>
  <si>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</si>
  <si>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</si>
  <si>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</si>
  <si>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</si>
  <si>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</si>
  <si>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</si>
  <si>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</si>
  <si>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</si>
  <si>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</si>
  <si>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</si>
  <si>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</si>
  <si>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</si>
  <si>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</si>
  <si>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</si>
  <si>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</si>
  <si>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</si>
  <si>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</si>
  <si>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</si>
  <si>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</si>
  <si>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</si>
  <si>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</si>
  <si>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</si>
  <si>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</si>
  <si>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</si>
  <si>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</si>
  <si>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</si>
  <si>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</si>
  <si>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</si>
  <si>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</si>
  <si>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</si>
  <si>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</si>
  <si>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</si>
  <si>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</si>
  <si>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</si>
  <si>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</si>
  <si>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</si>
  <si>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</si>
  <si>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</si>
  <si>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</si>
  <si>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</si>
  <si>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</si>
  <si>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</si>
  <si>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</si>
  <si>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</si>
  <si>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</si>
  <si>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</si>
  <si>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</si>
  <si>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</si>
  <si>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</si>
  <si>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</si>
  <si>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</si>
  <si>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</si>
  <si>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</si>
  <si>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</si>
  <si>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</si>
  <si>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</si>
  <si>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</si>
  <si>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</si>
  <si>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</si>
  <si>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</si>
  <si>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</si>
  <si>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</si>
  <si>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</si>
  <si>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</si>
  <si>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</si>
  <si>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</si>
  <si>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</si>
  <si>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</si>
  <si>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</si>
  <si>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</si>
  <si>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</si>
  <si>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</si>
  <si>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</si>
  <si>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</si>
  <si>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</si>
  <si>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</si>
  <si>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</si>
  <si>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</si>
  <si>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</si>
  <si>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</si>
  <si>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</si>
  <si>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</si>
  <si>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</si>
  <si>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</si>
  <si>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</si>
  <si>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</si>
  <si>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</si>
  <si>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</si>
  <si>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</si>
  <si>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</si>
  <si>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</si>
  <si>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</si>
  <si>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</si>
  <si>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</si>
  <si>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</si>
  <si>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</si>
  <si>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</si>
  <si>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</si>
  <si>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</si>
  <si>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</si>
  <si>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</si>
  <si>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</si>
  <si>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</si>
  <si>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</si>
  <si>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</si>
  <si>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</si>
  <si>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</si>
  <si>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</si>
  <si>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</si>
  <si>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</si>
  <si>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</si>
  <si>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</si>
  <si>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</si>
  <si>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</si>
  <si>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</si>
  <si>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</si>
  <si>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</si>
  <si>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</si>
  <si>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</si>
  <si>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</si>
  <si>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</si>
  <si>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</si>
  <si>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</si>
  <si>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</si>
  <si>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</si>
  <si>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</si>
  <si>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</si>
  <si>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</si>
  <si>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</si>
  <si>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</si>
  <si>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</si>
  <si>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</si>
  <si>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</si>
  <si>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</si>
  <si>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</si>
  <si>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</si>
  <si>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</si>
  <si>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</si>
  <si>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</si>
  <si>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</si>
  <si>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</si>
  <si>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</si>
  <si>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</si>
  <si>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</si>
  <si>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</si>
  <si>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</si>
  <si>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</si>
  <si>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</si>
  <si>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</si>
  <si>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</si>
  <si>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</si>
  <si>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</si>
  <si>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</si>
  <si>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</si>
  <si>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</si>
  <si>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</si>
  <si>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</si>
  <si>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</si>
  <si>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</si>
  <si>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</si>
  <si>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</si>
  <si>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</si>
  <si>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</si>
  <si>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</si>
  <si>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</si>
  <si>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</si>
  <si>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</si>
  <si>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</si>
  <si>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</si>
  <si>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</si>
  <si>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</si>
  <si>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</si>
  <si>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</si>
  <si>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</si>
  <si>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</si>
  <si>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</si>
  <si>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</si>
  <si>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</si>
  <si>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</si>
  <si>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</si>
  <si>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</si>
  <si>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</si>
  <si>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</si>
  <si>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</si>
  <si>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</si>
  <si>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</si>
  <si>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</si>
  <si>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</si>
  <si>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</si>
  <si>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</si>
  <si>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</si>
  <si>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</si>
  <si>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</si>
  <si>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</si>
  <si>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</si>
  <si>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</si>
  <si>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</si>
  <si>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</si>
  <si>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</si>
  <si>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</si>
  <si>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</si>
  <si>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</si>
  <si>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</si>
  <si>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</si>
  <si>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</si>
  <si>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</si>
  <si>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</si>
  <si>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</si>
  <si>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</si>
  <si>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</si>
  <si>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</si>
  <si>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</si>
  <si>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</si>
  <si>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</si>
  <si>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</si>
  <si>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</si>
  <si>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</si>
  <si>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</si>
  <si>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</si>
  <si>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</si>
  <si>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</si>
  <si>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</si>
  <si>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</si>
  <si>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</si>
  <si>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</si>
  <si>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</si>
  <si>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</si>
  <si>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</si>
  <si>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</si>
  <si>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</si>
  <si>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</si>
  <si>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</si>
  <si>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</si>
  <si>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</si>
  <si>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</si>
  <si>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</si>
  <si>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</si>
  <si>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</si>
  <si>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</si>
  <si>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</si>
  <si>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</si>
  <si>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</si>
  <si>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</si>
  <si>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</si>
  <si>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</si>
  <si>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</si>
  <si>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</si>
  <si>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</si>
  <si>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</si>
  <si>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</si>
  <si>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</si>
  <si>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</si>
  <si>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</si>
  <si>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</si>
  <si>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</si>
  <si>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</si>
  <si>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</si>
  <si>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</si>
  <si>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</si>
  <si>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</si>
  <si>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</si>
  <si>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</si>
  <si>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</si>
  <si>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</si>
  <si>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</si>
  <si>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</si>
  <si>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</si>
  <si>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</si>
  <si>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</si>
  <si>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</si>
  <si>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</si>
  <si>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</si>
  <si>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</si>
  <si>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</si>
  <si>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</si>
  <si>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</si>
  <si>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</si>
  <si>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</si>
  <si>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</si>
  <si>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</si>
  <si>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</si>
  <si>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</si>
  <si>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</si>
  <si>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</si>
  <si>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</si>
  <si>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</si>
  <si>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</si>
  <si>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</si>
  <si>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</si>
  <si>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</si>
  <si>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</si>
  <si>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</si>
  <si>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</si>
  <si>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</si>
  <si>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</si>
  <si>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</si>
  <si>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</si>
  <si>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</si>
  <si>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</si>
  <si>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</si>
  <si>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</si>
  <si>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</si>
  <si>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</si>
  <si>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</si>
  <si>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</si>
  <si>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</si>
  <si>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</si>
  <si>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</si>
  <si>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</si>
  <si>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</si>
  <si>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</si>
  <si>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</si>
  <si>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</si>
  <si>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</si>
  <si>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</si>
  <si>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</si>
  <si>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</si>
  <si>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</si>
  <si>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</si>
  <si>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</si>
  <si>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</si>
  <si>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</si>
  <si>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</si>
  <si>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</si>
  <si>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</si>
  <si>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</si>
  <si>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</si>
  <si>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</si>
  <si>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</si>
  <si>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</si>
  <si>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</si>
  <si>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</si>
  <si>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</si>
  <si>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</si>
  <si>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</si>
  <si>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</si>
  <si>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</si>
  <si>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</si>
  <si>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</si>
  <si>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</si>
  <si>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</si>
  <si>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</si>
  <si>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</si>
  <si>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</si>
  <si>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</si>
  <si>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</si>
  <si>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</si>
  <si>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</si>
  <si>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</si>
  <si>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</si>
  <si>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</si>
  <si>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</si>
  <si>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</si>
  <si>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</si>
  <si>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</si>
  <si>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</si>
  <si>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</si>
  <si>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</si>
  <si>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</si>
  <si>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</si>
  <si>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</si>
  <si>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</si>
  <si>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</si>
  <si>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</si>
  <si>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</si>
  <si>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</si>
  <si>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</si>
  <si>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</si>
  <si>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</si>
  <si>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</si>
  <si>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</si>
  <si>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</si>
  <si>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</si>
  <si>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</si>
  <si>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</si>
  <si>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</si>
  <si>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</si>
  <si>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</si>
  <si>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</si>
  <si>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</si>
  <si>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</si>
  <si>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</si>
  <si>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</si>
  <si>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</si>
  <si>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</si>
  <si>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</si>
  <si>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</si>
  <si>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</si>
  <si>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</si>
  <si>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</si>
  <si>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</si>
  <si>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</si>
  <si>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</si>
  <si>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</si>
  <si>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</si>
  <si>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</si>
  <si>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</si>
  <si>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</si>
  <si>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</si>
  <si>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</si>
  <si>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</si>
  <si>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</si>
  <si>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</si>
  <si>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</si>
  <si>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</si>
  <si>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</si>
  <si>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</si>
  <si>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</si>
  <si>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</si>
  <si>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</si>
  <si>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</si>
  <si>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</si>
  <si>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</si>
  <si>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</si>
  <si>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</si>
  <si>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</si>
  <si>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</si>
  <si>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</si>
  <si>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</si>
  <si>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</si>
  <si>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</si>
  <si>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</si>
  <si>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</si>
  <si>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</si>
  <si>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</si>
  <si>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</si>
  <si>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</si>
  <si>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</si>
  <si>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</si>
  <si>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</si>
  <si>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</si>
  <si>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</si>
  <si>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</si>
  <si>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</si>
  <si>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</si>
  <si>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</si>
  <si>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</si>
  <si>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</si>
  <si>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</si>
  <si>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</si>
  <si>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</si>
  <si>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</si>
  <si>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</si>
  <si>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</si>
  <si>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</si>
  <si>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</si>
  <si>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</si>
  <si>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</si>
  <si>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</si>
  <si>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</si>
  <si>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</si>
  <si>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</si>
  <si>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</si>
  <si>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</si>
  <si>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</si>
  <si>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</si>
  <si>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</si>
  <si>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</si>
  <si>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</si>
  <si>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</si>
  <si>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</si>
  <si>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</si>
  <si>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</si>
  <si>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</si>
  <si>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</si>
  <si>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</si>
  <si>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</si>
  <si>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</si>
  <si>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</si>
  <si>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</si>
  <si>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</si>
  <si>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</si>
  <si>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</si>
  <si>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</si>
  <si>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</si>
  <si>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</si>
  <si>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</si>
  <si>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</si>
  <si>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</si>
  <si>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</si>
  <si>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</si>
  <si>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</si>
  <si>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</si>
  <si>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</si>
  <si>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</si>
  <si>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</si>
  <si>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</si>
  <si>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</si>
  <si>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</si>
  <si>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</si>
  <si>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</si>
  <si>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</si>
  <si>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</si>
  <si>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</si>
  <si>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</si>
  <si>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</si>
  <si>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</si>
  <si>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</si>
  <si>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</si>
  <si>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</si>
  <si>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</si>
  <si>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</si>
  <si>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</si>
  <si>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</si>
  <si>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</si>
  <si>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</si>
  <si>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</si>
  <si>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</si>
  <si>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</si>
  <si>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</si>
  <si>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</si>
  <si>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</si>
  <si>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</si>
  <si>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</si>
  <si>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</si>
  <si>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</si>
  <si>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</si>
  <si>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</si>
  <si>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</si>
  <si>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</si>
  <si>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</si>
  <si>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</si>
  <si>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</si>
  <si>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</si>
  <si>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</si>
  <si>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</si>
  <si>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</si>
  <si>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</si>
  <si>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</si>
  <si>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</si>
  <si>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</si>
  <si>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</si>
  <si>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</si>
  <si>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</si>
  <si>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</si>
  <si>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</si>
  <si>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</si>
  <si>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</si>
  <si>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</si>
  <si>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</si>
  <si>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</si>
  <si>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</si>
  <si>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</si>
  <si>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</si>
  <si>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</si>
  <si>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</si>
  <si>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</si>
  <si>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</si>
  <si>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</si>
  <si>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</si>
  <si>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</si>
  <si>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</si>
  <si>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</si>
  <si>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</si>
  <si>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</si>
  <si>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</si>
  <si>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</si>
  <si>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</si>
  <si>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</si>
  <si>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</si>
  <si>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</si>
  <si>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</si>
  <si>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</si>
  <si>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</si>
  <si>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</si>
  <si>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</si>
  <si>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</si>
  <si>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</si>
  <si>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</si>
  <si>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</si>
  <si>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</si>
  <si>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</si>
  <si>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</si>
  <si>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</si>
  <si>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</si>
  <si>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</si>
  <si>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</si>
  <si>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</si>
  <si>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</si>
  <si>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</si>
  <si>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</si>
  <si>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</si>
  <si>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</si>
  <si>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</si>
  <si>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</si>
  <si>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</si>
  <si>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</si>
  <si>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</si>
  <si>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</si>
  <si>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</si>
  <si>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</si>
  <si>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</si>
  <si>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</si>
  <si>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</si>
  <si>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</si>
  <si>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</si>
  <si>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</si>
  <si>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</si>
  <si>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</si>
  <si>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</si>
  <si>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</si>
  <si>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</si>
  <si>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</si>
  <si>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</si>
  <si>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</si>
  <si>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</si>
  <si>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</si>
  <si>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</si>
  <si>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</si>
  <si>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</si>
  <si>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</si>
  <si>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</si>
  <si>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</si>
  <si>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</si>
  <si>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</si>
  <si>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</si>
  <si>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</si>
  <si>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</si>
  <si>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</si>
  <si>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</si>
  <si>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</si>
  <si>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</si>
  <si>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</si>
  <si>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</si>
  <si>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</si>
  <si>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</si>
  <si>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</si>
  <si>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</si>
  <si>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</si>
  <si>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</si>
  <si>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</si>
  <si>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</si>
  <si>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</si>
  <si>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</si>
  <si>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</si>
  <si>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</si>
  <si>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</si>
  <si>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</si>
  <si>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</si>
  <si>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</si>
  <si>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</si>
  <si>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</si>
  <si>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</si>
  <si>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</si>
  <si>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</si>
  <si>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</si>
  <si>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</si>
  <si>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</si>
  <si>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</si>
  <si>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</si>
  <si>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</si>
  <si>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</si>
  <si>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</si>
  <si>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</si>
  <si>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</si>
  <si>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</si>
  <si>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</si>
  <si>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</si>
  <si>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</si>
  <si>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</si>
  <si>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</si>
  <si>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</si>
  <si>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</si>
  <si>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</si>
  <si>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</si>
  <si>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</si>
  <si>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</si>
  <si>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</si>
  <si>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</si>
  <si>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</si>
  <si>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</si>
  <si>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</si>
  <si>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</si>
  <si>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</si>
  <si>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</si>
  <si>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</si>
  <si>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</si>
  <si>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</si>
  <si>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</si>
  <si>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óleo, marcas de referência Suvinil, Coral ou Metalatex</t>
  </si>
  <si>
    <t>Emassamento de paredes e forros, com duas demãos de massa acrílica, marcas de referência Suvinil, Coral ou Metalatex</t>
  </si>
  <si>
    <t>Pintura com nata de cimento sobre superfície áspera a três demãos</t>
  </si>
  <si>
    <t>Pintura de superfície metálica com uma demão de primer Epoxi e duas demãos de tinta à base de Epoxi</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</si>
  <si>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</si>
  <si>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</si>
  <si>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</si>
  <si>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</si>
  <si>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</si>
  <si>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</si>
  <si>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</si>
  <si>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</si>
  <si>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</si>
  <si>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</si>
  <si>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</si>
  <si>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</si>
  <si>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</si>
  <si>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</si>
  <si>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</si>
  <si>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</si>
  <si>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</si>
  <si>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</si>
  <si>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</si>
  <si>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</si>
  <si>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</si>
  <si>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</si>
  <si>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</si>
  <si>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</si>
  <si>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</si>
  <si>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</si>
  <si>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</si>
  <si>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</si>
  <si>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</si>
  <si>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</si>
  <si>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</si>
  <si>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</si>
  <si>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</si>
  <si>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</si>
  <si>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</si>
  <si>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</si>
  <si>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</si>
  <si>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</si>
  <si>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</si>
  <si>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</si>
  <si>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</si>
  <si>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</si>
  <si>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</si>
  <si>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</si>
  <si>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</si>
  <si>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</si>
  <si>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</si>
  <si>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</si>
  <si>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</si>
  <si>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</si>
  <si>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</si>
  <si>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</si>
  <si>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</si>
  <si>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</si>
  <si>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</si>
  <si>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</si>
  <si>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</si>
  <si>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</si>
  <si>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</si>
  <si>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</si>
  <si>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</si>
  <si>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</si>
  <si>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</si>
  <si>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</si>
  <si>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</si>
  <si>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</si>
  <si>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</si>
  <si>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</si>
  <si>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</si>
  <si>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</si>
  <si>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</si>
  <si>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</si>
  <si>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</si>
  <si>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</si>
  <si>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</si>
  <si>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</si>
  <si>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</si>
  <si>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</si>
  <si>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</si>
  <si>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</si>
  <si>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</si>
  <si>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</si>
  <si>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</si>
  <si>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</si>
  <si>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</si>
  <si>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</si>
  <si>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</si>
  <si>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</si>
  <si>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</si>
  <si>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</si>
  <si>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</si>
  <si>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</si>
  <si>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</si>
  <si>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</si>
  <si>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</si>
  <si>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</si>
  <si>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t>%</t>
  </si>
  <si>
    <t>4 – Incidências sobre o preço de venda</t>
  </si>
  <si>
    <t>Despesas Tributárias - I</t>
  </si>
  <si>
    <t>Percentual da base de cálculo para o ISS:</t>
  </si>
  <si>
    <t>Alíquota do ISS (sobre a base de cálculo):</t>
  </si>
  <si>
    <t>COFINS</t>
  </si>
  <si>
    <t>PIS</t>
  </si>
  <si>
    <t>INSS</t>
  </si>
  <si>
    <t>5 – Demonstrativo de cálculo do BDI</t>
  </si>
  <si>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</si>
  <si>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</si>
  <si>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</si>
  <si>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</si>
  <si>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</si>
  <si>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</si>
  <si>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</si>
  <si>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</si>
  <si>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</si>
  <si>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</si>
  <si>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</si>
  <si>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</si>
  <si>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</si>
  <si>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</si>
  <si>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</si>
  <si>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</si>
  <si>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ITEM</t>
  </si>
  <si>
    <t>FONTE</t>
  </si>
  <si>
    <t>ESPECIFICAÇÃO DO SERVIÇO</t>
  </si>
  <si>
    <t>QUANT.</t>
  </si>
  <si>
    <t>SERVIÇOS PRELIMINARES</t>
  </si>
  <si>
    <t>CESAN</t>
  </si>
  <si>
    <t>SINAPI</t>
  </si>
  <si>
    <t>COMP</t>
  </si>
  <si>
    <t>MERC</t>
  </si>
  <si>
    <t>SERVIÇO</t>
  </si>
  <si>
    <t>FUNÇÃO</t>
  </si>
  <si>
    <t>PREÇO</t>
  </si>
  <si>
    <t>DESCRIÇÃO</t>
  </si>
  <si>
    <t>TIPO</t>
  </si>
  <si>
    <t>ÓRGÃO</t>
  </si>
  <si>
    <t>Código</t>
  </si>
  <si>
    <t>Descrição</t>
  </si>
  <si>
    <t>Und.</t>
  </si>
  <si>
    <t>Preço</t>
  </si>
  <si>
    <t>INSUMOS DE MAO DE OBRA</t>
  </si>
  <si>
    <t>MAO DE OBRA (SALARIOS)</t>
  </si>
  <si>
    <t>MAO DE OBRA (SALARIOS) - CONTINUACAO</t>
  </si>
  <si>
    <t>TOPOGRAFO - (TECNICO 2O GRAU NIVEL C)</t>
  </si>
  <si>
    <t>Categoria: Material</t>
  </si>
  <si>
    <t>INSUMOS BASICOS - CIVIL</t>
  </si>
  <si>
    <t>ELEMENTOS ESTRUTURAIS PRE-MOLDADOS</t>
  </si>
  <si>
    <t>MOURAO RETO DE CONCRETO BASE 10X10CM H=2.50M</t>
  </si>
  <si>
    <t>AGREGADOS, AGLOMERANTES, MISTURADOS</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</si>
  <si>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</si>
  <si>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</si>
  <si>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</si>
  <si>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</si>
  <si>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</si>
  <si>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</si>
  <si>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</si>
  <si>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</si>
  <si>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</si>
  <si>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</si>
  <si>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</si>
  <si>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</si>
  <si>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</si>
  <si>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</si>
  <si>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</si>
  <si>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</si>
  <si>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</si>
  <si>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</si>
  <si>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</si>
  <si>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</si>
  <si>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</si>
  <si>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</si>
  <si>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</si>
  <si>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</si>
  <si>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</si>
  <si>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</si>
  <si>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</si>
  <si>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</si>
  <si>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</si>
  <si>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</si>
  <si>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</si>
  <si>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</si>
  <si>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</si>
  <si>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</si>
  <si>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</si>
  <si>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</si>
  <si>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</si>
  <si>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</si>
  <si>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</si>
  <si>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</si>
  <si>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</si>
  <si>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</si>
  <si>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</si>
  <si>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</si>
  <si>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</si>
  <si>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</si>
  <si>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</si>
  <si>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</si>
  <si>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</si>
  <si>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</si>
  <si>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</si>
  <si>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</si>
  <si>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</si>
  <si>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</si>
  <si>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</si>
  <si>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</si>
  <si>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</si>
  <si>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</si>
  <si>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</si>
  <si>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</si>
  <si>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</si>
  <si>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</si>
  <si>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</si>
  <si>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</si>
  <si>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</si>
  <si>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</si>
  <si>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</si>
  <si>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</si>
  <si>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</si>
  <si>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</si>
  <si>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</si>
  <si>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</si>
  <si>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</si>
  <si>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</si>
  <si>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</si>
  <si>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</si>
  <si>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</si>
  <si>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</si>
  <si>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</si>
  <si>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</si>
  <si>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VEDACAO (ELEMENTOS VAZADOS)</t>
  </si>
  <si>
    <t>COBOGO DE CONCRETO TIPO RETO 20 X 20 X 10 CM - 4 FUROS</t>
  </si>
  <si>
    <t>COBOGO DE CONCRETO TIPO RETO 10 X 40 X 40CM - 9 FUROS</t>
  </si>
  <si>
    <t>VEDACAO (DIVISORIAS)</t>
  </si>
  <si>
    <t>GRANITO CINZA ANDORINHA E = 3 CM POLIDO NOS DOIS LADOS</t>
  </si>
  <si>
    <t>MATERIAIS PARA IMPERMEABILIZACAO</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</si>
  <si>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</si>
  <si>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</si>
  <si>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</si>
  <si>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</si>
  <si>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</si>
  <si>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</si>
  <si>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MATERIAIS PARA IMPERMEABILIZACAO (CONT.)</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</si>
  <si>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</si>
  <si>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</si>
  <si>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</si>
  <si>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</si>
  <si>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</si>
  <si>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</si>
  <si>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</si>
  <si>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</si>
  <si>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</si>
  <si>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</si>
  <si>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</si>
  <si>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</si>
  <si>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</si>
  <si>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</si>
  <si>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TELHAS (ELEMENTOS DE ARREMATE)</t>
  </si>
  <si>
    <t>RUFO EM ALUMINIO ESP. 0.5 MM LARGURA 30 CM</t>
  </si>
  <si>
    <t>CUMEEIRA FIBROCIMENTO NORMAL (ONDULADA)</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</si>
  <si>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</si>
  <si>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</si>
  <si>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</si>
  <si>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</si>
  <si>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</si>
  <si>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</si>
  <si>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</si>
  <si>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</si>
  <si>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</si>
  <si>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</si>
  <si>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</si>
  <si>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</si>
  <si>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</si>
  <si>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</si>
  <si>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</si>
  <si>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</si>
  <si>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</si>
  <si>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</si>
  <si>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</si>
  <si>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</si>
  <si>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</si>
  <si>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</si>
  <si>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</si>
  <si>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</si>
  <si>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</si>
  <si>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</si>
  <si>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</si>
  <si>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</si>
  <si>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</si>
  <si>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</si>
  <si>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</si>
  <si>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</si>
  <si>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</si>
  <si>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</si>
  <si>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</si>
  <si>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</si>
  <si>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ELEMENTOS DE FIXAÇÃO - CONTINUAÇÃO</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</si>
  <si>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</si>
  <si>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</si>
  <si>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</si>
  <si>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</si>
  <si>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</si>
  <si>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</si>
  <si>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</si>
  <si>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</si>
  <si>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</si>
  <si>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</si>
  <si>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</si>
  <si>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</si>
  <si>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</si>
  <si>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</si>
  <si>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</si>
  <si>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</si>
  <si>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</si>
  <si>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</si>
  <si>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</si>
  <si>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</si>
  <si>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</si>
  <si>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</si>
  <si>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</si>
  <si>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</si>
  <si>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</si>
  <si>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</si>
  <si>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</si>
  <si>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</si>
  <si>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</si>
  <si>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</si>
  <si>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</si>
  <si>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</si>
  <si>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</si>
  <si>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</si>
  <si>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</si>
  <si>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</si>
  <si>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</si>
  <si>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</si>
  <si>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</si>
  <si>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</si>
  <si>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</si>
  <si>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</si>
  <si>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</si>
  <si>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</si>
  <si>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</si>
  <si>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</si>
  <si>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</si>
  <si>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</si>
  <si>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</si>
  <si>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</si>
  <si>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</si>
  <si>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</si>
  <si>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</si>
  <si>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</si>
  <si>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</si>
  <si>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</si>
  <si>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</si>
  <si>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</si>
  <si>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</si>
  <si>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</si>
  <si>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</si>
  <si>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</si>
  <si>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</si>
  <si>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</si>
  <si>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</si>
  <si>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</si>
  <si>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</si>
  <si>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</si>
  <si>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</si>
  <si>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JANELA DE CORRER ALUMINIO ANOD. NATURAL LINHA 25/SUPREMA</t>
  </si>
  <si>
    <t>FERRAGENS PARA ESQUADRIAS</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</si>
  <si>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</si>
  <si>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</si>
  <si>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</si>
  <si>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</si>
  <si>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</si>
  <si>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</si>
  <si>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</si>
  <si>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</si>
  <si>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</si>
  <si>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</si>
  <si>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</si>
  <si>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</si>
  <si>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</si>
  <si>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</si>
  <si>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</si>
  <si>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</si>
  <si>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</si>
  <si>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</si>
  <si>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</si>
  <si>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</si>
  <si>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</si>
  <si>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</si>
  <si>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</si>
  <si>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</si>
  <si>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</si>
  <si>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</si>
  <si>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</si>
  <si>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</si>
  <si>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</si>
  <si>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</si>
  <si>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</si>
  <si>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</si>
  <si>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</si>
  <si>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</si>
  <si>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RODA PAREDE GRAN CINZA AND 7X2CM ACAB 2 LADOS</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</si>
  <si>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</si>
  <si>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</si>
  <si>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</si>
  <si>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</si>
  <si>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</si>
  <si>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</si>
  <si>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</si>
  <si>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</si>
  <si>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</si>
  <si>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</si>
  <si>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</si>
  <si>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</si>
  <si>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</si>
  <si>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</si>
  <si>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</si>
  <si>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</si>
  <si>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</si>
  <si>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PORCELANATO POL ACET 60X60CM CIMENTO CINZA BOLD</t>
  </si>
  <si>
    <t>PORCELANTO NATURAL ACETINADO 60X60CM PLATINA NA</t>
  </si>
  <si>
    <t>FERRAGENS PARA ESQUADRIAS (CONTINUAÇÃO)</t>
  </si>
  <si>
    <t>GONZO DIAM 1" (MACHO/FEMEA) PARA PORTÃO (DE SOBREPOR)</t>
  </si>
  <si>
    <t>PISOS (MADEIRA, PLÁSTICOS, ETC)</t>
  </si>
  <si>
    <t>AGREGADO DE ALTA RESISTENCIA PARA PISOS</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</si>
  <si>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</si>
  <si>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</si>
  <si>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</si>
  <si>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</si>
  <si>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</si>
  <si>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</si>
  <si>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</si>
  <si>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</si>
  <si>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</si>
  <si>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</si>
  <si>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PISOS (ELEMENTOS DE ARREMATE) - CONT.</t>
  </si>
  <si>
    <t>RODAPE MARMORE BRANCO H=7CM</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</si>
  <si>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</si>
  <si>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</si>
  <si>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</si>
  <si>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</si>
  <si>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</si>
  <si>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</si>
  <si>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VIDROS E ACESSORIOS</t>
  </si>
  <si>
    <t>VIDRO MINI-BOREAL ESP.4MM, COLOCADO</t>
  </si>
  <si>
    <t>ESPELHO PRATA ESPESSURA 4 MM</t>
  </si>
  <si>
    <t>BOTAO FRANCES P/FIXACAO DE ESPELHOS, CROMADO</t>
  </si>
  <si>
    <t>VIDROS E ACESSORIOS (CONTINUAÇÃO)</t>
  </si>
  <si>
    <t>VIDRO ARAMADO ESP. 6MM, COLOCADO</t>
  </si>
  <si>
    <t>TINTAS (CONT.)</t>
  </si>
  <si>
    <t>TINTA A BASE DE EMULSAO ACRILICA (PARA PISOS)</t>
  </si>
  <si>
    <t>SELADOR ACRILICO</t>
  </si>
  <si>
    <t>SOLVENTE PARA TINTA A BASE DE EPOXI</t>
  </si>
  <si>
    <t>TINTA PARA PISOS</t>
  </si>
  <si>
    <t>VERNIZES E OUTROS MATERIAIS PARA PINTURA</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</si>
  <si>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</si>
  <si>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</si>
  <si>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</si>
  <si>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</si>
  <si>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</si>
  <si>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</si>
  <si>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</si>
  <si>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</si>
  <si>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</si>
  <si>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</si>
  <si>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</si>
  <si>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</si>
  <si>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</si>
  <si>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PAISAGISMO</t>
  </si>
  <si>
    <t>GRAMA EM PLACAS TIPO ESMERALDA</t>
  </si>
  <si>
    <t>TERRA VEGETAL</t>
  </si>
  <si>
    <t>ACIDO MURIATICO</t>
  </si>
  <si>
    <t>MASSA PLASTICA</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</si>
  <si>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</si>
  <si>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</si>
  <si>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</si>
  <si>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</si>
  <si>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</si>
  <si>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</si>
  <si>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</si>
  <si>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</si>
  <si>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</si>
  <si>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</si>
  <si>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</si>
  <si>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REVESTIMENTOS (PEDRAS NATURAIS) - CONTINUAÇÃO</t>
  </si>
  <si>
    <t>GRANITO CINZA ANDORINHA ESP 2CM POLIDO NAS DUAS FACES</t>
  </si>
  <si>
    <t>INSUMOS DE ELETRICA</t>
  </si>
  <si>
    <t>POSTES</t>
  </si>
  <si>
    <t>POSTE CIRC.CONCRETO ALT.MONT.11M/300KG,PAD ESCELSA</t>
  </si>
  <si>
    <t>POSTE CIRCULAR DE CONCRETO 11M/600KG</t>
  </si>
  <si>
    <t>POSTE (CONT)</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</si>
  <si>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</si>
  <si>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</si>
  <si>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</si>
  <si>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</si>
  <si>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</si>
  <si>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</si>
  <si>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</si>
  <si>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</si>
  <si>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</si>
  <si>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P/FIO 10MM2</t>
  </si>
  <si>
    <t>CONECTOR PORCELANA 3P P/FIO 6MM2</t>
  </si>
  <si>
    <t>CONECTOR PORCELANA 3P P/ FIO 4MM2</t>
  </si>
  <si>
    <t>ARMACAO SECUNDARIA 2 ESTRIBOS COM HASTE 16X150MM</t>
  </si>
  <si>
    <t>PARA-RAIOS - ACESSORIOS</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</si>
  <si>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</si>
  <si>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</si>
  <si>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</si>
  <si>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</si>
  <si>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</si>
  <si>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</si>
  <si>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</si>
  <si>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</si>
  <si>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</si>
  <si>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</si>
  <si>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</si>
  <si>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</si>
  <si>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</si>
  <si>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</si>
  <si>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</si>
  <si>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</si>
  <si>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</si>
  <si>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</si>
  <si>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</si>
  <si>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ELETRODUTOS (AÇO ESMALTADO E CONEXÕES)</t>
  </si>
  <si>
    <t>REDUÇÃO DE FERRO GALVANIZADO Ø 50X32MM (2X1 1/4")</t>
  </si>
  <si>
    <t>CAIXAS DE PASSAGEM E ECONDULETES (CONTINUAÇÃO)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</si>
  <si>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</si>
  <si>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</si>
  <si>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</si>
  <si>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</si>
  <si>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</si>
  <si>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</si>
  <si>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</si>
  <si>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</si>
  <si>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</si>
  <si>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</si>
  <si>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</si>
  <si>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</si>
  <si>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</si>
  <si>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</si>
  <si>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</si>
  <si>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</si>
  <si>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</si>
  <si>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</si>
  <si>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</si>
  <si>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</si>
  <si>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</si>
  <si>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</si>
  <si>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</si>
  <si>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</si>
  <si>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</si>
  <si>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</si>
  <si>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</si>
  <si>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</si>
  <si>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</si>
  <si>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</si>
  <si>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</si>
  <si>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</si>
  <si>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</si>
  <si>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</si>
  <si>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</si>
  <si>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FIOS E CABOS (CONTINUAÇÃO)</t>
  </si>
  <si>
    <t>CABO COBRE UNIPOLAR 25 MM2 ISOLAMENTO 15KV</t>
  </si>
  <si>
    <t>CABO UTP 4 PARES CAT 5E</t>
  </si>
  <si>
    <t>CABO FLEX ISOL. TERMOPLAST. 750V - 10MM2 - 70º</t>
  </si>
  <si>
    <t>CABO DE COBRE UNIPOLAR 35 MM2 COM ISOLAMENTO 15KV</t>
  </si>
  <si>
    <t>FIO DE COBRE RECOZIDO Nº 6 P/ AMARRAÇÃO</t>
  </si>
  <si>
    <t>FIOS E CABOS (CONT)</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</si>
  <si>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</si>
  <si>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</si>
  <si>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</si>
  <si>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</si>
  <si>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</si>
  <si>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</si>
  <si>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</si>
  <si>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</si>
  <si>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</si>
  <si>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01 RETARDADO IN 125 A</t>
  </si>
  <si>
    <t>BASES E FUSIVEIS (CONTINUACAO)</t>
  </si>
  <si>
    <t>FUSÍVEL NH-02 RETARDADO, IN=355A</t>
  </si>
  <si>
    <t>DISJUNTORES (CONTINUAÇÃO)</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</si>
  <si>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</si>
  <si>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</si>
  <si>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</si>
  <si>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</si>
  <si>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</si>
  <si>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</si>
  <si>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</si>
  <si>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</si>
  <si>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</si>
  <si>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</si>
  <si>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</si>
  <si>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</si>
  <si>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</si>
  <si>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</si>
  <si>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</si>
  <si>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</si>
  <si>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</si>
  <si>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</si>
  <si>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</si>
  <si>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</si>
  <si>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</si>
  <si>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</si>
  <si>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</si>
  <si>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</si>
  <si>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</si>
  <si>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</si>
  <si>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</si>
  <si>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</si>
  <si>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</si>
  <si>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</si>
  <si>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</si>
  <si>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</si>
  <si>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MINI DISJUNTOR MONOPOLAR 2A CURVA C 5KA 220/127V</t>
  </si>
  <si>
    <t>CAIXAS DE PASSAGEM E CONDULETES</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</si>
  <si>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</si>
  <si>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</si>
  <si>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</si>
  <si>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</si>
  <si>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</si>
  <si>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</si>
  <si>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</si>
  <si>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CAIXAS DE PASSAGEM E CONDULETES (CONTINUAÇÃO)</t>
  </si>
  <si>
    <t>APARELHOS ELÉTRICOS</t>
  </si>
  <si>
    <t>BEBEDOURO P/ DEFIC. REF. BDF 300 - IBBL</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</si>
  <si>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</si>
  <si>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</si>
  <si>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</si>
  <si>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</si>
  <si>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</si>
  <si>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</si>
  <si>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</si>
  <si>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</si>
  <si>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</si>
  <si>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LUMINÁRIAS (CALHAS, PROJETORES, CONJUNTOS)</t>
  </si>
  <si>
    <t>ARANDELA COM DIFUSOR EM VIDRO 25CM</t>
  </si>
  <si>
    <t>LÂMPADAS</t>
  </si>
  <si>
    <t>LAMPADA MISTA DE 160 W</t>
  </si>
  <si>
    <t>LAMPADA VS 400W/220V MOD. SON PHILLIPS/SIMILAR - OVOIDE</t>
  </si>
  <si>
    <t>LAMPADA FLUORESCENTE TUBULAR 20W</t>
  </si>
  <si>
    <t>LAMPADA FLUORESCENTE TUBULAR 40W</t>
  </si>
  <si>
    <t>LUMINÁRIAS (CONT.)</t>
  </si>
  <si>
    <t>BLOCO AUT. ILUM. EMERG. P/ ACLARAMENTO E/OU BALIZAMENTO 2X9W - AUT. 2 HORAS</t>
  </si>
  <si>
    <t>PLAFONIER COM GLOBO PLÁSTICO 9X4"</t>
  </si>
  <si>
    <t>LUMINARIAS (CONT)</t>
  </si>
  <si>
    <t>LUMINARIAS (CONT )</t>
  </si>
  <si>
    <t>ARANDELA PROVA DE TEMPO 45º EM ALUM SILICIO, ACAB EPOXI CINZA (E-27) - VISOR POLICARB. C/ GRADE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</si>
  <si>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</si>
  <si>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</si>
  <si>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</si>
  <si>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</si>
  <si>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</si>
  <si>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</si>
  <si>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</si>
  <si>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</si>
  <si>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</si>
  <si>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</si>
  <si>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CHUVEIRO PRESSMATIC ANT VANDALISMO 17125006</t>
  </si>
  <si>
    <t>APARELHOS ELÉTRICOS - CONTINUAÇÃO</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</si>
  <si>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</si>
  <si>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</si>
  <si>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</si>
  <si>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</si>
  <si>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</si>
  <si>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</si>
  <si>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</si>
  <si>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</si>
  <si>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</si>
  <si>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</si>
  <si>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</si>
  <si>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</si>
  <si>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</si>
  <si>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</si>
  <si>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</si>
  <si>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</si>
  <si>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</si>
  <si>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</si>
  <si>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</si>
  <si>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</si>
  <si>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</si>
  <si>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</si>
  <si>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</si>
  <si>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</si>
  <si>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</si>
  <si>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</si>
  <si>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</si>
  <si>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</si>
  <si>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</si>
  <si>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</si>
  <si>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</si>
  <si>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</si>
  <si>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</si>
  <si>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</si>
  <si>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</si>
  <si>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</si>
  <si>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</si>
  <si>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</si>
  <si>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</si>
  <si>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</si>
  <si>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</si>
  <si>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</si>
  <si>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</si>
  <si>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</si>
  <si>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PARA-RAIOS E ACESSORIOS (CONT.)</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</si>
  <si>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</si>
  <si>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</si>
  <si>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</si>
  <si>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</si>
  <si>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</si>
  <si>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</si>
  <si>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</si>
  <si>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</si>
  <si>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</si>
  <si>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</si>
  <si>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</si>
  <si>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</si>
  <si>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</si>
  <si>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DIVERSOS - CONTINUAÇÃO</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</si>
  <si>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</si>
  <si>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</si>
  <si>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</si>
  <si>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</si>
  <si>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</si>
  <si>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</si>
  <si>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</si>
  <si>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</si>
  <si>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</si>
  <si>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</si>
  <si>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</si>
  <si>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</si>
  <si>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</si>
  <si>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</si>
  <si>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</si>
  <si>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</si>
  <si>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</si>
  <si>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ELETROFERRAGENS (DIVERSOS)</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</si>
  <si>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</si>
  <si>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</si>
  <si>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</si>
  <si>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</si>
  <si>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</si>
  <si>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</si>
  <si>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</si>
  <si>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</si>
  <si>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</si>
  <si>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</si>
  <si>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</si>
  <si>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</si>
  <si>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</si>
  <si>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</si>
  <si>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</si>
  <si>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</si>
  <si>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</si>
  <si>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</si>
  <si>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</si>
  <si>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</si>
  <si>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</si>
  <si>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</si>
  <si>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</si>
  <si>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</si>
  <si>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</si>
  <si>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</si>
  <si>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</si>
  <si>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</si>
  <si>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</si>
  <si>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</si>
  <si>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</si>
  <si>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</si>
  <si>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</si>
  <si>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</si>
  <si>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</si>
  <si>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</si>
  <si>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</si>
  <si>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</si>
  <si>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DIVERSOS (CONT.)</t>
  </si>
  <si>
    <t>SUPORTE P/ TRANSFORMADOR EM LIGA DE ALUMINIO P/ POSTE CONCRETO CIRCULAR - 225MM</t>
  </si>
  <si>
    <t>TERMINAL CABO-BARRA EM LATAO 2X # 300MM2</t>
  </si>
  <si>
    <t>INSUMOS DE REDE LOGICA / TELEFONIA/ CFTV/ SOM</t>
  </si>
  <si>
    <t>CABOS E CONEXOES</t>
  </si>
  <si>
    <t>PRENSA CABOS PARA ELETRODUTO 1/2"</t>
  </si>
  <si>
    <t>PRENSA CABOS PARA ELETRODUTO 1"</t>
  </si>
  <si>
    <t>TOMADAS</t>
  </si>
  <si>
    <t>ESPELHO 4X2" C/ 1 CONECTOR RJ-45 FEMEA CAT 5E</t>
  </si>
  <si>
    <t>TOMADA TELEFONE COM CONECTOR RJ11</t>
  </si>
  <si>
    <t>TOMADA COAXIAL 75 OHMS PARA TV C/ ESPELHO 4X2"</t>
  </si>
  <si>
    <t>TERMINAL COMPRESSÃO COBRE ESTANHADO 35MM TEL 5135</t>
  </si>
  <si>
    <t>CONECTOR DE MEDICAO EM LATAO C/ 2 PARAFUSOS TEL-562</t>
  </si>
  <si>
    <t>INSUMOS DE HIDRAULICA</t>
  </si>
  <si>
    <t>TUBOS (CONCRETO)</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</si>
  <si>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</si>
  <si>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</si>
  <si>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</si>
  <si>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</si>
  <si>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</si>
  <si>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</si>
  <si>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</si>
  <si>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</si>
  <si>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</si>
  <si>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</si>
  <si>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</si>
  <si>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</si>
  <si>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</si>
  <si>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</si>
  <si>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</si>
  <si>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</si>
  <si>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TUBOS (FERRO FUNDIDO E CONEXÕES)</t>
  </si>
  <si>
    <t>TUBOS (PVC RÍGIDO E CONEXÕES)</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</si>
  <si>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</si>
  <si>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</si>
  <si>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</si>
  <si>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</si>
  <si>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</si>
  <si>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</si>
  <si>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</si>
  <si>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</si>
  <si>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</si>
  <si>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</si>
  <si>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</si>
  <si>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</si>
  <si>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</si>
  <si>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</si>
  <si>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</si>
  <si>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</si>
  <si>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</si>
  <si>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</si>
  <si>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</si>
  <si>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</si>
  <si>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</si>
  <si>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</si>
  <si>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</si>
  <si>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</si>
  <si>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</si>
  <si>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</si>
  <si>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</si>
  <si>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</si>
  <si>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</si>
  <si>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</si>
  <si>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</si>
  <si>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</si>
  <si>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</si>
  <si>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</si>
  <si>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</si>
  <si>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</si>
  <si>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</si>
  <si>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</si>
  <si>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</si>
  <si>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</si>
  <si>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</si>
  <si>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</si>
  <si>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TUBOS (PVC E CONEXOES - CONT.)</t>
  </si>
  <si>
    <t>BACIA SANITÁRIA CONVENCIONAL RAVENA P9, DECA</t>
  </si>
  <si>
    <t>REGISTROS</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</si>
  <si>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</si>
  <si>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</si>
  <si>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</si>
  <si>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</si>
  <si>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</si>
  <si>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</si>
  <si>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</si>
  <si>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</si>
  <si>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</si>
  <si>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</si>
  <si>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</si>
  <si>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</si>
  <si>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GAVETA CROMADO 1 1/4" COM CANOPLA</t>
  </si>
  <si>
    <t>REGISTRO DE ESFERA C/ BORBOLETA 3/4" BR 33 TIGRE</t>
  </si>
  <si>
    <t>VÁLVULAS</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</si>
  <si>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</si>
  <si>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</si>
  <si>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</si>
  <si>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</si>
  <si>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</si>
  <si>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</si>
  <si>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</si>
  <si>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</si>
  <si>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</si>
  <si>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</si>
  <si>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</si>
  <si>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</si>
  <si>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</si>
  <si>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</si>
  <si>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</si>
  <si>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</si>
  <si>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</si>
  <si>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</si>
  <si>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</si>
  <si>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</si>
  <si>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</si>
  <si>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</si>
  <si>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</si>
  <si>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</si>
  <si>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</si>
  <si>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</si>
  <si>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</si>
  <si>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</si>
  <si>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</si>
  <si>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</si>
  <si>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</si>
  <si>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</si>
  <si>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</si>
  <si>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</si>
  <si>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</si>
  <si>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</si>
  <si>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</si>
  <si>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</si>
  <si>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</si>
  <si>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</si>
  <si>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</si>
  <si>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</si>
  <si>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</si>
  <si>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</si>
  <si>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</si>
  <si>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</si>
  <si>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</si>
  <si>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</si>
  <si>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</si>
  <si>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</si>
  <si>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</si>
  <si>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</si>
  <si>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</si>
  <si>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</si>
  <si>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</si>
  <si>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</si>
  <si>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</si>
  <si>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</si>
  <si>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</si>
  <si>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</si>
  <si>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</si>
  <si>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</si>
  <si>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</si>
  <si>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</si>
  <si>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</si>
  <si>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</si>
  <si>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</si>
  <si>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</si>
  <si>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</si>
  <si>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</si>
  <si>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</si>
  <si>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</si>
  <si>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</si>
  <si>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</si>
  <si>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</si>
  <si>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</si>
  <si>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</si>
  <si>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</si>
  <si>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</si>
  <si>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</si>
  <si>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</si>
  <si>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</si>
  <si>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</si>
  <si>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</si>
  <si>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</si>
  <si>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</si>
  <si>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METAIS SANITÁRIOS</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</si>
  <si>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</si>
  <si>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</si>
  <si>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</si>
  <si>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</si>
  <si>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</si>
  <si>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</si>
  <si>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</si>
  <si>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</si>
  <si>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</si>
  <si>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</si>
  <si>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</si>
  <si>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</si>
  <si>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</si>
  <si>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LAVATÓRIO COM COLUNA BRANCA CONFORT L51+CS1V</t>
  </si>
  <si>
    <t>TUBO LIGACAO MICTORIO ANTIVAND 00132606 DOCOL/EQU</t>
  </si>
  <si>
    <t>ACAB. VALV. DESC. PRESSMATIC BENEFIT 00184906 DOCOL</t>
  </si>
  <si>
    <t>APARELHOS E EQUIPAMENTOS</t>
  </si>
  <si>
    <t>CHUVEIRO CROMADO COM DESVIADOR FLEXIVEL 1975C</t>
  </si>
  <si>
    <t>EQUIPAMENTOS DE PROTEÇÃO CONTRA INCÊNDIO</t>
  </si>
  <si>
    <t>CAIXA DE INCENDIO/ABRIGO PARA MANGUEIRA 60X90X17CM C/ TAMPA E SUPORTE</t>
  </si>
  <si>
    <t>EXTINTOR GAS CARBONICO CO2 5 BC -6 KG</t>
  </si>
  <si>
    <t>CAIXA DE ACO 40X60X40CM P/HIDRANTE DE RECALQUE</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</si>
  <si>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</si>
  <si>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</si>
  <si>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</si>
  <si>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</si>
  <si>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</si>
  <si>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</si>
  <si>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</si>
  <si>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</si>
  <si>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</si>
  <si>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</si>
  <si>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</si>
  <si>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</si>
  <si>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</si>
  <si>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</si>
  <si>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</si>
  <si>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</si>
  <si>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</si>
  <si>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</si>
  <si>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</si>
  <si>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</si>
  <si>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</si>
  <si>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</si>
  <si>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</si>
  <si>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</si>
  <si>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</si>
  <si>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</si>
  <si>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</si>
  <si>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</si>
  <si>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</si>
  <si>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CHAPA DE ACO GALVANIZADO Nº 16 (ESP. 1,55MM)</t>
  </si>
  <si>
    <t>CALHA EM CHAPA DE ACO GALVANIZADO N. 20 40X25X25CM</t>
  </si>
  <si>
    <t>CHAPA DE ACO GALVANIZADA Nº 14 (ESP. 1,95MM)</t>
  </si>
  <si>
    <t>CAPTACAO AGUAS PLUVIAIS (CONTINUACAO)</t>
  </si>
  <si>
    <t>TAMPA FERRO FUNDIDO ARTICULADA (60X40) CM</t>
  </si>
  <si>
    <t>FITA PERFURADA WALSYWA 19MM X 30M</t>
  </si>
  <si>
    <t>CAIXA TERMOPLASTICA P/ HIDROMETRO DN 3/4" P/PAREDE</t>
  </si>
  <si>
    <t>DIVERSOS (CONT)</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</si>
  <si>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</si>
  <si>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</si>
  <si>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</si>
  <si>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</si>
  <si>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</si>
  <si>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</si>
  <si>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</si>
  <si>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</si>
  <si>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</si>
  <si>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</si>
  <si>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</si>
  <si>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</si>
  <si>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</si>
  <si>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</si>
  <si>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</si>
  <si>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</si>
  <si>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</si>
  <si>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</si>
  <si>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</si>
  <si>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</si>
  <si>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</si>
  <si>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</si>
  <si>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</si>
  <si>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</si>
  <si>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</si>
  <si>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</si>
  <si>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</si>
  <si>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</si>
  <si>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</si>
  <si>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</si>
  <si>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</si>
  <si>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</si>
  <si>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</si>
  <si>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</si>
  <si>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</si>
  <si>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</si>
  <si>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</si>
  <si>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</si>
  <si>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</si>
  <si>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</si>
  <si>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</si>
  <si>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</si>
  <si>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</si>
  <si>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</si>
  <si>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</si>
  <si>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</si>
  <si>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</si>
  <si>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</si>
  <si>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</si>
  <si>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DIVERSOS CONTINUACAO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</si>
  <si>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</si>
  <si>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</si>
  <si>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</si>
  <si>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</si>
  <si>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</si>
  <si>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</si>
  <si>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</si>
  <si>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INSUMOS DE MANUTENCAO - SERRALHERIA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</si>
  <si>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</si>
  <si>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</si>
  <si>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</si>
  <si>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</si>
  <si>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</si>
  <si>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</si>
  <si>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</si>
  <si>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</si>
  <si>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</si>
  <si>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</si>
  <si>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</si>
  <si>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88,90 X 4,00MM (3") DIN 2440 - MEDIO</t>
  </si>
  <si>
    <t>PERFIL "U" ENRIJECIDO 200 X 75 X 25 X 2,65MM (7,92KG/M)</t>
  </si>
  <si>
    <t>INSUMOS DE ELETRICA (CONT.)</t>
  </si>
  <si>
    <t>PARA RAIOS E ACESSORIOS (CONT)</t>
  </si>
  <si>
    <t>MASTRO SIMPLES FG DE 1 1/2"X3M</t>
  </si>
  <si>
    <t>INSUMOS ACABAMENTOS - CIVIL</t>
  </si>
  <si>
    <t>REVESTIMENTOS CERAMICOS (PAREDES)</t>
  </si>
  <si>
    <t>CERAMICA LISA BRANCA REF POLAR 33X61 A - INCESA OU EQUIVALENE</t>
  </si>
  <si>
    <t>ESQUADRIAS METALICAS</t>
  </si>
  <si>
    <t>PORTA CORTA FOGO COM BARRA ANTIPANICO 1.00 X 2.10</t>
  </si>
  <si>
    <t>ROD. FEDERAL - CONSTRUCAO</t>
  </si>
  <si>
    <t>CONTINUACAO - CONSTRUCAO DE ESTRADAS</t>
  </si>
  <si>
    <t>SOLO BRITA</t>
  </si>
  <si>
    <t>OFICINA</t>
  </si>
  <si>
    <t>COMBUSTIVEL</t>
  </si>
  <si>
    <t>MATERIAL DE CONSUMO I</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</si>
  <si>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</si>
  <si>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</si>
  <si>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</si>
  <si>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</si>
  <si>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</si>
  <si>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</si>
  <si>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</si>
  <si>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</si>
  <si>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</si>
  <si>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</si>
  <si>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</si>
  <si>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</si>
  <si>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</si>
  <si>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</si>
  <si>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</si>
  <si>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</si>
  <si>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</si>
  <si>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</si>
  <si>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</si>
  <si>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</si>
  <si>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</si>
  <si>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</si>
  <si>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</si>
  <si>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</si>
  <si>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</si>
  <si>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</si>
  <si>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</si>
  <si>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</si>
  <si>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</si>
  <si>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INSUMOS IOPES</t>
  </si>
  <si>
    <t>INSUMOS DIVERSOS SEDU</t>
  </si>
  <si>
    <t>INSUMOS SINAPI</t>
  </si>
  <si>
    <t>INSUMOS PRECO SINAPI</t>
  </si>
  <si>
    <t>MAQUINA ELETRICA P/ POLIMENTO PISO - REF TAB SINAPI</t>
  </si>
  <si>
    <t>MAQ. CORTAR ASFALTO/CONCRETO - REF TABELA SINAPI</t>
  </si>
  <si>
    <t>Categoria: Equipamento</t>
  </si>
  <si>
    <t>Preço Prod.</t>
  </si>
  <si>
    <t>INSUMOS - EQUIPAMENTOS (EQUIPAMENTOS NOVOS)</t>
  </si>
  <si>
    <t>EQUIPAMENTOS (CUSTO HORARIO - CONT)</t>
  </si>
  <si>
    <t>TEODOLITO C/ PRECISAO +/- 6 SEGUNDOS (SINAPI 7247)</t>
  </si>
  <si>
    <t>NIVEL OTICO C/ PRECISAO +/- 0,7MM (SINAPI 7252)</t>
  </si>
  <si>
    <t>EQUIPAMENTOS - CUSTO HORARIO (CONT)</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</si>
  <si>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</si>
  <si>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</si>
  <si>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</si>
  <si>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</si>
  <si>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</si>
  <si>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</si>
  <si>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</si>
  <si>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</si>
  <si>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</si>
  <si>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</si>
  <si>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</si>
  <si>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</si>
  <si>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</si>
  <si>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</si>
  <si>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</si>
  <si>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</si>
  <si>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</si>
  <si>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</si>
  <si>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</si>
  <si>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</si>
  <si>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</si>
  <si>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</si>
  <si>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</si>
  <si>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</si>
  <si>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</si>
  <si>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</si>
  <si>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</si>
  <si>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</si>
  <si>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</si>
  <si>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</si>
  <si>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</si>
  <si>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</si>
  <si>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</si>
  <si>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</si>
  <si>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</si>
  <si>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</si>
  <si>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</si>
  <si>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</si>
  <si>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</si>
  <si>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</si>
  <si>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</si>
  <si>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</si>
  <si>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</si>
  <si>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</si>
  <si>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</si>
  <si>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</si>
  <si>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</si>
  <si>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</si>
  <si>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</si>
  <si>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</si>
  <si>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</si>
  <si>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</si>
  <si>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</si>
  <si>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</si>
  <si>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</si>
  <si>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</si>
  <si>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</si>
  <si>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</si>
  <si>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</si>
  <si>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</si>
  <si>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</si>
  <si>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</si>
  <si>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</si>
  <si>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</si>
  <si>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</si>
  <si>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</si>
  <si>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</si>
  <si>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</si>
  <si>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</si>
  <si>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</si>
  <si>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</si>
  <si>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</si>
  <si>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</si>
  <si>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</si>
  <si>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</si>
  <si>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</si>
  <si>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</si>
  <si>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</si>
  <si>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</si>
  <si>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</si>
  <si>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</si>
  <si>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</si>
  <si>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</si>
  <si>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</si>
  <si>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</si>
  <si>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</si>
  <si>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</si>
  <si>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</si>
  <si>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</si>
  <si>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</si>
  <si>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</si>
  <si>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</si>
  <si>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</si>
  <si>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</si>
  <si>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</si>
  <si>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</si>
  <si>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</si>
  <si>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</si>
  <si>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</si>
  <si>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</si>
  <si>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</si>
  <si>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</si>
  <si>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</si>
  <si>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</si>
  <si>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</si>
  <si>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</si>
  <si>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</si>
  <si>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</si>
  <si>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</si>
  <si>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</si>
  <si>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</si>
  <si>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</si>
  <si>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</si>
  <si>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</si>
  <si>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</si>
  <si>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</si>
  <si>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</si>
  <si>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</si>
  <si>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</si>
  <si>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</si>
  <si>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</si>
  <si>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</si>
  <si>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</si>
  <si>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</si>
  <si>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</si>
  <si>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</si>
  <si>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</si>
  <si>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</si>
  <si>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</si>
  <si>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</si>
  <si>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</si>
  <si>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</si>
  <si>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</si>
  <si>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</si>
  <si>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</si>
  <si>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</si>
  <si>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</si>
  <si>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</si>
  <si>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</si>
  <si>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</si>
  <si>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</si>
  <si>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</si>
  <si>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</si>
  <si>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</si>
  <si>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</si>
  <si>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</si>
  <si>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</si>
  <si>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</si>
  <si>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</si>
  <si>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</si>
  <si>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</si>
  <si>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</si>
  <si>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</si>
  <si>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</si>
  <si>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</si>
  <si>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PRECO UNITARIO</t>
  </si>
  <si>
    <t>COEF</t>
  </si>
  <si>
    <t>SICRO</t>
  </si>
  <si>
    <t>CUSTO UNIT</t>
  </si>
  <si>
    <t>CÓD</t>
  </si>
  <si>
    <t xml:space="preserve">UN    </t>
  </si>
  <si>
    <t>CR</t>
  </si>
  <si>
    <t xml:space="preserve">M2    </t>
  </si>
  <si>
    <t>AS</t>
  </si>
  <si>
    <t xml:space="preserve">H     </t>
  </si>
  <si>
    <t xml:space="preserve">C </t>
  </si>
  <si>
    <t>19,07</t>
  </si>
  <si>
    <t xml:space="preserve">M     </t>
  </si>
  <si>
    <t xml:space="preserve">KG    </t>
  </si>
  <si>
    <t>1,61</t>
  </si>
  <si>
    <t>0,77</t>
  </si>
  <si>
    <t>0,79</t>
  </si>
  <si>
    <t>2,12</t>
  </si>
  <si>
    <t>0,65</t>
  </si>
  <si>
    <t>2,04</t>
  </si>
  <si>
    <t xml:space="preserve">L     </t>
  </si>
  <si>
    <t>5,70</t>
  </si>
  <si>
    <t>15,39</t>
  </si>
  <si>
    <t>22,72</t>
  </si>
  <si>
    <t>11,10</t>
  </si>
  <si>
    <t xml:space="preserve">M3    </t>
  </si>
  <si>
    <t xml:space="preserve">MES   </t>
  </si>
  <si>
    <t>13,33</t>
  </si>
  <si>
    <t>44,60</t>
  </si>
  <si>
    <t>107,01</t>
  </si>
  <si>
    <t>19,28</t>
  </si>
  <si>
    <t>0,50</t>
  </si>
  <si>
    <t>1,38</t>
  </si>
  <si>
    <t>2,65</t>
  </si>
  <si>
    <t>16,96</t>
  </si>
  <si>
    <t>0,78</t>
  </si>
  <si>
    <t>8,49</t>
  </si>
  <si>
    <t>10,55</t>
  </si>
  <si>
    <t>180,03</t>
  </si>
  <si>
    <t xml:space="preserve">PAR   </t>
  </si>
  <si>
    <t>66,30</t>
  </si>
  <si>
    <t>86,11</t>
  </si>
  <si>
    <t>18,61</t>
  </si>
  <si>
    <t xml:space="preserve">JG    </t>
  </si>
  <si>
    <t xml:space="preserve">MIL   </t>
  </si>
  <si>
    <t>0,71</t>
  </si>
  <si>
    <t>1,22</t>
  </si>
  <si>
    <t>2,25</t>
  </si>
  <si>
    <t>1,79</t>
  </si>
  <si>
    <t>1,93</t>
  </si>
  <si>
    <t>1,91</t>
  </si>
  <si>
    <t>53,40</t>
  </si>
  <si>
    <t>18,05</t>
  </si>
  <si>
    <t>0,25</t>
  </si>
  <si>
    <t>7,50</t>
  </si>
  <si>
    <t>3,31</t>
  </si>
  <si>
    <t>54,20</t>
  </si>
  <si>
    <t>6,08</t>
  </si>
  <si>
    <t>10,62</t>
  </si>
  <si>
    <t>1,49</t>
  </si>
  <si>
    <t>3,59</t>
  </si>
  <si>
    <t>30,53</t>
  </si>
  <si>
    <t>36,16</t>
  </si>
  <si>
    <t>49,11</t>
  </si>
  <si>
    <t>11,23</t>
  </si>
  <si>
    <t>2,76</t>
  </si>
  <si>
    <t>1,16</t>
  </si>
  <si>
    <t>2,99</t>
  </si>
  <si>
    <t>14,96</t>
  </si>
  <si>
    <t>2,90</t>
  </si>
  <si>
    <t>8,69</t>
  </si>
  <si>
    <t>7,22</t>
  </si>
  <si>
    <t xml:space="preserve">T     </t>
  </si>
  <si>
    <t>13,29</t>
  </si>
  <si>
    <t>5,33</t>
  </si>
  <si>
    <t>15,29</t>
  </si>
  <si>
    <t>26,52</t>
  </si>
  <si>
    <t>63,55</t>
  </si>
  <si>
    <t>12,24</t>
  </si>
  <si>
    <t>13,90</t>
  </si>
  <si>
    <t>68,14</t>
  </si>
  <si>
    <t>13,19</t>
  </si>
  <si>
    <t>4,56</t>
  </si>
  <si>
    <t>13,06</t>
  </si>
  <si>
    <t>7,96</t>
  </si>
  <si>
    <t>8,65</t>
  </si>
  <si>
    <t>16,90</t>
  </si>
  <si>
    <t>8,77</t>
  </si>
  <si>
    <t>9,65</t>
  </si>
  <si>
    <t>5,05</t>
  </si>
  <si>
    <t>8,27</t>
  </si>
  <si>
    <t>3,89</t>
  </si>
  <si>
    <t>16,23</t>
  </si>
  <si>
    <t>12,81</t>
  </si>
  <si>
    <t>6,36</t>
  </si>
  <si>
    <t>10,68</t>
  </si>
  <si>
    <t>7,86</t>
  </si>
  <si>
    <t xml:space="preserve">CJ    </t>
  </si>
  <si>
    <t>0,17</t>
  </si>
  <si>
    <t xml:space="preserve">100M  </t>
  </si>
  <si>
    <t>96,00</t>
  </si>
  <si>
    <t>66,46</t>
  </si>
  <si>
    <t>6,28</t>
  </si>
  <si>
    <t>19,36</t>
  </si>
  <si>
    <t>3,26</t>
  </si>
  <si>
    <t>11,03</t>
  </si>
  <si>
    <t>64,87</t>
  </si>
  <si>
    <t>25,95</t>
  </si>
  <si>
    <t>20,46</t>
  </si>
  <si>
    <t>16,48</t>
  </si>
  <si>
    <t>3,11</t>
  </si>
  <si>
    <t>4,41</t>
  </si>
  <si>
    <t>15,00</t>
  </si>
  <si>
    <t>9,64</t>
  </si>
  <si>
    <t>1,41</t>
  </si>
  <si>
    <t>25,51</t>
  </si>
  <si>
    <t>3,15</t>
  </si>
  <si>
    <t>4,98</t>
  </si>
  <si>
    <t>26,06</t>
  </si>
  <si>
    <t>450,00</t>
  </si>
  <si>
    <t>27,53</t>
  </si>
  <si>
    <t xml:space="preserve">CENTO </t>
  </si>
  <si>
    <t>47,63</t>
  </si>
  <si>
    <t>10,00</t>
  </si>
  <si>
    <t>38,59</t>
  </si>
  <si>
    <t>2,02</t>
  </si>
  <si>
    <t>85,28</t>
  </si>
  <si>
    <t>16,52</t>
  </si>
  <si>
    <t>14,49</t>
  </si>
  <si>
    <t>0,44</t>
  </si>
  <si>
    <t>7,12</t>
  </si>
  <si>
    <t>SC25KG</t>
  </si>
  <si>
    <t>522,23</t>
  </si>
  <si>
    <t>8,29</t>
  </si>
  <si>
    <t>2,01</t>
  </si>
  <si>
    <t>0,41</t>
  </si>
  <si>
    <t>5,65</t>
  </si>
  <si>
    <t>6,14</t>
  </si>
  <si>
    <t>10,17</t>
  </si>
  <si>
    <t>5,67</t>
  </si>
  <si>
    <t>13,22</t>
  </si>
  <si>
    <t>15,60</t>
  </si>
  <si>
    <t>34,55</t>
  </si>
  <si>
    <t>8,24</t>
  </si>
  <si>
    <t>M2XMES</t>
  </si>
  <si>
    <t>3,33</t>
  </si>
  <si>
    <t xml:space="preserve">MXMES </t>
  </si>
  <si>
    <t>515,00</t>
  </si>
  <si>
    <t>402,34</t>
  </si>
  <si>
    <t>584,73</t>
  </si>
  <si>
    <t>0,86</t>
  </si>
  <si>
    <t>14,44</t>
  </si>
  <si>
    <t>83,91</t>
  </si>
  <si>
    <t>1,10</t>
  </si>
  <si>
    <t>8,18</t>
  </si>
  <si>
    <t>9,56</t>
  </si>
  <si>
    <t>8,16</t>
  </si>
  <si>
    <t>401,46</t>
  </si>
  <si>
    <t>436,63</t>
  </si>
  <si>
    <t>14,66</t>
  </si>
  <si>
    <t>6,00</t>
  </si>
  <si>
    <t>0,94</t>
  </si>
  <si>
    <t>40,33</t>
  </si>
  <si>
    <t>19,17</t>
  </si>
  <si>
    <t>27,82</t>
  </si>
  <si>
    <t>30,00</t>
  </si>
  <si>
    <t>47,04</t>
  </si>
  <si>
    <t>0,32</t>
  </si>
  <si>
    <t>226,46</t>
  </si>
  <si>
    <t>12,51</t>
  </si>
  <si>
    <t>23,20</t>
  </si>
  <si>
    <t>3,18</t>
  </si>
  <si>
    <t>1,01</t>
  </si>
  <si>
    <t>8,06</t>
  </si>
  <si>
    <t>6,73</t>
  </si>
  <si>
    <t>3,84</t>
  </si>
  <si>
    <t>15,10</t>
  </si>
  <si>
    <t xml:space="preserve">310ML </t>
  </si>
  <si>
    <t>26,40</t>
  </si>
  <si>
    <t>11,55</t>
  </si>
  <si>
    <t>7,13</t>
  </si>
  <si>
    <t>133,43</t>
  </si>
  <si>
    <t>499,53</t>
  </si>
  <si>
    <t>20,79</t>
  </si>
  <si>
    <t>3,99</t>
  </si>
  <si>
    <t>112,21</t>
  </si>
  <si>
    <t>32,22</t>
  </si>
  <si>
    <t>12,74</t>
  </si>
  <si>
    <t>16,22</t>
  </si>
  <si>
    <t>9,80</t>
  </si>
  <si>
    <t>12,92</t>
  </si>
  <si>
    <t>56,03</t>
  </si>
  <si>
    <t>13,77</t>
  </si>
  <si>
    <t>153,80</t>
  </si>
  <si>
    <t>6,85</t>
  </si>
  <si>
    <t>91,64</t>
  </si>
  <si>
    <t>106,30</t>
  </si>
  <si>
    <t>144,20</t>
  </si>
  <si>
    <t>23,95</t>
  </si>
  <si>
    <t>64,44</t>
  </si>
  <si>
    <t>18,16</t>
  </si>
  <si>
    <t>20,54</t>
  </si>
  <si>
    <t>20,19</t>
  </si>
  <si>
    <t>3,65</t>
  </si>
  <si>
    <t>68,86</t>
  </si>
  <si>
    <t>11,02</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</si>
  <si>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</si>
  <si>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</si>
  <si>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7,48</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</si>
  <si>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</si>
  <si>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</si>
  <si>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</si>
  <si>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</si>
  <si>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</si>
  <si>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17,43</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</si>
  <si>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</si>
  <si>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</si>
  <si>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</si>
  <si>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</si>
  <si>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</si>
  <si>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</si>
  <si>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</si>
  <si>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</si>
  <si>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</si>
  <si>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</si>
  <si>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</si>
  <si>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</si>
  <si>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</si>
  <si>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</si>
  <si>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</si>
  <si>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</si>
  <si>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</si>
  <si>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</si>
  <si>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</si>
  <si>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</si>
  <si>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</si>
  <si>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</si>
  <si>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</si>
  <si>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</si>
  <si>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</si>
  <si>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</si>
  <si>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</si>
  <si>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</si>
  <si>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</si>
  <si>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</si>
  <si>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</si>
  <si>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</si>
  <si>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</si>
  <si>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</si>
  <si>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</si>
  <si>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</si>
  <si>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</si>
  <si>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26,98</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</si>
  <si>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</si>
  <si>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</si>
  <si>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</si>
  <si>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</si>
  <si>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</si>
  <si>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</si>
  <si>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</si>
  <si>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</si>
  <si>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18,17</t>
  </si>
  <si>
    <t>1,04</t>
  </si>
  <si>
    <t>24,51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</si>
  <si>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</si>
  <si>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</si>
  <si>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</si>
  <si>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</si>
  <si>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</si>
  <si>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</si>
  <si>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</si>
  <si>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</si>
  <si>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</si>
  <si>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</si>
  <si>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</si>
  <si>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</si>
  <si>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</si>
  <si>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</si>
  <si>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</si>
  <si>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</si>
  <si>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</si>
  <si>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</si>
  <si>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</si>
  <si>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</si>
  <si>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19,13</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</si>
  <si>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</si>
  <si>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</si>
  <si>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</si>
  <si>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</si>
  <si>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</si>
  <si>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</si>
  <si>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</si>
  <si>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</si>
  <si>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</si>
  <si>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</si>
  <si>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25,92</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</si>
  <si>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</si>
  <si>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</si>
  <si>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</si>
  <si>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</si>
  <si>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</si>
  <si>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</si>
  <si>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</si>
  <si>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</si>
  <si>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</si>
  <si>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</si>
  <si>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</si>
  <si>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</si>
  <si>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</si>
  <si>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</si>
  <si>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</si>
  <si>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</si>
  <si>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</si>
  <si>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</si>
  <si>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</si>
  <si>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</si>
  <si>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</si>
  <si>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46,16</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</si>
  <si>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</si>
  <si>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</si>
  <si>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</si>
  <si>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73,18</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</si>
  <si>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</si>
  <si>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</si>
  <si>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</si>
  <si>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</si>
  <si>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</si>
  <si>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</si>
  <si>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</si>
  <si>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</si>
  <si>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</si>
  <si>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</si>
  <si>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</si>
  <si>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</si>
  <si>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</si>
  <si>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</si>
  <si>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</si>
  <si>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</si>
  <si>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</si>
  <si>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</si>
  <si>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</si>
  <si>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</si>
  <si>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</si>
  <si>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</si>
  <si>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</si>
  <si>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</si>
  <si>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</si>
  <si>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</si>
  <si>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</si>
  <si>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</si>
  <si>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</si>
  <si>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</si>
  <si>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</si>
  <si>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</si>
  <si>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</si>
  <si>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</si>
  <si>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</si>
  <si>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</si>
  <si>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</si>
  <si>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</si>
  <si>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</si>
  <si>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</si>
  <si>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</si>
  <si>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</si>
  <si>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</si>
  <si>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</si>
  <si>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</si>
  <si>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</si>
  <si>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</si>
  <si>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</si>
  <si>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</si>
  <si>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</si>
  <si>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</si>
  <si>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</si>
  <si>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</si>
  <si>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</si>
  <si>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</si>
  <si>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</si>
  <si>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</si>
  <si>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</si>
  <si>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</si>
  <si>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</si>
  <si>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</si>
  <si>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</si>
  <si>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</si>
  <si>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</si>
  <si>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</si>
  <si>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</si>
  <si>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</si>
  <si>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</si>
  <si>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</si>
  <si>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</si>
  <si>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</si>
  <si>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</si>
  <si>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</si>
  <si>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</si>
  <si>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</si>
  <si>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</si>
  <si>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</si>
  <si>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</si>
  <si>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</si>
  <si>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</si>
  <si>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</si>
  <si>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</si>
  <si>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</si>
  <si>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</si>
  <si>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</si>
  <si>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</si>
  <si>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</si>
  <si>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</si>
  <si>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</si>
  <si>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</si>
  <si>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</si>
  <si>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</si>
  <si>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</si>
  <si>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</si>
  <si>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</si>
  <si>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</si>
  <si>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</si>
  <si>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</si>
  <si>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</si>
  <si>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</si>
  <si>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</si>
  <si>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</si>
  <si>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</si>
  <si>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</si>
  <si>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</si>
  <si>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</si>
  <si>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</si>
  <si>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</si>
  <si>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</si>
  <si>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</si>
  <si>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</si>
  <si>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</si>
  <si>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</si>
  <si>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</si>
  <si>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</si>
  <si>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</si>
  <si>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</si>
  <si>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</si>
  <si>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</si>
  <si>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</si>
  <si>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</si>
  <si>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</si>
  <si>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</si>
  <si>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</si>
  <si>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7,21</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</si>
  <si>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</si>
  <si>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</si>
  <si>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</si>
  <si>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</si>
  <si>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1,24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</si>
  <si>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</si>
  <si>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</si>
  <si>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</si>
  <si>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</si>
  <si>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</si>
  <si>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</si>
  <si>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</si>
  <si>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10,11</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</si>
  <si>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</si>
  <si>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</si>
  <si>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</si>
  <si>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</si>
  <si>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</si>
  <si>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</si>
  <si>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</si>
  <si>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</si>
  <si>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</si>
  <si>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</si>
  <si>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</si>
  <si>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</si>
  <si>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</si>
  <si>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</si>
  <si>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</si>
  <si>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</si>
  <si>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</si>
  <si>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</si>
  <si>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</si>
  <si>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58,81</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</si>
  <si>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</si>
  <si>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</si>
  <si>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</si>
  <si>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</si>
  <si>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</si>
  <si>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</si>
  <si>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</si>
  <si>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</si>
  <si>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</si>
  <si>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</si>
  <si>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</si>
  <si>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</si>
  <si>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</si>
  <si>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</si>
  <si>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</si>
  <si>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</si>
  <si>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</si>
  <si>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</si>
  <si>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</si>
  <si>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</si>
  <si>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</si>
  <si>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</si>
  <si>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</si>
  <si>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</si>
  <si>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</si>
  <si>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</si>
  <si>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</si>
  <si>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</si>
  <si>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</si>
  <si>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</si>
  <si>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122,29</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</si>
  <si>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</si>
  <si>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</si>
  <si>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</si>
  <si>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</si>
  <si>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</si>
  <si>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</si>
  <si>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</si>
  <si>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</si>
  <si>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</si>
  <si>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</si>
  <si>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</si>
  <si>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</si>
  <si>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</si>
  <si>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</si>
  <si>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</si>
  <si>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</si>
  <si>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</si>
  <si>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</si>
  <si>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</si>
  <si>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</si>
  <si>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</si>
  <si>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</si>
  <si>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</si>
  <si>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</si>
  <si>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</si>
  <si>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</si>
  <si>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</si>
  <si>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</si>
  <si>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</si>
  <si>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</si>
  <si>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</si>
  <si>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</si>
  <si>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</si>
  <si>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</si>
  <si>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</si>
  <si>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</si>
  <si>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</si>
  <si>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</si>
  <si>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</si>
  <si>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</si>
  <si>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</si>
  <si>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</si>
  <si>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</si>
  <si>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</si>
  <si>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</si>
  <si>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</si>
  <si>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</si>
  <si>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</si>
  <si>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</si>
  <si>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</si>
  <si>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</si>
  <si>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</si>
  <si>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</si>
  <si>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</si>
  <si>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</si>
  <si>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</si>
  <si>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</si>
  <si>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</si>
  <si>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</si>
  <si>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</si>
  <si>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</si>
  <si>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</si>
  <si>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</si>
  <si>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</si>
  <si>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</si>
  <si>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</si>
  <si>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</si>
  <si>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</si>
  <si>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</si>
  <si>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</si>
  <si>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</si>
  <si>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</si>
  <si>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</si>
  <si>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</si>
  <si>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</si>
  <si>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</si>
  <si>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</si>
  <si>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</si>
  <si>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</si>
  <si>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</si>
  <si>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</si>
  <si>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</si>
  <si>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</si>
  <si>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</si>
  <si>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</si>
  <si>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</si>
  <si>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</si>
  <si>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</si>
  <si>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</si>
  <si>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</si>
  <si>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</si>
  <si>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</si>
  <si>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</si>
  <si>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</si>
  <si>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</si>
  <si>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</si>
  <si>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</si>
  <si>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</si>
  <si>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</si>
  <si>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</si>
  <si>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</si>
  <si>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</si>
  <si>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</si>
  <si>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</si>
  <si>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</si>
  <si>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</si>
  <si>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</si>
  <si>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</si>
  <si>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</si>
  <si>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</si>
  <si>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</si>
  <si>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</si>
  <si>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</si>
  <si>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</si>
  <si>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</si>
  <si>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</si>
  <si>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</si>
  <si>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</si>
  <si>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</si>
  <si>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</si>
  <si>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</si>
  <si>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</si>
  <si>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</si>
  <si>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</si>
  <si>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</si>
  <si>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</si>
  <si>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</si>
  <si>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</si>
  <si>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</si>
  <si>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</si>
  <si>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</si>
  <si>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</si>
  <si>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</si>
  <si>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</si>
  <si>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</si>
  <si>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</si>
  <si>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</si>
  <si>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</si>
  <si>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</si>
  <si>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</si>
  <si>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</si>
  <si>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</si>
  <si>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</si>
  <si>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</si>
  <si>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</si>
  <si>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</si>
  <si>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</si>
  <si>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</si>
  <si>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</si>
  <si>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</si>
  <si>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5,81</t>
  </si>
  <si>
    <t>ROLO COMPACTADOR VIBRATÓRIO TANDEM AÇO LISO, POTÊNCIA 58 HP, PESO SEM/COM LASTRO 6,5 / 9,4 T, LARGURA DE TRABALHO 1,2 M - MANUTENÇÃO. AF_06/2014</t>
  </si>
  <si>
    <t>23,63</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</si>
  <si>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</si>
  <si>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</si>
  <si>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</si>
  <si>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</si>
  <si>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</si>
  <si>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</si>
  <si>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</si>
  <si>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</si>
  <si>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</si>
  <si>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</si>
  <si>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</si>
  <si>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</si>
  <si>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</si>
  <si>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</si>
  <si>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</si>
  <si>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</si>
  <si>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</si>
  <si>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</si>
  <si>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</si>
  <si>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</si>
  <si>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</si>
  <si>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</si>
  <si>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</si>
  <si>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</si>
  <si>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</si>
  <si>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</si>
  <si>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</si>
  <si>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</si>
  <si>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</si>
  <si>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</si>
  <si>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</si>
  <si>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</si>
  <si>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</si>
  <si>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</si>
  <si>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</si>
  <si>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</si>
  <si>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</si>
  <si>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</si>
  <si>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35,62</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</si>
  <si>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</si>
  <si>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</si>
  <si>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</si>
  <si>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</si>
  <si>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</si>
  <si>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40,89</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</si>
  <si>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</si>
  <si>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</si>
  <si>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</si>
  <si>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</si>
  <si>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</si>
  <si>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</si>
  <si>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</si>
  <si>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</si>
  <si>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</si>
  <si>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</si>
  <si>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</si>
  <si>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</si>
  <si>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</si>
  <si>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</si>
  <si>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</si>
  <si>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</si>
  <si>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</si>
  <si>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</si>
  <si>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</si>
  <si>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</si>
  <si>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</si>
  <si>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</si>
  <si>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</si>
  <si>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</si>
  <si>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</si>
  <si>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</si>
  <si>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</si>
  <si>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</si>
  <si>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8,91</t>
  </si>
  <si>
    <t>GRUPO DE SOLDAGEM COM GERADOR A DIESEL 60 CV PARA SOLDA ELÉTRICA, SOBRE 04 RODAS, COM MOTOR 4 CILINDROS 600 A - MANUTENÇÃO. AF_02/2016</t>
  </si>
  <si>
    <t>11,13</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</si>
  <si>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</si>
  <si>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</si>
  <si>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</si>
  <si>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</si>
  <si>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</si>
  <si>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</si>
  <si>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</si>
  <si>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</si>
  <si>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</si>
  <si>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</si>
  <si>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</si>
  <si>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</si>
  <si>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</si>
  <si>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</si>
  <si>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</si>
  <si>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</si>
  <si>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</si>
  <si>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</si>
  <si>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</si>
  <si>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</si>
  <si>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</si>
  <si>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</si>
  <si>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</si>
  <si>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3,05</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</si>
  <si>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</si>
  <si>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</si>
  <si>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</si>
  <si>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</si>
  <si>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</si>
  <si>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</si>
  <si>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</si>
  <si>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</si>
  <si>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</si>
  <si>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</si>
  <si>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</si>
  <si>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</si>
  <si>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</si>
  <si>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</si>
  <si>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</si>
  <si>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</si>
  <si>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</si>
  <si>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</si>
  <si>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</si>
  <si>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</si>
  <si>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</si>
  <si>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</si>
  <si>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5,14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</si>
  <si>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</si>
  <si>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</si>
  <si>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</si>
  <si>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</si>
  <si>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</si>
  <si>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</si>
  <si>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</si>
  <si>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</si>
  <si>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</si>
  <si>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</si>
  <si>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</si>
  <si>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</si>
  <si>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</si>
  <si>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</si>
  <si>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</si>
  <si>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</si>
  <si>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</si>
  <si>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</si>
  <si>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</si>
  <si>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</si>
  <si>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</si>
  <si>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</si>
  <si>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</si>
  <si>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</si>
  <si>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</si>
  <si>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</si>
  <si>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</si>
  <si>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</si>
  <si>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</si>
  <si>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</si>
  <si>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</si>
  <si>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</si>
  <si>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</si>
  <si>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</si>
  <si>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</si>
  <si>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</si>
  <si>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</si>
  <si>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</si>
  <si>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</si>
  <si>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</si>
  <si>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</si>
  <si>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</si>
  <si>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</si>
  <si>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</si>
  <si>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</si>
  <si>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</si>
  <si>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</si>
  <si>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</si>
  <si>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</si>
  <si>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</si>
  <si>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</si>
  <si>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</si>
  <si>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</si>
  <si>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</si>
  <si>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</si>
  <si>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22,60</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</si>
  <si>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</si>
  <si>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</si>
  <si>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</si>
  <si>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</si>
  <si>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</si>
  <si>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</si>
  <si>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</si>
  <si>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</si>
  <si>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</si>
  <si>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</si>
  <si>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</si>
  <si>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</si>
  <si>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</si>
  <si>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</si>
  <si>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</si>
  <si>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</si>
  <si>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</si>
  <si>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</si>
  <si>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</si>
  <si>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</si>
  <si>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</si>
  <si>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</si>
  <si>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</si>
  <si>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</si>
  <si>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</si>
  <si>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</si>
  <si>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</si>
  <si>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</si>
  <si>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</si>
  <si>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</si>
  <si>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</si>
  <si>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</si>
  <si>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</si>
  <si>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</si>
  <si>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0,29</t>
  </si>
  <si>
    <t>BOMBA DE PROJEÇÃO DE CONCRETO SECO, POTÊNCIA 10 CV, VAZÃO 6 M3/H - MANUTENÇÃO. AF_06/2015</t>
  </si>
  <si>
    <t>BOMBA DE PROJEÇÃO DE CONCRETO SECO, POTÊNCIA 10 CV, VAZÃO 6 M3/H - MATERIAIS NA OPERAÇÃO. AF_06/2015</t>
  </si>
  <si>
    <t>3,76</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</si>
  <si>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</si>
  <si>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</si>
  <si>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</si>
  <si>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</si>
  <si>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</si>
  <si>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</si>
  <si>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</si>
  <si>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</si>
  <si>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</si>
  <si>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</si>
  <si>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</si>
  <si>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</si>
  <si>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</si>
  <si>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</si>
  <si>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</si>
  <si>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</si>
  <si>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</si>
  <si>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</si>
  <si>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</si>
  <si>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</si>
  <si>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</si>
  <si>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</si>
  <si>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</si>
  <si>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</si>
  <si>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</si>
  <si>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</si>
  <si>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</si>
  <si>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</si>
  <si>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</si>
  <si>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</si>
  <si>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</si>
  <si>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</si>
  <si>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</si>
  <si>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</si>
  <si>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</si>
  <si>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</si>
  <si>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</si>
  <si>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</si>
  <si>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</si>
  <si>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</si>
  <si>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</si>
  <si>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</si>
  <si>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</si>
  <si>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</si>
  <si>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</si>
  <si>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</si>
  <si>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</si>
  <si>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</si>
  <si>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</si>
  <si>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</si>
  <si>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</si>
  <si>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</si>
  <si>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</si>
  <si>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</si>
  <si>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</si>
  <si>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</si>
  <si>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</si>
  <si>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</si>
  <si>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</si>
  <si>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</si>
  <si>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</si>
  <si>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</si>
  <si>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</si>
  <si>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</si>
  <si>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</si>
  <si>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12,56</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</si>
  <si>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</si>
  <si>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</si>
  <si>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</si>
  <si>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</si>
  <si>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</si>
  <si>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13,76</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</si>
  <si>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</si>
  <si>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</si>
  <si>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</si>
  <si>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</si>
  <si>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</si>
  <si>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</si>
  <si>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</si>
  <si>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</si>
  <si>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</si>
  <si>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</si>
  <si>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</si>
  <si>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</si>
  <si>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</si>
  <si>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</si>
  <si>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</si>
  <si>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</si>
  <si>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</si>
  <si>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</si>
  <si>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</si>
  <si>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</si>
  <si>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</si>
  <si>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</si>
  <si>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</si>
  <si>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</si>
  <si>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</si>
  <si>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</si>
  <si>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</si>
  <si>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</si>
  <si>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</si>
  <si>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</si>
  <si>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</si>
  <si>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</si>
  <si>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</si>
  <si>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</si>
  <si>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</si>
  <si>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</si>
  <si>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</si>
  <si>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</si>
  <si>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</si>
  <si>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</si>
  <si>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5,78</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</si>
  <si>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</si>
  <si>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</si>
  <si>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</si>
  <si>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</si>
  <si>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178,97</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</si>
  <si>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</si>
  <si>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</si>
  <si>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</si>
  <si>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</si>
  <si>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</si>
  <si>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</si>
  <si>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</si>
  <si>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</si>
  <si>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</si>
  <si>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</si>
  <si>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</si>
  <si>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</si>
  <si>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</si>
  <si>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</si>
  <si>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</si>
  <si>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</si>
  <si>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</si>
  <si>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</si>
  <si>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</si>
  <si>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</si>
  <si>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</si>
  <si>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</si>
  <si>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</si>
  <si>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</si>
  <si>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</si>
  <si>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</si>
  <si>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</si>
  <si>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</si>
  <si>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</si>
  <si>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</si>
  <si>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</si>
  <si>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</si>
  <si>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</si>
  <si>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</si>
  <si>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</si>
  <si>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</si>
  <si>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</si>
  <si>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</si>
  <si>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</si>
  <si>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</si>
  <si>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</si>
  <si>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</si>
  <si>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</si>
  <si>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</si>
  <si>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</si>
  <si>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</si>
  <si>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</si>
  <si>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</si>
  <si>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</si>
  <si>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</si>
  <si>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</si>
  <si>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</si>
  <si>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</si>
  <si>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</si>
  <si>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</si>
  <si>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</si>
  <si>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</si>
  <si>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</si>
  <si>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</si>
  <si>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</si>
  <si>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</si>
  <si>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</si>
  <si>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</si>
  <si>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</si>
  <si>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</si>
  <si>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</si>
  <si>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</si>
  <si>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</si>
  <si>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</si>
  <si>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</si>
  <si>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</si>
  <si>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</si>
  <si>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</si>
  <si>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</si>
  <si>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</si>
  <si>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</si>
  <si>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</si>
  <si>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</si>
  <si>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</si>
  <si>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</si>
  <si>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</si>
  <si>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</si>
  <si>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</si>
  <si>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</si>
  <si>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</si>
  <si>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</si>
  <si>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</si>
  <si>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</si>
  <si>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</si>
  <si>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</si>
  <si>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</si>
  <si>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</si>
  <si>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</si>
  <si>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</si>
  <si>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</si>
  <si>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</si>
  <si>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</si>
  <si>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</si>
  <si>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</si>
  <si>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</si>
  <si>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</si>
  <si>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</si>
  <si>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</si>
  <si>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</si>
  <si>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</si>
  <si>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</si>
  <si>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</si>
  <si>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</si>
  <si>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</si>
  <si>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</si>
  <si>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</si>
  <si>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</si>
  <si>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</si>
  <si>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</si>
  <si>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</si>
  <si>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</si>
  <si>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</si>
  <si>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</si>
  <si>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</si>
  <si>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</si>
  <si>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</si>
  <si>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</si>
  <si>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</si>
  <si>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</si>
  <si>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</si>
  <si>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</si>
  <si>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</si>
  <si>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3,30</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</si>
  <si>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</si>
  <si>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</si>
  <si>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</si>
  <si>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</si>
  <si>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</si>
  <si>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</si>
  <si>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</si>
  <si>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</si>
  <si>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</si>
  <si>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</si>
  <si>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</si>
  <si>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</si>
  <si>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</si>
  <si>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</si>
  <si>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</si>
  <si>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</si>
  <si>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</si>
  <si>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</si>
  <si>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</si>
  <si>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</si>
  <si>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</si>
  <si>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</si>
  <si>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</si>
  <si>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</si>
  <si>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</si>
  <si>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</si>
  <si>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</si>
  <si>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</si>
  <si>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</si>
  <si>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</si>
  <si>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</si>
  <si>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</si>
  <si>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</si>
  <si>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</si>
  <si>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</si>
  <si>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</si>
  <si>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</si>
  <si>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</si>
  <si>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</si>
  <si>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</si>
  <si>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</si>
  <si>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</si>
  <si>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</si>
  <si>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</si>
  <si>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</si>
  <si>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</si>
  <si>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</si>
  <si>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</si>
  <si>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</si>
  <si>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</si>
  <si>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</si>
  <si>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</si>
  <si>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</si>
  <si>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</si>
  <si>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</si>
  <si>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</si>
  <si>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</si>
  <si>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</si>
  <si>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</si>
  <si>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</si>
  <si>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</si>
  <si>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</si>
  <si>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</si>
  <si>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</si>
  <si>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</si>
  <si>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</si>
  <si>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</si>
  <si>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</si>
  <si>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</si>
  <si>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</si>
  <si>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</si>
  <si>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</si>
  <si>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</si>
  <si>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</si>
  <si>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</si>
  <si>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</si>
  <si>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</si>
  <si>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</si>
  <si>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</si>
  <si>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</si>
  <si>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</si>
  <si>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</si>
  <si>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</si>
  <si>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</si>
  <si>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9,38</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</si>
  <si>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</si>
  <si>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</si>
  <si>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</si>
  <si>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</si>
  <si>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</si>
  <si>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</si>
  <si>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</si>
  <si>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</si>
  <si>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</si>
  <si>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</si>
  <si>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</si>
  <si>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</si>
  <si>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</si>
  <si>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</si>
  <si>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</si>
  <si>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</si>
  <si>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</si>
  <si>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</si>
  <si>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</si>
  <si>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</si>
  <si>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</si>
  <si>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76,06</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</si>
  <si>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</si>
  <si>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</si>
  <si>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</si>
  <si>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</si>
  <si>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</si>
  <si>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</si>
  <si>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</si>
  <si>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</si>
  <si>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</si>
  <si>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</si>
  <si>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</si>
  <si>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</si>
  <si>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</si>
  <si>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</si>
  <si>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</si>
  <si>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</si>
  <si>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</si>
  <si>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</si>
  <si>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</si>
  <si>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</si>
  <si>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</si>
  <si>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</si>
  <si>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</si>
  <si>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</si>
  <si>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</si>
  <si>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</si>
  <si>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</si>
  <si>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</si>
  <si>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</si>
  <si>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</si>
  <si>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</si>
  <si>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</si>
  <si>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</si>
  <si>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</si>
  <si>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</si>
  <si>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</si>
  <si>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</si>
  <si>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</si>
  <si>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</si>
  <si>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</si>
  <si>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</si>
  <si>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</si>
  <si>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</si>
  <si>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</si>
  <si>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</si>
  <si>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</si>
  <si>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</si>
  <si>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</si>
  <si>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</si>
  <si>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</si>
  <si>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</si>
  <si>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</si>
  <si>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</si>
  <si>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</si>
  <si>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</si>
  <si>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</si>
  <si>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</si>
  <si>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</si>
  <si>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</si>
  <si>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</si>
  <si>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</si>
  <si>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</si>
  <si>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</si>
  <si>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</si>
  <si>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</si>
  <si>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</si>
  <si>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</si>
  <si>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</si>
  <si>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</si>
  <si>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</si>
  <si>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</si>
  <si>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</si>
  <si>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</si>
  <si>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</si>
  <si>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</si>
  <si>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</si>
  <si>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</si>
  <si>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</si>
  <si>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</si>
  <si>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</si>
  <si>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</si>
  <si>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</si>
  <si>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</si>
  <si>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</si>
  <si>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</si>
  <si>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</si>
  <si>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</si>
  <si>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</si>
  <si>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</si>
  <si>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</si>
  <si>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</si>
  <si>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</si>
  <si>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</si>
  <si>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</si>
  <si>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</si>
  <si>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</si>
  <si>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</si>
  <si>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</si>
  <si>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</si>
  <si>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</si>
  <si>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</si>
  <si>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</si>
  <si>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</si>
  <si>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</si>
  <si>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</si>
  <si>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</si>
  <si>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</si>
  <si>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</si>
  <si>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</si>
  <si>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</si>
  <si>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</si>
  <si>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</si>
  <si>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</si>
  <si>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</si>
  <si>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</si>
  <si>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</si>
  <si>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</si>
  <si>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</si>
  <si>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23,39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</si>
  <si>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</si>
  <si>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</si>
  <si>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</si>
  <si>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</si>
  <si>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252,10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</si>
  <si>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</si>
  <si>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</si>
  <si>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</si>
  <si>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</si>
  <si>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</si>
  <si>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</si>
  <si>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</si>
  <si>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</si>
  <si>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</si>
  <si>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</si>
  <si>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</si>
  <si>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</si>
  <si>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</si>
  <si>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</si>
  <si>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</si>
  <si>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</si>
  <si>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</si>
  <si>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</si>
  <si>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</si>
  <si>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</si>
  <si>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</si>
  <si>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</si>
  <si>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</si>
  <si>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</si>
  <si>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</si>
  <si>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</si>
  <si>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</si>
  <si>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</si>
  <si>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</si>
  <si>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</si>
  <si>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</si>
  <si>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</si>
  <si>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</si>
  <si>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</si>
  <si>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12,70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</si>
  <si>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</si>
  <si>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</si>
  <si>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</si>
  <si>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</si>
  <si>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</si>
  <si>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</si>
  <si>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</si>
  <si>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</si>
  <si>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</si>
  <si>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</si>
  <si>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</si>
  <si>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</si>
  <si>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</si>
  <si>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</si>
  <si>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</si>
  <si>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</si>
  <si>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</si>
  <si>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</si>
  <si>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</si>
  <si>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</si>
  <si>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</si>
  <si>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</si>
  <si>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</si>
  <si>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</si>
  <si>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</si>
  <si>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</si>
  <si>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</si>
  <si>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</si>
  <si>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</si>
  <si>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</si>
  <si>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</si>
  <si>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</si>
  <si>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</si>
  <si>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</si>
  <si>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</si>
  <si>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</si>
  <si>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</si>
  <si>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</si>
  <si>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</si>
  <si>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</si>
  <si>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</si>
  <si>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</si>
  <si>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</si>
  <si>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</si>
  <si>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</si>
  <si>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</si>
  <si>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</si>
  <si>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</si>
  <si>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</si>
  <si>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</si>
  <si>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</si>
  <si>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</si>
  <si>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</si>
  <si>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</si>
  <si>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</si>
  <si>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</si>
  <si>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</si>
  <si>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</si>
  <si>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</si>
  <si>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</si>
  <si>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</si>
  <si>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</si>
  <si>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</si>
  <si>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</si>
  <si>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</si>
  <si>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</si>
  <si>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</si>
  <si>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</si>
  <si>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</si>
  <si>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</si>
  <si>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683,81</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</si>
  <si>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</si>
  <si>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</si>
  <si>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</si>
  <si>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</si>
  <si>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</si>
  <si>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</si>
  <si>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</si>
  <si>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</si>
  <si>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</si>
  <si>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</si>
  <si>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</si>
  <si>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</si>
  <si>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</si>
  <si>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</si>
  <si>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</si>
  <si>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</si>
  <si>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</si>
  <si>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</si>
  <si>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</si>
  <si>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</si>
  <si>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</si>
  <si>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</si>
  <si>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</si>
  <si>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</si>
  <si>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</si>
  <si>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</si>
  <si>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</si>
  <si>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</si>
  <si>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</si>
  <si>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</si>
  <si>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</si>
  <si>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</si>
  <si>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</si>
  <si>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</si>
  <si>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</si>
  <si>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</si>
  <si>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</si>
  <si>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</si>
  <si>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</si>
  <si>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</si>
  <si>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</si>
  <si>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</si>
  <si>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</si>
  <si>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</si>
  <si>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</si>
  <si>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</si>
  <si>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</si>
  <si>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</si>
  <si>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</si>
  <si>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</si>
  <si>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</si>
  <si>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</si>
  <si>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</si>
  <si>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</si>
  <si>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</si>
  <si>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</si>
  <si>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</si>
  <si>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</si>
  <si>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</si>
  <si>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</si>
  <si>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</si>
  <si>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</si>
  <si>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</si>
  <si>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</si>
  <si>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</si>
  <si>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</si>
  <si>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</si>
  <si>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93,57</t>
  </si>
  <si>
    <t>61,65</t>
  </si>
  <si>
    <t>MONTAGEM E DESMONTAGEM DE FÔRMA DE VIGA, ESCORAMENTO METÁLICO, PÉ-DIREITO DUPLO, EM CHAPA DE MADEIRA RESINADA, 6 UTILIZAÇÕES. AF_12/2015</t>
  </si>
  <si>
    <t>41,79</t>
  </si>
  <si>
    <t>21,48</t>
  </si>
  <si>
    <t>20,11</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</si>
  <si>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</si>
  <si>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</si>
  <si>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</si>
  <si>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</si>
  <si>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</si>
  <si>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</si>
  <si>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</si>
  <si>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</si>
  <si>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</si>
  <si>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</si>
  <si>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</si>
  <si>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</si>
  <si>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</si>
  <si>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</si>
  <si>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</si>
  <si>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83,59</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</si>
  <si>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</si>
  <si>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</si>
  <si>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</si>
  <si>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</si>
  <si>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</si>
  <si>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</si>
  <si>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</si>
  <si>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8,23</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</si>
  <si>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</si>
  <si>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</si>
  <si>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</si>
  <si>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</si>
  <si>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</si>
  <si>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</si>
  <si>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</si>
  <si>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</si>
  <si>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</si>
  <si>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6,48</t>
  </si>
  <si>
    <t>7,34</t>
  </si>
  <si>
    <t>8,94</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</si>
  <si>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</si>
  <si>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</si>
  <si>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</si>
  <si>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</si>
  <si>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</si>
  <si>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</si>
  <si>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</si>
  <si>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</si>
  <si>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</si>
  <si>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</si>
  <si>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</si>
  <si>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</si>
  <si>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</si>
  <si>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</si>
  <si>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</si>
  <si>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</si>
  <si>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</si>
  <si>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</si>
  <si>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</si>
  <si>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</si>
  <si>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</si>
  <si>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</si>
  <si>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</si>
  <si>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</si>
  <si>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</si>
  <si>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30,13</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</si>
  <si>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</si>
  <si>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</si>
  <si>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</si>
  <si>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</si>
  <si>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</si>
  <si>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</si>
  <si>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</si>
  <si>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</si>
  <si>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</si>
  <si>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</si>
  <si>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</si>
  <si>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9,14</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</si>
  <si>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</si>
  <si>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</si>
  <si>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</si>
  <si>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</si>
  <si>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</si>
  <si>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</si>
  <si>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</si>
  <si>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</si>
  <si>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</si>
  <si>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</si>
  <si>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</si>
  <si>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</si>
  <si>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</si>
  <si>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</si>
  <si>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</si>
  <si>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</si>
  <si>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</si>
  <si>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</si>
  <si>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</si>
  <si>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</si>
  <si>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</si>
  <si>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</si>
  <si>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</si>
  <si>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</si>
  <si>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</si>
  <si>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</si>
  <si>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</si>
  <si>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</si>
  <si>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</si>
  <si>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</si>
  <si>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</si>
  <si>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</si>
  <si>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9,47</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</si>
  <si>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</si>
  <si>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</si>
  <si>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</si>
  <si>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</si>
  <si>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26,83</t>
  </si>
  <si>
    <t>9,45</t>
  </si>
  <si>
    <t>28,24</t>
  </si>
  <si>
    <t>51,77</t>
  </si>
  <si>
    <t>29,74</t>
  </si>
  <si>
    <t>43,72</t>
  </si>
  <si>
    <t>28,33</t>
  </si>
  <si>
    <t>42,71</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</si>
  <si>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</si>
  <si>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</si>
  <si>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</si>
  <si>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</si>
  <si>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</si>
  <si>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</si>
  <si>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</si>
  <si>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</si>
  <si>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</si>
  <si>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</si>
  <si>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</si>
  <si>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</si>
  <si>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</si>
  <si>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</si>
  <si>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</si>
  <si>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</si>
  <si>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</si>
  <si>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</si>
  <si>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</si>
  <si>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</si>
  <si>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</si>
  <si>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</si>
  <si>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</si>
  <si>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</si>
  <si>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</si>
  <si>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</si>
  <si>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</si>
  <si>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</si>
  <si>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</si>
  <si>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</si>
  <si>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</si>
  <si>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</si>
  <si>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</si>
  <si>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</si>
  <si>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</si>
  <si>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</si>
  <si>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</si>
  <si>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</si>
  <si>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</si>
  <si>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</si>
  <si>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</si>
  <si>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</si>
  <si>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</si>
  <si>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</si>
  <si>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</si>
  <si>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</si>
  <si>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57,46</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</si>
  <si>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</si>
  <si>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</si>
  <si>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</si>
  <si>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</si>
  <si>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</si>
  <si>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</si>
  <si>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</si>
  <si>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</si>
  <si>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</si>
  <si>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</si>
  <si>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</si>
  <si>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</si>
  <si>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</si>
  <si>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</si>
  <si>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</si>
  <si>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</si>
  <si>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</si>
  <si>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</si>
  <si>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</si>
  <si>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</si>
  <si>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</si>
  <si>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</si>
  <si>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</si>
  <si>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</si>
  <si>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</si>
  <si>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</si>
  <si>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</si>
  <si>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</si>
  <si>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</si>
  <si>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</si>
  <si>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</si>
  <si>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</si>
  <si>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</si>
  <si>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</si>
  <si>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</si>
  <si>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</si>
  <si>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</si>
  <si>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</si>
  <si>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</si>
  <si>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</si>
  <si>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</si>
  <si>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</si>
  <si>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256,76</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</si>
  <si>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</si>
  <si>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</si>
  <si>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</si>
  <si>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</si>
  <si>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</si>
  <si>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</si>
  <si>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</si>
  <si>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</si>
  <si>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</si>
  <si>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</si>
  <si>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</si>
  <si>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49,14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</si>
  <si>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</si>
  <si>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</si>
  <si>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</si>
  <si>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</si>
  <si>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</si>
  <si>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</si>
  <si>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</si>
  <si>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</si>
  <si>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</si>
  <si>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</si>
  <si>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</si>
  <si>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</si>
  <si>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</si>
  <si>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</si>
  <si>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</si>
  <si>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</si>
  <si>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</si>
  <si>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</si>
  <si>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</si>
  <si>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</si>
  <si>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</si>
  <si>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</si>
  <si>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</si>
  <si>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</si>
  <si>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</si>
  <si>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14,69</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</si>
  <si>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</si>
  <si>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</si>
  <si>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</si>
  <si>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</si>
  <si>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</si>
  <si>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</si>
  <si>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</si>
  <si>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</si>
  <si>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</si>
  <si>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</si>
  <si>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</si>
  <si>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</si>
  <si>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</si>
  <si>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</si>
  <si>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</si>
  <si>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</si>
  <si>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</si>
  <si>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</si>
  <si>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</si>
  <si>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</si>
  <si>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</si>
  <si>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</si>
  <si>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</si>
  <si>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</si>
  <si>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</si>
  <si>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</si>
  <si>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</si>
  <si>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</si>
  <si>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</si>
  <si>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</si>
  <si>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</si>
  <si>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</si>
  <si>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</si>
  <si>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</si>
  <si>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</si>
  <si>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</si>
  <si>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</si>
  <si>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</si>
  <si>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</si>
  <si>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</si>
  <si>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</si>
  <si>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</si>
  <si>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</si>
  <si>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</si>
  <si>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123,64</t>
  </si>
  <si>
    <t>4,31</t>
  </si>
  <si>
    <t>LUVA DE CORRER, PVC, SOLDÁVEL, DN 25MM, INSTALADO EM RAMAL OU SUB-RAMAL DE ÁGUA - FORNECIMENTO E INSTALAÇÃO. AF_12/2014</t>
  </si>
  <si>
    <t>5,68</t>
  </si>
  <si>
    <t>ADAPTADOR CURTO COM BOLSA E ROSCA PARA REGISTRO, PVC, SOLDÁVEL, DN 75MM X 2.1/2, INSTALADO EM PRUMADA DE ÁGUA - FORNECIMENTO E INSTALAÇÃO. AF_12/2014</t>
  </si>
  <si>
    <t>22,16</t>
  </si>
  <si>
    <t>10,20</t>
  </si>
  <si>
    <t>5,10</t>
  </si>
  <si>
    <t>17,08</t>
  </si>
  <si>
    <t>8,90</t>
  </si>
  <si>
    <t>14,52</t>
  </si>
  <si>
    <t>LUVA DE CORRER, CPVC, SOLDÁVEL, DN 22MM, INSTALADO EM RAMAL DE DISTRIBUIÇÃO DE ÁGUA   FORNECIMENTO E INSTALAÇÃO. AF_12/2014</t>
  </si>
  <si>
    <t>26,63</t>
  </si>
  <si>
    <t>94,30</t>
  </si>
  <si>
    <t>96,20</t>
  </si>
  <si>
    <t>14,70</t>
  </si>
  <si>
    <t>13,28</t>
  </si>
  <si>
    <t>15,32</t>
  </si>
  <si>
    <t>10,14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</si>
  <si>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</si>
  <si>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</si>
  <si>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</si>
  <si>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</si>
  <si>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</si>
  <si>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</si>
  <si>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</si>
  <si>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</si>
  <si>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</si>
  <si>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</si>
  <si>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</si>
  <si>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</si>
  <si>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</si>
  <si>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</si>
  <si>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</si>
  <si>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</si>
  <si>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</si>
  <si>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</si>
  <si>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</si>
  <si>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</si>
  <si>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</si>
  <si>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</si>
  <si>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</si>
  <si>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</si>
  <si>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</si>
  <si>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</si>
  <si>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</si>
  <si>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</si>
  <si>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</si>
  <si>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</si>
  <si>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</si>
  <si>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</si>
  <si>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</si>
  <si>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</si>
  <si>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</si>
  <si>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</si>
  <si>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</si>
  <si>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</si>
  <si>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</si>
  <si>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</si>
  <si>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</si>
  <si>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</si>
  <si>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</si>
  <si>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</si>
  <si>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</si>
  <si>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</si>
  <si>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</si>
  <si>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</si>
  <si>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</si>
  <si>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</si>
  <si>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</si>
  <si>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</si>
  <si>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</si>
  <si>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20,04</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</si>
  <si>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</si>
  <si>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</si>
  <si>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</si>
  <si>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</si>
  <si>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</si>
  <si>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</si>
  <si>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</si>
  <si>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</si>
  <si>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</si>
  <si>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</si>
  <si>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</si>
  <si>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</si>
  <si>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</si>
  <si>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</si>
  <si>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</si>
  <si>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</si>
  <si>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</si>
  <si>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</si>
  <si>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</si>
  <si>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</si>
  <si>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</si>
  <si>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</si>
  <si>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</si>
  <si>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</si>
  <si>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</si>
  <si>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</si>
  <si>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</si>
  <si>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</si>
  <si>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59,61</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</si>
  <si>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</si>
  <si>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</si>
  <si>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</si>
  <si>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</si>
  <si>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</si>
  <si>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</si>
  <si>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</si>
  <si>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</si>
  <si>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</si>
  <si>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</si>
  <si>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</si>
  <si>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</si>
  <si>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</si>
  <si>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</si>
  <si>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</si>
  <si>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</si>
  <si>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</si>
  <si>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</si>
  <si>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</si>
  <si>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</si>
  <si>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</si>
  <si>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</si>
  <si>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</si>
  <si>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</si>
  <si>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</si>
  <si>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</si>
  <si>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</si>
  <si>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</si>
  <si>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</si>
  <si>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</si>
  <si>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</si>
  <si>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</si>
  <si>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</si>
  <si>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</si>
  <si>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</si>
  <si>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35,15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</si>
  <si>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</si>
  <si>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</si>
  <si>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</si>
  <si>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</si>
  <si>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</si>
  <si>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</si>
  <si>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</si>
  <si>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</si>
  <si>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</si>
  <si>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</si>
  <si>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</si>
  <si>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</si>
  <si>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</si>
  <si>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</si>
  <si>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</si>
  <si>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</si>
  <si>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</si>
  <si>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</si>
  <si>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</si>
  <si>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</si>
  <si>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</si>
  <si>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</si>
  <si>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</si>
  <si>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12,06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</si>
  <si>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</si>
  <si>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</si>
  <si>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</si>
  <si>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</si>
  <si>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</si>
  <si>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</si>
  <si>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16,34</t>
  </si>
  <si>
    <t>30,95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</si>
  <si>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</si>
  <si>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</si>
  <si>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</si>
  <si>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</si>
  <si>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</si>
  <si>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194,62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</si>
  <si>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</si>
  <si>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</si>
  <si>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</si>
  <si>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</si>
  <si>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</si>
  <si>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</si>
  <si>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</si>
  <si>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</si>
  <si>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</si>
  <si>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</si>
  <si>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</si>
  <si>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</si>
  <si>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</si>
  <si>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</si>
  <si>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</si>
  <si>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</si>
  <si>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</si>
  <si>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</si>
  <si>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</si>
  <si>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</si>
  <si>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</si>
  <si>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</si>
  <si>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</si>
  <si>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</si>
  <si>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</si>
  <si>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</si>
  <si>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</si>
  <si>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</si>
  <si>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</si>
  <si>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</si>
  <si>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</si>
  <si>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</si>
  <si>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</si>
  <si>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</si>
  <si>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</si>
  <si>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</si>
  <si>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</si>
  <si>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</si>
  <si>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</si>
  <si>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</si>
  <si>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</si>
  <si>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</si>
  <si>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</si>
  <si>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</si>
  <si>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</si>
  <si>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</si>
  <si>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</si>
  <si>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</si>
  <si>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</si>
  <si>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</si>
  <si>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</si>
  <si>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</si>
  <si>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</si>
  <si>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</si>
  <si>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</si>
  <si>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</si>
  <si>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</si>
  <si>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</si>
  <si>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</si>
  <si>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</si>
  <si>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</si>
  <si>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</si>
  <si>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</si>
  <si>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</si>
  <si>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</si>
  <si>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</si>
  <si>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</si>
  <si>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</si>
  <si>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</si>
  <si>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</si>
  <si>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</si>
  <si>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</si>
  <si>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</si>
  <si>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</si>
  <si>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</si>
  <si>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</si>
  <si>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</si>
  <si>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</si>
  <si>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</si>
  <si>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</si>
  <si>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</si>
  <si>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</si>
  <si>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</si>
  <si>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</si>
  <si>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</si>
  <si>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</si>
  <si>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</si>
  <si>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</si>
  <si>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</si>
  <si>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</si>
  <si>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</si>
  <si>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</si>
  <si>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</si>
  <si>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</si>
  <si>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</si>
  <si>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</si>
  <si>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</si>
  <si>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</si>
  <si>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</si>
  <si>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</si>
  <si>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</si>
  <si>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</si>
  <si>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</si>
  <si>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</si>
  <si>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</si>
  <si>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</si>
  <si>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</si>
  <si>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</si>
  <si>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</si>
  <si>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</si>
  <si>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</si>
  <si>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</si>
  <si>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</si>
  <si>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</si>
  <si>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</si>
  <si>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</si>
  <si>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</si>
  <si>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</si>
  <si>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</si>
  <si>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</si>
  <si>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</si>
  <si>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</si>
  <si>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</si>
  <si>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42,17</t>
  </si>
  <si>
    <t>79,79</t>
  </si>
  <si>
    <t>FABRICAÇÃO, MONTAGEM E DESMONTAGEM DE FÔRMA PARA BLOCO DE COROAMENTO, EM MADEIRA SERRADA, E=25 MM, 1 UTILIZAÇÃO. AF_06/2017</t>
  </si>
  <si>
    <t>3,56</t>
  </si>
  <si>
    <t>60,96</t>
  </si>
  <si>
    <t>55,71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</si>
  <si>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</si>
  <si>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</si>
  <si>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TXKM</t>
  </si>
  <si>
    <t>T</t>
  </si>
  <si>
    <t>65,71</t>
  </si>
  <si>
    <t>73,55</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</si>
  <si>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</si>
  <si>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</si>
  <si>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</si>
  <si>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</si>
  <si>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</si>
  <si>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</si>
  <si>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</si>
  <si>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</si>
  <si>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</si>
  <si>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</si>
  <si>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</si>
  <si>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</si>
  <si>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</si>
  <si>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</si>
  <si>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</si>
  <si>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</si>
  <si>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</si>
  <si>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</si>
  <si>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</si>
  <si>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</si>
  <si>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</si>
  <si>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</si>
  <si>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</si>
  <si>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</si>
  <si>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</si>
  <si>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</si>
  <si>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</si>
  <si>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</si>
  <si>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</si>
  <si>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</si>
  <si>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</si>
  <si>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</si>
  <si>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</si>
  <si>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</si>
  <si>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</si>
  <si>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</si>
  <si>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</si>
  <si>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</si>
  <si>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</si>
  <si>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</si>
  <si>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</si>
  <si>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</si>
  <si>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</si>
  <si>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</si>
  <si>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</si>
  <si>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</si>
  <si>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</si>
  <si>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</si>
  <si>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</si>
  <si>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</si>
  <si>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</si>
  <si>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</si>
  <si>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</si>
  <si>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</si>
  <si>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</si>
  <si>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</si>
  <si>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</si>
  <si>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</si>
  <si>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</si>
  <si>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</si>
  <si>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</si>
  <si>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</si>
  <si>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11,93</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</si>
  <si>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</si>
  <si>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</si>
  <si>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</si>
  <si>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</si>
  <si>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</si>
  <si>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</si>
  <si>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19,03</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</si>
  <si>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</si>
  <si>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</si>
  <si>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</si>
  <si>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</si>
  <si>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</si>
  <si>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</si>
  <si>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</si>
  <si>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36,10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</si>
  <si>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</si>
  <si>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</si>
  <si>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102,87</t>
  </si>
  <si>
    <t>83,24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</si>
  <si>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</si>
  <si>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</si>
  <si>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29,87</t>
  </si>
  <si>
    <t>3,81</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</si>
  <si>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</si>
  <si>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</si>
  <si>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</si>
  <si>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</si>
  <si>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</si>
  <si>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</si>
  <si>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</si>
  <si>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</si>
  <si>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</si>
  <si>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</si>
  <si>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</si>
  <si>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</si>
  <si>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</si>
  <si>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</si>
  <si>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</si>
  <si>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</si>
  <si>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</si>
  <si>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</si>
  <si>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</si>
  <si>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</si>
  <si>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</si>
  <si>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</si>
  <si>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</si>
  <si>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</si>
  <si>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</si>
  <si>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</si>
  <si>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60,35</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</si>
  <si>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</si>
  <si>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</si>
  <si>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</si>
  <si>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</si>
  <si>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</si>
  <si>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</si>
  <si>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</si>
  <si>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</si>
  <si>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</si>
  <si>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</si>
  <si>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</si>
  <si>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</si>
  <si>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</si>
  <si>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</si>
  <si>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</si>
  <si>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</si>
  <si>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</si>
  <si>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</si>
  <si>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</si>
  <si>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</si>
  <si>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</si>
  <si>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</si>
  <si>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</si>
  <si>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</si>
  <si>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</si>
  <si>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</si>
  <si>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</si>
  <si>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</si>
  <si>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</si>
  <si>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</si>
  <si>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</si>
  <si>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</si>
  <si>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</si>
  <si>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</si>
  <si>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293,87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</si>
  <si>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</si>
  <si>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</si>
  <si>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</si>
  <si>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</si>
  <si>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</si>
  <si>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</si>
  <si>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</si>
  <si>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</si>
  <si>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</si>
  <si>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</si>
  <si>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</si>
  <si>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</si>
  <si>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</si>
  <si>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</si>
  <si>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</si>
  <si>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331,73</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</si>
  <si>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</si>
  <si>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</si>
  <si>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</si>
  <si>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</si>
  <si>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</si>
  <si>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</si>
  <si>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</si>
  <si>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</si>
  <si>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</si>
  <si>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</si>
  <si>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</si>
  <si>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</si>
  <si>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</si>
  <si>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</si>
  <si>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</si>
  <si>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</si>
  <si>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</si>
  <si>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</si>
  <si>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</si>
  <si>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</si>
  <si>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</si>
  <si>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</si>
  <si>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</si>
  <si>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</si>
  <si>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</si>
  <si>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</si>
  <si>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</si>
  <si>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</si>
  <si>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</si>
  <si>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</si>
  <si>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</si>
  <si>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</si>
  <si>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</si>
  <si>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</si>
  <si>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</si>
  <si>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</si>
  <si>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</si>
  <si>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</si>
  <si>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271,98</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</si>
  <si>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</si>
  <si>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</si>
  <si>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</si>
  <si>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</si>
  <si>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</si>
  <si>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</si>
  <si>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</si>
  <si>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</si>
  <si>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</si>
  <si>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</si>
  <si>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</si>
  <si>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</si>
  <si>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</si>
  <si>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</si>
  <si>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</si>
  <si>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</si>
  <si>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</si>
  <si>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</si>
  <si>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</si>
  <si>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334,04</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</si>
  <si>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</si>
  <si>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</si>
  <si>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</si>
  <si>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</si>
  <si>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</si>
  <si>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</si>
  <si>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</si>
  <si>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</si>
  <si>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</si>
  <si>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</si>
  <si>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</si>
  <si>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</si>
  <si>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</si>
  <si>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</si>
  <si>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</si>
  <si>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</si>
  <si>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</si>
  <si>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</si>
  <si>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</si>
  <si>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</si>
  <si>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</si>
  <si>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</si>
  <si>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</si>
  <si>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</si>
  <si>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</si>
  <si>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</si>
  <si>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</si>
  <si>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</si>
  <si>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</si>
  <si>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</si>
  <si>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</si>
  <si>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</si>
  <si>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</si>
  <si>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</si>
  <si>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</si>
  <si>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</si>
  <si>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</si>
  <si>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</si>
  <si>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</si>
  <si>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</si>
  <si>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</si>
  <si>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</si>
  <si>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</si>
  <si>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</si>
  <si>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</si>
  <si>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</si>
  <si>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</si>
  <si>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</si>
  <si>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</si>
  <si>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</si>
  <si>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</si>
  <si>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</si>
  <si>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</si>
  <si>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</si>
  <si>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</si>
  <si>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</si>
  <si>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</si>
  <si>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</si>
  <si>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</si>
  <si>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</si>
  <si>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</si>
  <si>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</si>
  <si>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</si>
  <si>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</si>
  <si>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</si>
  <si>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</si>
  <si>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</si>
  <si>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</si>
  <si>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</si>
  <si>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</si>
  <si>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</si>
  <si>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</si>
  <si>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</si>
  <si>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</si>
  <si>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</si>
  <si>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</si>
  <si>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</si>
  <si>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</si>
  <si>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</si>
  <si>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</si>
  <si>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</si>
  <si>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</si>
  <si>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</si>
  <si>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</si>
  <si>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</si>
  <si>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</si>
  <si>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</si>
  <si>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</si>
  <si>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</si>
  <si>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</si>
  <si>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</si>
  <si>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</si>
  <si>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</si>
  <si>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</si>
  <si>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</si>
  <si>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</si>
  <si>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</si>
  <si>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</si>
  <si>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</si>
  <si>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</si>
  <si>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</si>
  <si>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</si>
  <si>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</si>
  <si>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</si>
  <si>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</si>
  <si>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</si>
  <si>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</si>
  <si>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</si>
  <si>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</si>
  <si>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</si>
  <si>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</si>
  <si>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</si>
  <si>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</si>
  <si>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</si>
  <si>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</si>
  <si>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</si>
  <si>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</si>
  <si>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</si>
  <si>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</si>
  <si>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</si>
  <si>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</si>
  <si>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</si>
  <si>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</si>
  <si>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</si>
  <si>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</si>
  <si>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</si>
  <si>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</si>
  <si>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</si>
  <si>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</si>
  <si>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</si>
  <si>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</si>
  <si>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</si>
  <si>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</si>
  <si>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</si>
  <si>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</si>
  <si>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</si>
  <si>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</si>
  <si>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</si>
  <si>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</si>
  <si>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</si>
  <si>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</si>
  <si>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</si>
  <si>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</si>
  <si>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</si>
  <si>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</si>
  <si>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</si>
  <si>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</si>
  <si>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</si>
  <si>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</si>
  <si>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</si>
  <si>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</si>
  <si>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</si>
  <si>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</si>
  <si>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</si>
  <si>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</si>
  <si>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</si>
  <si>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</si>
  <si>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</si>
  <si>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</si>
  <si>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</si>
  <si>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</si>
  <si>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</si>
  <si>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</si>
  <si>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</si>
  <si>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</si>
  <si>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</si>
  <si>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</si>
  <si>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</si>
  <si>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</si>
  <si>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</si>
  <si>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</si>
  <si>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</si>
  <si>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</si>
  <si>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</si>
  <si>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</si>
  <si>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</si>
  <si>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</si>
  <si>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</si>
  <si>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</si>
  <si>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</si>
  <si>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</si>
  <si>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</si>
  <si>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</si>
  <si>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</si>
  <si>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</si>
  <si>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</si>
  <si>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</si>
  <si>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</si>
  <si>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</si>
  <si>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</si>
  <si>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</si>
  <si>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62,86</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</si>
  <si>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</si>
  <si>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</si>
  <si>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</si>
  <si>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</si>
  <si>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</si>
  <si>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</si>
  <si>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</si>
  <si>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</si>
  <si>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</si>
  <si>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</si>
  <si>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</si>
  <si>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</si>
  <si>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17,04</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</si>
  <si>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</si>
  <si>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</si>
  <si>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</si>
  <si>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</si>
  <si>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</si>
  <si>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</si>
  <si>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</si>
  <si>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</si>
  <si>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</si>
  <si>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135,76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</si>
  <si>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</si>
  <si>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</si>
  <si>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</si>
  <si>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</si>
  <si>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</si>
  <si>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</si>
  <si>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</si>
  <si>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</si>
  <si>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</si>
  <si>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</si>
  <si>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</si>
  <si>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</si>
  <si>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</si>
  <si>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</si>
  <si>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</si>
  <si>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</si>
  <si>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</si>
  <si>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</si>
  <si>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</si>
  <si>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</si>
  <si>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</si>
  <si>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</si>
  <si>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</si>
  <si>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</si>
  <si>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</si>
  <si>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</si>
  <si>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</si>
  <si>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</si>
  <si>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</si>
  <si>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</si>
  <si>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</si>
  <si>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</si>
  <si>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</si>
  <si>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</si>
  <si>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</si>
  <si>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</si>
  <si>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</si>
  <si>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</si>
  <si>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</si>
  <si>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</si>
  <si>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</si>
  <si>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</si>
  <si>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</si>
  <si>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</si>
  <si>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</si>
  <si>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</si>
  <si>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</si>
  <si>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</si>
  <si>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</si>
  <si>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</si>
  <si>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</si>
  <si>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</si>
  <si>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</si>
  <si>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</si>
  <si>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</si>
  <si>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</si>
  <si>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</si>
  <si>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</si>
  <si>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</si>
  <si>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</si>
  <si>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</si>
  <si>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</si>
  <si>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</si>
  <si>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</si>
  <si>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</si>
  <si>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</si>
  <si>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</si>
  <si>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</si>
  <si>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</si>
  <si>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</si>
  <si>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</si>
  <si>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</si>
  <si>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</si>
  <si>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</si>
  <si>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</si>
  <si>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</si>
  <si>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20,12</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</si>
  <si>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</si>
  <si>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</si>
  <si>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</si>
  <si>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</si>
  <si>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</si>
  <si>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</si>
  <si>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</si>
  <si>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</si>
  <si>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</si>
  <si>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20,74</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</si>
  <si>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</si>
  <si>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</si>
  <si>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</si>
  <si>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</si>
  <si>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</si>
  <si>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</si>
  <si>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</si>
  <si>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</si>
  <si>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</si>
  <si>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</si>
  <si>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</si>
  <si>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</si>
  <si>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</si>
  <si>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</si>
  <si>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</si>
  <si>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</si>
  <si>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</si>
  <si>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</si>
  <si>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</si>
  <si>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</si>
  <si>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</si>
  <si>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</si>
  <si>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</si>
  <si>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</si>
  <si>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</si>
  <si>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</si>
  <si>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</si>
  <si>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</si>
  <si>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</si>
  <si>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</si>
  <si>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</si>
  <si>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</si>
  <si>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</si>
  <si>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</si>
  <si>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</si>
  <si>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</si>
  <si>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</si>
  <si>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</si>
  <si>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</si>
  <si>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</si>
  <si>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</si>
  <si>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</si>
  <si>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</si>
  <si>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</si>
  <si>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</si>
  <si>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</si>
  <si>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</si>
  <si>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</si>
  <si>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</si>
  <si>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</si>
  <si>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</si>
  <si>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</si>
  <si>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</si>
  <si>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</si>
  <si>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</si>
  <si>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</si>
  <si>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</si>
  <si>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</si>
  <si>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</si>
  <si>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</si>
  <si>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</si>
  <si>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</si>
  <si>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</si>
  <si>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</si>
  <si>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</si>
  <si>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</si>
  <si>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</si>
  <si>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</si>
  <si>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</si>
  <si>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</si>
  <si>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</si>
  <si>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</si>
  <si>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</si>
  <si>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</si>
  <si>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</si>
  <si>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</si>
  <si>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</si>
  <si>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</si>
  <si>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</si>
  <si>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</si>
  <si>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</si>
  <si>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</si>
  <si>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</si>
  <si>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</si>
  <si>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</si>
  <si>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</si>
  <si>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</si>
  <si>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</si>
  <si>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</si>
  <si>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</si>
  <si>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</si>
  <si>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</si>
  <si>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</si>
  <si>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</si>
  <si>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</si>
  <si>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</si>
  <si>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</si>
  <si>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</si>
  <si>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</si>
  <si>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</si>
  <si>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</si>
  <si>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</si>
  <si>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</si>
  <si>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</si>
  <si>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</si>
  <si>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</si>
  <si>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</si>
  <si>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</si>
  <si>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</si>
  <si>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</si>
  <si>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</si>
  <si>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</si>
  <si>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</si>
  <si>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</si>
  <si>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</si>
  <si>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</si>
  <si>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</si>
  <si>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</si>
  <si>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</si>
  <si>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</si>
  <si>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</si>
  <si>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</si>
  <si>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</si>
  <si>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</si>
  <si>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</si>
  <si>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</si>
  <si>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</si>
  <si>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</si>
  <si>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</si>
  <si>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</si>
  <si>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</si>
  <si>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</si>
  <si>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</si>
  <si>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</si>
  <si>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</si>
  <si>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</si>
  <si>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</si>
  <si>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8,45</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</si>
  <si>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</si>
  <si>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</si>
  <si>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</si>
  <si>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</si>
  <si>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</si>
  <si>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</si>
  <si>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</si>
  <si>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</si>
  <si>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22,62</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</si>
  <si>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</si>
  <si>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</si>
  <si>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</si>
  <si>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</si>
  <si>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</si>
  <si>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</si>
  <si>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</si>
  <si>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</si>
  <si>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</si>
  <si>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</si>
  <si>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</si>
  <si>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</si>
  <si>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</si>
  <si>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</si>
  <si>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</si>
  <si>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</si>
  <si>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</si>
  <si>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</si>
  <si>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</si>
  <si>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CI 04.55.0223 (/)</t>
  </si>
  <si>
    <t>GRUPO - S01.010 - CANTEIRO DE OBRAS</t>
  </si>
  <si>
    <t>BARRACAO PARA ESCRITORIO/FISCALIZACAO</t>
  </si>
  <si>
    <t>436,05</t>
  </si>
  <si>
    <t>BARRACAO ABERTO PARA GUARDA DE TUBOS</t>
  </si>
  <si>
    <t>138,05</t>
  </si>
  <si>
    <t>BARRACAO ABERTO PARA SERVICOS GERAIS</t>
  </si>
  <si>
    <t>104,70</t>
  </si>
  <si>
    <t>BARRACAO FECHADO DEPOSITO/ALMOXARIFADO</t>
  </si>
  <si>
    <t>280,76</t>
  </si>
  <si>
    <t>BARRACAO PARA REFEITORIO</t>
  </si>
  <si>
    <t>357,07</t>
  </si>
  <si>
    <t>BARRACAO PARA VESTIARIO E SANITARIO</t>
  </si>
  <si>
    <t>739,31</t>
  </si>
  <si>
    <t>PADRAO DE ENTRADA PROVISORIO DE ENERGIA</t>
  </si>
  <si>
    <t>1.621,47</t>
  </si>
  <si>
    <t>PADRAO DE ENTRADA PROVISORIO DE AGUA</t>
  </si>
  <si>
    <t>TAPUME CHAPA COMPENSADA RESINADA E=6MM</t>
  </si>
  <si>
    <t>TAPUME TELHA METAL E=0,50MM H=2,00M</t>
  </si>
  <si>
    <t>101,52</t>
  </si>
  <si>
    <t>PLACA OBRA PAD CESAN E AGENTE FINANCEIRO</t>
  </si>
  <si>
    <t>128,56</t>
  </si>
  <si>
    <t>FOSSA SEPTICA PRE-MOLDADA CAP 10 PESSOAS</t>
  </si>
  <si>
    <t>1.192,99</t>
  </si>
  <si>
    <t>FILTRO ANAEROBICO PRE-MOLDADO CAP 10 PES</t>
  </si>
  <si>
    <t>990,29</t>
  </si>
  <si>
    <t>SUMIDOURO PRE-MOLDADO CAP 10 PESSOAS</t>
  </si>
  <si>
    <t>1.686,44</t>
  </si>
  <si>
    <t>CONTAINER ESCRITORIO DE 6,0X2,4M C/ BANH</t>
  </si>
  <si>
    <t>UNM</t>
  </si>
  <si>
    <t>CONTAINER DEPOSITO MAT 6,0X2,4M C/ BANH</t>
  </si>
  <si>
    <t>CONTAINER DEPOSITO MAT 6,0X2,4M S/ BANH</t>
  </si>
  <si>
    <t>CONTAINER SANIT/VESTIARIO DE 6,0X2,4M</t>
  </si>
  <si>
    <t>MOBILIZACAO DE CONTAINER 6,0X2,4M</t>
  </si>
  <si>
    <t>560,23</t>
  </si>
  <si>
    <t>DESMOBILIZACAO DE CONTAINER 6,0X2,4M</t>
  </si>
  <si>
    <t>BANHEIRO QUIMICO</t>
  </si>
  <si>
    <t>1.480,31</t>
  </si>
  <si>
    <t>SANITARIO HIDRAULICO PORTATIL</t>
  </si>
  <si>
    <t>1.716,25</t>
  </si>
  <si>
    <t>TRANSP MAT FORNEC CESAN DIST 51 A 100KM</t>
  </si>
  <si>
    <t>TK</t>
  </si>
  <si>
    <t>TRANSP MAT FORNEC CESAN DIST 101 A 200KM</t>
  </si>
  <si>
    <t>TRANSP MAT FORNEC CESAN DIST ACI 200KM</t>
  </si>
  <si>
    <t>GRUPO GERADOR ATE 20 KVA</t>
  </si>
  <si>
    <t>HRS</t>
  </si>
  <si>
    <t>18,77</t>
  </si>
  <si>
    <t>2.915,47</t>
  </si>
  <si>
    <t>GRUPO GERADOR DE 21 A 80 KVA</t>
  </si>
  <si>
    <t>44,08</t>
  </si>
  <si>
    <t>6.650,74</t>
  </si>
  <si>
    <t>GRUPO GERADOR DE 81 A 125 KVA</t>
  </si>
  <si>
    <t>84,71</t>
  </si>
  <si>
    <t>12.222,29</t>
  </si>
  <si>
    <t>GRUPO GERADOR DE 126 A 180 KVA</t>
  </si>
  <si>
    <t>136,45</t>
  </si>
  <si>
    <t>19.268,77</t>
  </si>
  <si>
    <t>MOB E DESMOB DE EQUIPAMENTOS &lt;=50KM</t>
  </si>
  <si>
    <t>718,69</t>
  </si>
  <si>
    <t>MOB E DESMOB DE EQUIPAMENTOS &gt;50KM</t>
  </si>
  <si>
    <t>KM</t>
  </si>
  <si>
    <t>GRUPO - S02.010 - SERVIÇOS TÉCNICOS</t>
  </si>
  <si>
    <t>CADASTRO DE REDE AGUA OU ESGOTO</t>
  </si>
  <si>
    <t>CADASTRO DA OBRA CIVIL LOCALIZADA</t>
  </si>
  <si>
    <t>296,63</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</si>
  <si>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</si>
  <si>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</si>
  <si>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</si>
  <si>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</si>
  <si>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</si>
  <si>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</si>
  <si>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</si>
  <si>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4,20</t>
  </si>
  <si>
    <t>LOCACAO OBRA SEM EQUIPAMENTO TOPOGRAFICO</t>
  </si>
  <si>
    <t>13,36</t>
  </si>
  <si>
    <t>LOCACAO AREA COM EQUIPAMENTO TOPOGRAFICO</t>
  </si>
  <si>
    <t>EQUIPE TOPOGRAFICA OBRA POR MES</t>
  </si>
  <si>
    <t>11.074,96</t>
  </si>
  <si>
    <t>EQUIPE TOPOGRAFICA OBRA POR DIA</t>
  </si>
  <si>
    <t>523,64</t>
  </si>
  <si>
    <t>ENSAIO COMPRESSAO SIMPLES - CONTRAPROVA</t>
  </si>
  <si>
    <t>118,14</t>
  </si>
  <si>
    <t>MARCO LOCALIZADOR DE DUTOS</t>
  </si>
  <si>
    <t>216,73</t>
  </si>
  <si>
    <t>SINALIZACAO COM FITA SUBTERRANEA</t>
  </si>
  <si>
    <t>GRUPO - S03.010 - SERVIÇOS PRELIMINARES</t>
  </si>
  <si>
    <t>TAPUME VEDACAO DESCONTINUO COM TABUAS</t>
  </si>
  <si>
    <t>TAPUME PROT CHAPA COMPENS RESINADA 12MM</t>
  </si>
  <si>
    <t>TAPUME PROT TELHA MET E=0,50MM H=2,0M</t>
  </si>
  <si>
    <t>PASSADICOS COM PRANCHAS DE MADEIRA</t>
  </si>
  <si>
    <t>97,32</t>
  </si>
  <si>
    <t>PASSADICOS COM CHAPAS DE ACO</t>
  </si>
  <si>
    <t>TELA DE PROTECAO FACHADA</t>
  </si>
  <si>
    <t>ESCORAMENTO DE MURO</t>
  </si>
  <si>
    <t>ESCORAMENTO DE ARVORES</t>
  </si>
  <si>
    <t>91,62</t>
  </si>
  <si>
    <t>ESCORAMENTO DE POSTES</t>
  </si>
  <si>
    <t>629,03</t>
  </si>
  <si>
    <t>ANDAIME TIPO BALANCIM LEVE</t>
  </si>
  <si>
    <t>ANDAIME FACHADEIRO (M2XMES)</t>
  </si>
  <si>
    <t>MONTAGEM/DESMONTAGEM ANDAIME FACHADEIRO</t>
  </si>
  <si>
    <t>TRANSP MANUAL MAT DIFIC ACESS ATE 500M</t>
  </si>
  <si>
    <t>TRANSP MANUAL MAT DIFIC ACESS ACIMA 500M</t>
  </si>
  <si>
    <t>TRANSPORTE MANUAL DE MATERIAIS</t>
  </si>
  <si>
    <t>TO</t>
  </si>
  <si>
    <t>114,40</t>
  </si>
  <si>
    <t>CORTE DESTOC ARVORE DIAM DE 10,01 A 30CM</t>
  </si>
  <si>
    <t>62,15</t>
  </si>
  <si>
    <t>CORTE DESTOC ARVORE DIAM MAIOR 30,0CM</t>
  </si>
  <si>
    <t>275,47</t>
  </si>
  <si>
    <t>LIMPEZA DE AREA (VARREDURA)</t>
  </si>
  <si>
    <t>LIMPEZA DE RUA COM LAVAGEM</t>
  </si>
  <si>
    <t>LIMPEZA GERAL DA EDIFICACAO</t>
  </si>
  <si>
    <t>LIMPEZA MANUAL DE TERRENO</t>
  </si>
  <si>
    <t>0,76</t>
  </si>
  <si>
    <t>LIMPEZA MANUAL TERRENO VEGETACAO DENSA</t>
  </si>
  <si>
    <t>LIMPEZA MECANICA DE TERRENO</t>
  </si>
  <si>
    <t>LIMPEZA DAS ARMADURAS COM ESCOVA DE ACO</t>
  </si>
  <si>
    <t>LIMPEZA DE CONCRETO C/ HIDROJATEAMENTO</t>
  </si>
  <si>
    <t>LIMPEZA DE CALHAS</t>
  </si>
  <si>
    <t>LIMP MANUAL CANALETA DE AGUAS PLUVIAIS</t>
  </si>
  <si>
    <t>LIMPEZA PAREDES E FUNDO COM ESCOVACAO</t>
  </si>
  <si>
    <t>LIMPEZA E LAVAGEM COM BOMBA ALTA PRESSAO</t>
  </si>
  <si>
    <t>LIMPEZA MANUAL DE CAIXA</t>
  </si>
  <si>
    <t>50,84</t>
  </si>
  <si>
    <t>LIMPEZA MANUAL DE POCOS VISITA DN 600MM</t>
  </si>
  <si>
    <t>LIMPEZA MANUAL DE POCOS VISITA DN 1000MM</t>
  </si>
  <si>
    <t>LIMP E DESOB DE REDES ENTRE DN 100 E 200</t>
  </si>
  <si>
    <t>LIMP E DESOB DE REDES ENTRE DN 200 E 400</t>
  </si>
  <si>
    <t>LIMPEZA E DESOB DE REDES COM RID-GID</t>
  </si>
  <si>
    <t>65,00</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</si>
  <si>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</si>
  <si>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</si>
  <si>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</si>
  <si>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</si>
  <si>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</si>
  <si>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</si>
  <si>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</si>
  <si>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</si>
  <si>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</si>
  <si>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</si>
  <si>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</si>
  <si>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</si>
  <si>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101,78</t>
  </si>
  <si>
    <t>SINAL PARE E SIGA C/ PLACAS BLOQ E RADIO</t>
  </si>
  <si>
    <t>229,19</t>
  </si>
  <si>
    <t>SINALIZACAO NOTURNA COM ENERGIA ELETRICA</t>
  </si>
  <si>
    <t>7,44</t>
  </si>
  <si>
    <t>SINALIZACAO COM FAIXA DUPLA ZEBRADA</t>
  </si>
  <si>
    <t>APICOAMENTO MANUAL DE CONCRETO</t>
  </si>
  <si>
    <t>10,83</t>
  </si>
  <si>
    <t>DEMOLICAO DE ALVEN LAJOTA/TIJOLO/BLOCO</t>
  </si>
  <si>
    <t>43,32</t>
  </si>
  <si>
    <t>DEMOLICAO DE ALVENARIA DE COBOGO</t>
  </si>
  <si>
    <t>DEMOLICAO MANUAL CONCRETO ARMADO</t>
  </si>
  <si>
    <t>332,55</t>
  </si>
  <si>
    <t>DEMOLICAO MECANICA CONCRETO ARMADO</t>
  </si>
  <si>
    <t>224,65</t>
  </si>
  <si>
    <t>DEMOLICAO MANUAL CONCRETO SIMPLES/CICLOP</t>
  </si>
  <si>
    <t>231,04</t>
  </si>
  <si>
    <t>DEMOLICAO MANUAL DE PISO EM CERAMICA</t>
  </si>
  <si>
    <t>DEMOLICAO MANUAL DE PISO EM GRANITO</t>
  </si>
  <si>
    <t>DEMOLICAO DE REVESTIMENTO EM CERAMICA</t>
  </si>
  <si>
    <t>20,22</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</si>
  <si>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</si>
  <si>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</si>
  <si>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</si>
  <si>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</si>
  <si>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</si>
  <si>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</si>
  <si>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</si>
  <si>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</si>
  <si>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</si>
  <si>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</si>
  <si>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</si>
  <si>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21,36</t>
  </si>
  <si>
    <t>RETIRADA DE FORRO EM PVC C/ REAPROVEITAM</t>
  </si>
  <si>
    <t>RETIRADA DE GUARDA CORPO</t>
  </si>
  <si>
    <t>REMOCAO DE PINTURA ESTRUTURA METALICA</t>
  </si>
  <si>
    <t>RETIRADA PONTO ELETRICOS, INC DISJUNTOR</t>
  </si>
  <si>
    <t>12,05</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</si>
  <si>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</si>
  <si>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</si>
  <si>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</si>
  <si>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</si>
  <si>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</si>
  <si>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</si>
  <si>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</si>
  <si>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29,69</t>
  </si>
  <si>
    <t>FURO EM ROCHA DN 32MM/50CM C/ ENCH GROUT</t>
  </si>
  <si>
    <t>FURO EM PAREDE CONCRETO 3/8" 15 A 20CM</t>
  </si>
  <si>
    <t>ABERTUR/FECHAM ALVENAR TUBO DN15A25MM</t>
  </si>
  <si>
    <t>7,91</t>
  </si>
  <si>
    <t>ABERTUR/FECHAM ALVENAR TUBO DN32A50MM</t>
  </si>
  <si>
    <t>ABERTUR/FECHAM ALVENAR TUBO DN75 A 100MM</t>
  </si>
  <si>
    <t>CACAMBA ESTAC. P/ CARREG.MANUAL</t>
  </si>
  <si>
    <t>RETIRADA DE TAMPAS CHAPA ACO</t>
  </si>
  <si>
    <t>DEMOLICAO DE PISO CIMENTADO SOBRE LASTR</t>
  </si>
  <si>
    <t>CACAMBA ESTACIONARIA P/ RECEB. DE LODO</t>
  </si>
  <si>
    <t>3.630,00</t>
  </si>
  <si>
    <t>RETIRADA MAT LEITO FILTRANTE S/ REAPROV</t>
  </si>
  <si>
    <t>ANDAIME TUBULAR P/ESTRUTURAS CONCRETO</t>
  </si>
  <si>
    <t>52,21</t>
  </si>
  <si>
    <t>MONTAGEM/DESMONTAGEM ANDAIME TUBULAR</t>
  </si>
  <si>
    <t>2,20</t>
  </si>
  <si>
    <t>LOCACAO ANDAIME METALICO TUBULAR (MXMES)</t>
  </si>
  <si>
    <t>PLACAS INDICATIVAS EM ACRILICO</t>
  </si>
  <si>
    <t>263,03</t>
  </si>
  <si>
    <t>RETIRADA DE GUARDA CORPO C REAPROVEITAM</t>
  </si>
  <si>
    <t>GRUPO - S04.010 - MOVIMENTO DE TERRA</t>
  </si>
  <si>
    <t>ESCAVACAO MANUAL SOLO 1ªCAT PROF ATE 3M</t>
  </si>
  <si>
    <t>38,13</t>
  </si>
  <si>
    <t>ESCAVACAO MANUAL SOLO 1ªCAT PROF ACI 3M</t>
  </si>
  <si>
    <t>43,85</t>
  </si>
  <si>
    <t>ESCAVACAO MANUAL VALA ATE 1M SOLO MOLE</t>
  </si>
  <si>
    <t>89,99</t>
  </si>
  <si>
    <t>ESCAVACAO MANUAL DE SOLO TURFOSO</t>
  </si>
  <si>
    <t>44,49</t>
  </si>
  <si>
    <t>ESCAVACAO MANUAL SOLO 2ªCAT PROF ATE 3M</t>
  </si>
  <si>
    <t>55,93</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</si>
  <si>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</si>
  <si>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</si>
  <si>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</si>
  <si>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</si>
  <si>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</si>
  <si>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</si>
  <si>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1.228,75</t>
  </si>
  <si>
    <t>ESC ROCHA MACICO OU AFLORADA C/ ARG EXPA</t>
  </si>
  <si>
    <t>759,85</t>
  </si>
  <si>
    <t>ESCAVACAO MEC EM ROCHA S/ USO EXPLOSIVOS</t>
  </si>
  <si>
    <t>839,89</t>
  </si>
  <si>
    <t>ESCAVACAO EM CAVA C/ USO EXPLOSIVOS</t>
  </si>
  <si>
    <t>457,71</t>
  </si>
  <si>
    <t>ESCAVACAO MEC E REMOCAO DE SOLOS MOLES</t>
  </si>
  <si>
    <t>REGULARIZACAO DO FUNDO DE VALA COM AREIA</t>
  </si>
  <si>
    <t>59,28</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</si>
  <si>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</si>
  <si>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</si>
  <si>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</si>
  <si>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</si>
  <si>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</si>
  <si>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</si>
  <si>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</si>
  <si>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</si>
  <si>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</si>
  <si>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60,60</t>
  </si>
  <si>
    <t>ATERRO COM AREIA COM ADENSAMENTO HIDR</t>
  </si>
  <si>
    <t>ATERRO COM ARGILA S/ COMPAC CONTROLADA</t>
  </si>
  <si>
    <t>34,35</t>
  </si>
  <si>
    <t>ATERRO COM ARGILA C/ APILOAMENTO MANUAL</t>
  </si>
  <si>
    <t>80,36</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</si>
  <si>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</si>
  <si>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</si>
  <si>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</si>
  <si>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</si>
  <si>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</si>
  <si>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</si>
  <si>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6,65</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</si>
  <si>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</si>
  <si>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</si>
  <si>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</si>
  <si>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</si>
  <si>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</si>
  <si>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</si>
  <si>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</si>
  <si>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</si>
  <si>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</si>
  <si>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</si>
  <si>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</si>
  <si>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</si>
  <si>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</si>
  <si>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</si>
  <si>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55,12</t>
  </si>
  <si>
    <t>ENROCAMENTO COM PEDRA DE MAO</t>
  </si>
  <si>
    <t>137,23</t>
  </si>
  <si>
    <t>ENSECADEIRA COM SACOS DE AREIA</t>
  </si>
  <si>
    <t>138,33</t>
  </si>
  <si>
    <t>ENSECADEIRA SACOS E SOLO LOCAL</t>
  </si>
  <si>
    <t>ENSECADEIRA COM PRANCHAS DE MADEIRA</t>
  </si>
  <si>
    <t>DAMAS EM SOLO CIMENTO 6:1 (ESTRUTURANTE)</t>
  </si>
  <si>
    <t>219,34</t>
  </si>
  <si>
    <t>DAMAS EM SOLO CIMENTO 12:1</t>
  </si>
  <si>
    <t>174,04</t>
  </si>
  <si>
    <t>DAMAS CONTENCAO MADEIRA</t>
  </si>
  <si>
    <t>GABIAO TIPO COLCHAO H=0,30 ZN/AL+PVC</t>
  </si>
  <si>
    <t>234,48</t>
  </si>
  <si>
    <t>MURO GABIAO TIPO CAIXA 2X1X1M ZN/AL</t>
  </si>
  <si>
    <t>496,04</t>
  </si>
  <si>
    <t>RIP-RAP EM PLACAS CONCRETO ARMADO E=5CM</t>
  </si>
  <si>
    <t>124,79</t>
  </si>
  <si>
    <t>INJECAO DE SOLO-CIMENTO 10:1</t>
  </si>
  <si>
    <t>616,67</t>
  </si>
  <si>
    <t>SOLO CIMENTO 1:6 ENSACADO</t>
  </si>
  <si>
    <t>381,18</t>
  </si>
  <si>
    <t>GRUPO - S06.010 - ESGOTAMENTO</t>
  </si>
  <si>
    <t>ESGOT C/ AUX DE CJ MOTO-BOMBA ATE 10M3/H</t>
  </si>
  <si>
    <t>ESGOT C/ AUX DE CJ MOTO-BOMBA ACI 10M3/H</t>
  </si>
  <si>
    <t>REBAI LENCOL FREATICO C/ PONT FILTRANTES</t>
  </si>
  <si>
    <t>2.910,60</t>
  </si>
  <si>
    <t>GRUPO - S07.010 - FUNDACOES E ESTRUTURAS</t>
  </si>
  <si>
    <t>LASTRO DE AREIA MEDIA LAVADA</t>
  </si>
  <si>
    <t>84,14</t>
  </si>
  <si>
    <t>LASTRO DE PO DE PEDRA</t>
  </si>
  <si>
    <t>82,28</t>
  </si>
  <si>
    <t>LASTRO DE BRITA "0"</t>
  </si>
  <si>
    <t>109,56</t>
  </si>
  <si>
    <t>LASTRO DE BRITA "1"</t>
  </si>
  <si>
    <t>89,94</t>
  </si>
  <si>
    <t>LASTRO DE BRITA "2"</t>
  </si>
  <si>
    <t>LASTRO DE BRITA 3 A 4</t>
  </si>
  <si>
    <t>93,17</t>
  </si>
  <si>
    <t>LASTRO DE PEDRA DE MAO</t>
  </si>
  <si>
    <t>107,88</t>
  </si>
  <si>
    <t>TIJOLO CERAMICO PARA LEITO DE SECAGEM</t>
  </si>
  <si>
    <t>61,88</t>
  </si>
  <si>
    <t>LASTRO DE CONCRETO MAGRO</t>
  </si>
  <si>
    <t>377,10</t>
  </si>
  <si>
    <t>FORMA PLANA METALICA ESCO/DESF/CIMB</t>
  </si>
  <si>
    <t>91,82</t>
  </si>
  <si>
    <t>FORMA CURVA METALICA ESCO/DESF/CIMB</t>
  </si>
  <si>
    <t>FORMA PLANA DE MADEIRA - PILAR/VIGA/PARE</t>
  </si>
  <si>
    <t>66,64</t>
  </si>
  <si>
    <t>FORMA CURVA MADEIRA - PILAR/VIGA/PAREDE</t>
  </si>
  <si>
    <t>83,66</t>
  </si>
  <si>
    <t>FORMA PLANA CHAPA 12MM-VIGA/PILAR/PAREDE</t>
  </si>
  <si>
    <t>99,32</t>
  </si>
  <si>
    <t>FORMA PLANA CHAPA 12MM-LAJE</t>
  </si>
  <si>
    <t>49,43</t>
  </si>
  <si>
    <t>FORMA CURVA CHAPA COMPENSADA PLAST 12MM</t>
  </si>
  <si>
    <t>126,01</t>
  </si>
  <si>
    <t>CIMBRAMENTO DE MADEIRA PARA EDIFICACOES</t>
  </si>
  <si>
    <t>TAMPONAMENTO DE FURO DE FORMA METALICA</t>
  </si>
  <si>
    <t>ARMADURA CA-25</t>
  </si>
  <si>
    <t>ARMADURA CA-50</t>
  </si>
  <si>
    <t>ARMADURA CA-60</t>
  </si>
  <si>
    <t>CONCRETO FCK 100 KG/CM2, VIRADO NA OBRA</t>
  </si>
  <si>
    <t>CONCRETO FCK 150 KG/CM2, VIRADO NA OBRA</t>
  </si>
  <si>
    <t>430,05</t>
  </si>
  <si>
    <t>CONCRETO FCK 200 KG/CM2, VIRADO NA OBRA</t>
  </si>
  <si>
    <t>433,96</t>
  </si>
  <si>
    <t>CONCRETO FCK 250 KG/CM2, VIRADO NA OBRA</t>
  </si>
  <si>
    <t>444,70</t>
  </si>
  <si>
    <t>CONCRETO USINADO FCK 150 KG/CM2</t>
  </si>
  <si>
    <t>351,97</t>
  </si>
  <si>
    <t>CONCRETO USINADO FCK 200 KG/CM2</t>
  </si>
  <si>
    <t>380,86</t>
  </si>
  <si>
    <t>CONCRETO USINADO FCK 250 KG/CM2</t>
  </si>
  <si>
    <t>391,25</t>
  </si>
  <si>
    <t>CONCRETO USINADO FCK 300 KG/CM2</t>
  </si>
  <si>
    <t>403,62</t>
  </si>
  <si>
    <t>CONCRETO USINADO FCK 350 KG/CM2</t>
  </si>
  <si>
    <t>416,03</t>
  </si>
  <si>
    <t>CONCRETO USINADO FCK 400 KG/CM2</t>
  </si>
  <si>
    <t>429,54</t>
  </si>
  <si>
    <t>CONCRETO USINADO FCK 200 KG/CM2 BOMBEADO</t>
  </si>
  <si>
    <t>321,88</t>
  </si>
  <si>
    <t>CONCRETO USINADO FCK 250 KG/CM2 BOMBEADO</t>
  </si>
  <si>
    <t>335,01</t>
  </si>
  <si>
    <t>CONCRETO USINADO FCK 300 KG/CM2 BOMBEADO</t>
  </si>
  <si>
    <t>345,95</t>
  </si>
  <si>
    <t>CONCRETO USINADO FCK 350 KG/CM2 BOMBEADO</t>
  </si>
  <si>
    <t>357,98</t>
  </si>
  <si>
    <t>CONCRETO USINADO FCK 400 KG/CM2 BOMBEADO</t>
  </si>
  <si>
    <t>371,11</t>
  </si>
  <si>
    <t>CONCRETO CICLOPICO</t>
  </si>
  <si>
    <t>348,57</t>
  </si>
  <si>
    <t>LAJE PRE-MOLDADA PARA FORRO SIMPLES</t>
  </si>
  <si>
    <t>73,40</t>
  </si>
  <si>
    <t>LAJE PRE-MOLDADA SOBRECARGA 300KG/M2</t>
  </si>
  <si>
    <t>CRAVACAO DE ESTACAS COM TRILHO TR-57</t>
  </si>
  <si>
    <t>384,46</t>
  </si>
  <si>
    <t>CRAVACAO DE ESTACAS COM TRILHO TR-68</t>
  </si>
  <si>
    <t>CRAVACAO DE ESTACA CONC DN 180MM 35 TON</t>
  </si>
  <si>
    <t>116,28</t>
  </si>
  <si>
    <t>CRAVACAO DE ESTACA CONC DN 230MM 55 TON</t>
  </si>
  <si>
    <t>140,23</t>
  </si>
  <si>
    <t>CRAVACAO ESTACA EUCALIPTO TRATADO 0,15M</t>
  </si>
  <si>
    <t>CRAV ESTACA PERFIL "I" BITOLA W 150X13</t>
  </si>
  <si>
    <t>112,07</t>
  </si>
  <si>
    <t>CRAV ESTACA PERFIL "I" BITOLA W 200X35,9</t>
  </si>
  <si>
    <t>210,56</t>
  </si>
  <si>
    <t>CRAV ESTACA PERFIL "I" BITOLA W 200X46,1</t>
  </si>
  <si>
    <t>252,91</t>
  </si>
  <si>
    <t>PILAR 40X20CM REDE DN150 A 250-RIO</t>
  </si>
  <si>
    <t>252,66</t>
  </si>
  <si>
    <t>PILAR 60X20CM REDE DN300 A 400-RIO</t>
  </si>
  <si>
    <t>344,12</t>
  </si>
  <si>
    <t>PILAR 40X15CM REDE DN150 A 250-CORREGO</t>
  </si>
  <si>
    <t>306,86</t>
  </si>
  <si>
    <t>PILAR 60X15CM REDE DN300 A 400-CORREGO</t>
  </si>
  <si>
    <t>385,40</t>
  </si>
  <si>
    <t>BASE 80X60X40CM REDE DN150 A 400-RIO</t>
  </si>
  <si>
    <t>404,57</t>
  </si>
  <si>
    <t>BASE 60X60X30CM REDE DN150 A 250-CORREGO</t>
  </si>
  <si>
    <t>366,97</t>
  </si>
  <si>
    <t>BASE 80X60X30CM REDE DN300 A 400-CORREGO</t>
  </si>
  <si>
    <t>437,36</t>
  </si>
  <si>
    <t>PLACAS DE CONCRETO</t>
  </si>
  <si>
    <t>2.755,91</t>
  </si>
  <si>
    <t>GRUPO - S08.010 - DISPOSITIVOS ESPECIAIS - CAIXAS E POÇOS DE VISITA</t>
  </si>
  <si>
    <t>PV-ANEL CONCR DN 600 PROF ATE 1,25M</t>
  </si>
  <si>
    <t>1.351,55</t>
  </si>
  <si>
    <t>PV-ANEL CONCR DN 1000 PROF DE1,26A1,75M</t>
  </si>
  <si>
    <t>2.151,38</t>
  </si>
  <si>
    <t>PV-ANEL CONCR DN 1000 PROF DE1,76A2,25M</t>
  </si>
  <si>
    <t>2.368,37</t>
  </si>
  <si>
    <t>PV-ANEL CONCR DN 1000 PROF DE2,26A2,75M</t>
  </si>
  <si>
    <t>2.585,36</t>
  </si>
  <si>
    <t>PV-ANEL CONCR DN 1200 PROF DE2,76A3,25M</t>
  </si>
  <si>
    <t>3.161,16</t>
  </si>
  <si>
    <t>PV-ANEL CONCR DN 1200 PROF DE3,26A3,75M</t>
  </si>
  <si>
    <t>3.387,66</t>
  </si>
  <si>
    <t>PV-ANEL CONCR DN 1200 PROF DE3,76A4,25M</t>
  </si>
  <si>
    <t>3.617,09</t>
  </si>
  <si>
    <t>PV-ANEL CONCR DN 1200 PROF DE4,26A4,75M</t>
  </si>
  <si>
    <t>3.862,00</t>
  </si>
  <si>
    <t>PV-ANEL CONCR DN 1200 PROF DE4,76A5,25M</t>
  </si>
  <si>
    <t>4.115,15</t>
  </si>
  <si>
    <t>PV-ANEL CONCR DN 1200 PROF DE5,26A5,75M</t>
  </si>
  <si>
    <t>4.368,00</t>
  </si>
  <si>
    <t>PV-ANEL CONCR DN 1200 PROF DE5,76A6,25M</t>
  </si>
  <si>
    <t>4.627,07</t>
  </si>
  <si>
    <t>PV DN600 BEIRA RIO PROF ATE 1,25M-ENTER</t>
  </si>
  <si>
    <t>1.744,85</t>
  </si>
  <si>
    <t>PV DN600 BEIRA RIO PROF 1,26A1,75M-ENTER</t>
  </si>
  <si>
    <t>1.870,44</t>
  </si>
  <si>
    <t>PV DN600 BEIRA RIO PROF 1,76A2,25M-ENTER</t>
  </si>
  <si>
    <t>2.019,68</t>
  </si>
  <si>
    <t>PV DN600 BEIRA RIO PROF 2,26A2,75M-ENTER</t>
  </si>
  <si>
    <t>2.163,30</t>
  </si>
  <si>
    <t>PV DN800 BEIRA RIO PROF ATE 1,25M-ENTER</t>
  </si>
  <si>
    <t>2.025,95</t>
  </si>
  <si>
    <t>PV DN800 BEIRA RIO PROF 1,26A1,75M-ENTER</t>
  </si>
  <si>
    <t>2.192,77</t>
  </si>
  <si>
    <t>PV DN800 BEIRA RIO PROF 1,76A2,25M-ENTER</t>
  </si>
  <si>
    <t>2.369,89</t>
  </si>
  <si>
    <t>PV DN800 BEIRA RIO PROF 2,26A2,75M-ENTER</t>
  </si>
  <si>
    <t>2.987,37</t>
  </si>
  <si>
    <t>PV DN800 BEIRA RIO PROF 2,76A3,25M-ENTER</t>
  </si>
  <si>
    <t>3.164,02</t>
  </si>
  <si>
    <t>PV DN800 BEIRA RIO PROF 3,26A3,75M-ENTER</t>
  </si>
  <si>
    <t>3.340,68</t>
  </si>
  <si>
    <t>PV DN600 BEIRA RIO PROF ATE 1,25M-AEREO</t>
  </si>
  <si>
    <t>1.852,59</t>
  </si>
  <si>
    <t>PV DN600 BEIRA RIO PROF 1,26A1,75M-AEREO</t>
  </si>
  <si>
    <t>1.944,10</t>
  </si>
  <si>
    <t>PV DN800 BEIRA RIO PROF ATE 1,25M-AEREO</t>
  </si>
  <si>
    <t>1.913,93</t>
  </si>
  <si>
    <t>PV DN800 BEIRA RIO PROF 1,26A1,75M-AEREO</t>
  </si>
  <si>
    <t>2.027,76</t>
  </si>
  <si>
    <t>PV DN800 BEIRA RIO PROF 1,76A2,25M-AEREO</t>
  </si>
  <si>
    <t>2.350,11</t>
  </si>
  <si>
    <t>PV POLIET DN 800 PROF ATE 1,25M</t>
  </si>
  <si>
    <t>2.871,86</t>
  </si>
  <si>
    <t>PV POLIET DN 800 PROF DE 1,26 A 1,75M</t>
  </si>
  <si>
    <t>3.436,84</t>
  </si>
  <si>
    <t>PV POLIET DN 800 PROF DE 1,76 A 2,25M</t>
  </si>
  <si>
    <t>3.696,81</t>
  </si>
  <si>
    <t>PV POLIET DN 1000 PROF DE 2,26 A 2,75M</t>
  </si>
  <si>
    <t>4.406,78</t>
  </si>
  <si>
    <t>PV POLIET DN 1000 PROF DE 2,76 A 3,25M</t>
  </si>
  <si>
    <t>7.276,76</t>
  </si>
  <si>
    <t>PV POLIET DN 1000 PROF DE 3,26 A 3,75M</t>
  </si>
  <si>
    <t>10.046,74</t>
  </si>
  <si>
    <t>PV POLIET DN 1000 PROF DE 3,76 A 4,25M</t>
  </si>
  <si>
    <t>11.216,71</t>
  </si>
  <si>
    <t>GRUPO - S09.010 - FECHAMENTO</t>
  </si>
  <si>
    <t>ALVENARIA DE TIJOLO MACICO, E=10CM</t>
  </si>
  <si>
    <t>137,37</t>
  </si>
  <si>
    <t>ALVENARIA DE TIJOLO MACICO, E=20CM</t>
  </si>
  <si>
    <t>255,41</t>
  </si>
  <si>
    <t>ALVENARIA DE LAJOTA FURADA E=10CM</t>
  </si>
  <si>
    <t>ALVENARIA DE LAJOTA FURADA E=20CM</t>
  </si>
  <si>
    <t>81,38</t>
  </si>
  <si>
    <t>ALVENARIA BLOCO CONCRETO E=9CM</t>
  </si>
  <si>
    <t>42,85</t>
  </si>
  <si>
    <t>ALVENARIA BLOCO CONCRETO E=14CM</t>
  </si>
  <si>
    <t>ALVENARIA BLOCO CONCRETO E=19CM</t>
  </si>
  <si>
    <t>ALVENARIA BLOCO CONCRETO E=9CM APARENTE</t>
  </si>
  <si>
    <t>ALVENARIA BLOCO CONCRETO E=14CM APARENTE</t>
  </si>
  <si>
    <t>ALVENARIA BLOCO CONCRETO E=19CM APARENTE</t>
  </si>
  <si>
    <t>ALVENARIA BLOCO CONCR E=14CM ESTRUTURAL</t>
  </si>
  <si>
    <t>66,22</t>
  </si>
  <si>
    <t>ALVENARIA BLOCO CONCR E=19CM ESTRUTURAL</t>
  </si>
  <si>
    <t>85,47</t>
  </si>
  <si>
    <t>ALVENARIA BLOCO CONCR E=14CM ESTRUT/APAR</t>
  </si>
  <si>
    <t>74,32</t>
  </si>
  <si>
    <t>ALVENARIA BLOCO CONCR E=19CM ESTRUT/APAR</t>
  </si>
  <si>
    <t>ALVENAR BL CONCR U E=14CM ARM/CONC/AMAR</t>
  </si>
  <si>
    <t>27,56</t>
  </si>
  <si>
    <t>ALVENAR BL CONCR U E=19CM ARM/CONC/AMAR</t>
  </si>
  <si>
    <t>31,15</t>
  </si>
  <si>
    <t>ALVENARIA ELEMENTO VAZADO CERAMICO E=7CM</t>
  </si>
  <si>
    <t>115,64</t>
  </si>
  <si>
    <t>ALVENARIA ELEMENTO VAZADO CONCR E=10CM</t>
  </si>
  <si>
    <t>110,08</t>
  </si>
  <si>
    <t>ALVENARIA DE PEDRA</t>
  </si>
  <si>
    <t>371,52</t>
  </si>
  <si>
    <t>GUARDA CORPO PRFV 2"X2"  PADRAO A2.3</t>
  </si>
  <si>
    <t>310,44</t>
  </si>
  <si>
    <t>GUARDA-CORPO GALV 1.1/2"  PAD A2.2 S/TEL</t>
  </si>
  <si>
    <t>423,31</t>
  </si>
  <si>
    <t>GUARDA-CORPO GALV 1.1/2"  PAD A2.2 C/TEL</t>
  </si>
  <si>
    <t>577,26</t>
  </si>
  <si>
    <t>CORRIMAO PRFV 2"X2" PADRAO A2.3</t>
  </si>
  <si>
    <t>180,80</t>
  </si>
  <si>
    <t>CORRIMAO ACO GALV. 1.1/2", PAD A2.4</t>
  </si>
  <si>
    <t>121,08</t>
  </si>
  <si>
    <t>FORRO EM GESSO LISO</t>
  </si>
  <si>
    <t>FORRO EM REGUAS DE PVC</t>
  </si>
  <si>
    <t>37,43</t>
  </si>
  <si>
    <t>LINHA DE SOMBRA PARA FORRO DE GESSO</t>
  </si>
  <si>
    <t>GRUPO - S10.010 - PISOS E REVESTIMENTOS</t>
  </si>
  <si>
    <t>PISO CERAMICO PEI-5 TIPO "A"</t>
  </si>
  <si>
    <t>68,32</t>
  </si>
  <si>
    <t>REVESTIMENTO CERAMICO PEI-3 TIPO "A"</t>
  </si>
  <si>
    <t>52,87</t>
  </si>
  <si>
    <t>PISO LADRILHO HIDRAULICO 20X20CM</t>
  </si>
  <si>
    <t>87,95</t>
  </si>
  <si>
    <t>PLACAS CONCR. ARMADO E=8,0CM 50X50CM-VIA</t>
  </si>
  <si>
    <t>43,70</t>
  </si>
  <si>
    <t>PLACAS CONCR ARMADO E=4,0CM 40X40CM-JARD</t>
  </si>
  <si>
    <t>PISO ALTA RESIST C/ JUNTA E AGREGADO 8MM</t>
  </si>
  <si>
    <t>71,00</t>
  </si>
  <si>
    <t>PISO CIMENTADO E=2,0CM SOB/ LASTRO 8,0CM</t>
  </si>
  <si>
    <t>52,08</t>
  </si>
  <si>
    <t>RODAPE CERAMICO PEI-5 TIPO "A"</t>
  </si>
  <si>
    <t>RODAPE DE MADEIRA MACICA H=7,0CM</t>
  </si>
  <si>
    <t>18,93</t>
  </si>
  <si>
    <t>SOLEIRA, RODAPE E PEITORIL GRANITO E=2CM</t>
  </si>
  <si>
    <t>475,34</t>
  </si>
  <si>
    <t>REGUL BASE DE PISO C/ ARGAM 1:3, E=3CM</t>
  </si>
  <si>
    <t>EMBOCO ARGAMASSA CIMENTO/CAL/AREIA 1:2:9</t>
  </si>
  <si>
    <t>26,14</t>
  </si>
  <si>
    <t>EMBOCO ARGAMASSA CIMENTO/AREIA 1:3</t>
  </si>
  <si>
    <t>REBOCO COMUM ARGAMASSA CIMENTO/AREIA 1:3</t>
  </si>
  <si>
    <t>17,10</t>
  </si>
  <si>
    <t>REBOCO PAULISTA ARGAM CIMENTO/AREIA 1:3</t>
  </si>
  <si>
    <t>REBOCO PAULISTA TETO/PLATIB TRAÇO 1:2:9</t>
  </si>
  <si>
    <t>38,14</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</si>
  <si>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</si>
  <si>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</si>
  <si>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</si>
  <si>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</si>
  <si>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</si>
  <si>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</si>
  <si>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</si>
  <si>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</si>
  <si>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</si>
  <si>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</si>
  <si>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</si>
  <si>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24,11</t>
  </si>
  <si>
    <t>PINTURA LATEX SOBRE CHAPISCO 2 DEMAOS</t>
  </si>
  <si>
    <t>21,06</t>
  </si>
  <si>
    <t>PINTURA TEXTURA ACRILICA FINA</t>
  </si>
  <si>
    <t>13,66</t>
  </si>
  <si>
    <t>PINTURA TEXTURA ACRILICA GROSSA</t>
  </si>
  <si>
    <t>16,25</t>
  </si>
  <si>
    <t>PINTURA ESMALTE SINTETICO ACO 2 DEMAOS</t>
  </si>
  <si>
    <t>PINTURA ESMALTE SINTET TUBUL 2 DEMAOS</t>
  </si>
  <si>
    <t>PINT ESMALTE SINT PAREDE/TETO 2 DEMAOS</t>
  </si>
  <si>
    <t>PINT ESMALTE SINT PAREDE/TETO 3 DEMAOS</t>
  </si>
  <si>
    <t>PINTURA ESMALTE SINTET MADEIRA 2 DEMAOS</t>
  </si>
  <si>
    <t>19,00</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</si>
  <si>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</si>
  <si>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</si>
  <si>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</si>
  <si>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</si>
  <si>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</si>
  <si>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</si>
  <si>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</si>
  <si>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</si>
  <si>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318,43</t>
  </si>
  <si>
    <t>SELADOR ACRILICO PAREDE/TETO</t>
  </si>
  <si>
    <t>POLIURETANO ACRIL ESTR METAL DUAS DEMAOS</t>
  </si>
  <si>
    <t>18,45</t>
  </si>
  <si>
    <t>REBOCO IMPERME C/ ARGAMASSA TIXOTROPICA</t>
  </si>
  <si>
    <t>PINTURA EM VERNIZ REDUTOR EPOXI 2 DEMAOS</t>
  </si>
  <si>
    <t>15,92</t>
  </si>
  <si>
    <t>GRUPO - S11.010 - IMPERMEABILIZAÇÃO</t>
  </si>
  <si>
    <t>ADITIVO IMPERMEABILIZANTE SIKA 1 OU SIMI</t>
  </si>
  <si>
    <t>ADIT ACELER PEGA/ENDURECIM SIKA 3 OU SIM</t>
  </si>
  <si>
    <t>11,12</t>
  </si>
  <si>
    <t>ADESIVO BASE POLIMERO SIKAFIX OU SIMILAR</t>
  </si>
  <si>
    <t>ARGAMASSA FLUIDA SIKAGROUT250 OU SIMILAR</t>
  </si>
  <si>
    <t>2.369,62</t>
  </si>
  <si>
    <t>SIKA TOP 108 OU SIMILAR 2 DEMAOS</t>
  </si>
  <si>
    <t>58,31</t>
  </si>
  <si>
    <t>IGOLFLEX OU SIMILAR 2 DEMAOS</t>
  </si>
  <si>
    <t>IGOLFLEX OU SIMILAR 3 DEMAOS</t>
  </si>
  <si>
    <t>39,15</t>
  </si>
  <si>
    <t>IGOLFLEX BRANCO OU SIMILAR 2 DEMAOS</t>
  </si>
  <si>
    <t>IGOLFLEX BRANCO OU SIMILAR 3 DEMAOS</t>
  </si>
  <si>
    <t>54,35</t>
  </si>
  <si>
    <t>IGOL 2 OU SIMILAR 2 DEMAOS</t>
  </si>
  <si>
    <t>SIKA TOP 107 OU SIMILAR 1 DEMAO</t>
  </si>
  <si>
    <t>SIKA TOP 107 OU SIMILAR 2 DEMAOS</t>
  </si>
  <si>
    <t>SIKA TOP 107 OU SIMILAR 3 DEMAOS</t>
  </si>
  <si>
    <t>41,29</t>
  </si>
  <si>
    <t>SIKA TOP FLEX OU SIMILAR 1 DEMAO</t>
  </si>
  <si>
    <t>SIKA TOP FLEX OU SIMILAR 2 DEMAOS</t>
  </si>
  <si>
    <t>30,78</t>
  </si>
  <si>
    <t>SIKA TOP FLEX OU SIMILAR 3 DEMAOS</t>
  </si>
  <si>
    <t>SIKAGARD 62 OU SIMILAR</t>
  </si>
  <si>
    <t>68,01</t>
  </si>
  <si>
    <t>MANTA ASFALTICA E=4MM ESTRUTURADA</t>
  </si>
  <si>
    <t>49,92</t>
  </si>
  <si>
    <t>REJUNTE MASTIQUE 2X1 - SIKAFLEX OU SIMIL</t>
  </si>
  <si>
    <t>PINTURA EPOXI ALCATRAO 3 DEMAOS</t>
  </si>
  <si>
    <t>37,11</t>
  </si>
  <si>
    <t>TECIDO DE POLIESTER 1 CAMADA</t>
  </si>
  <si>
    <t>ISOPOR COM E=2,5CM</t>
  </si>
  <si>
    <t>ISOPOR COM E=1,0CM</t>
  </si>
  <si>
    <t>JUNTA DILAT ELAST CONCR FUNGENBAND O-22</t>
  </si>
  <si>
    <t>336,32</t>
  </si>
  <si>
    <t>REVEST SIKA TOP 122 OU SIMILAR E=20MM</t>
  </si>
  <si>
    <t>124,00</t>
  </si>
  <si>
    <t>GEOGRELHA DE POLIESTER RESISTENCIA 200KN</t>
  </si>
  <si>
    <t>84,00</t>
  </si>
  <si>
    <t>MANTA GEOTEXTIL POLIESTER 10KN/M</t>
  </si>
  <si>
    <t>GRUPO - S12.010 - ESQUADRIAS E VIDROS</t>
  </si>
  <si>
    <t>PORTA MADEIRA PRANCHETA, COMPLETA</t>
  </si>
  <si>
    <t>260,07</t>
  </si>
  <si>
    <t>PORTA DE MADEIRA ALMOFADA, COMPLETA</t>
  </si>
  <si>
    <t>279,77</t>
  </si>
  <si>
    <t>PORTA ALUMINIO DE ABRIR/CORRER, COMPLETA</t>
  </si>
  <si>
    <t>351,37</t>
  </si>
  <si>
    <t>JANELA/BASCULA ALUM ABRIR/CORRER, COMPL</t>
  </si>
  <si>
    <t>334,57</t>
  </si>
  <si>
    <t>VIDRO LISO TRANSPARENTE E=4MM</t>
  </si>
  <si>
    <t>96,22</t>
  </si>
  <si>
    <t>DIVISORIA GRANITO CINZA POLIDO DUAS FACE</t>
  </si>
  <si>
    <t>222,80</t>
  </si>
  <si>
    <t>ESPELHO DE CRISTAL E=4MM</t>
  </si>
  <si>
    <t>495,20</t>
  </si>
  <si>
    <t>GRUPO - S13.010 - COBERTURA</t>
  </si>
  <si>
    <t>COBERT TELHAS FIBR OND E=6MM, C/ MADEIR</t>
  </si>
  <si>
    <t>91,12</t>
  </si>
  <si>
    <t>COBERT TELHAS FIBR OND E=6MM, S/ MADEIR</t>
  </si>
  <si>
    <t>COBERT TELHAS FIBR OND E=8MM, C/ MADEIR</t>
  </si>
  <si>
    <t>104,24</t>
  </si>
  <si>
    <t>COBERT TELHAS FIBR OND E=8MM, S/ MADEIR</t>
  </si>
  <si>
    <t>52,46</t>
  </si>
  <si>
    <t>COBERTURA TELHAS CANALETE 49, C/ MADEIR</t>
  </si>
  <si>
    <t>116,38</t>
  </si>
  <si>
    <t>COBERTURA TELHAS CANALETE 49, S/ MADEIR</t>
  </si>
  <si>
    <t>COBERTURA TELHAS CANALETE 90, C/ MADEIR</t>
  </si>
  <si>
    <t>COBERTURA TELHAS CANALETE 90 S MADEIRAM</t>
  </si>
  <si>
    <t>83,48</t>
  </si>
  <si>
    <t>COBERT TELHAS ALUMINIO ONDULADA E=5,0MM</t>
  </si>
  <si>
    <t>COBERT TELHAS CERAMICA FRANCESA, C/MADEI</t>
  </si>
  <si>
    <t>135,22</t>
  </si>
  <si>
    <t>COBERT TELHAS CERAMICA COLONIAL, C/MADEI</t>
  </si>
  <si>
    <t>120,98</t>
  </si>
  <si>
    <t>COBERT TELHAS TRANSL TRAP, ESTRU METAL</t>
  </si>
  <si>
    <t>297,41</t>
  </si>
  <si>
    <t>CUMEEIRA UNIVERSAL DE FIBROCIMENTO</t>
  </si>
  <si>
    <t>RUFO EM ALUMINIO ESP=0,5MM LARGURA 40CM</t>
  </si>
  <si>
    <t>68,29</t>
  </si>
  <si>
    <t>CALHA EM PVC L=20CM COM SUPORTE</t>
  </si>
  <si>
    <t>GRUPO -  S14.010 - INSTALAÇÕES HIDROSSANITÁRIAS</t>
  </si>
  <si>
    <t>BACIA SANITARIA LOUCA CAIXA ACOPLADA</t>
  </si>
  <si>
    <t>452,10</t>
  </si>
  <si>
    <t>BACIA SANITARIA LOUCA CONVENCIONAL</t>
  </si>
  <si>
    <t>268,05</t>
  </si>
  <si>
    <t>BACIA SANITARIA LOUCA CONVENCIONAL PCD</t>
  </si>
  <si>
    <t>887,44</t>
  </si>
  <si>
    <t>MICTORIO LOUCA SIFONADO</t>
  </si>
  <si>
    <t>366,16</t>
  </si>
  <si>
    <t>LAVATORIO LOUCA COM COLUNA</t>
  </si>
  <si>
    <t>259,94</t>
  </si>
  <si>
    <t>LAVATORIO LOUCA COM COLUNA SUSPENSA PCD</t>
  </si>
  <si>
    <t>221,85</t>
  </si>
  <si>
    <t>LAVATORIO LOUCA SEM COLUNA SUSPENSO</t>
  </si>
  <si>
    <t>193,92</t>
  </si>
  <si>
    <t>CUBA LOUCA DE EMBUTIR</t>
  </si>
  <si>
    <t>155,44</t>
  </si>
  <si>
    <t>CUBA ACO INOX DE EMBUTIR</t>
  </si>
  <si>
    <t>313,71</t>
  </si>
  <si>
    <t>TANQUE LOUCA SUSPENSO SEM COLUNA</t>
  </si>
  <si>
    <t>434,83</t>
  </si>
  <si>
    <t>CHUVEIRO PLASTICO BRANCO ELETRICO</t>
  </si>
  <si>
    <t>77,48</t>
  </si>
  <si>
    <t>CHUVEIRO PLASTICO BRANCO COMUM</t>
  </si>
  <si>
    <t>DUCHA HIGIENICA METAL CROMADO</t>
  </si>
  <si>
    <t>99,14</t>
  </si>
  <si>
    <t>TORNEIRA BANCADA METAL MANUAL LAVATORIO</t>
  </si>
  <si>
    <t>TORNEIRA BANCADA METAL AUTOMAT LAVATORIO</t>
  </si>
  <si>
    <t>171,70</t>
  </si>
  <si>
    <t>TORNEIRA BANCADA METAL MANUAL PIA COZINH</t>
  </si>
  <si>
    <t>122,83</t>
  </si>
  <si>
    <t>TORNEIRA PVC MANUAL USO GERAL</t>
  </si>
  <si>
    <t>44,88</t>
  </si>
  <si>
    <t>CABIDE METAL CROMADO UM GANCHO</t>
  </si>
  <si>
    <t>PAPELEIRA METAL CROMADO</t>
  </si>
  <si>
    <t>36,03</t>
  </si>
  <si>
    <t>PAPELEIRA PLASTICA PAPEL HIGIENICO ROLAO</t>
  </si>
  <si>
    <t>46,81</t>
  </si>
  <si>
    <t>TOALHEIRO PLASTICO PAPEL TOALHA</t>
  </si>
  <si>
    <t>SABONETEIRA PLASTICA TIPO DISPENSER</t>
  </si>
  <si>
    <t>45,38</t>
  </si>
  <si>
    <t>RALO SECO PVC 100X53X40MM QUADRADO</t>
  </si>
  <si>
    <t>RALO SINFONADO PVC 100X40MM CILINDRICO</t>
  </si>
  <si>
    <t>CAIXA SINFONADA PVC 100X100X50MM REDONDA</t>
  </si>
  <si>
    <t>30,03</t>
  </si>
  <si>
    <t>CAIXA DESCARGA EXTERNA PLASTICA COMPLETA</t>
  </si>
  <si>
    <t>134,26</t>
  </si>
  <si>
    <t>CAIXA GORDURA PRE-MOLDADA 40X40X40CM</t>
  </si>
  <si>
    <t>112,05</t>
  </si>
  <si>
    <t>CAIXA PASSAGEM PRE-MOLDADA 40X40X40CM</t>
  </si>
  <si>
    <t>111,01</t>
  </si>
  <si>
    <t>CAIXA DAGUA FIBRA VIDRO 500L COMPLETA</t>
  </si>
  <si>
    <t>655,66</t>
  </si>
  <si>
    <t>CAIXA DAGUA FIBRA VIDRO 1000L COMPLETA</t>
  </si>
  <si>
    <t>754,50</t>
  </si>
  <si>
    <t>PONTO AGUA FRIA</t>
  </si>
  <si>
    <t>120,31</t>
  </si>
  <si>
    <t>PONTO DRENO AR-CONDICIONADO</t>
  </si>
  <si>
    <t>PONTO REGISTRO DE PRESSAO</t>
  </si>
  <si>
    <t>191,20</t>
  </si>
  <si>
    <t>PONTO REGISTRO DE GAVETA 3/4"</t>
  </si>
  <si>
    <t>PONTO REGISTRO DE GAVETA 1/2"</t>
  </si>
  <si>
    <t>187,46</t>
  </si>
  <si>
    <t>PONTO VALVULA DESCARGA MICTORIO</t>
  </si>
  <si>
    <t>344,78</t>
  </si>
  <si>
    <t>PONTO VALVULA DESCARGA BACIA SANITARIA</t>
  </si>
  <si>
    <t>379,82</t>
  </si>
  <si>
    <t>PONTO VALVULA DESCARGA BACIA SANITAR PCD</t>
  </si>
  <si>
    <t>758,59</t>
  </si>
  <si>
    <t>PONTO ESGOTO PRIMARIO</t>
  </si>
  <si>
    <t>95,59</t>
  </si>
  <si>
    <t>PONTO ESGOTO SECUNDARIO</t>
  </si>
  <si>
    <t>84,56</t>
  </si>
  <si>
    <t>PONTO VENTILACAO ESGOTO</t>
  </si>
  <si>
    <t>335,93</t>
  </si>
  <si>
    <t>TANQUE PRE-MOLDADO DE CONCRETO</t>
  </si>
  <si>
    <t>193,91</t>
  </si>
  <si>
    <t>TUBO PVC SOLD AGUA 20MM, INC CONEXOES</t>
  </si>
  <si>
    <t>TUBO PVC SOLD AGUA 25MM, INC CONEXOES</t>
  </si>
  <si>
    <t>TUBO PVC SOLD AGUA 32MM, INC CONEXOES</t>
  </si>
  <si>
    <t>TUBO PVC SOLD AGUA 50MM, INC CONEXOES</t>
  </si>
  <si>
    <t>36,42</t>
  </si>
  <si>
    <t>TUBO PVC SOLD ESGOTO 40MM, INC CONEXOES</t>
  </si>
  <si>
    <t>TUBO PVC SOLD ESGOTO 50MM, INC CONEXOES</t>
  </si>
  <si>
    <t>35,23</t>
  </si>
  <si>
    <t>TUBO PVC SOLD ESGOTO 75MM, INC CONEXOES</t>
  </si>
  <si>
    <t>49,50</t>
  </si>
  <si>
    <t>TUBO PVC SOLD ESGOTO 100MM, INC CONEXOES</t>
  </si>
  <si>
    <t>55,35</t>
  </si>
  <si>
    <t>TUBO PVC SOLD ESGOTO 200MM, INC CONEXOES</t>
  </si>
  <si>
    <t>104,35</t>
  </si>
  <si>
    <t>REGISTRO DE GAVETA BRUTO DN 25 MM (1")</t>
  </si>
  <si>
    <t>91,67</t>
  </si>
  <si>
    <t>GRUPO -  S15.010 - INSTALAÇÕES ELÉTRICAS/TELEFONIA/CABEAMENTO</t>
  </si>
  <si>
    <t>PONTO ILUMINACAO APARENTE TETO</t>
  </si>
  <si>
    <t>79,76</t>
  </si>
  <si>
    <t>PONTO ILUMINACAO EMBUTIDO PAREDE</t>
  </si>
  <si>
    <t>89,14</t>
  </si>
  <si>
    <t>PONTO INTERRUPTOR SIMPLES EMBUT 1TECLA</t>
  </si>
  <si>
    <t>108,50</t>
  </si>
  <si>
    <t>PONTO INTERRUPTOR SIMPLES EMBUT 2TECLAS</t>
  </si>
  <si>
    <t>125,50</t>
  </si>
  <si>
    <t>PONTO INTERRUPTOR SIMPLES EMBUT 3TECLAS</t>
  </si>
  <si>
    <t>140,98</t>
  </si>
  <si>
    <t>PONTO TOMADA EMBUTIDO 2P+T 10A/250V</t>
  </si>
  <si>
    <t>137,04</t>
  </si>
  <si>
    <t>PONTO TOMADA EMBUTIDO 2P+T 20A/250V</t>
  </si>
  <si>
    <t>170,09</t>
  </si>
  <si>
    <t>PONTO TOMADA EMBUTIDO 3P+T 30A/440V</t>
  </si>
  <si>
    <t>225,87</t>
  </si>
  <si>
    <t>PONTO TOMADA PISO EMBUTID 2P+T 10A/250V</t>
  </si>
  <si>
    <t>123,62</t>
  </si>
  <si>
    <t>PONTO TOMADA CHUVEIRO ELETRICO EMBUTIDO</t>
  </si>
  <si>
    <t>230,72</t>
  </si>
  <si>
    <t>PONTO TOMADA AR CONDICIONADO EMBUTIDO</t>
  </si>
  <si>
    <t>PONTO TOMADA DE TELEFONE RJ11 EMBUTIDO</t>
  </si>
  <si>
    <t>151,82</t>
  </si>
  <si>
    <t>PONTO ANTENA DE TV EMBUTIDO</t>
  </si>
  <si>
    <t>146,96</t>
  </si>
  <si>
    <t>CAIXA PASSAGEM ALV ELET 500X500MM DT-103</t>
  </si>
  <si>
    <t>394,46</t>
  </si>
  <si>
    <t>CAIXA PASSAGEM ALV ELET 300X300MM DT-104</t>
  </si>
  <si>
    <t>176,95</t>
  </si>
  <si>
    <t>POSTE ILUM C/LUMINARIA DECORATIVA DT-118</t>
  </si>
  <si>
    <t>1.177,04</t>
  </si>
  <si>
    <t>GRUPO -  16.010 - INSTALAÇÕES ELETROMECÂNICAS</t>
  </si>
  <si>
    <t>MONT E ASSENT CJ MOTOBOMBA POT ATE 10CV</t>
  </si>
  <si>
    <t>522,13</t>
  </si>
  <si>
    <t>MONT E ASSENT CJ MOTOBOMBA POT 10A20CV</t>
  </si>
  <si>
    <t>652,67</t>
  </si>
  <si>
    <t>MONT E ASSENT CJ MOTOBOMBA POT 20A30CV</t>
  </si>
  <si>
    <t>783,20</t>
  </si>
  <si>
    <t>MONT E ASSENT CJ MOTOBOMBA POT 30A50CV</t>
  </si>
  <si>
    <t>1.174,80</t>
  </si>
  <si>
    <t>MONT E ASSENT CJ MOTOBOMBA POT 50A100CV</t>
  </si>
  <si>
    <t>1.566,40</t>
  </si>
  <si>
    <t>MONT E ASSENT CJ MOTOBOMBA POT 100A300CV</t>
  </si>
  <si>
    <t>3.833,06</t>
  </si>
  <si>
    <t>MONT E ASSENT CJ MOTOBOMBA POT 300A500CV</t>
  </si>
  <si>
    <t>4.631,62</t>
  </si>
  <si>
    <t>MONT E ASSENT CJ MOTOBOMBA POT &gt;500CV</t>
  </si>
  <si>
    <t>5.430,18</t>
  </si>
  <si>
    <t>MONT E INST QUADRO COMANDO POT ATE 10CV</t>
  </si>
  <si>
    <t>938,77</t>
  </si>
  <si>
    <t>MONT E INST QUADRO COMANDO POT 10A20CV</t>
  </si>
  <si>
    <t>1.173,47</t>
  </si>
  <si>
    <t>MONT E INST QUADRO COMANDO POT 20A30CV</t>
  </si>
  <si>
    <t>1.408,16</t>
  </si>
  <si>
    <t>MONT E INST QUADRO COMANDO POT 30A50CV</t>
  </si>
  <si>
    <t>1.760,20</t>
  </si>
  <si>
    <t>MONT E INST QUADRO COMANDO POT 50A100CV</t>
  </si>
  <si>
    <t>3.314,94</t>
  </si>
  <si>
    <t>MONT E INST QUADRO COMANDO POT 100A300CV</t>
  </si>
  <si>
    <t>3.784,33</t>
  </si>
  <si>
    <t>MONT E INST QUADRO COMANDO POT 300A500CV</t>
  </si>
  <si>
    <t>4.371,06</t>
  </si>
  <si>
    <t>MONT E INST QUADRO COMANDO POT &gt; 500CV</t>
  </si>
  <si>
    <t>4.957,79</t>
  </si>
  <si>
    <t>ESTRUTURA EM MADEIRA DE LEI</t>
  </si>
  <si>
    <t>6.100,06</t>
  </si>
  <si>
    <t>COMPORTA STOPLOG FIBRA VIDRO E=3MM</t>
  </si>
  <si>
    <t>580,01</t>
  </si>
  <si>
    <t>COMPORTA STOPLOG FIBRA VIDRO E=5MM</t>
  </si>
  <si>
    <t>680,01</t>
  </si>
  <si>
    <t>COMPORTA STOPLOG FIBRA VIDRO E=6MM</t>
  </si>
  <si>
    <t>780,01</t>
  </si>
  <si>
    <t>COMPORTA STOPLOG FIBRA VIDRO E=7MM</t>
  </si>
  <si>
    <t>880,01</t>
  </si>
  <si>
    <t>COMPORTA STOPLOG FIBRA VIDRO E=10MM</t>
  </si>
  <si>
    <t>1.180,01</t>
  </si>
  <si>
    <t>COMPORTA STOPLOG FIBRA VIDRO E=15MM</t>
  </si>
  <si>
    <t>1.680,01</t>
  </si>
  <si>
    <t>COMPORTA STOPLOG FIBRA VIDRO E=20MM</t>
  </si>
  <si>
    <t>2.180,01</t>
  </si>
  <si>
    <t>CHICANA FIBRA VIDRO E=3MM</t>
  </si>
  <si>
    <t>490,01</t>
  </si>
  <si>
    <t>CHICANA FIBRA VIDRO E=5MM</t>
  </si>
  <si>
    <t>590,01</t>
  </si>
  <si>
    <t>CHICANA FIBRA VIDRO E=6MM</t>
  </si>
  <si>
    <t>690,01</t>
  </si>
  <si>
    <t>CHICANA FIBRA VIDRO E=7MM</t>
  </si>
  <si>
    <t>790,01</t>
  </si>
  <si>
    <t>CHICANA FIBRA VIDRO E=10MM</t>
  </si>
  <si>
    <t>1.090,01</t>
  </si>
  <si>
    <t>CHICANA FIBRA VIDRO E=15MM</t>
  </si>
  <si>
    <t>1.590,01</t>
  </si>
  <si>
    <t>CHICANA FIBRA VIDRO E=20MM</t>
  </si>
  <si>
    <t>2.090,01</t>
  </si>
  <si>
    <t>CALHA PARSHALL PADRAO FIBRA VIDRO W=3"</t>
  </si>
  <si>
    <t>1.170,01</t>
  </si>
  <si>
    <t>CALHA PARSHALL PADRAO FIBRA VIDRO W=6"</t>
  </si>
  <si>
    <t>1.630,02</t>
  </si>
  <si>
    <t>CALHA PARSHALL PADRAO FIBRA VIDRO W=9"</t>
  </si>
  <si>
    <t>1.930,02</t>
  </si>
  <si>
    <t>CALHA PARSHALL PADRAO FIBRA VIDRO W=12"</t>
  </si>
  <si>
    <t>3.456,01</t>
  </si>
  <si>
    <t>CALHA PARSHALL PADRAO FIBRA VIDRO W=18"</t>
  </si>
  <si>
    <t>4.496,01</t>
  </si>
  <si>
    <t>CALHA PARSHALL PADRAO FIBRA VIDRO W=24"</t>
  </si>
  <si>
    <t>4.860,01</t>
  </si>
  <si>
    <t>TAMPA FIBRA VIDRO E=6MM</t>
  </si>
  <si>
    <t>700,00</t>
  </si>
  <si>
    <t>GRUPO -  S17.010 - ASSENTAMENTO</t>
  </si>
  <si>
    <t>ASSENTAMENTO TUBO FOFO JE DN 50</t>
  </si>
  <si>
    <t>4,14</t>
  </si>
  <si>
    <t>ASSENTAMENTO TUBO FOFO JE DN 80</t>
  </si>
  <si>
    <t>ASSENTAMENTO TUBO FOFO JE DN 100</t>
  </si>
  <si>
    <t>8,46</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</si>
  <si>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</si>
  <si>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</si>
  <si>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</si>
  <si>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</si>
  <si>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</si>
  <si>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</si>
  <si>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</si>
  <si>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</si>
  <si>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</si>
  <si>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43,17</t>
  </si>
  <si>
    <t>ASSENTAMENTO TUBO FOFO JE DN 700</t>
  </si>
  <si>
    <t>52,62</t>
  </si>
  <si>
    <t>ASSENTAMENTO TUBO FOFO JE DN 800</t>
  </si>
  <si>
    <t>64,07</t>
  </si>
  <si>
    <t>ASSENTAMENTO TUBO FOFO JE DN 900</t>
  </si>
  <si>
    <t>71,55</t>
  </si>
  <si>
    <t>ASSENTAMENTO TUBO FOFO JE DN 1000</t>
  </si>
  <si>
    <t>78,70</t>
  </si>
  <si>
    <t>ASSENTAMENTO TUBO FOFO JE DN 1200</t>
  </si>
  <si>
    <t>85,86</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</si>
  <si>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</si>
  <si>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</si>
  <si>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</si>
  <si>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</si>
  <si>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</si>
  <si>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</si>
  <si>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</si>
  <si>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</si>
  <si>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</si>
  <si>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</si>
  <si>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</si>
  <si>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4,87</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</si>
  <si>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</si>
  <si>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</si>
  <si>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</si>
  <si>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</si>
  <si>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</si>
  <si>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</si>
  <si>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</si>
  <si>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</si>
  <si>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</si>
  <si>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</si>
  <si>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</si>
  <si>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</si>
  <si>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</si>
  <si>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</si>
  <si>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</si>
  <si>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</si>
  <si>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</si>
  <si>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</si>
  <si>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</si>
  <si>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5,31</t>
  </si>
  <si>
    <t>ASSENTAMENTO TUBO PVC ROSCA 4"</t>
  </si>
  <si>
    <t>5,63</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</si>
  <si>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</si>
  <si>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</si>
  <si>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</si>
  <si>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</si>
  <si>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</si>
  <si>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</si>
  <si>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</si>
  <si>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</si>
  <si>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</si>
  <si>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</si>
  <si>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</si>
  <si>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</si>
  <si>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</si>
  <si>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</si>
  <si>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</si>
  <si>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28,92</t>
  </si>
  <si>
    <t>ASSENTAMENTO TUBO CONCRETO DN 300</t>
  </si>
  <si>
    <t>36,59</t>
  </si>
  <si>
    <t>ASSENTAMENTO TUBO CONCRETO DN 400</t>
  </si>
  <si>
    <t>44,81</t>
  </si>
  <si>
    <t>ASSENTAMENTO TUBO CONCRETO DN 500</t>
  </si>
  <si>
    <t>ASSENTAMENTO TUBO CONCRETO DN 600</t>
  </si>
  <si>
    <t>ASSENTAMENTO TUBO CONCRETO DN 700</t>
  </si>
  <si>
    <t>99,43</t>
  </si>
  <si>
    <t>ASSENTAMENTO TUBO CONCRETO DN 800</t>
  </si>
  <si>
    <t>138,09</t>
  </si>
  <si>
    <t>ASSENTAMENTO TUBO CONCRETO DN 900</t>
  </si>
  <si>
    <t>186,17</t>
  </si>
  <si>
    <t>ASSENTAMENTO TUBO CONCRETO DN 1000</t>
  </si>
  <si>
    <t>197,80</t>
  </si>
  <si>
    <t>ASSENTAMENTO TUBO CONCRETO DN 1200</t>
  </si>
  <si>
    <t>221,21</t>
  </si>
  <si>
    <t>ASSENTAMENTO TUBO CONCRETO DN 1500</t>
  </si>
  <si>
    <t>228,81</t>
  </si>
  <si>
    <t>ASSENT TUBO FOFO DN 80 SOBRE PILARES</t>
  </si>
  <si>
    <t>ASSENT TUBO FOFO DN 100 SOBRE PILARES</t>
  </si>
  <si>
    <t>14,58</t>
  </si>
  <si>
    <t>ASSENT TUBO FOFO DN 150 SOBRE PILARES</t>
  </si>
  <si>
    <t>ASSENT TUBO FOFO DN 200 SOBRE PILARES</t>
  </si>
  <si>
    <t>ASSENT TUBO FOFO DN 250 SOBRE PILARES</t>
  </si>
  <si>
    <t>ASSENT TUBO FOFO DN 300 SOBRE PILARES</t>
  </si>
  <si>
    <t>22,50</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</si>
  <si>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</si>
  <si>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</si>
  <si>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</si>
  <si>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</si>
  <si>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</si>
  <si>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</si>
  <si>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25,25</t>
  </si>
  <si>
    <t>PECAS EM CHAPAS/PERFIL/BARRA EM ACO INOX</t>
  </si>
  <si>
    <t>48,09</t>
  </si>
  <si>
    <t>TUBOS E CONEXOES EM ACO INOX</t>
  </si>
  <si>
    <t>70,58</t>
  </si>
  <si>
    <t>PECAS EM ESTRUTURA PESADA EM ACO</t>
  </si>
  <si>
    <t>CORTE SOLDA DE TUBOS ATE DN 150</t>
  </si>
  <si>
    <t>CORTE SOLDA DE TUBOS DN 200</t>
  </si>
  <si>
    <t>71,44</t>
  </si>
  <si>
    <t>CORTE SOLDA DE TUBOS DN 250</t>
  </si>
  <si>
    <t>79,45</t>
  </si>
  <si>
    <t>CORTE SOLDA DE TUBOS DN 300</t>
  </si>
  <si>
    <t>97,17</t>
  </si>
  <si>
    <t>CORTE SOLDA DE TUBOS DN 400</t>
  </si>
  <si>
    <t>115,37</t>
  </si>
  <si>
    <t>CORTE SOLDA DE TUBOS DN 500</t>
  </si>
  <si>
    <t>146,95</t>
  </si>
  <si>
    <t>CORTE SOLDA DE TUBOS DN 600</t>
  </si>
  <si>
    <t>195,28</t>
  </si>
  <si>
    <t>CORTE SOLDA DE TUBOS DN 700</t>
  </si>
  <si>
    <t>243,65</t>
  </si>
  <si>
    <t>GRUPO -  S19.010 - INTERLIGAÇÕES</t>
  </si>
  <si>
    <t>INTERLIGACAO DE REDE ATE DN 100</t>
  </si>
  <si>
    <t>330,71</t>
  </si>
  <si>
    <t>INTERLIGACAO DE REDE DN 150</t>
  </si>
  <si>
    <t>1.321,71</t>
  </si>
  <si>
    <t>INTERLIGACAO DE REDE  DN 200 A DN 300</t>
  </si>
  <si>
    <t>6.752,14</t>
  </si>
  <si>
    <t>INTERLIGACAO DE REDE  DN 350 A DN 500</t>
  </si>
  <si>
    <t>8.290,54</t>
  </si>
  <si>
    <t>INTERLIGACAO DE REDE  DN 600 A DN 700</t>
  </si>
  <si>
    <t>14.619,37</t>
  </si>
  <si>
    <t>INTERLIGACAO DE REDE  DN 800 A DN 900</t>
  </si>
  <si>
    <t>22.603,36</t>
  </si>
  <si>
    <t>INTERLIGACAO DE REDE  DN 1000</t>
  </si>
  <si>
    <t>28.906,65</t>
  </si>
  <si>
    <t>INTERLIGACAO DE REDE DN 75-C/ REDE CARGA</t>
  </si>
  <si>
    <t>398,63</t>
  </si>
  <si>
    <t>INTERLIGACAO DE REDE DN 100-C/ REDE CARG</t>
  </si>
  <si>
    <t>1.089,88</t>
  </si>
  <si>
    <t>INTERLIGACAO DE REDE DN 150-C/ REDE CARG</t>
  </si>
  <si>
    <t>1.111,06</t>
  </si>
  <si>
    <t>INTERLIGACAO DE REDE DN 200-C/ REDE CARG</t>
  </si>
  <si>
    <t>1.587,94</t>
  </si>
  <si>
    <t>INTERLIGACAO DE REDE DN 250-C/ REDE CARG</t>
  </si>
  <si>
    <t>1.640,03</t>
  </si>
  <si>
    <t>INTERLIGACAO DE REDE DN 300-C/ REDE CARG</t>
  </si>
  <si>
    <t>1.950,86</t>
  </si>
  <si>
    <t>INTERLIGACAO DE REDE DN 350-C/ REDE CARG</t>
  </si>
  <si>
    <t>1.956,07</t>
  </si>
  <si>
    <t>INTERLIGACAO DE REDE DN 400-C/ REDE CARG</t>
  </si>
  <si>
    <t>2.589,37</t>
  </si>
  <si>
    <t>GRUPO -   S20.010 - LIGAÇÕES PREDIAIS</t>
  </si>
  <si>
    <t>LIG PRED ESG LONGA C/MAT S/PAV H0,6A1,0M</t>
  </si>
  <si>
    <t>481,21</t>
  </si>
  <si>
    <t>LIG PRED ESG LONGA C/MAT PARAL H0,6A1,0M</t>
  </si>
  <si>
    <t>701,23</t>
  </si>
  <si>
    <t>LIG PRED ESG LONGA C/MAT BLOCO H0,6A1,0M</t>
  </si>
  <si>
    <t>691,42</t>
  </si>
  <si>
    <t>LIG PRED ESG LONGA C/MAT ASFAL H0,6A1,0M</t>
  </si>
  <si>
    <t>751,87</t>
  </si>
  <si>
    <t>LIG PRED ESG CURTA C/MAT S/PAV H0,6A1,0M</t>
  </si>
  <si>
    <t>355,37</t>
  </si>
  <si>
    <t>LIG PRED ESG CURTA C/MAT PARAL H0,6A1,0M</t>
  </si>
  <si>
    <t>488,47</t>
  </si>
  <si>
    <t>LIG PRED ESG CURTA C/MAT BLOCO H0,6A1,0M</t>
  </si>
  <si>
    <t>481,90</t>
  </si>
  <si>
    <t>LIG PRED ESG CURTA C/MAT ASFAL H0,6A1,0M</t>
  </si>
  <si>
    <t>523,04</t>
  </si>
  <si>
    <t>LIG PRED AGUA DN 20, C/ COLAR, S/PAV</t>
  </si>
  <si>
    <t>166,34</t>
  </si>
  <si>
    <t>LIG PRED AGUA DN 20, C/ COLAR, ASFALTO</t>
  </si>
  <si>
    <t>454,07</t>
  </si>
  <si>
    <t>LIG PRED AGUA DN 20, C/ COLAR, PARALELO</t>
  </si>
  <si>
    <t>301,54</t>
  </si>
  <si>
    <t>LIG PRED AGUA DN 20, C/ COLAR, BLOCO</t>
  </si>
  <si>
    <t>291,32</t>
  </si>
  <si>
    <t>LIG PRED AGUA DN 20, C/ TE, S/PAVIMENTO</t>
  </si>
  <si>
    <t>187,03</t>
  </si>
  <si>
    <t>LIG PRED AGUA DN 20, C/ TE, ASFALTO</t>
  </si>
  <si>
    <t>474,75</t>
  </si>
  <si>
    <t>LIG PRED AGUA DN 20, C/ TE, PARALELO</t>
  </si>
  <si>
    <t>322,22</t>
  </si>
  <si>
    <t>LIG PRED AGUA DN 20, C/ TE, BLOCO</t>
  </si>
  <si>
    <t>312,01</t>
  </si>
  <si>
    <t>PADRAO 1A-CAIXA TERMOPLASTICA HIDROM ¾"</t>
  </si>
  <si>
    <t>201,18</t>
  </si>
  <si>
    <t>PADRAO 1B-CAIXA TERMOPLASTICA HIDROM ¾"</t>
  </si>
  <si>
    <t>PADRAO 1C-CAVALETE PVC HIDROMETRO ¾"</t>
  </si>
  <si>
    <t>202,94</t>
  </si>
  <si>
    <t>PADRAO 1D-CAIXA ENTERRADA HIDROMETRO ¾"</t>
  </si>
  <si>
    <t>541,44</t>
  </si>
  <si>
    <t>PADRAO 2-CAIXA ENTERRADA HIDROMETRO 1"</t>
  </si>
  <si>
    <t>606,85</t>
  </si>
  <si>
    <t>PADRAO 3-CAIXA ENTERRADA HIDROM 1.1/2"</t>
  </si>
  <si>
    <t>705,36</t>
  </si>
  <si>
    <t>PADRAO 4-CAIXA ENTERRADA HIDROMETRO 2"</t>
  </si>
  <si>
    <t>1.222,78</t>
  </si>
  <si>
    <t>PADRAO 5-CAIXA ENTERRADA HIDROMETRO 3"</t>
  </si>
  <si>
    <t>5.065,88</t>
  </si>
  <si>
    <t>PADRAO 6-CAIXA ENTERRADA HIDROMETRO 4"</t>
  </si>
  <si>
    <t>6.556,10</t>
  </si>
  <si>
    <t>INSTALACAO DE HIDROMETRO COM DN  ¾"</t>
  </si>
  <si>
    <t>58,05</t>
  </si>
  <si>
    <t>INSTALACAO DE HIDROMETRO COM DN  1"</t>
  </si>
  <si>
    <t>103,21</t>
  </si>
  <si>
    <t>INSTALACAO DE HIDROMETRO COM DN  1.1/2"</t>
  </si>
  <si>
    <t>155,53</t>
  </si>
  <si>
    <t>INSTALACAO DE HIDROMETRO COM DN  2" A 4"</t>
  </si>
  <si>
    <t>308,77</t>
  </si>
  <si>
    <t>LOCALIZACAO DO RAMAL PREDIAL</t>
  </si>
  <si>
    <t>REPARO DA BASE DO PADRAO TIPO CAVALETE</t>
  </si>
  <si>
    <t>54,04</t>
  </si>
  <si>
    <t>REPARO CAIXA ENTER TERMOPLASTICA CALCADA</t>
  </si>
  <si>
    <t>94,06</t>
  </si>
  <si>
    <t>REPARO DE CAIXA TERMOPLASTICA DE PAREDE</t>
  </si>
  <si>
    <t>75,05</t>
  </si>
  <si>
    <t>CAIXA LIGACAO PREDIAL EM ANEL CONCRETO</t>
  </si>
  <si>
    <t>103,29</t>
  </si>
  <si>
    <t>TAMPA CAIXA DE LIGACAO PREDIAL ESGOTO</t>
  </si>
  <si>
    <t>81,04</t>
  </si>
  <si>
    <t>CAIXA LIGACAO ANEL CONCRETO-BEIRA RIO</t>
  </si>
  <si>
    <t>283,80</t>
  </si>
  <si>
    <t>REDE CONDOM PVC NBR7362 100-BEIRA RIO</t>
  </si>
  <si>
    <t>103,65</t>
  </si>
  <si>
    <t>REDE CONDOM FOFO NBR15420 100-BEIRA RIO</t>
  </si>
  <si>
    <t>257,79</t>
  </si>
  <si>
    <t>LIGACAO INTRA-DOMICILIAR NA CALCADA</t>
  </si>
  <si>
    <t>635,26</t>
  </si>
  <si>
    <t>LIGACAO INTRA-DOMICILIAR-INST. EXISTENTE</t>
  </si>
  <si>
    <t>858,82</t>
  </si>
  <si>
    <t>LIGACAO INTRA-DOMICILIAR PADRAO ATE 6M</t>
  </si>
  <si>
    <t>1.171,99</t>
  </si>
  <si>
    <t>LIGACAO INTRA-DOMIC PAD DIST&gt;6 E &lt;=12M</t>
  </si>
  <si>
    <t>1.640,89</t>
  </si>
  <si>
    <t>LIGACAO INTRA-DOMIC PAD DIST&gt;12 E &lt;=18M</t>
  </si>
  <si>
    <t>2.111,68</t>
  </si>
  <si>
    <t>LIG INTRA-DOMICILIAR CALÇADA(INTERIOR)</t>
  </si>
  <si>
    <t>372,95</t>
  </si>
  <si>
    <t>LIG INTRA-DOMICILIAR-INST EXIST(INTERIOR</t>
  </si>
  <si>
    <t>727,71</t>
  </si>
  <si>
    <t>LIG INTRA-DOMIC PADRAO ATÉ 6M (INTERIOR)</t>
  </si>
  <si>
    <t>864,87</t>
  </si>
  <si>
    <t>LIG INTRA-DOMIC PAD DIST&gt;6E&lt;=12M(INTERIO</t>
  </si>
  <si>
    <t>1.165,94</t>
  </si>
  <si>
    <t>LIG INTRA-DOMIC PAD DIST&gt;12E&lt;=18M(INTERI</t>
  </si>
  <si>
    <t>1.602,23</t>
  </si>
  <si>
    <t>LIG ESG DENTRO PI NA REDE E CAP DRENAGEM</t>
  </si>
  <si>
    <t>75,65</t>
  </si>
  <si>
    <t>PESQ RAMAL PREDIAL P/ NOVA LIGACAO ESGOT</t>
  </si>
  <si>
    <t>65,02</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</si>
  <si>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</si>
  <si>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</si>
  <si>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</si>
  <si>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</si>
  <si>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</si>
  <si>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</si>
  <si>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</si>
  <si>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</si>
  <si>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</si>
  <si>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</si>
  <si>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</si>
  <si>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</si>
  <si>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</si>
  <si>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</si>
  <si>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</si>
  <si>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</si>
  <si>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</si>
  <si>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63,98</t>
  </si>
  <si>
    <t>RECOMP DE PAVIMENTO EM PLACAS CONCRETO</t>
  </si>
  <si>
    <t>RECOMPOSICAO DE PAVIMENTO EM CERAMICA</t>
  </si>
  <si>
    <t>79,63</t>
  </si>
  <si>
    <t>RECOMP PAVIMENTO CIMENTADO INCL LASTRO</t>
  </si>
  <si>
    <t>46,61</t>
  </si>
  <si>
    <t>RECOMPOSICAO MEIO FIO CONCRETO OU PEDRA</t>
  </si>
  <si>
    <t>RECOMPOSICAO DE SARJETA DE CONCRETO</t>
  </si>
  <si>
    <t>BASE EM SOLO BRITA</t>
  </si>
  <si>
    <t>97,98</t>
  </si>
  <si>
    <t>PINTURA LIGACAO SOBRE BASE(RR-2C)</t>
  </si>
  <si>
    <t>RECOMPOSICAO DE PAVIMENTO ASFALTICO</t>
  </si>
  <si>
    <t>1.046,98</t>
  </si>
  <si>
    <t>RECOMP PAV ASFALTICO AREAS TAPA BURACO</t>
  </si>
  <si>
    <t>1.334,77</t>
  </si>
  <si>
    <t>TRANSPORTE DE MASSA ASFALTICA</t>
  </si>
  <si>
    <t>PAVIMENTACAO BLOCO CONCR SEXTAVADO E=6CM</t>
  </si>
  <si>
    <t>PAVIMENTACAO BLOCO CONCR SEXTAVADO E=8CM</t>
  </si>
  <si>
    <t>PAVIMENTACAO BLOCO CONCR PAVI-S E=6CM</t>
  </si>
  <si>
    <t>48,36</t>
  </si>
  <si>
    <t>PAVIMENTACAO BLOCO CONCR PAVI-S E=8CM</t>
  </si>
  <si>
    <t>55,54</t>
  </si>
  <si>
    <t>PAVIMENTACAO PARALELEPIPEDO</t>
  </si>
  <si>
    <t>MEIO FIO DE CONCRETO SECAO 15x12x30CM</t>
  </si>
  <si>
    <t>PAVIMENTO EM PEDRISCO E=5,0CM</t>
  </si>
  <si>
    <t>PAVIMENTO EM PEDRISCO E=10,0CM</t>
  </si>
  <si>
    <t>MURO TIPO "1"  BLOCO/MOURAO/ARAME</t>
  </si>
  <si>
    <t>183,37</t>
  </si>
  <si>
    <t>MURO TIPO"2" BLOCO/MOURAO/TELA PVC/ARAME</t>
  </si>
  <si>
    <t>209,76</t>
  </si>
  <si>
    <t>MURO TIPO  "3"  MOURAO/ARAME</t>
  </si>
  <si>
    <t>120,84</t>
  </si>
  <si>
    <t>MURO TIPO"4" BLOCO/MOURAO/TELA GALV/ARAM</t>
  </si>
  <si>
    <t>179,55</t>
  </si>
  <si>
    <t>MURO TIPO "5" BLOCO DE CONCRETO APARENTE</t>
  </si>
  <si>
    <t>570,73</t>
  </si>
  <si>
    <t>CERCA C/ 6 FIOS ARAME LISO/MOURAO MADEIR</t>
  </si>
  <si>
    <t>CERCA C/ 6 FIOS ARAME FARPADO/MOURAO MAD</t>
  </si>
  <si>
    <t>PORTAO TIPO "1" L=4,00M</t>
  </si>
  <si>
    <t>3.993,39</t>
  </si>
  <si>
    <t>PORTAO TIPO "1" L=1,00M</t>
  </si>
  <si>
    <t>2.013,19</t>
  </si>
  <si>
    <t>PORTAO TIPO "2" FECHADO L=4,0M E H=3,0M</t>
  </si>
  <si>
    <t>6.577,86</t>
  </si>
  <si>
    <t>PINTURA LETREIRO/LOGOMARCA CESAN</t>
  </si>
  <si>
    <t>127,26</t>
  </si>
  <si>
    <t>GRAMA ESMERALDA PLACAS, TERRA VEG. 2,0CM</t>
  </si>
  <si>
    <t>PLANTIO DE ARVORES H=2,0M</t>
  </si>
  <si>
    <t>BANCO PRE-MOLDADO DE CONCRETO</t>
  </si>
  <si>
    <t>282,57</t>
  </si>
  <si>
    <t>CAIXA RALO EM CONCRETO, COMPLETA</t>
  </si>
  <si>
    <t>358,13</t>
  </si>
  <si>
    <t>MEIA CANA DE CONCRETO DN 200</t>
  </si>
  <si>
    <t>MEIA CANA DE CONCRETO DN 300</t>
  </si>
  <si>
    <t>35,22</t>
  </si>
  <si>
    <t>MEIA CANA DE CONCRETO DN 400</t>
  </si>
  <si>
    <t>47,29</t>
  </si>
  <si>
    <t>MEIA CANA DE CONCRETO DN 500</t>
  </si>
  <si>
    <t>61,64</t>
  </si>
  <si>
    <t>MEIA CANA DE CONCRETO DN 600</t>
  </si>
  <si>
    <t>75,20</t>
  </si>
  <si>
    <t>SARJETA EM CONCRETO</t>
  </si>
  <si>
    <t>32,08</t>
  </si>
  <si>
    <t>REDE DREN TUBO CONCR CA-1 DN 400 S/ PAV</t>
  </si>
  <si>
    <t>158,94</t>
  </si>
  <si>
    <t>REDE DREN TUBO CONCR CA-2 DN 300 S/ PAV</t>
  </si>
  <si>
    <t>143,97</t>
  </si>
  <si>
    <t>REDE DREN TUBO CONCR CA-2 DN 400 S/ PAV</t>
  </si>
  <si>
    <t>162,14</t>
  </si>
  <si>
    <t>TAMPAO FERRO FUNDIDO DN 600MM</t>
  </si>
  <si>
    <t>421,99</t>
  </si>
  <si>
    <t>TAMPAO FERRO FUNDIDO DN 800MM</t>
  </si>
  <si>
    <t>1.867,27</t>
  </si>
  <si>
    <t>CONCERTINA CLIP (DUPLA) ACO GALV D=2,76</t>
  </si>
  <si>
    <t>34,95</t>
  </si>
  <si>
    <t>SINALIZACAO HORIZONT TERMOPLAST EXTRUSAO</t>
  </si>
  <si>
    <t>99,88</t>
  </si>
  <si>
    <t>ASFALTO A FRIO ENSACADO</t>
  </si>
  <si>
    <t>RETIRADA CALCADA EM CIMENTADO DESEMP</t>
  </si>
  <si>
    <t>RECOMP DE CALCADA EM CIMENTADO DESEMP</t>
  </si>
  <si>
    <t>BASE EM CASCALHO</t>
  </si>
  <si>
    <t>111,15</t>
  </si>
  <si>
    <t>SINALIZACAO HORIZONT TINTA BASE ACRILICA</t>
  </si>
  <si>
    <t>21,76</t>
  </si>
  <si>
    <t>GRUPO -  S23.010 - SERVIÇOS ESPECIAIS</t>
  </si>
  <si>
    <t>LASTRO DE BRITA "0" PARA BIOFILTRO</t>
  </si>
  <si>
    <t>115,92</t>
  </si>
  <si>
    <t>LASTRO DE BRITA "1" PARA BIOFILTRO</t>
  </si>
  <si>
    <t>96,30</t>
  </si>
  <si>
    <t>LASTRO DE BRITA "2" PARA BIOFILTRO</t>
  </si>
  <si>
    <t>TURFA/CAVACO/CARVAO/AREIA P/ BIOFILTRO</t>
  </si>
  <si>
    <t>247,44</t>
  </si>
  <si>
    <t>TELA TIPO MOSQUITEIRO PARA BIOFILTRO</t>
  </si>
  <si>
    <t>16,08</t>
  </si>
  <si>
    <t>AREIA GROSSA</t>
  </si>
  <si>
    <t>ENROCAMENTO COM PEDRA DE MAO ARGAMASSADA</t>
  </si>
  <si>
    <t>336,50</t>
  </si>
  <si>
    <t>CAIXA DE PASSAGEM 60X60X100</t>
  </si>
  <si>
    <t>524,42</t>
  </si>
  <si>
    <t>DEFENSA METALICA</t>
  </si>
  <si>
    <t>462,26</t>
  </si>
  <si>
    <t>CARVAO ANTRACITO TE=1,1A1,3MM CU=1,5MM</t>
  </si>
  <si>
    <t>2.735,42</t>
  </si>
  <si>
    <t>SEIXO ROLADO PARA FILTRO 50MMX25MM</t>
  </si>
  <si>
    <t>914,60</t>
  </si>
  <si>
    <t>SEIXO ROLADO PARA FILTRO 19MMX12,7MM</t>
  </si>
  <si>
    <t>897,55</t>
  </si>
  <si>
    <t>SEIXO ROLADO PARA FILTRO 12,7MMX6,3MM</t>
  </si>
  <si>
    <t>SEIXO ROLADO PARA FILTRO 6,3MMX3,2MM</t>
  </si>
  <si>
    <t>SEIXO ROLADO PARA FILTRO 3,2MMX2,0MM</t>
  </si>
  <si>
    <t>AREIA PARA FILTRO TE=0,50MM CU=1,5MM</t>
  </si>
  <si>
    <t>874,17</t>
  </si>
  <si>
    <t>GRUPO -  S25.010 - SISTEMA ABASTECIMENTO DE ÁGUA</t>
  </si>
  <si>
    <t>REDE AGUA PVC PBA 15 DN 50 S/PAV</t>
  </si>
  <si>
    <t>42,94</t>
  </si>
  <si>
    <t>REDE AGUA PVC PBA 15 DN 50 ASFALTO</t>
  </si>
  <si>
    <t>90,61</t>
  </si>
  <si>
    <t>REDE AGUA PVC PBA 15 DN 50 BLOCO/PAVI´S</t>
  </si>
  <si>
    <t>REDE AGUA PVC PBA 15 DN 50 PARALELO</t>
  </si>
  <si>
    <t>82,05</t>
  </si>
  <si>
    <t>REDE AGUA PVC PBA 15 DN 75 S/PAV</t>
  </si>
  <si>
    <t>59,33</t>
  </si>
  <si>
    <t>REDE AGUA PVC PBA 15 DN 75 ASFALTO</t>
  </si>
  <si>
    <t>REDE AGUA PVC PBA 15 DN 75 BLOCO/PAVI´S</t>
  </si>
  <si>
    <t>REDE AGUA PVC PBA 15 DN 75 PARALELO</t>
  </si>
  <si>
    <t>98,45</t>
  </si>
  <si>
    <t>REDE AGUA PVC PBA 15 DN 100 S/PAV</t>
  </si>
  <si>
    <t>80,75</t>
  </si>
  <si>
    <t>REDE AGUA PVC PBA 15 DN 100 ASFALTO</t>
  </si>
  <si>
    <t>128,34</t>
  </si>
  <si>
    <t>REDE AGUA PVC PBA 15 DN 100 BLOCO/PAVI´S</t>
  </si>
  <si>
    <t>117,51</t>
  </si>
  <si>
    <t>REDE AGUA PVC PBA 15 DN 100 PARALELO</t>
  </si>
  <si>
    <t>119,77</t>
  </si>
  <si>
    <t>REDE AGUA PVC PBA 20 DN 50 S/PAV</t>
  </si>
  <si>
    <t>46,35</t>
  </si>
  <si>
    <t>REDE AGUA PVC PBA 20 DN 50 ASFALTO</t>
  </si>
  <si>
    <t>94,02</t>
  </si>
  <si>
    <t>REDE AGUA PVC PBA 20 DN 50 BLOCO/PAVI´S</t>
  </si>
  <si>
    <t>83,21</t>
  </si>
  <si>
    <t>REDE AGUA PVC PBA 20 DN 50 PARALELO</t>
  </si>
  <si>
    <t>REDE AGUA PVC PBA 20 DN 75 S/PAV</t>
  </si>
  <si>
    <t>66,99</t>
  </si>
  <si>
    <t>REDE AGUA PVC PBA 20 DN 75 ASFALTO</t>
  </si>
  <si>
    <t>114,68</t>
  </si>
  <si>
    <t>REDE AGUA PVC PBA 20 DN 75 BLOCO/PAVI´S</t>
  </si>
  <si>
    <t>103,86</t>
  </si>
  <si>
    <t>REDE AGUA PVC PBA 20 DN 75 PARALELO</t>
  </si>
  <si>
    <t>106,11</t>
  </si>
  <si>
    <t>REDE AGUA PVC PBA 20 DN 100 S/PAV</t>
  </si>
  <si>
    <t>92,88</t>
  </si>
  <si>
    <t>REDE AGUA PVC PBA 20 DN 100 ASFALTO</t>
  </si>
  <si>
    <t>140,56</t>
  </si>
  <si>
    <t>REDE AGUA PVC PBA 20 DN 100 BLOCO/PAVI´S</t>
  </si>
  <si>
    <t>129,73</t>
  </si>
  <si>
    <t>REDE AGUA PVC PBA 20 DN 100 PARALELO</t>
  </si>
  <si>
    <t>131,99</t>
  </si>
  <si>
    <t>REDE AGUA PVC DEFOFO DN 100 S/PAV</t>
  </si>
  <si>
    <t>REDE AGUA PVC DEFOFO DN 100 ASFALTO</t>
  </si>
  <si>
    <t>114,14</t>
  </si>
  <si>
    <t>REDE AGUA PVC DEFOFO DN 100 BLOCO/PAVI´S</t>
  </si>
  <si>
    <t>103,31</t>
  </si>
  <si>
    <t>REDE AGUA PVC DEFOFO DN 100 PARALELO</t>
  </si>
  <si>
    <t>105,56</t>
  </si>
  <si>
    <t>REDE AGUA PVC DEFOFO DN 150 S/PAV</t>
  </si>
  <si>
    <t>132,87</t>
  </si>
  <si>
    <t>REDE AGUA PVC DEFOFO DN 150 ASFALTO</t>
  </si>
  <si>
    <t>188,37</t>
  </si>
  <si>
    <t>REDE AGUA PVC DEFOFO DN 150 BLOCO/PAVI´S</t>
  </si>
  <si>
    <t>172,69</t>
  </si>
  <si>
    <t>REDE AGUA PVC DEFOFO DN 150 PARALELO</t>
  </si>
  <si>
    <t>175,19</t>
  </si>
  <si>
    <t>REDE AGUA PVC DEFOFO DN 200 S/PAV</t>
  </si>
  <si>
    <t>205,65</t>
  </si>
  <si>
    <t>REDE AGUA PVC DEFOFO DN 200 ASFALTO</t>
  </si>
  <si>
    <t>268,94</t>
  </si>
  <si>
    <t>REDE AGUA PVC DEFOFO DN 200 BLOCO/PAVI´S</t>
  </si>
  <si>
    <t>248,43</t>
  </si>
  <si>
    <t>REDE AGUA PVC DEFOFO DN 200 PARALELO</t>
  </si>
  <si>
    <t>251,18</t>
  </si>
  <si>
    <t>REDE AGUA PVC DEFOFO DN 250 S/PAV</t>
  </si>
  <si>
    <t>288,95</t>
  </si>
  <si>
    <t>REDE AGUA PVC DEFOFO DN 250 ASFALTO</t>
  </si>
  <si>
    <t>352,25</t>
  </si>
  <si>
    <t>REDE AGUA PVC DEFOFO DN 250 BLOCO/PAVI´S</t>
  </si>
  <si>
    <t>REDE AGUA PVC DEFOFO DN 250 PARALELO</t>
  </si>
  <si>
    <t>334,49</t>
  </si>
  <si>
    <t>REDE AGUA PVC DEFOFO DN 300 S/PAV</t>
  </si>
  <si>
    <t>398,61</t>
  </si>
  <si>
    <t>REDE AGUA PVC DEFOFO DN 300 ASFALTO</t>
  </si>
  <si>
    <t>469,72</t>
  </si>
  <si>
    <t>REDE AGUA PVC DEFOFO DN 300 BLOCO/PAVI´S</t>
  </si>
  <si>
    <t>444,35</t>
  </si>
  <si>
    <t>REDE AGUA PVC DEFOFO DN 300 PARALELO</t>
  </si>
  <si>
    <t>447,36</t>
  </si>
  <si>
    <t>REDE AGUA PVC DEFOFO DN 350 S/PAV</t>
  </si>
  <si>
    <t>428,43</t>
  </si>
  <si>
    <t>REDE AGUA PVC DEFOFO DN 350 ASFALTO</t>
  </si>
  <si>
    <t>REDE AGUA PVC DEFOFO DN 350 BLOCO/PAVI´S</t>
  </si>
  <si>
    <t>474,15</t>
  </si>
  <si>
    <t>REDE AGUA PVC DEFOFO DN 350 PARALELO</t>
  </si>
  <si>
    <t>477,17</t>
  </si>
  <si>
    <t>REDE AGUA PVC DEFOFO DN 400 S/PAV</t>
  </si>
  <si>
    <t>654,58</t>
  </si>
  <si>
    <t>REDE AGUA PVC DEFOFO DN 400 ASFALTO</t>
  </si>
  <si>
    <t>730,11</t>
  </si>
  <si>
    <t>REDE AGUA PVC DEFOFO DN 400 BLOCO/PAVI´S</t>
  </si>
  <si>
    <t>701,79</t>
  </si>
  <si>
    <t>REDE AGUA PVC DEFOFO DN 400 PARALELO</t>
  </si>
  <si>
    <t>705,04</t>
  </si>
  <si>
    <t>REDE AGUA FOFO K-7 DN 80 S/PAV</t>
  </si>
  <si>
    <t>275,80</t>
  </si>
  <si>
    <t>REDE AGUA FOFO K-7 DN 80 ASFALTO</t>
  </si>
  <si>
    <t>323,47</t>
  </si>
  <si>
    <t>REDE AGUA FOFO K-7 DN 80 BLOCO</t>
  </si>
  <si>
    <t>312,65</t>
  </si>
  <si>
    <t>REDE AGUA FOFO K-7 DN 80 PARALELO</t>
  </si>
  <si>
    <t>314,90</t>
  </si>
  <si>
    <t>REDE AGUA FOFO K-7 DN 100 S/PAV</t>
  </si>
  <si>
    <t>267,53</t>
  </si>
  <si>
    <t>REDE AGUA FOFO K-7 DN 100 ASFALTO</t>
  </si>
  <si>
    <t>315,20</t>
  </si>
  <si>
    <t>REDE AGUA FOFO K-7 DN 100 BLOCO</t>
  </si>
  <si>
    <t>304,37</t>
  </si>
  <si>
    <t>REDE AGUA FOFO K-7 DN 100 PARALELO</t>
  </si>
  <si>
    <t>306,62</t>
  </si>
  <si>
    <t>REDE AGUA FOFO K-7 DN 150 S/PAV</t>
  </si>
  <si>
    <t>330,46</t>
  </si>
  <si>
    <t>REDE AGUA FOFO K-7 DN 150 ASFALTO</t>
  </si>
  <si>
    <t>385,96</t>
  </si>
  <si>
    <t>REDE AGUA FOFO K-7 DN 150 BLOCO</t>
  </si>
  <si>
    <t>370,28</t>
  </si>
  <si>
    <t>REDE AGUA FOFO K-7 DN 150 PARALELO</t>
  </si>
  <si>
    <t>372,78</t>
  </si>
  <si>
    <t>REDE AGUA FOFO K-7 DN 200 S/PAV</t>
  </si>
  <si>
    <t>REDE AGUA FOFO K-7 DN 200 ASFALTO</t>
  </si>
  <si>
    <t>464,75</t>
  </si>
  <si>
    <t>REDE AGUA FOFO K-7 DN 200 BLOCO</t>
  </si>
  <si>
    <t>444,24</t>
  </si>
  <si>
    <t>REDE AGUA FOFO K-7 DN 200 PARALELO</t>
  </si>
  <si>
    <t>446,99</t>
  </si>
  <si>
    <t>REDE AGUA FOFO K-7 DN 250 S/PAV</t>
  </si>
  <si>
    <t>473,66</t>
  </si>
  <si>
    <t>REDE AGUA FOFO K-7 DN 250 ASFALTO</t>
  </si>
  <si>
    <t>536,95</t>
  </si>
  <si>
    <t>REDE AGUA FOFO K-7 DN 250 BLOCO</t>
  </si>
  <si>
    <t>516,44</t>
  </si>
  <si>
    <t>REDE AGUA FOFO K-7 DN 250 PARALELO</t>
  </si>
  <si>
    <t>519,19</t>
  </si>
  <si>
    <t>REDE AGUA FOFO K-7 DN 300 S/PAV</t>
  </si>
  <si>
    <t>549,89</t>
  </si>
  <si>
    <t>REDE AGUA FOFO K-7 DN 300 ASFALTO</t>
  </si>
  <si>
    <t>621,00</t>
  </si>
  <si>
    <t>REDE AGUA FOFO K-7 DN 300 BLOCO</t>
  </si>
  <si>
    <t>595,63</t>
  </si>
  <si>
    <t>REDE AGUA FOFO K-7 DN 300 PARALELO</t>
  </si>
  <si>
    <t>598,64</t>
  </si>
  <si>
    <t>REDE AGUA FOFO K-7 DN 350 S/PAV</t>
  </si>
  <si>
    <t>684,26</t>
  </si>
  <si>
    <t>REDE AGUA FOFO K-7 DN 350 ASFALTO</t>
  </si>
  <si>
    <t>755,37</t>
  </si>
  <si>
    <t>REDE AGUA FOFO K-7 DN 350 BLOCO</t>
  </si>
  <si>
    <t>729,99</t>
  </si>
  <si>
    <t>REDE AGUA FOFO K-7 DN 350 PARALELO</t>
  </si>
  <si>
    <t>733,01</t>
  </si>
  <si>
    <t>REDE AGUA FOFO K-7 DN 400 S/PAV</t>
  </si>
  <si>
    <t>790,09</t>
  </si>
  <si>
    <t>REDE AGUA FOFO K-7 DN 400 ASFALTO</t>
  </si>
  <si>
    <t>865,70</t>
  </si>
  <si>
    <t>REDE AGUA FOFO K-7 DN 400 BLOCO</t>
  </si>
  <si>
    <t>835,82</t>
  </si>
  <si>
    <t>REDE AGUA FOFO K-7 DN 400 PARALELO</t>
  </si>
  <si>
    <t>838,83</t>
  </si>
  <si>
    <t>REDE AGUA FOFO K-7 DN 80 S/PAV S/F</t>
  </si>
  <si>
    <t>REDE AGUA FOFO K-7 DN 80 ASFALTO S/F</t>
  </si>
  <si>
    <t>82,82</t>
  </si>
  <si>
    <t>REDE AGUA FOFO K-7 DN 80 BLOCO S/F</t>
  </si>
  <si>
    <t>71,99</t>
  </si>
  <si>
    <t>REDE AGUA FOFO K-7 DN 80 PARALELO S/F</t>
  </si>
  <si>
    <t>74,25</t>
  </si>
  <si>
    <t>REDE AGUA FOFO K-7 DN 100 S/PAV S/F</t>
  </si>
  <si>
    <t>REDE AGUA FOFO K-7 DN 100 ASFALTO S/F</t>
  </si>
  <si>
    <t>83,77</t>
  </si>
  <si>
    <t>REDE AGUA FOFO K-7 DN 100 BLOCO S/F</t>
  </si>
  <si>
    <t>72,95</t>
  </si>
  <si>
    <t>REDE AGUA FOFO K-7 DN 100 PARALELO S/F</t>
  </si>
  <si>
    <t>REDE AGUA FOFO K-7 DN 150 S/PAV S/F</t>
  </si>
  <si>
    <t>46,29</t>
  </si>
  <si>
    <t>REDE AGUA FOFO K-7 DN 150 ASFALTO S/F</t>
  </si>
  <si>
    <t>REDE AGUA FOFO K-7 DN 150 BLOCO S/F</t>
  </si>
  <si>
    <t>REDE AGUA FOFO K-7 DN 150 PARALELO S/F</t>
  </si>
  <si>
    <t>88,60</t>
  </si>
  <si>
    <t>REDE AGUA FOFO K-7 DN 200 S/PAV S/F</t>
  </si>
  <si>
    <t>56,68</t>
  </si>
  <si>
    <t>REDE AGUA FOFO K-7 DN 200 ASFALTO S/F</t>
  </si>
  <si>
    <t>119,97</t>
  </si>
  <si>
    <t>REDE AGUA FOFO K-7 DN 200 BLOCO S/F</t>
  </si>
  <si>
    <t>99,46</t>
  </si>
  <si>
    <t>REDE AGUA FOFO K-7 DN 200 PARALELO S/F</t>
  </si>
  <si>
    <t>102,21</t>
  </si>
  <si>
    <t>REDE AGUA FOFO K-7 DN 250 S/PAV S/F</t>
  </si>
  <si>
    <t>REDE AGUA FOFO K-7 DN 250 ASFALTO S/F</t>
  </si>
  <si>
    <t>REDE AGUA FOFO K-7 DN 250 BLOCO S/F</t>
  </si>
  <si>
    <t>103,12</t>
  </si>
  <si>
    <t>REDE AGUA FOFO K-7 DN 250 PARALELO S/F</t>
  </si>
  <si>
    <t>105,88</t>
  </si>
  <si>
    <t>REDE AGUA FOFO K-7 DN 300 S/PAV S/F</t>
  </si>
  <si>
    <t>REDE AGUA FOFO K-7 DN 300 ASFALTO S/F</t>
  </si>
  <si>
    <t>144,65</t>
  </si>
  <si>
    <t>REDE AGUA FOFO K-7 DN 300 BLOCO S/F</t>
  </si>
  <si>
    <t>119,28</t>
  </si>
  <si>
    <t>REDE AGUA FOFO K-7 DN 300 PARALELO S/F</t>
  </si>
  <si>
    <t>REDE AGUA FOFO K-7 DN 350 S/PAV S/F</t>
  </si>
  <si>
    <t>78,15</t>
  </si>
  <si>
    <t>REDE AGUA FOFO K-7 DN 350 ASFALTO S/F</t>
  </si>
  <si>
    <t>149,26</t>
  </si>
  <si>
    <t>REDE AGUA FOFO K-7 DN 350 BLOCO S/F</t>
  </si>
  <si>
    <t>123,88</t>
  </si>
  <si>
    <t>REDE AGUA FOFO K-7 DN 350 PARALELO S/F</t>
  </si>
  <si>
    <t>126,90</t>
  </si>
  <si>
    <t>REDE AGUA FOFO K-7 DN 400 S/PAV S/F</t>
  </si>
  <si>
    <t>112,55</t>
  </si>
  <si>
    <t>REDE AGUA FOFO K-7 DN 400 ASFALTO S/F</t>
  </si>
  <si>
    <t>188,17</t>
  </si>
  <si>
    <t>REDE AGUA FOFO K-7 DN 400 BLOCO S/F</t>
  </si>
  <si>
    <t>158,29</t>
  </si>
  <si>
    <t>REDE AGUA FOFO K-7 DN 400 PARALELO S/F</t>
  </si>
  <si>
    <t>161,30</t>
  </si>
  <si>
    <t>REDE DE AGUA AEREA FOFO K-7 DN 80</t>
  </si>
  <si>
    <t>REDE DE AGUA AEREA FOFO K-7 DN 100</t>
  </si>
  <si>
    <t>249,60</t>
  </si>
  <si>
    <t>REDE DE AGUA AEREA FOFO K-7 DN 150</t>
  </si>
  <si>
    <t>303,37</t>
  </si>
  <si>
    <t>REDE DE AGUA AEREA FOFO K-7 DN 200</t>
  </si>
  <si>
    <t>366,53</t>
  </si>
  <si>
    <t>REDE DE AGUA AEREA FOFO K-7 DN 250</t>
  </si>
  <si>
    <t>436,94</t>
  </si>
  <si>
    <t>REDE DE AGUA AEREA FOFO K-7 DN 300</t>
  </si>
  <si>
    <t>502,43</t>
  </si>
  <si>
    <t>REDE DE AGUA AEREA FOFO K-7 DN 80 S/F</t>
  </si>
  <si>
    <t>16,10</t>
  </si>
  <si>
    <t>REDE DE AGUA AEREA FOFO K-7 DN 100 S/F</t>
  </si>
  <si>
    <t>REDE DE AGUA AEREA FOFO K-7 DN 150 S/F</t>
  </si>
  <si>
    <t>19,19</t>
  </si>
  <si>
    <t>REDE DE AGUA AEREA FOFO K-7 DN 200 S/F</t>
  </si>
  <si>
    <t>21,74</t>
  </si>
  <si>
    <t>REDE DE AGUA AEREA FOFO K-7 DN 250 S/F</t>
  </si>
  <si>
    <t>REDE DE AGUA AEREA FOFO K-7 DN 300 S/F</t>
  </si>
  <si>
    <t>26,09</t>
  </si>
  <si>
    <t>GRUPO - S26.010 - SISTEMA ESGOTAMENTO SANITÁRIO</t>
  </si>
  <si>
    <t>REDE ESG PVC NBR7362 150 ATE 1,25m S/PAV</t>
  </si>
  <si>
    <t>REDE ESG PVC NBR7362 150 ATE 1,25m ASFAL</t>
  </si>
  <si>
    <t>164,01</t>
  </si>
  <si>
    <t>REDE ESG PVC NBR7362 150 ATE 1,25m BLOCO</t>
  </si>
  <si>
    <t>138,43</t>
  </si>
  <si>
    <t>REDE ESG PVC NBR7362 150 ATE 1,25m PARAL</t>
  </si>
  <si>
    <t>141,14</t>
  </si>
  <si>
    <t>REDE ESG PVC NBR7362 150 1,26A1,75 S/PAV</t>
  </si>
  <si>
    <t>137,01</t>
  </si>
  <si>
    <t>REDE ESG PVC NBR7362 150 1,26A1,75 ASFAL</t>
  </si>
  <si>
    <t>208,44</t>
  </si>
  <si>
    <t>REDE ESG PVC NBR7362 150 1,26A1,75 BLOCO</t>
  </si>
  <si>
    <t>180,84</t>
  </si>
  <si>
    <t>REDE ESG PVC NBR7362 150 1,26A1,75 PARAL</t>
  </si>
  <si>
    <t>183,68</t>
  </si>
  <si>
    <t>REDE ESG PVC NBR7362 150 1,76A2,25 S/PAV</t>
  </si>
  <si>
    <t>156,22</t>
  </si>
  <si>
    <t>REDE ESG PVC NBR7362 150 1,76A2,25 ASFAL</t>
  </si>
  <si>
    <t>227,65</t>
  </si>
  <si>
    <t>REDE ESG PVC NBR7362 150 1,76A2,25 BLOCO</t>
  </si>
  <si>
    <t>200,05</t>
  </si>
  <si>
    <t>REDE ESG PVC NBR7362 150 1,76A2,25 PARAL</t>
  </si>
  <si>
    <t>202,89</t>
  </si>
  <si>
    <t>REDE ESG PVC NBR7362 150 2,26A2,75 S/PAV</t>
  </si>
  <si>
    <t>185,16</t>
  </si>
  <si>
    <t>REDE ESG PVC NBR7362 150 2,26A2,75 ASFAL</t>
  </si>
  <si>
    <t>264,43</t>
  </si>
  <si>
    <t>REDE ESG PVC NBR7362 150 2,26A2,75 BLOCO</t>
  </si>
  <si>
    <t>231,79</t>
  </si>
  <si>
    <t>REDE ESG PVC NBR7362 150 2,26A2,75 PARAL</t>
  </si>
  <si>
    <t>234,91</t>
  </si>
  <si>
    <t>REDE ESG PVC NBR7362 150 2,76A3,25 S/PAV</t>
  </si>
  <si>
    <t>206,08</t>
  </si>
  <si>
    <t>REDE ESG PVC NBR7362 150 2,76A3,25 ASFAL</t>
  </si>
  <si>
    <t>285,36</t>
  </si>
  <si>
    <t>REDE ESG PVC NBR7362 150 2,76A3,25 BLOCO</t>
  </si>
  <si>
    <t>REDE ESG PVC NBR7362 150 2,76A3,25 PARAL</t>
  </si>
  <si>
    <t>255,04</t>
  </si>
  <si>
    <t>REDE ESG PVC NBR7362 150 3,26A3,75 S/PAV</t>
  </si>
  <si>
    <t>240,53</t>
  </si>
  <si>
    <t>REDE ESG PVC NBR7362 150 3,26A3,75 ASFAL</t>
  </si>
  <si>
    <t>327,66</t>
  </si>
  <si>
    <t>REDE ESG PVC NBR7362 150 3,26A3,75 BLOCO</t>
  </si>
  <si>
    <t>289,12</t>
  </si>
  <si>
    <t>REDE ESG PVC NBR7362 150 3,26A3,75 PARAL</t>
  </si>
  <si>
    <t>292,37</t>
  </si>
  <si>
    <t>REDE ESG PVC NBR7362 150 3,76A4,25 S/PAV</t>
  </si>
  <si>
    <t>264,74</t>
  </si>
  <si>
    <t>REDE ESG PVC NBR7362 150 3,76A4,25 ASFAL</t>
  </si>
  <si>
    <t>351,88</t>
  </si>
  <si>
    <t>REDE ESG PVC NBR7362 150 3,76A4,25 BLOCO</t>
  </si>
  <si>
    <t>313,33</t>
  </si>
  <si>
    <t>REDE ESG PVC NBR7362 150 3,76A4,25 PARAL</t>
  </si>
  <si>
    <t>316,53</t>
  </si>
  <si>
    <t>REDE ESG PVC NBR7362 200 ATE 1,25m S/PAV</t>
  </si>
  <si>
    <t>117,94</t>
  </si>
  <si>
    <t>REDE ESG PVC NBR7362 200 ATE 1,25m ASFAL</t>
  </si>
  <si>
    <t>185,95</t>
  </si>
  <si>
    <t>REDE ESG PVC NBR7362 200 ATE 1,25m BLOCO</t>
  </si>
  <si>
    <t>160,37</t>
  </si>
  <si>
    <t>REDE ESG PVC NBR7362 200 ATE 1,25m PARAL</t>
  </si>
  <si>
    <t>163,09</t>
  </si>
  <si>
    <t>REDE ESG PVC NBR7362 200 1,26A1,75 S/PAV</t>
  </si>
  <si>
    <t>159,09</t>
  </si>
  <si>
    <t>REDE ESG PVC NBR7362 200 1,26A1,75 ASFAL</t>
  </si>
  <si>
    <t>230,51</t>
  </si>
  <si>
    <t>REDE ESG PVC NBR7362 200 1,26A1,75 BLOCO</t>
  </si>
  <si>
    <t>202,92</t>
  </si>
  <si>
    <t>REDE ESG PVC NBR7362 200 1,26A1,75 PARAL</t>
  </si>
  <si>
    <t>205,76</t>
  </si>
  <si>
    <t>REDE ESG PVC NBR7362 200 1,76A2,25 S/PAV</t>
  </si>
  <si>
    <t>178,29</t>
  </si>
  <si>
    <t>REDE ESG PVC NBR7362 200 1,76A2,25 ASFAL</t>
  </si>
  <si>
    <t>249,73</t>
  </si>
  <si>
    <t>REDE ESG PVC NBR7362 200 1,76A2,25 BLOCO</t>
  </si>
  <si>
    <t>222,13</t>
  </si>
  <si>
    <t>REDE ESG PVC NBR7362 200 1,76A2,25 PARAL</t>
  </si>
  <si>
    <t>224,98</t>
  </si>
  <si>
    <t>REDE ESG PVC NBR7362 200 2,26A2,75 S/PAV</t>
  </si>
  <si>
    <t>207,57</t>
  </si>
  <si>
    <t>REDE ESG PVC NBR7362 200 2,26A2,75 ASFAL</t>
  </si>
  <si>
    <t>286,84</t>
  </si>
  <si>
    <t>REDE ESG PVC NBR7362 200 2,26A2,75 BLOCO</t>
  </si>
  <si>
    <t>254,20</t>
  </si>
  <si>
    <t>REDE ESG PVC NBR7362 200 2,26A2,75 PARAL</t>
  </si>
  <si>
    <t>257,32</t>
  </si>
  <si>
    <t>REDE ESG PVC NBR7362 200 2,76A3,25 S/PAV</t>
  </si>
  <si>
    <t>228,48</t>
  </si>
  <si>
    <t>REDE ESG PVC NBR7362 200 2,76A3,25 ASFAL</t>
  </si>
  <si>
    <t>307,76</t>
  </si>
  <si>
    <t>REDE ESG PVC NBR7362 200 2,76A3,25 BLOCO</t>
  </si>
  <si>
    <t>274,51</t>
  </si>
  <si>
    <t>REDE ESG PVC NBR7362 200 2,76A3,25 PARAL</t>
  </si>
  <si>
    <t>277,45</t>
  </si>
  <si>
    <t>REDE ESG PVC NBR7362 200 3,26A3,75 S/PAV</t>
  </si>
  <si>
    <t>263,26</t>
  </si>
  <si>
    <t>REDE ESG PVC NBR7362 200 3,26A3,75 ASFAL</t>
  </si>
  <si>
    <t>350,39</t>
  </si>
  <si>
    <t>REDE ESG PVC NBR7362 200 3,26A3,75 BLOCO</t>
  </si>
  <si>
    <t>311,86</t>
  </si>
  <si>
    <t>REDE ESG PVC NBR7362 200 3,26A3,75 PARAL</t>
  </si>
  <si>
    <t>315,11</t>
  </si>
  <si>
    <t>REDE ESG PVC NBR7362 200 3,76A4,25 S/PAV</t>
  </si>
  <si>
    <t>287,48</t>
  </si>
  <si>
    <t>REDE ESG PVC NBR7362 200 3,76A4,25 ASFAL</t>
  </si>
  <si>
    <t>374,61</t>
  </si>
  <si>
    <t>REDE ESG PVC NBR7362 200 3,76A4,25 BLOCO</t>
  </si>
  <si>
    <t>336,06</t>
  </si>
  <si>
    <t>REDE ESG PVC NBR7362 200 3,76A4,25 PARAL</t>
  </si>
  <si>
    <t>339,27</t>
  </si>
  <si>
    <t>REDE ESG PVC NBR7362 250 ATE 1,25m S/PAV</t>
  </si>
  <si>
    <t>161,88</t>
  </si>
  <si>
    <t>REDE ESG PVC NBR7362 250 ATE 1,25m ASFAL</t>
  </si>
  <si>
    <t>229,90</t>
  </si>
  <si>
    <t>REDE ESG PVC NBR7362 250 ATE 1,25m BLOCO</t>
  </si>
  <si>
    <t>204,31</t>
  </si>
  <si>
    <t>REDE ESG PVC NBR7362 250 ATE 1,25m PARAL</t>
  </si>
  <si>
    <t>207,03</t>
  </si>
  <si>
    <t>REDE ESG PVC NBR7362 250 1,26A1,75 S/PAV</t>
  </si>
  <si>
    <t>203,23</t>
  </si>
  <si>
    <t>REDE ESG PVC NBR7362 250 1,26A1,75 ASFAL</t>
  </si>
  <si>
    <t>274,67</t>
  </si>
  <si>
    <t>REDE ESG PVC NBR7362 250 1,26A1,75 BLOCO</t>
  </si>
  <si>
    <t>247,06</t>
  </si>
  <si>
    <t>REDE ESG PVC NBR7362 250 1,26A1,75 PARAL</t>
  </si>
  <si>
    <t>249,91</t>
  </si>
  <si>
    <t>REDE ESG PVC NBR7362 250 1,76A2,25 S/PAV</t>
  </si>
  <si>
    <t>222,44</t>
  </si>
  <si>
    <t>REDE ESG PVC NBR7362 250 1,76A2,25 ASFAL</t>
  </si>
  <si>
    <t>REDE ESG PVC NBR7362 250 1,76A2,25 BLOCO</t>
  </si>
  <si>
    <t>266,27</t>
  </si>
  <si>
    <t>REDE ESG PVC NBR7362 250 1,76A2,25 PARAL</t>
  </si>
  <si>
    <t>269,12</t>
  </si>
  <si>
    <t>REDE ESG PVC NBR7362 250 2,26A2,75 S/PAV</t>
  </si>
  <si>
    <t>251,98</t>
  </si>
  <si>
    <t>REDE ESG PVC NBR7362 250 2,26A2,75 ASFAL</t>
  </si>
  <si>
    <t>331,25</t>
  </si>
  <si>
    <t>REDE ESG PVC NBR7362 250 2,26A2,75 BLOCO</t>
  </si>
  <si>
    <t>298,61</t>
  </si>
  <si>
    <t>REDE ESG PVC NBR7362 250 2,26A2,75 PARAL</t>
  </si>
  <si>
    <t>301,74</t>
  </si>
  <si>
    <t>REDE ESG PVC NBR7362 250 2,76A3,25 S/PAV</t>
  </si>
  <si>
    <t>272,90</t>
  </si>
  <si>
    <t>REDE ESG PVC NBR7362 250 2,76A3,25 ASFAL</t>
  </si>
  <si>
    <t>352,17</t>
  </si>
  <si>
    <t>REDE ESG PVC NBR7362 250 2,76A3,25 BLOCO</t>
  </si>
  <si>
    <t>318,92</t>
  </si>
  <si>
    <t>REDE ESG PVC NBR7362 250 2,76A3,25 PARAL</t>
  </si>
  <si>
    <t>321,86</t>
  </si>
  <si>
    <t>REDE ESG PVC NBR7362 250 3,26A3,75 S/PAV</t>
  </si>
  <si>
    <t>307,94</t>
  </si>
  <si>
    <t>REDE ESG PVC NBR7362 250 3,26A3,75 ASFAL</t>
  </si>
  <si>
    <t>395,08</t>
  </si>
  <si>
    <t>REDE ESG PVC NBR7362 250 3,26A3,75 BLOCO</t>
  </si>
  <si>
    <t>356,53</t>
  </si>
  <si>
    <t>REDE ESG PVC NBR7362 250 3,26A3,75 PARAL</t>
  </si>
  <si>
    <t>359,79</t>
  </si>
  <si>
    <t>REDE ESG PVC NBR7362 250 3,76A4,25 S/PAV</t>
  </si>
  <si>
    <t>332,16</t>
  </si>
  <si>
    <t>REDE ESG PVC NBR7362 250 3,76A4,25 ASFAL</t>
  </si>
  <si>
    <t>419,30</t>
  </si>
  <si>
    <t>REDE ESG PVC NBR7362 250 3,76A4,25 BLOCO</t>
  </si>
  <si>
    <t>380,74</t>
  </si>
  <si>
    <t>REDE ESG PVC NBR7362 250 3,76A4,25 PARAL</t>
  </si>
  <si>
    <t>383,94</t>
  </si>
  <si>
    <t>REDE ESG PVC NBR7362 300 ATE 1,25m S/PAV</t>
  </si>
  <si>
    <t>REDE ESG PVC NBR7362 300 ATE 1,25m ASFAL</t>
  </si>
  <si>
    <t>294,48</t>
  </si>
  <si>
    <t>REDE ESG PVC NBR7362 300 ATE 1,25m BLOCO</t>
  </si>
  <si>
    <t>268,89</t>
  </si>
  <si>
    <t>REDE ESG PVC NBR7362 300 ATE 1,25m PARAL</t>
  </si>
  <si>
    <t>271,61</t>
  </si>
  <si>
    <t>REDE ESG PVC NBR7362 300 1,26A1,75 S/PAV</t>
  </si>
  <si>
    <t>268,07</t>
  </si>
  <si>
    <t>REDE ESG PVC NBR7362 300 1,26A1,75 ASFAL</t>
  </si>
  <si>
    <t>339,50</t>
  </si>
  <si>
    <t>REDE ESG PVC NBR7362 300 1,26A1,75 BLOCO</t>
  </si>
  <si>
    <t>311,91</t>
  </si>
  <si>
    <t>REDE ESG PVC NBR7362 300 1,26A1,75 PARAL</t>
  </si>
  <si>
    <t>314,76</t>
  </si>
  <si>
    <t>REDE ESG PVC NBR7362 300 1,76A2,25 S/PAV</t>
  </si>
  <si>
    <t>287,37</t>
  </si>
  <si>
    <t>REDE ESG PVC NBR7362 300 1,76A2,25 ASFAL</t>
  </si>
  <si>
    <t>358,79</t>
  </si>
  <si>
    <t>REDE ESG PVC NBR7362 300 1,76A2,25 BLOCO</t>
  </si>
  <si>
    <t>331,20</t>
  </si>
  <si>
    <t>REDE ESG PVC NBR7362 300 1,76A2,25 PARAL</t>
  </si>
  <si>
    <t>REDE ESG PVC NBR7362 300 2,26A2,75 S/PAV</t>
  </si>
  <si>
    <t>317,45</t>
  </si>
  <si>
    <t>REDE ESG PVC NBR7362 300 2,26A2,75 ASFAL</t>
  </si>
  <si>
    <t>396,72</t>
  </si>
  <si>
    <t>REDE ESG PVC NBR7362 300 2,26A2,75 BLOCO</t>
  </si>
  <si>
    <t>364,08</t>
  </si>
  <si>
    <t>REDE ESG PVC NBR7362 300 2,26A2,75 PARAL</t>
  </si>
  <si>
    <t>367,18</t>
  </si>
  <si>
    <t>REDE ESG PVC NBR7362 300 2,76A3,25 S/PAV</t>
  </si>
  <si>
    <t>338,67</t>
  </si>
  <si>
    <t>REDE ESG PVC NBR7362 300 2,76A3,25 ASFAL</t>
  </si>
  <si>
    <t>417,95</t>
  </si>
  <si>
    <t>REDE ESG PVC NBR7362 300 2,76A3,25 BLOCO</t>
  </si>
  <si>
    <t>384,70</t>
  </si>
  <si>
    <t>REDE ESG PVC NBR7362 300 2,76A3,25 PARAL</t>
  </si>
  <si>
    <t>387,63</t>
  </si>
  <si>
    <t>REDE ESG PVC NBR7362 300 3,26A3,75 S/PAV</t>
  </si>
  <si>
    <t>374,96</t>
  </si>
  <si>
    <t>REDE ESG PVC NBR7362 300 3,26A3,75 ASFAL</t>
  </si>
  <si>
    <t>462,10</t>
  </si>
  <si>
    <t>REDE ESG PVC NBR7362 300 3,26A3,75 BLOCO</t>
  </si>
  <si>
    <t>423,57</t>
  </si>
  <si>
    <t>REDE ESG PVC NBR7362 300 3,26A3,75 PARAL</t>
  </si>
  <si>
    <t>426,82</t>
  </si>
  <si>
    <t>REDE ESG PVC NBR7362 300 3,76A4,25 S/PAV</t>
  </si>
  <si>
    <t>402,28</t>
  </si>
  <si>
    <t>REDE ESG PVC NBR7362 300 3,76A4,25 ASFAL</t>
  </si>
  <si>
    <t>489,43</t>
  </si>
  <si>
    <t>REDE ESG PVC NBR7362 300 3,76A4,25 BLOCO</t>
  </si>
  <si>
    <t>450,88</t>
  </si>
  <si>
    <t>REDE ESG PVC NBR7362 300 3,76A4,25 PARAL</t>
  </si>
  <si>
    <t>454,09</t>
  </si>
  <si>
    <t>REDE ESG PVC NBR7362 350 ATE 1,25m S/PAV</t>
  </si>
  <si>
    <t>266,96</t>
  </si>
  <si>
    <t>REDE ESG PVC NBR7362 350 ATE 1,25m ASFAL</t>
  </si>
  <si>
    <t>334,98</t>
  </si>
  <si>
    <t>REDE ESG PVC NBR7362 350 ATE 1,25m BLOCO</t>
  </si>
  <si>
    <t>309,40</t>
  </si>
  <si>
    <t>REDE ESG PVC NBR7362 350 ATE 1,25m PARAL</t>
  </si>
  <si>
    <t>312,12</t>
  </si>
  <si>
    <t>REDE ESG PVC NBR7362 350 1,26A1,75 S/PAV</t>
  </si>
  <si>
    <t>308,72</t>
  </si>
  <si>
    <t>REDE ESG PVC NBR7362 350 1,26A1,75 ASFAL</t>
  </si>
  <si>
    <t>380,16</t>
  </si>
  <si>
    <t>REDE ESG PVC NBR7362 350 1,26A1,75 BLOCO</t>
  </si>
  <si>
    <t>352,55</t>
  </si>
  <si>
    <t>REDE ESG PVC NBR7362 350 1,26A1,75 PARAL</t>
  </si>
  <si>
    <t>355,40</t>
  </si>
  <si>
    <t>REDE ESG PVC NBR7362 350 1,76A2,25 S/PAV</t>
  </si>
  <si>
    <t>328,01</t>
  </si>
  <si>
    <t>REDE ESG PVC NBR7362 350 1,76A2,25 ASFAL</t>
  </si>
  <si>
    <t>399,45</t>
  </si>
  <si>
    <t>REDE ESG PVC NBR7362 350 1,76A2,25 BLOCO</t>
  </si>
  <si>
    <t>371,84</t>
  </si>
  <si>
    <t>REDE ESG PVC NBR7362 350 1,76A2,25 PARAL</t>
  </si>
  <si>
    <t>374,69</t>
  </si>
  <si>
    <t>REDE ESG PVC NBR7362 350 2,26A2,75 S/PAV</t>
  </si>
  <si>
    <t>358,35</t>
  </si>
  <si>
    <t>REDE ESG PVC NBR7362 350 2,26A2,75 ASFAL</t>
  </si>
  <si>
    <t>437,63</t>
  </si>
  <si>
    <t>REDE ESG PVC NBR7362 350 2,26A2,75 BLOCO</t>
  </si>
  <si>
    <t>404,99</t>
  </si>
  <si>
    <t>REDE ESG PVC NBR7362 350 2,26A2,75 PARAL</t>
  </si>
  <si>
    <t>408,10</t>
  </si>
  <si>
    <t>REDE ESG PVC NBR7362 350 2,76A3,25 S/PAV</t>
  </si>
  <si>
    <t>379,58</t>
  </si>
  <si>
    <t>REDE ESG PVC NBR7362 350 2,76A3,25 ASFAL</t>
  </si>
  <si>
    <t>458,85</t>
  </si>
  <si>
    <t>REDE ESG PVC NBR7362 350 2,76A3,25 BLOCO</t>
  </si>
  <si>
    <t>425,60</t>
  </si>
  <si>
    <t>REDE ESG PVC NBR7362 350 2,76A3,25 PARAL</t>
  </si>
  <si>
    <t>428,54</t>
  </si>
  <si>
    <t>REDE ESG PVC NBR7362 350 3,26A3,75 S/PAV</t>
  </si>
  <si>
    <t>416,14</t>
  </si>
  <si>
    <t>REDE ESG PVC NBR7362 350 3,26A3,75 ASFAL</t>
  </si>
  <si>
    <t>503,27</t>
  </si>
  <si>
    <t>REDE ESG PVC NBR7362 350 3,26A3,75 BLOCO</t>
  </si>
  <si>
    <t>464,74</t>
  </si>
  <si>
    <t>REDE ESG PVC NBR7362 350 3,26A3,75 PARAL</t>
  </si>
  <si>
    <t>467,99</t>
  </si>
  <si>
    <t>REDE ESG PVC NBR7362 350 3,76A4,25 S/PAV</t>
  </si>
  <si>
    <t>443,47</t>
  </si>
  <si>
    <t>REDE ESG PVC NBR7362 350 3,76A4,25 ASFAL</t>
  </si>
  <si>
    <t>530,60</t>
  </si>
  <si>
    <t>REDE ESG PVC NBR7362 350 3,76A4,25 BLOCO</t>
  </si>
  <si>
    <t>492,04</t>
  </si>
  <si>
    <t>REDE ESG PVC NBR7362 350 3,76A4,25 PARAL</t>
  </si>
  <si>
    <t>495,25</t>
  </si>
  <si>
    <t>REDE ESG PVC NBR7362 400 ATE 1,25m S/PAV</t>
  </si>
  <si>
    <t>328,57</t>
  </si>
  <si>
    <t>REDE ESG PVC NBR7362 400 ATE 1,25m ASFAL</t>
  </si>
  <si>
    <t>396,58</t>
  </si>
  <si>
    <t>REDE ESG PVC NBR7362 400 ATE 1,25m BLOCO</t>
  </si>
  <si>
    <t>371,00</t>
  </si>
  <si>
    <t>REDE ESG PVC NBR7362 400 ATE 1,25m PARAL</t>
  </si>
  <si>
    <t>373,71</t>
  </si>
  <si>
    <t>REDE ESG PVC NBR7362 400 1,26A1,75 S/PAV</t>
  </si>
  <si>
    <t>370,50</t>
  </si>
  <si>
    <t>REDE ESG PVC NBR7362 400 1,26A1,75 ASFAL</t>
  </si>
  <si>
    <t>441,94</t>
  </si>
  <si>
    <t>REDE ESG PVC NBR7362 400 1,26A1,75 BLOCO</t>
  </si>
  <si>
    <t>414,34</t>
  </si>
  <si>
    <t>REDE ESG PVC NBR7362 400 1,26A1,75 PARAL</t>
  </si>
  <si>
    <t>417,18</t>
  </si>
  <si>
    <t>REDE ESG PVC NBR7362 400 1,76A2,25 S/PAV</t>
  </si>
  <si>
    <t>389,95</t>
  </si>
  <si>
    <t>REDE ESG PVC NBR7362 400 1,76A2,25 ASFAL</t>
  </si>
  <si>
    <t>461,38</t>
  </si>
  <si>
    <t>REDE ESG PVC NBR7362 400 1,76A2,25 BLOCO</t>
  </si>
  <si>
    <t>433,78</t>
  </si>
  <si>
    <t>REDE ESG PVC NBR7362 400 1,76A2,25 PARAL</t>
  </si>
  <si>
    <t>REDE ESG PVC NBR7362 400 2,26A2,75 S/PAV</t>
  </si>
  <si>
    <t>420,94</t>
  </si>
  <si>
    <t>REDE ESG PVC NBR7362 400 2,26A2,75 ASFAL</t>
  </si>
  <si>
    <t>500,22</t>
  </si>
  <si>
    <t>REDE ESG PVC NBR7362 400 2,26A2,75 BLOCO</t>
  </si>
  <si>
    <t>467,58</t>
  </si>
  <si>
    <t>REDE ESG PVC NBR7362 400 2,26A2,75 PARAL</t>
  </si>
  <si>
    <t>470,70</t>
  </si>
  <si>
    <t>REDE ESG PVC NBR7362 400 2,76A3,25 S/PAV</t>
  </si>
  <si>
    <t>442,95</t>
  </si>
  <si>
    <t>REDE ESG PVC NBR7362 400 2,76A3,25 ASFAL</t>
  </si>
  <si>
    <t>REDE ESG PVC NBR7362 400 2,76A3,25 BLOCO</t>
  </si>
  <si>
    <t>488,98</t>
  </si>
  <si>
    <t>REDE ESG PVC NBR7362 400 2,76A3,25 PARAL</t>
  </si>
  <si>
    <t>491,92</t>
  </si>
  <si>
    <t>REDE ESG PVC NBR7362 400 3,26A3,75 S/PAV</t>
  </si>
  <si>
    <t>482,88</t>
  </si>
  <si>
    <t>REDE ESG PVC NBR7362 400 3,26A3,75 ASFAL</t>
  </si>
  <si>
    <t>570,01</t>
  </si>
  <si>
    <t>REDE ESG PVC NBR7362 400 3,26A3,75 BLOCO</t>
  </si>
  <si>
    <t>531,47</t>
  </si>
  <si>
    <t>REDE ESG PVC NBR7362 400 3,26A3,75 PARAL</t>
  </si>
  <si>
    <t>534,73</t>
  </si>
  <si>
    <t>REDE ESG PVC NBR7362 400 3,76A4,25 S/PAV</t>
  </si>
  <si>
    <t>505,54</t>
  </si>
  <si>
    <t>REDE ESG PVC NBR7362 400 3,76A4,25 ASFAL</t>
  </si>
  <si>
    <t>592,67</t>
  </si>
  <si>
    <t>REDE ESG PVC NBR7362 400 3,76A4,25 BLOCO</t>
  </si>
  <si>
    <t>554,12</t>
  </si>
  <si>
    <t>REDE ESG PVC NBR7362 400 3,76A4,25 PARAL</t>
  </si>
  <si>
    <t>557,33</t>
  </si>
  <si>
    <t>REDE ESG FOFO 80 ATE 1,25m PARAL</t>
  </si>
  <si>
    <t>334,81</t>
  </si>
  <si>
    <t>REDE ESG FOFO 100 ATE 1,25m PARAL</t>
  </si>
  <si>
    <t>341,41</t>
  </si>
  <si>
    <t>REDE ESG FOFO 80 ATE 1,25m S/PAV S/F</t>
  </si>
  <si>
    <t>56,48</t>
  </si>
  <si>
    <t>REDE ESG FOFO 80 ATE 1,25m PARAL S/F</t>
  </si>
  <si>
    <t>101,63</t>
  </si>
  <si>
    <t>REDE ESG FOFO 80 1,26A1,75m PARAL S/F</t>
  </si>
  <si>
    <t>REDE ESG FOFO 100 ATE 1,25m PARAL S/F</t>
  </si>
  <si>
    <t>REDE ESG FOFO 100 1,26A1,75m PARAL S/F</t>
  </si>
  <si>
    <t>145,27</t>
  </si>
  <si>
    <t>REDE ESG FOFO 150 ATE 1,25m S/PAV</t>
  </si>
  <si>
    <t>379,71</t>
  </si>
  <si>
    <t>REDE ESG FOFO 150 ATE 1,25m ASF</t>
  </si>
  <si>
    <t>447,73</t>
  </si>
  <si>
    <t>REDE ESG FOFO 150 ATE 1,25m BLOCO</t>
  </si>
  <si>
    <t>422,15</t>
  </si>
  <si>
    <t>REDE ESG FOFO 150 ATE 1,25m PARAL</t>
  </si>
  <si>
    <t>424,86</t>
  </si>
  <si>
    <t>REDE ESG FOFO 150 1,26A1,75m S/PAV</t>
  </si>
  <si>
    <t>420,71</t>
  </si>
  <si>
    <t>REDE ESG FOFO 150 1,26A1,75m ASF</t>
  </si>
  <si>
    <t>492,15</t>
  </si>
  <si>
    <t>REDE ESG FOFO 150 1,26A1,75m BLOCO</t>
  </si>
  <si>
    <t>464,55</t>
  </si>
  <si>
    <t>REDE ESG FOFO 150 1,26A1,75m PARAL</t>
  </si>
  <si>
    <t>467,41</t>
  </si>
  <si>
    <t>REDE ESG FOFO 150 1,76A2,25m S/PAV</t>
  </si>
  <si>
    <t>439,93</t>
  </si>
  <si>
    <t>REDE ESG FOFO 150 1,76A2,25m ASF</t>
  </si>
  <si>
    <t>511,36</t>
  </si>
  <si>
    <t>REDE ESG FOFO 150 1,76A2,25m BLOCO</t>
  </si>
  <si>
    <t>483,76</t>
  </si>
  <si>
    <t>REDE ESG FOFO 150 1,76A2,25m PARAL</t>
  </si>
  <si>
    <t>486,62</t>
  </si>
  <si>
    <t>REDE ESG FOFO 150 2,26A2,75m S/PAV</t>
  </si>
  <si>
    <t>468,94</t>
  </si>
  <si>
    <t>REDE ESG FOFO 150 2,26A2,75m ASF</t>
  </si>
  <si>
    <t>548,21</t>
  </si>
  <si>
    <t>REDE ESG FOFO 150 2,26A2,75m BLOCO</t>
  </si>
  <si>
    <t>515,58</t>
  </si>
  <si>
    <t>REDE ESG FOFO 150 2,26A2,75m PARAL</t>
  </si>
  <si>
    <t>518,69</t>
  </si>
  <si>
    <t>REDE ESG FOFO 150 2,76A3,25m S/PAV</t>
  </si>
  <si>
    <t>489,86</t>
  </si>
  <si>
    <t>REDE ESG FOFO 150 2,76A3,25m ASF</t>
  </si>
  <si>
    <t>569,13</t>
  </si>
  <si>
    <t>REDE ESG FOFO 150 2,76A3,25m BLOCO</t>
  </si>
  <si>
    <t>535,88</t>
  </si>
  <si>
    <t>REDE ESG FOFO 150 2,76A3,25m PARAL</t>
  </si>
  <si>
    <t>538,81</t>
  </si>
  <si>
    <t>REDE ESG FOFO 150 3,26A3,75m S/PAV</t>
  </si>
  <si>
    <t>524,37</t>
  </si>
  <si>
    <t>REDE ESG FOFO 150 3,26A3,75m ASF</t>
  </si>
  <si>
    <t>611,51</t>
  </si>
  <si>
    <t>REDE ESG FOFO 150 3,26A3,75m BLOCO</t>
  </si>
  <si>
    <t>572,97</t>
  </si>
  <si>
    <t>REDE ESG FOFO 150 3,26A3,75m PARAL</t>
  </si>
  <si>
    <t>576,23</t>
  </si>
  <si>
    <t>REDE ESG FOFO 150 3,76A4,25m S/PAV</t>
  </si>
  <si>
    <t>548,59</t>
  </si>
  <si>
    <t>REDE ESG FOFO 150 3,76A4,25m ASF</t>
  </si>
  <si>
    <t>635,73</t>
  </si>
  <si>
    <t>REDE ESG FOFO 150 3,76A4,25m BLOCO</t>
  </si>
  <si>
    <t>597,17</t>
  </si>
  <si>
    <t>REDE ESG FOFO 150 3,76A4,25m PARAL</t>
  </si>
  <si>
    <t>600,39</t>
  </si>
  <si>
    <t>REDE ESG FOFO 200 ATE 1,25m S/PAV</t>
  </si>
  <si>
    <t>447,82</t>
  </si>
  <si>
    <t>REDE ESG FOFO 200 ATE 1,25m ASF</t>
  </si>
  <si>
    <t>515,84</t>
  </si>
  <si>
    <t>REDE ESG FOFO 200 ATE 1,25m BLOCO</t>
  </si>
  <si>
    <t>490,26</t>
  </si>
  <si>
    <t>REDE ESG FOFO 200 ATE 1,25m PARAL</t>
  </si>
  <si>
    <t>492,98</t>
  </si>
  <si>
    <t>REDE ESG FOFO 200 1,26A1,75m S/PAV</t>
  </si>
  <si>
    <t>489,05</t>
  </si>
  <si>
    <t>REDE ESG FOFO 200 1,26A1,75m ASF</t>
  </si>
  <si>
    <t>560,48</t>
  </si>
  <si>
    <t>REDE ESG FOFO 200 1,26A1,75m BLOCO</t>
  </si>
  <si>
    <t>532,89</t>
  </si>
  <si>
    <t>REDE ESG FOFO 200 1,26A1,75m PARAL</t>
  </si>
  <si>
    <t>535,73</t>
  </si>
  <si>
    <t>REDE ESG FOFO 200 1,76A2,25m S/PAV</t>
  </si>
  <si>
    <t>508,27</t>
  </si>
  <si>
    <t>REDE ESG FOFO 200 1,76A2,25m ASF</t>
  </si>
  <si>
    <t>579,69</t>
  </si>
  <si>
    <t>REDE ESG FOFO 200 1,76A2,25m BLOCO</t>
  </si>
  <si>
    <t>552,10</t>
  </si>
  <si>
    <t>REDE ESG FOFO 200 1,76A2,25m PARAL</t>
  </si>
  <si>
    <t>554,94</t>
  </si>
  <si>
    <t>REDE ESG FOFO 200 2,26A2,75m S/PAV</t>
  </si>
  <si>
    <t>537,59</t>
  </si>
  <si>
    <t>REDE ESG FOFO 200 2,26A2,75m ASF</t>
  </si>
  <si>
    <t>616,86</t>
  </si>
  <si>
    <t>REDE ESG FOFO 200 2,26A2,75m BLOCO</t>
  </si>
  <si>
    <t>584,22</t>
  </si>
  <si>
    <t>REDE ESG FOFO 200 2,26A2,75m PARAL</t>
  </si>
  <si>
    <t>587,34</t>
  </si>
  <si>
    <t>REDE ESG FOFO 200 2,76A3,25m S/PAV</t>
  </si>
  <si>
    <t>558,51</t>
  </si>
  <si>
    <t>REDE ESG FOFO 200 2,76A3,25m ASF</t>
  </si>
  <si>
    <t>637,78</t>
  </si>
  <si>
    <t>REDE ESG FOFO 200 2,76A3,25m BLOCO</t>
  </si>
  <si>
    <t>604,52</t>
  </si>
  <si>
    <t>REDE ESG FOFO 200 2,76A3,25m PARAL</t>
  </si>
  <si>
    <t>607,46</t>
  </si>
  <si>
    <t>REDE ESG FOFO 200 3,26A3,75m S/PAV</t>
  </si>
  <si>
    <t>593,35</t>
  </si>
  <si>
    <t>REDE ESG FOFO 200 3,26A3,75m ASF</t>
  </si>
  <si>
    <t>680,49</t>
  </si>
  <si>
    <t>REDE ESG FOFO 200 3,26A3,75m BLOCO</t>
  </si>
  <si>
    <t>641,95</t>
  </si>
  <si>
    <t>REDE ESG FOFO 200 3,26A3,75m PARAL</t>
  </si>
  <si>
    <t>645,21</t>
  </si>
  <si>
    <t>REDE ESG FOFO 200 3,76A4,25m S/PAV</t>
  </si>
  <si>
    <t>617,57</t>
  </si>
  <si>
    <t>REDE ESG FOFO 200 3,76A4,25m ASF</t>
  </si>
  <si>
    <t>704,71</t>
  </si>
  <si>
    <t>REDE ESG FOFO 200 3,76A4,25m BLOCO</t>
  </si>
  <si>
    <t>666,15</t>
  </si>
  <si>
    <t>REDE ESG FOFO 200 3,76A4,25m PARAL</t>
  </si>
  <si>
    <t>669,36</t>
  </si>
  <si>
    <t>REDE ESG FOFO 250 ATE 1,25m S/PAV</t>
  </si>
  <si>
    <t>537,36</t>
  </si>
  <si>
    <t>REDE ESG FOFO 250 ATE 1,25m ASF</t>
  </si>
  <si>
    <t>605,37</t>
  </si>
  <si>
    <t>REDE ESG FOFO 250 ATE 1,25m BLOCO</t>
  </si>
  <si>
    <t>579,78</t>
  </si>
  <si>
    <t>REDE ESG FOFO 250 ATE 1,25m PARAL</t>
  </si>
  <si>
    <t>582,50</t>
  </si>
  <si>
    <t>REDE ESG FOFO 250 1,26A1,75m S/PAV</t>
  </si>
  <si>
    <t>578,78</t>
  </si>
  <si>
    <t>REDE ESG FOFO 250 1,26A1,75m ASF</t>
  </si>
  <si>
    <t>650,20</t>
  </si>
  <si>
    <t>REDE ESG FOFO 250 1,26A1,75m BLOCO</t>
  </si>
  <si>
    <t>622,60</t>
  </si>
  <si>
    <t>REDE ESG FOFO 250 1,26A1,75m PARAL</t>
  </si>
  <si>
    <t>625,45</t>
  </si>
  <si>
    <t>REDE ESG FOFO 250 1,76A2,25m S/PAV</t>
  </si>
  <si>
    <t>597,99</t>
  </si>
  <si>
    <t>REDE ESG FOFO 250 1,76A2,25m ASF</t>
  </si>
  <si>
    <t>669,42</t>
  </si>
  <si>
    <t>REDE ESG FOFO 250 1,76A2,25m BLOCO</t>
  </si>
  <si>
    <t>641,82</t>
  </si>
  <si>
    <t>REDE ESG FOFO 250 1,76A2,25m PARAL</t>
  </si>
  <si>
    <t>644,67</t>
  </si>
  <si>
    <t>REDE ESG FOFO 250 2,26A2,75m S/PAV</t>
  </si>
  <si>
    <t>627,65</t>
  </si>
  <si>
    <t>REDE ESG FOFO 250 2,26A2,75m ASF</t>
  </si>
  <si>
    <t>706,93</t>
  </si>
  <si>
    <t>REDE ESG FOFO 250 2,26A2,75m BLOCO</t>
  </si>
  <si>
    <t>674,28</t>
  </si>
  <si>
    <t>REDE ESG FOFO 250 2,26A2,75m PARAL</t>
  </si>
  <si>
    <t>677,41</t>
  </si>
  <si>
    <t>REDE ESG FOFO 250 2,76A3,25m S/PAV</t>
  </si>
  <si>
    <t>648,57</t>
  </si>
  <si>
    <t>REDE ESG FOFO 250 2,76A3,25m ASF</t>
  </si>
  <si>
    <t>727,84</t>
  </si>
  <si>
    <t>REDE ESG FOFO 250 2,76A3,25m BLOCO</t>
  </si>
  <si>
    <t>694,59</t>
  </si>
  <si>
    <t>REDE ESG FOFO 250 2,76A3,25m PARAL</t>
  </si>
  <si>
    <t>697,54</t>
  </si>
  <si>
    <t>REDE ESG FOFO 250 3,26A3,75m S/PAV</t>
  </si>
  <si>
    <t>REDE ESG FOFO 250 3,26A3,75m ASF</t>
  </si>
  <si>
    <t>770,95</t>
  </si>
  <si>
    <t>REDE ESG FOFO 250 3,26A3,75m BLOCO</t>
  </si>
  <si>
    <t>732,41</t>
  </si>
  <si>
    <t>REDE ESG FOFO 250 3,26A3,75m PARAL</t>
  </si>
  <si>
    <t>735,67</t>
  </si>
  <si>
    <t>REDE ESG FOFO 250 3,76A4,25m S/PAV</t>
  </si>
  <si>
    <t>708,03</t>
  </si>
  <si>
    <t>REDE ESG FOFO 250 3,76A4,25m ASF</t>
  </si>
  <si>
    <t>795,17</t>
  </si>
  <si>
    <t>REDE ESG FOFO 250 3,76A4,25m BLOCO</t>
  </si>
  <si>
    <t>756,61</t>
  </si>
  <si>
    <t>REDE ESG FOFO 250 3,76A4,25m PARAL</t>
  </si>
  <si>
    <t>759,82</t>
  </si>
  <si>
    <t>REDE ESG FOFO 300 ATE 1,25m S/PAV</t>
  </si>
  <si>
    <t>617,65</t>
  </si>
  <si>
    <t>REDE ESG FOFO 300 ATE 1,25m ASF</t>
  </si>
  <si>
    <t>685,66</t>
  </si>
  <si>
    <t>REDE ESG FOFO 300 ATE 1,25m BLOCO</t>
  </si>
  <si>
    <t>660,08</t>
  </si>
  <si>
    <t>REDE ESG FOFO 300 ATE 1,25m PARAL</t>
  </si>
  <si>
    <t>662,80</t>
  </si>
  <si>
    <t>REDE ESG FOFO 300 1,26A1,75m S/PAV</t>
  </si>
  <si>
    <t>659,32</t>
  </si>
  <si>
    <t>REDE ESG FOFO 300 1,26A1,75m ASF</t>
  </si>
  <si>
    <t>730,76</t>
  </si>
  <si>
    <t>REDE ESG FOFO 300 1,26A1,75m BLOCO</t>
  </si>
  <si>
    <t>703,15</t>
  </si>
  <si>
    <t>REDE ESG FOFO 300 1,26A1,75m PARAL</t>
  </si>
  <si>
    <t>706,01</t>
  </si>
  <si>
    <t>REDE ESG FOFO 300 1,76A2,25m S/PAV</t>
  </si>
  <si>
    <t>678,62</t>
  </si>
  <si>
    <t>REDE ESG FOFO 300 1,76A2,25m ASF</t>
  </si>
  <si>
    <t>750,05</t>
  </si>
  <si>
    <t>REDE ESG FOFO 300 1,76A2,25m BLOCO</t>
  </si>
  <si>
    <t>722,45</t>
  </si>
  <si>
    <t>REDE ESG FOFO 300 1,76A2,25m PARAL</t>
  </si>
  <si>
    <t>725,30</t>
  </si>
  <si>
    <t>REDE ESG FOFO 300 2,26A2,75m S/PAV</t>
  </si>
  <si>
    <t>708,76</t>
  </si>
  <si>
    <t>REDE ESG FOFO 300 2,26A2,75m ASF</t>
  </si>
  <si>
    <t>788,04</t>
  </si>
  <si>
    <t>REDE ESG FOFO 300 2,26A2,75m BLOCO</t>
  </si>
  <si>
    <t>755,41</t>
  </si>
  <si>
    <t>REDE ESG FOFO 300 2,26A2,75m PARAL</t>
  </si>
  <si>
    <t>758,51</t>
  </si>
  <si>
    <t>REDE ESG FOFO 300 2,76A3,25m S/PAV</t>
  </si>
  <si>
    <t>REDE ESG FOFO 300 2,76A3,25m ASF</t>
  </si>
  <si>
    <t>809,26</t>
  </si>
  <si>
    <t>REDE ESG FOFO 300 2,76A3,25m BLOCO</t>
  </si>
  <si>
    <t>776,02</t>
  </si>
  <si>
    <t>REDE ESG FOFO 300 2,76A3,25m PARAL</t>
  </si>
  <si>
    <t>778,95</t>
  </si>
  <si>
    <t>REDE ESG FOFO 300 3,26A3,75m S/PAV</t>
  </si>
  <si>
    <t>766,35</t>
  </si>
  <si>
    <t>REDE ESG FOFO 300 3,26A3,75m ASF</t>
  </si>
  <si>
    <t>853,48</t>
  </si>
  <si>
    <t>REDE ESG FOFO 300 3,26A3,75m BLOCO</t>
  </si>
  <si>
    <t>814,95</t>
  </si>
  <si>
    <t>REDE ESG FOFO 300 3,26A3,75m PARAL</t>
  </si>
  <si>
    <t>818,20</t>
  </si>
  <si>
    <t>REDE ESG FOFO 300 3,76A4,25m S/PAV</t>
  </si>
  <si>
    <t>793,68</t>
  </si>
  <si>
    <t>REDE ESG FOFO 300 3,76A4,25m ASF</t>
  </si>
  <si>
    <t>880,81</t>
  </si>
  <si>
    <t>REDE ESG FOFO 300 3,76A4,25m BLOCO</t>
  </si>
  <si>
    <t>842,26</t>
  </si>
  <si>
    <t>REDE ESG FOFO 300 3,76A4,25m PARAL</t>
  </si>
  <si>
    <t>845,47</t>
  </si>
  <si>
    <t>REDE ESG FOFO 350 ATE 1,25m S/PAV</t>
  </si>
  <si>
    <t>823,08</t>
  </si>
  <si>
    <t>REDE ESG FOFO 350 ATE 1,25m ASF</t>
  </si>
  <si>
    <t>891,09</t>
  </si>
  <si>
    <t>REDE ESG FOFO 350 ATE 1,25m BLOCO</t>
  </si>
  <si>
    <t>865,50</t>
  </si>
  <si>
    <t>REDE ESG FOFO 350 ATE 1,25m PARAL</t>
  </si>
  <si>
    <t>868,23</t>
  </si>
  <si>
    <t>REDE ESG FOFO 350 1,26A1,75m S/PAV</t>
  </si>
  <si>
    <t>864,79</t>
  </si>
  <si>
    <t>REDE ESG FOFO 350 1,26A1,75m ASF</t>
  </si>
  <si>
    <t>936,23</t>
  </si>
  <si>
    <t>REDE ESG FOFO 350 1,26A1,75m BLOCO</t>
  </si>
  <si>
    <t>908,63</t>
  </si>
  <si>
    <t>REDE ESG FOFO 350 1,26A1,75m PARAL</t>
  </si>
  <si>
    <t>911,48</t>
  </si>
  <si>
    <t>REDE ESG FOFO 350 1,76A2,25m S/PAV</t>
  </si>
  <si>
    <t>884,09</t>
  </si>
  <si>
    <t>REDE ESG FOFO 350 1,76A2,25m ASF</t>
  </si>
  <si>
    <t>955,52</t>
  </si>
  <si>
    <t>REDE ESG FOFO 350 1,76A2,25m BLOCO</t>
  </si>
  <si>
    <t>927,92</t>
  </si>
  <si>
    <t>REDE ESG FOFO 350 1,76A2,25m PARAL</t>
  </si>
  <si>
    <t>930,77</t>
  </si>
  <si>
    <t>REDE ESG FOFO 350 2,26A2,75m S/PAV</t>
  </si>
  <si>
    <t>914,65</t>
  </si>
  <si>
    <t>REDE ESG FOFO 350 2,26A2,75m ASF</t>
  </si>
  <si>
    <t>993,93</t>
  </si>
  <si>
    <t>REDE ESG FOFO 350 2,26A2,75m BLOCO</t>
  </si>
  <si>
    <t>961,30</t>
  </si>
  <si>
    <t>REDE ESG FOFO 350 2,26A2,75m PARAL</t>
  </si>
  <si>
    <t>964,41</t>
  </si>
  <si>
    <t>REDE ESG FOFO 350 2,76A3,25m S/PAV</t>
  </si>
  <si>
    <t>935,88</t>
  </si>
  <si>
    <t>REDE ESG FOFO 350 2,76A3,25m ASF</t>
  </si>
  <si>
    <t>1.015,16</t>
  </si>
  <si>
    <t>REDE ESG FOFO 350 2,76A3,25m BLOCO</t>
  </si>
  <si>
    <t>981,92</t>
  </si>
  <si>
    <t>REDE ESG FOFO 350 2,76A3,25m PARAL</t>
  </si>
  <si>
    <t>984,86</t>
  </si>
  <si>
    <t>REDE ESG FOFO 350 3,26A3,75m S/PAV</t>
  </si>
  <si>
    <t>972,56</t>
  </si>
  <si>
    <t>REDE ESG FOFO 350 3,26A3,75m ASF</t>
  </si>
  <si>
    <t>1.059,70</t>
  </si>
  <si>
    <t>REDE ESG FOFO 350 3,26A3,75m BLOCO</t>
  </si>
  <si>
    <t>1.021,16</t>
  </si>
  <si>
    <t>REDE ESG FOFO 350 3,26A3,75m PARAL</t>
  </si>
  <si>
    <t>1.024,42</t>
  </si>
  <si>
    <t>REDE ESG FOFO 350 3,76A4,25m S/PAV</t>
  </si>
  <si>
    <t>999,88</t>
  </si>
  <si>
    <t>REDE ESG FOFO 350 3,76A4,25m ASF</t>
  </si>
  <si>
    <t>1.087,02</t>
  </si>
  <si>
    <t>REDE ESG FOFO 350 3,76A4,25m BLOCO</t>
  </si>
  <si>
    <t>1.048,47</t>
  </si>
  <si>
    <t>REDE ESG FOFO 350 3,76A4,25m PARAL</t>
  </si>
  <si>
    <t>1.051,68</t>
  </si>
  <si>
    <t>REDE ESG FOFO 400 ATE 1,25m S/PAV</t>
  </si>
  <si>
    <t>870,09</t>
  </si>
  <si>
    <t>REDE ESG FOFO 400 ATE 1,25m ASF</t>
  </si>
  <si>
    <t>938,11</t>
  </si>
  <si>
    <t>REDE ESG FOFO 400 ATE 1,25m BLOCO</t>
  </si>
  <si>
    <t>912,52</t>
  </si>
  <si>
    <t>REDE ESG FOFO 400 ATE 1,25m PARAL</t>
  </si>
  <si>
    <t>915,24</t>
  </si>
  <si>
    <t>REDE ESG FOFO 400 1,26A1,75m S/PAV</t>
  </si>
  <si>
    <t>912,17</t>
  </si>
  <si>
    <t>REDE ESG FOFO 400 1,26A1,75m ASF</t>
  </si>
  <si>
    <t>983,60</t>
  </si>
  <si>
    <t>REDE ESG FOFO 400 1,26A1,75m BLOCO</t>
  </si>
  <si>
    <t>956,00</t>
  </si>
  <si>
    <t>REDE ESG FOFO 400 1,26A1,75m PARAL</t>
  </si>
  <si>
    <t>958,85</t>
  </si>
  <si>
    <t>REDE ESG FOFO 400 1,76A2,25m S/PAV</t>
  </si>
  <si>
    <t>931,62</t>
  </si>
  <si>
    <t>REDE ESG FOFO 400 1,76A2,25m ASF</t>
  </si>
  <si>
    <t>1.003,05</t>
  </si>
  <si>
    <t>REDE ESG FOFO 400 1,76A2,25m BLOCO</t>
  </si>
  <si>
    <t>975,46</t>
  </si>
  <si>
    <t>REDE ESG FOFO 400 1,76A2,25m PARAL</t>
  </si>
  <si>
    <t>978,30</t>
  </si>
  <si>
    <t>REDE ESG FOFO 400 2,26A2,75m S/PAV</t>
  </si>
  <si>
    <t>962,81</t>
  </si>
  <si>
    <t>REDE ESG FOFO 400 2,26A2,75m ASF</t>
  </si>
  <si>
    <t>1.042,09</t>
  </si>
  <si>
    <t>REDE ESG FOFO 400 2,26A2,75m BLOCO</t>
  </si>
  <si>
    <t>1.009,45</t>
  </si>
  <si>
    <t>REDE ESG FOFO 400 2,26A2,75m PARAL</t>
  </si>
  <si>
    <t>1.012,56</t>
  </si>
  <si>
    <t>REDE ESG FOFO 400 2,76A3,25m S/PAV</t>
  </si>
  <si>
    <t>984,82</t>
  </si>
  <si>
    <t>REDE ESG FOFO 400 2,76A3,25m ASF</t>
  </si>
  <si>
    <t>1.064,09</t>
  </si>
  <si>
    <t>REDE ESG FOFO 400 2,76A3,25m BLOCO</t>
  </si>
  <si>
    <t>1.030,85</t>
  </si>
  <si>
    <t>REDE ESG FOFO 400 2,76A3,25m PARAL</t>
  </si>
  <si>
    <t>1.033,78</t>
  </si>
  <si>
    <t>REDE ESG FOFO 400 3,26A3,75m S/PAV</t>
  </si>
  <si>
    <t>1.024,93</t>
  </si>
  <si>
    <t>REDE ESG FOFO 400 3,26A3,75m ASF</t>
  </si>
  <si>
    <t>1.112,07</t>
  </si>
  <si>
    <t>REDE ESG FOFO 400 3,26A3,75m BLOCO</t>
  </si>
  <si>
    <t>1.073,53</t>
  </si>
  <si>
    <t>REDE ESG FOFO 400 3,26A3,75m PARAL</t>
  </si>
  <si>
    <t>1.076,79</t>
  </si>
  <si>
    <t>REDE ESG FOFO 400 3,76A4,25m S/PAV</t>
  </si>
  <si>
    <t>1.047,60</t>
  </si>
  <si>
    <t>REDE ESG FOFO 400 3,76A4,25m ASF</t>
  </si>
  <si>
    <t>1.134,73</t>
  </si>
  <si>
    <t>REDE ESG FOFO 400 3,76A4,25m BLOCO</t>
  </si>
  <si>
    <t>1.096,18</t>
  </si>
  <si>
    <t>REDE ESG FOFO 400 3,76A4,25m PARAL</t>
  </si>
  <si>
    <t>1.099,39</t>
  </si>
  <si>
    <t>REDE ESG FOFO 150 ATE 1,25m S/PAV S/F</t>
  </si>
  <si>
    <t>REDE ESG FOFO 150 ATE 1,25m ASF S/F</t>
  </si>
  <si>
    <t>129,66</t>
  </si>
  <si>
    <t>REDE ESG FOFO 150 ATE 1,25m BLOCO S/F</t>
  </si>
  <si>
    <t>106,79</t>
  </si>
  <si>
    <t>REDE ESG FOFO 150 ATE 1,25m PARAL S/F</t>
  </si>
  <si>
    <t>REDE ESG FOFO 150 1,26A1,75m S/PAV S/F</t>
  </si>
  <si>
    <t>102,65</t>
  </si>
  <si>
    <t>REDE ESG FOFO 150 1,26A1,75m ASF S/F</t>
  </si>
  <si>
    <t>149,34</t>
  </si>
  <si>
    <t>REDE ESG FOFO 150 1,26A1,75m BLOCO S/F</t>
  </si>
  <si>
    <t>146,49</t>
  </si>
  <si>
    <t>REDE ESG FOFO 150 1,26A1,75m PARAL S/F</t>
  </si>
  <si>
    <t>REDE ESG FOFO 150 1,76A2,25m S/PAV S/F</t>
  </si>
  <si>
    <t>121,86</t>
  </si>
  <si>
    <t>REDE ESG FOFO 150 1,76A2,25m ASF S/F</t>
  </si>
  <si>
    <t>193,30</t>
  </si>
  <si>
    <t>REDE ESG FOFO 150 1,76A2,25m BLOCO S/F</t>
  </si>
  <si>
    <t>165,69</t>
  </si>
  <si>
    <t>REDE ESG FOFO 150 1,76A2,25m PARAL S/F</t>
  </si>
  <si>
    <t>168,55</t>
  </si>
  <si>
    <t>REDE ESG FOFO 150 2,26A2,75m S/PAV S/F</t>
  </si>
  <si>
    <t>150,87</t>
  </si>
  <si>
    <t>REDE ESG FOFO 150 2,26A2,75m ASF S/F</t>
  </si>
  <si>
    <t>230,15</t>
  </si>
  <si>
    <t>REDE ESG FOFO 150 2,26A2,75m BLOCO S/F</t>
  </si>
  <si>
    <t>197,51</t>
  </si>
  <si>
    <t>REDE ESG FOFO 150 2,26A2,75m PARAL S/F</t>
  </si>
  <si>
    <t>200,62</t>
  </si>
  <si>
    <t>REDE ESG FOFO 150 2,76A3,25m S/PAV S/F</t>
  </si>
  <si>
    <t>171,79</t>
  </si>
  <si>
    <t>REDE ESG FOFO 150 2,76A3,25m ASF S/F</t>
  </si>
  <si>
    <t>251,06</t>
  </si>
  <si>
    <t>REDE ESG FOFO 150 2,76A3,25m BLOCO S/F</t>
  </si>
  <si>
    <t>217,81</t>
  </si>
  <si>
    <t>REDE ESG FOFO 150 2,76A3,25m PARAL S/F</t>
  </si>
  <si>
    <t>220,75</t>
  </si>
  <si>
    <t>REDE ESG FOFO 150 3,26A3,75m S/PAV S/F</t>
  </si>
  <si>
    <t>206,30</t>
  </si>
  <si>
    <t>REDE ESG FOFO 150 3,26A3,75m ASF S/F</t>
  </si>
  <si>
    <t>293,45</t>
  </si>
  <si>
    <t>REDE ESG FOFO 150 3,26A3,75m BLOCO S/F</t>
  </si>
  <si>
    <t>254,90</t>
  </si>
  <si>
    <t>REDE ESG FOFO 200 ATE 1,25m S/PAV S/F</t>
  </si>
  <si>
    <t>REDE ESG FOFO 200 ATE 1,25m PARAL S/F</t>
  </si>
  <si>
    <t>109,60</t>
  </si>
  <si>
    <t>REDE ESG FOFO 200 1,26A1,75m PARAL S/F</t>
  </si>
  <si>
    <t>152,35</t>
  </si>
  <si>
    <t>REDE ESG FOFO 250 ATE 1,25m ASF S/F</t>
  </si>
  <si>
    <t>REDE ESG FOFO 250 1,26A1,75m ASF S/F</t>
  </si>
  <si>
    <t>180,58</t>
  </si>
  <si>
    <t>REDE ESG FOFO 300 ATE 1,25m ASF S/F</t>
  </si>
  <si>
    <t>140,39</t>
  </si>
  <si>
    <t>REDE ESG FOFO 300 ATE 1,25m PARAL S/F</t>
  </si>
  <si>
    <t>117,53</t>
  </si>
  <si>
    <t>REDE ESG FOFO 300 1,26A1,75m ASF S/F</t>
  </si>
  <si>
    <t>185,48</t>
  </si>
  <si>
    <t>REDE ESG FOFO 300 1,26A1,75m PARAL S/F</t>
  </si>
  <si>
    <t>160,73</t>
  </si>
  <si>
    <t>REDE ESG FOFO 300 1,76A2,25m PARAL S/F</t>
  </si>
  <si>
    <t>INTERCEP FOFO 150 ATE 1,25-BEIRA RIO</t>
  </si>
  <si>
    <t>428,79</t>
  </si>
  <si>
    <t>INTERCEP FOFO 150 1,26A1,75M-B. RIO</t>
  </si>
  <si>
    <t>488,45</t>
  </si>
  <si>
    <t>INTERCEP FOFO 150 1,76A2,25M-B. RIO</t>
  </si>
  <si>
    <t>529,23</t>
  </si>
  <si>
    <t>INTERCEP FOFO 150 2,26A2,75M-B. RIO</t>
  </si>
  <si>
    <t>593,61</t>
  </si>
  <si>
    <t>INTERCEP FOFO 200 ATE 1,25-BEIRA RIO</t>
  </si>
  <si>
    <t>495,95</t>
  </si>
  <si>
    <t>INTERCEP FOFO 200 1,26A1,75M-B. RIO</t>
  </si>
  <si>
    <t>555,80</t>
  </si>
  <si>
    <t>INTERCEP FOFO 200 1,76A2,25M-B. RIO</t>
  </si>
  <si>
    <t>596,58</t>
  </si>
  <si>
    <t>INTERCEP FOFO 200 2,26A2,75M-B. RIO</t>
  </si>
  <si>
    <t>660,65</t>
  </si>
  <si>
    <t>INTERCEP FOFO 250 ATE 1,25-BEIRA RIO</t>
  </si>
  <si>
    <t>584,52</t>
  </si>
  <si>
    <t>INTERCEP FOFO 250 1,26A1,75M-B. RIO</t>
  </si>
  <si>
    <t>644,62</t>
  </si>
  <si>
    <t>INTERCEP FOFO 250 1,76A2,25M-B. RIO</t>
  </si>
  <si>
    <t>685,40</t>
  </si>
  <si>
    <t>INTERCEP FOFO 250 2,26A2,75M-B. RIO</t>
  </si>
  <si>
    <t>749,66</t>
  </si>
  <si>
    <t>INTERCEP FOFO 300 ATE 1,25-BEIRA RIO</t>
  </si>
  <si>
    <t>663,71</t>
  </si>
  <si>
    <t>INTERCEP FOFO 300 1,26A1,75M-B. RIO</t>
  </si>
  <si>
    <t>723,97</t>
  </si>
  <si>
    <t>INTERCEP FOFO 300 1,76A2,25M-B. RIO</t>
  </si>
  <si>
    <t>764,76</t>
  </si>
  <si>
    <t>INTERCEP FOFO 300 2,26A2,75M-B. RIO</t>
  </si>
  <si>
    <t>829,28</t>
  </si>
  <si>
    <t>INTERCEP FOFO 150 AEREO - BEIRA RIO</t>
  </si>
  <si>
    <t>353,34</t>
  </si>
  <si>
    <t>INTERCEP FOFO 200 AEREO - BEIRA RIO</t>
  </si>
  <si>
    <t>421,21</t>
  </si>
  <si>
    <t>INTERCEP FOFO 250 AEREO - BEIRA RIO</t>
  </si>
  <si>
    <t>509,33</t>
  </si>
  <si>
    <t>INTERCEP FOFO 300 AEREO - BEIRA RIO</t>
  </si>
  <si>
    <t>587,44</t>
  </si>
  <si>
    <t>INTERCEP FOFO 150 ATE 1,25-BEIRA RIO S/F</t>
  </si>
  <si>
    <t>110,72</t>
  </si>
  <si>
    <t>INTERCEP FOFO 150 1,26A1,75M-B. RIO S/F</t>
  </si>
  <si>
    <t>170,38</t>
  </si>
  <si>
    <t>INTERCEP FOFO 150 1,76A2,25M-B. RIO S/F</t>
  </si>
  <si>
    <t>211,17</t>
  </si>
  <si>
    <t>INTERCEP FOFO 150 2,26A2,75M-B. RIO S/F</t>
  </si>
  <si>
    <t>275,54</t>
  </si>
  <si>
    <t>INTERCEP FOFO 200 ATE 1,25-BEIRA RIO S/F</t>
  </si>
  <si>
    <t>112,57</t>
  </si>
  <si>
    <t>INTERCEP FOFO 200 1,26A1,75M-B. RIO S/F</t>
  </si>
  <si>
    <t>172,41</t>
  </si>
  <si>
    <t>INTERCEP FOFO 200 1,76A2,25M-B. RIO S/F</t>
  </si>
  <si>
    <t>213,20</t>
  </si>
  <si>
    <t>INTERCEP FOFO 200 2,26A2,75M-B. RIO S/F</t>
  </si>
  <si>
    <t>277,27</t>
  </si>
  <si>
    <t>INTERCEP FOFO 250 ATE 1,25-BEIRA RIO S/F</t>
  </si>
  <si>
    <t>114,90</t>
  </si>
  <si>
    <t>INTERCEP FOFO 250 1,26A1,75M-B. RIO S/F</t>
  </si>
  <si>
    <t>175,00</t>
  </si>
  <si>
    <t>INTERCEP FOFO 250 1,76A2,25M-B. RIO S/F</t>
  </si>
  <si>
    <t>215,79</t>
  </si>
  <si>
    <t>INTERCEP FOFO 250 2,26A2,75M-B. RIO S/F</t>
  </si>
  <si>
    <t>280,05</t>
  </si>
  <si>
    <t>INTERCEP FOFO 300 ATE 1,25-BEIRA RIO S/F</t>
  </si>
  <si>
    <t>118,43</t>
  </si>
  <si>
    <t>INTERCEP FOFO 300 1,26A1,75M-B. RIO S/F</t>
  </si>
  <si>
    <t>178,70</t>
  </si>
  <si>
    <t>INTERCEP FOFO 300 1,76A2,25M-B. RIO S/F</t>
  </si>
  <si>
    <t>219,49</t>
  </si>
  <si>
    <t>INTERCEP FOFO 300 2,26A2,75M-B. RIO S/F</t>
  </si>
  <si>
    <t>284,01</t>
  </si>
  <si>
    <t>INTERCEP FOFO 150 AEREO - BEIRA RIO S/F</t>
  </si>
  <si>
    <t>35,27</t>
  </si>
  <si>
    <t>INTERCEP FOFO 200 AEREO - BEIRA RIO S/F</t>
  </si>
  <si>
    <t>37,82</t>
  </si>
  <si>
    <t>INTERCEP FOFO 250 AEREO - BEIRA RIO S/F</t>
  </si>
  <si>
    <t>39,71</t>
  </si>
  <si>
    <t>INTERCEP FOFO 300 AEREO - BEIRA RIO S/F</t>
  </si>
  <si>
    <t>1.0</t>
  </si>
  <si>
    <t>1.1</t>
  </si>
  <si>
    <t>1.2</t>
  </si>
  <si>
    <t>2.0</t>
  </si>
  <si>
    <t>3.0</t>
  </si>
  <si>
    <t>4.0</t>
  </si>
  <si>
    <t>5.0</t>
  </si>
  <si>
    <t>CNPJ</t>
  </si>
  <si>
    <t>FORNECEDOR</t>
  </si>
  <si>
    <t>CONTATO</t>
  </si>
  <si>
    <t>MÉDIA</t>
  </si>
  <si>
    <t>MEDIANA</t>
  </si>
  <si>
    <t>CRONOGRAMA FÍSICO-FINANCEIRO</t>
  </si>
  <si>
    <t>ENDEREÇO:</t>
  </si>
  <si>
    <t>MEMÓRIA DE CÁLCULO</t>
  </si>
  <si>
    <t>PREÇO
UNIT.</t>
  </si>
  <si>
    <t>TOTAL GERAL DA OBRA</t>
  </si>
  <si>
    <t>COMPOSIÇÕES</t>
  </si>
  <si>
    <t xml:space="preserve">CONTR. PREVID.: </t>
  </si>
  <si>
    <t>VL. UNIT. (R$)</t>
  </si>
  <si>
    <t>VL. TOTAL (R$)</t>
  </si>
  <si>
    <t>CUSTO (R$)</t>
  </si>
  <si>
    <t>-</t>
  </si>
  <si>
    <t>FÍSICO (%)/ FINANCEIRO (R$)</t>
  </si>
  <si>
    <t>FINANCEIRO (R$)</t>
  </si>
  <si>
    <t xml:space="preserve"> FINANCEIRO ACUMULADO (R$)</t>
  </si>
  <si>
    <t>FÍSICO ACUMULADO (%)</t>
  </si>
  <si>
    <t>FÍSICO (%)</t>
  </si>
  <si>
    <r>
      <t>Administração Central -</t>
    </r>
    <r>
      <rPr>
        <b/>
        <sz val="10"/>
        <color theme="1"/>
        <rFont val="Arial"/>
        <family val="2"/>
      </rPr>
      <t xml:space="preserve"> AC</t>
    </r>
  </si>
  <si>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</si>
  <si>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</si>
  <si>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</si>
  <si>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</si>
  <si>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r>
      <t xml:space="preserve">BDI= </t>
    </r>
    <r>
      <rPr>
        <u/>
        <sz val="10"/>
        <color theme="1"/>
        <rFont val="Arial"/>
        <family val="2"/>
      </rPr>
      <t>(1+(AC+S+R+G))(1+DF)(1+L))</t>
    </r>
    <r>
      <rPr>
        <sz val="10"/>
        <color theme="1"/>
        <rFont val="Arial"/>
        <family val="2"/>
      </rPr>
      <t xml:space="preserve"> -1 =</t>
    </r>
  </si>
  <si>
    <t>VL.
UNIT. C/ BDI (R$)</t>
  </si>
  <si>
    <t>UND.</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</si>
  <si>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</si>
  <si>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</si>
  <si>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</si>
  <si>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</si>
  <si>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</si>
  <si>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</si>
  <si>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</si>
  <si>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</si>
  <si>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</si>
  <si>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</si>
  <si>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</si>
  <si>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</si>
  <si>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</si>
  <si>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</si>
  <si>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</si>
  <si>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</si>
  <si>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</si>
  <si>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</si>
  <si>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</si>
  <si>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</si>
  <si>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</si>
  <si>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</si>
  <si>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</si>
  <si>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</si>
  <si>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</si>
  <si>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</si>
  <si>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</si>
  <si>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</si>
  <si>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</si>
  <si>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</si>
  <si>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</si>
  <si>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</si>
  <si>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</si>
  <si>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</si>
  <si>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</si>
  <si>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</si>
  <si>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</si>
  <si>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</si>
  <si>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</si>
  <si>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</si>
  <si>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</si>
  <si>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</si>
  <si>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</si>
  <si>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</si>
  <si>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</si>
  <si>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</si>
  <si>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ARGAMASSA TRAÇO 1:1,93 (EM VOLUME DE CIMENTO E AREIA MÉDIA ÚMIDA), FCK 20 MPA, PREPARO MECÂNICO COM MISTURADOR DUPLO HORIZONTAL DE ALTA TURBULÊNCIA. AF_03/2020</t>
  </si>
  <si>
    <t>CUSTO TOTAL</t>
  </si>
  <si>
    <t>FITAS ANTI-CORROSIVAS PRETA PARA ASSENT TELHAS</t>
  </si>
  <si>
    <t>1.3</t>
  </si>
  <si>
    <t>PESO 
(%)</t>
  </si>
  <si>
    <t>PREFEITURA MUNICIPAL DE BAIXO GUANDU</t>
  </si>
  <si>
    <t>PLANILHA ORÇAMENTÁRIA</t>
  </si>
  <si>
    <t>COTAÇÕES DE MERCADO</t>
  </si>
  <si>
    <t>Qtd.</t>
  </si>
  <si>
    <t>Comp. (m)</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</si>
  <si>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</si>
  <si>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</si>
  <si>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</si>
  <si>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</si>
  <si>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</si>
  <si>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</si>
  <si>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</si>
  <si>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</si>
  <si>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</si>
  <si>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</si>
  <si>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</si>
  <si>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</si>
  <si>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</si>
  <si>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</si>
  <si>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</si>
  <si>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</si>
  <si>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</si>
  <si>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</si>
  <si>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</si>
  <si>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</si>
  <si>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</si>
  <si>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</si>
  <si>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</si>
  <si>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</si>
  <si>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</si>
  <si>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</si>
  <si>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</si>
  <si>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</si>
  <si>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</si>
  <si>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</si>
  <si>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</si>
  <si>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</si>
  <si>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</si>
  <si>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</si>
  <si>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</si>
  <si>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</si>
  <si>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</si>
  <si>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</si>
  <si>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</si>
  <si>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</si>
  <si>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</si>
  <si>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</si>
  <si>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</si>
  <si>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</si>
  <si>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</si>
  <si>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</si>
  <si>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</si>
  <si>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</si>
  <si>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</si>
  <si>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</si>
  <si>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</si>
  <si>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</si>
  <si>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</si>
  <si>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</si>
  <si>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</si>
  <si>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</si>
  <si>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</si>
  <si>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</si>
  <si>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</si>
  <si>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</si>
  <si>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</si>
  <si>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</si>
  <si>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</si>
  <si>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</si>
  <si>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</si>
  <si>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</si>
  <si>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</si>
  <si>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</si>
  <si>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</si>
  <si>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</si>
  <si>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</si>
  <si>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</si>
  <si>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</si>
  <si>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</si>
  <si>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</si>
  <si>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</si>
  <si>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</si>
  <si>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</si>
  <si>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</si>
  <si>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</si>
  <si>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</si>
  <si>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</si>
  <si>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</si>
  <si>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</si>
  <si>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</si>
  <si>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</si>
  <si>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</si>
  <si>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</si>
  <si>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</si>
  <si>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</si>
  <si>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</si>
  <si>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</si>
  <si>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</si>
  <si>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</si>
  <si>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</si>
  <si>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</si>
  <si>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</si>
  <si>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</si>
  <si>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</si>
  <si>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</si>
  <si>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</si>
  <si>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</si>
  <si>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</si>
  <si>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</si>
  <si>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</si>
  <si>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</si>
  <si>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</si>
  <si>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</si>
  <si>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</si>
  <si>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</si>
  <si>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</si>
  <si>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</si>
  <si>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</si>
  <si>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</si>
  <si>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</si>
  <si>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</si>
  <si>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</si>
  <si>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</si>
  <si>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</si>
  <si>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</si>
  <si>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</si>
  <si>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</si>
  <si>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</si>
  <si>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</si>
  <si>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</si>
  <si>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</si>
  <si>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</si>
  <si>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</si>
  <si>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</si>
  <si>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</si>
  <si>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</si>
  <si>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</si>
  <si>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</si>
  <si>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</si>
  <si>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</si>
  <si>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</si>
  <si>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</si>
  <si>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</si>
  <si>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</si>
  <si>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</si>
  <si>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</si>
  <si>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</si>
  <si>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</si>
  <si>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</si>
  <si>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</si>
  <si>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</si>
  <si>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</si>
  <si>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</si>
  <si>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</si>
  <si>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</si>
  <si>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</si>
  <si>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</si>
  <si>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</si>
  <si>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</si>
  <si>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</si>
  <si>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</si>
  <si>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</si>
  <si>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</si>
  <si>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</si>
  <si>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</si>
  <si>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</si>
  <si>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</si>
  <si>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</si>
  <si>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</si>
  <si>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</si>
  <si>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</si>
  <si>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</si>
  <si>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</si>
  <si>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</si>
  <si>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</si>
  <si>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</si>
  <si>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</si>
  <si>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</si>
  <si>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</si>
  <si>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</si>
  <si>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</si>
  <si>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</si>
  <si>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</si>
  <si>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</si>
  <si>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</si>
  <si>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</si>
  <si>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</si>
  <si>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</si>
  <si>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</si>
  <si>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</si>
  <si>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</si>
  <si>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</si>
  <si>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</si>
  <si>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</si>
  <si>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</si>
  <si>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</si>
  <si>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</si>
  <si>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</si>
  <si>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</si>
  <si>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</si>
  <si>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</si>
  <si>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</si>
  <si>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</si>
  <si>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</si>
  <si>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</si>
  <si>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</si>
  <si>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</si>
  <si>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</si>
  <si>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</si>
  <si>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</si>
  <si>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</si>
  <si>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</si>
  <si>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</si>
  <si>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</si>
  <si>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</si>
  <si>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</si>
  <si>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</si>
  <si>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</si>
  <si>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</si>
  <si>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</si>
  <si>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</si>
  <si>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</si>
  <si>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</si>
  <si>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</si>
  <si>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</si>
  <si>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</si>
  <si>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</si>
  <si>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</si>
  <si>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</si>
  <si>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</si>
  <si>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</si>
  <si>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</si>
  <si>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</si>
  <si>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</si>
  <si>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</si>
  <si>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</si>
  <si>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</si>
  <si>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</si>
  <si>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</si>
  <si>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</si>
  <si>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</si>
  <si>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</si>
  <si>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</si>
  <si>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</si>
  <si>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</si>
  <si>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</si>
  <si>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</si>
  <si>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</si>
  <si>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</si>
  <si>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</si>
  <si>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</si>
  <si>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</si>
  <si>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</si>
  <si>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</si>
  <si>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</si>
  <si>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</si>
  <si>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</si>
  <si>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</si>
  <si>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</si>
  <si>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</si>
  <si>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</si>
  <si>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</si>
  <si>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</si>
  <si>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</si>
  <si>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</si>
  <si>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</si>
  <si>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</si>
  <si>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</si>
  <si>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</si>
  <si>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</si>
  <si>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</si>
  <si>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</si>
  <si>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</si>
  <si>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</si>
  <si>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</si>
  <si>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</si>
  <si>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</si>
  <si>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</si>
  <si>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</si>
  <si>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</si>
  <si>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</si>
  <si>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</si>
  <si>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</si>
  <si>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</si>
  <si>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</si>
  <si>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</si>
  <si>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</si>
  <si>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</si>
  <si>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</si>
  <si>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</si>
  <si>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</si>
  <si>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</si>
  <si>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</si>
  <si>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</si>
  <si>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</si>
  <si>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</si>
  <si>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</si>
  <si>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</si>
  <si>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</si>
  <si>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</si>
  <si>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</si>
  <si>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</si>
  <si>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</si>
  <si>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</si>
  <si>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</si>
  <si>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</si>
  <si>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</si>
  <si>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</si>
  <si>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</si>
  <si>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</si>
  <si>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</si>
  <si>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</si>
  <si>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</si>
  <si>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</si>
  <si>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</si>
  <si>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</si>
  <si>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</si>
  <si>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</si>
  <si>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</si>
  <si>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</si>
  <si>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</si>
  <si>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</si>
  <si>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</si>
  <si>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</si>
  <si>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</si>
  <si>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</si>
  <si>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</si>
  <si>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</si>
  <si>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</si>
  <si>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</si>
  <si>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</si>
  <si>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</si>
  <si>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</si>
  <si>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</si>
  <si>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</si>
  <si>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</si>
  <si>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</si>
  <si>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</si>
  <si>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</si>
  <si>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</si>
  <si>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</si>
  <si>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</si>
  <si>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</si>
  <si>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</si>
  <si>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</si>
  <si>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</si>
  <si>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</si>
  <si>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</si>
  <si>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</si>
  <si>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</si>
  <si>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</si>
  <si>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</si>
  <si>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</si>
  <si>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</si>
  <si>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</si>
  <si>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</si>
  <si>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</si>
  <si>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</si>
  <si>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</si>
  <si>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</si>
  <si>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</si>
  <si>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</si>
  <si>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</si>
  <si>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</si>
  <si>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</si>
  <si>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</si>
  <si>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</si>
  <si>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</si>
  <si>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</si>
  <si>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</si>
  <si>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</si>
  <si>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</si>
  <si>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</si>
  <si>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</si>
  <si>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</si>
  <si>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</si>
  <si>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</si>
  <si>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</si>
  <si>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</si>
  <si>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</si>
  <si>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</si>
  <si>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</si>
  <si>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</si>
  <si>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</si>
  <si>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</si>
  <si>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</si>
  <si>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</si>
  <si>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</si>
  <si>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</si>
  <si>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</si>
  <si>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</si>
  <si>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</si>
  <si>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</si>
  <si>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</si>
  <si>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</si>
  <si>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</si>
  <si>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</si>
  <si>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</si>
  <si>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</si>
  <si>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</si>
  <si>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</si>
  <si>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</si>
  <si>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</si>
  <si>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</si>
  <si>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</si>
  <si>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</si>
  <si>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</si>
  <si>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</si>
  <si>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</si>
  <si>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</si>
  <si>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</si>
  <si>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</si>
  <si>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</si>
  <si>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</si>
  <si>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</si>
  <si>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</si>
  <si>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</si>
  <si>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</si>
  <si>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</si>
  <si>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</si>
  <si>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</si>
  <si>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</si>
  <si>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</si>
  <si>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</si>
  <si>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</si>
  <si>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</si>
  <si>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</si>
  <si>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</si>
  <si>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</si>
  <si>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</si>
  <si>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</si>
  <si>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</si>
  <si>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</si>
  <si>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</si>
  <si>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</si>
  <si>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</si>
  <si>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</si>
  <si>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</si>
  <si>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</si>
  <si>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</si>
  <si>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</si>
  <si>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</si>
  <si>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</si>
  <si>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</si>
  <si>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</si>
  <si>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</si>
  <si>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</si>
  <si>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</si>
  <si>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</si>
  <si>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</si>
  <si>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</si>
  <si>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</si>
  <si>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</si>
  <si>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</si>
  <si>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</si>
  <si>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</si>
  <si>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</si>
  <si>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</si>
  <si>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</si>
  <si>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</si>
  <si>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</si>
  <si>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</si>
  <si>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</si>
  <si>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</si>
  <si>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</si>
  <si>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</si>
  <si>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</si>
  <si>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</si>
  <si>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</si>
  <si>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</si>
  <si>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</si>
  <si>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</si>
  <si>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</si>
  <si>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</si>
  <si>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</si>
  <si>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</si>
  <si>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</si>
  <si>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</si>
  <si>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</si>
  <si>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</si>
  <si>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</si>
  <si>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</si>
  <si>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</si>
  <si>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</si>
  <si>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</si>
  <si>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</si>
  <si>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</si>
  <si>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</si>
  <si>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</si>
  <si>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</si>
  <si>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</si>
  <si>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</si>
  <si>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</si>
  <si>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</si>
  <si>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</si>
  <si>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</si>
  <si>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</si>
  <si>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</si>
  <si>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</si>
  <si>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</si>
  <si>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</si>
  <si>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</si>
  <si>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</si>
  <si>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</si>
  <si>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</si>
  <si>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</si>
  <si>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</si>
  <si>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</si>
  <si>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</si>
  <si>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</si>
  <si>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</si>
  <si>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</si>
  <si>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</si>
  <si>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</si>
  <si>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</si>
  <si>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</si>
  <si>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</si>
  <si>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</si>
  <si>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</si>
  <si>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</si>
  <si>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</si>
  <si>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</si>
  <si>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</si>
  <si>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</si>
  <si>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</si>
  <si>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</si>
  <si>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</si>
  <si>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</si>
  <si>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</si>
  <si>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</si>
  <si>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</si>
  <si>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</si>
  <si>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</si>
  <si>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</si>
  <si>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</si>
  <si>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</si>
  <si>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</si>
  <si>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</si>
  <si>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</si>
  <si>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</si>
  <si>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</si>
  <si>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</si>
  <si>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</si>
  <si>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</si>
  <si>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</si>
  <si>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</si>
  <si>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</si>
  <si>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</si>
  <si>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</si>
  <si>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</si>
  <si>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</si>
  <si>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</si>
  <si>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</si>
  <si>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</si>
  <si>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</si>
  <si>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</si>
  <si>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</si>
  <si>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</si>
  <si>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</si>
  <si>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</si>
  <si>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</si>
  <si>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</si>
  <si>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</si>
  <si>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</si>
  <si>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</si>
  <si>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</si>
  <si>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</si>
  <si>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</si>
  <si>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</si>
  <si>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</si>
  <si>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</si>
  <si>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</si>
  <si>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</si>
  <si>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</si>
  <si>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</si>
  <si>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</si>
  <si>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</si>
  <si>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</si>
  <si>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</si>
  <si>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</si>
  <si>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</si>
  <si>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</si>
  <si>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</si>
  <si>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</si>
  <si>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</si>
  <si>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</si>
  <si>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</si>
  <si>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</si>
  <si>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</si>
  <si>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</si>
  <si>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</si>
  <si>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</si>
  <si>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</si>
  <si>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</si>
  <si>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</si>
  <si>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</si>
  <si>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</si>
  <si>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</si>
  <si>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</si>
  <si>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</si>
  <si>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</si>
  <si>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</si>
  <si>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</si>
  <si>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</si>
  <si>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</si>
  <si>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</si>
  <si>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</si>
  <si>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</si>
  <si>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</si>
  <si>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</si>
  <si>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</si>
  <si>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</si>
  <si>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</si>
  <si>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</si>
  <si>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</si>
  <si>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</si>
  <si>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</si>
  <si>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</si>
  <si>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</si>
  <si>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</si>
  <si>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</si>
  <si>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</si>
  <si>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</si>
  <si>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</si>
  <si>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</si>
  <si>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</si>
  <si>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</si>
  <si>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</si>
  <si>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</si>
  <si>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</si>
  <si>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</si>
  <si>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</si>
  <si>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</si>
  <si>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</si>
  <si>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</si>
  <si>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</si>
  <si>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</si>
  <si>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</si>
  <si>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</si>
  <si>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</si>
  <si>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</si>
  <si>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</si>
  <si>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</si>
  <si>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</si>
  <si>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</si>
  <si>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</si>
  <si>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</si>
  <si>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</si>
  <si>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</si>
  <si>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</si>
  <si>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</si>
  <si>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</si>
  <si>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</si>
  <si>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</si>
  <si>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</si>
  <si>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</si>
  <si>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</si>
  <si>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</si>
  <si>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</si>
  <si>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</si>
  <si>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</si>
  <si>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</si>
  <si>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</si>
  <si>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</si>
  <si>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</si>
  <si>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</si>
  <si>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</si>
  <si>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</si>
  <si>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</si>
  <si>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</si>
  <si>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</si>
  <si>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</si>
  <si>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</si>
  <si>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</si>
  <si>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</si>
  <si>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</si>
  <si>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</si>
  <si>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</si>
  <si>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</si>
  <si>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</si>
  <si>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</si>
  <si>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</si>
  <si>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</si>
  <si>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</si>
  <si>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</si>
  <si>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</si>
  <si>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</si>
  <si>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</si>
  <si>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</si>
  <si>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</si>
  <si>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</si>
  <si>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</si>
  <si>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</si>
  <si>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</si>
  <si>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</si>
  <si>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</si>
  <si>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</si>
  <si>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</si>
  <si>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</si>
  <si>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</si>
  <si>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</si>
  <si>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</si>
  <si>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</si>
  <si>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</si>
  <si>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</si>
  <si>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</si>
  <si>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</si>
  <si>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</si>
  <si>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</si>
  <si>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</si>
  <si>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</si>
  <si>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</si>
  <si>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</si>
  <si>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</si>
  <si>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</si>
  <si>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</si>
  <si>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</si>
  <si>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</si>
  <si>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</si>
  <si>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</si>
  <si>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</si>
  <si>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</si>
  <si>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</si>
  <si>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</si>
  <si>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</si>
  <si>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</si>
  <si>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</si>
  <si>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</si>
  <si>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</si>
  <si>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</si>
  <si>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</si>
  <si>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</si>
  <si>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</si>
  <si>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</si>
  <si>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</si>
  <si>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</si>
  <si>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</si>
  <si>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</si>
  <si>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</si>
  <si>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</si>
  <si>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</si>
  <si>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</si>
  <si>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</si>
  <si>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</si>
  <si>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</si>
  <si>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</si>
  <si>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</si>
  <si>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</si>
  <si>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</si>
  <si>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</si>
  <si>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</si>
  <si>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</si>
  <si>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</si>
  <si>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</si>
  <si>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</si>
  <si>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</si>
  <si>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</si>
  <si>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</si>
  <si>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</si>
  <si>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</si>
  <si>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</si>
  <si>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</si>
  <si>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</si>
  <si>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</si>
  <si>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</si>
  <si>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</si>
  <si>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</si>
  <si>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</si>
  <si>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</si>
  <si>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</si>
  <si>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</si>
  <si>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</si>
  <si>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</si>
  <si>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</si>
  <si>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</si>
  <si>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</si>
  <si>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</si>
  <si>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</si>
  <si>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</si>
  <si>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</si>
  <si>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</si>
  <si>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</si>
  <si>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</si>
  <si>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</si>
  <si>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</si>
  <si>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</si>
  <si>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</si>
  <si>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</si>
  <si>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</si>
  <si>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</si>
  <si>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</si>
  <si>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</si>
  <si>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</si>
  <si>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</si>
  <si>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</si>
  <si>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</si>
  <si>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</si>
  <si>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</si>
  <si>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</si>
  <si>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</si>
  <si>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</si>
  <si>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</si>
  <si>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</si>
  <si>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</si>
  <si>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</si>
  <si>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</si>
  <si>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</si>
  <si>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</si>
  <si>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</si>
  <si>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</si>
  <si>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</si>
  <si>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</si>
  <si>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</si>
  <si>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</si>
  <si>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</si>
  <si>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</si>
  <si>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</si>
  <si>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</si>
  <si>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</si>
  <si>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</si>
  <si>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</si>
  <si>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</si>
  <si>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</si>
  <si>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</si>
  <si>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</si>
  <si>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</si>
  <si>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</si>
  <si>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</si>
  <si>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</si>
  <si>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</si>
  <si>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</si>
  <si>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</si>
  <si>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</si>
  <si>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</si>
  <si>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</si>
  <si>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</si>
  <si>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</si>
  <si>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</si>
  <si>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</si>
  <si>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</si>
  <si>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</si>
  <si>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</si>
  <si>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</si>
  <si>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</si>
  <si>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</si>
  <si>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</si>
  <si>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</si>
  <si>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</si>
  <si>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</si>
  <si>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</si>
  <si>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</si>
  <si>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</si>
  <si>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</si>
  <si>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</si>
  <si>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</si>
  <si>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</si>
  <si>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</si>
  <si>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</si>
  <si>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</si>
  <si>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</si>
  <si>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</si>
  <si>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</si>
  <si>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</si>
  <si>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</si>
  <si>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</si>
  <si>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</si>
  <si>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</si>
  <si>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</si>
  <si>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</si>
  <si>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</si>
  <si>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</si>
  <si>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</si>
  <si>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</si>
  <si>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</si>
  <si>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</si>
  <si>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</si>
  <si>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</si>
  <si>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</si>
  <si>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</si>
  <si>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</si>
  <si>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</si>
  <si>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</si>
  <si>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</si>
  <si>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</si>
  <si>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</si>
  <si>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</si>
  <si>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</si>
  <si>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</si>
  <si>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</si>
  <si>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</si>
  <si>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</si>
  <si>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</si>
  <si>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</si>
  <si>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</si>
  <si>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</si>
  <si>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</si>
  <si>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</si>
  <si>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</si>
  <si>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</si>
  <si>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</si>
  <si>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</si>
  <si>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</si>
  <si>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</si>
  <si>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</si>
  <si>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</si>
  <si>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</si>
  <si>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</si>
  <si>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</si>
  <si>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</si>
  <si>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</si>
  <si>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</si>
  <si>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</si>
  <si>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</si>
  <si>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</si>
  <si>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</si>
  <si>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</si>
  <si>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</si>
  <si>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</si>
  <si>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</si>
  <si>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</si>
  <si>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</si>
  <si>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</si>
  <si>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</si>
  <si>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</si>
  <si>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</si>
  <si>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</si>
  <si>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</si>
  <si>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</si>
  <si>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</si>
  <si>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</si>
  <si>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</si>
  <si>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</si>
  <si>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</si>
  <si>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</si>
  <si>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</si>
  <si>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</si>
  <si>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</si>
  <si>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</si>
  <si>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</si>
  <si>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</si>
  <si>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</si>
  <si>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</si>
  <si>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</si>
  <si>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</si>
  <si>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</si>
  <si>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</si>
  <si>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</si>
  <si>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</si>
  <si>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</si>
  <si>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</si>
  <si>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</si>
  <si>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</si>
  <si>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</si>
  <si>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</si>
  <si>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</si>
  <si>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</si>
  <si>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</si>
  <si>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</si>
  <si>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</si>
  <si>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</si>
  <si>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</si>
  <si>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</si>
  <si>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</si>
  <si>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</si>
  <si>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</si>
  <si>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</si>
  <si>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</si>
  <si>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</si>
  <si>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</si>
  <si>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</si>
  <si>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</si>
  <si>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</si>
  <si>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</si>
  <si>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</si>
  <si>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</si>
  <si>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</si>
  <si>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</si>
  <si>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</si>
  <si>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</si>
  <si>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</si>
  <si>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</si>
  <si>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</si>
  <si>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</si>
  <si>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</si>
  <si>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</si>
  <si>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</si>
  <si>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</si>
  <si>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</si>
  <si>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</si>
  <si>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</si>
  <si>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</si>
  <si>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</si>
  <si>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</si>
  <si>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</si>
  <si>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</si>
  <si>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</si>
  <si>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</si>
  <si>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</si>
  <si>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</si>
  <si>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</si>
  <si>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</si>
  <si>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</si>
  <si>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</si>
  <si>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</si>
  <si>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</si>
  <si>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</si>
  <si>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</si>
  <si>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</si>
  <si>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</si>
  <si>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</si>
  <si>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</si>
  <si>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</si>
  <si>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</si>
  <si>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</si>
  <si>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</si>
  <si>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</si>
  <si>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</si>
  <si>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</si>
  <si>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</si>
  <si>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</si>
  <si>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</si>
  <si>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</si>
  <si>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</si>
  <si>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</si>
  <si>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</si>
  <si>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</si>
  <si>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</si>
  <si>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</si>
  <si>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</si>
  <si>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</si>
  <si>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</si>
  <si>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</si>
  <si>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</si>
  <si>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</si>
  <si>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</si>
  <si>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</si>
  <si>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</si>
  <si>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</si>
  <si>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</si>
  <si>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</si>
  <si>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</si>
  <si>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</si>
  <si>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</si>
  <si>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</si>
  <si>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</si>
  <si>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</si>
  <si>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</si>
  <si>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</si>
  <si>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</si>
  <si>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</si>
  <si>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</si>
  <si>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</si>
  <si>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</si>
  <si>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</si>
  <si>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</si>
  <si>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</si>
  <si>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</si>
  <si>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</si>
  <si>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</si>
  <si>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</si>
  <si>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</si>
  <si>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</si>
  <si>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</si>
  <si>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</si>
  <si>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</si>
  <si>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</si>
  <si>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</si>
  <si>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</si>
  <si>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</si>
  <si>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</si>
  <si>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</si>
  <si>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</si>
  <si>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</si>
  <si>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</si>
  <si>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</si>
  <si>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</si>
  <si>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</si>
  <si>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</si>
  <si>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</si>
  <si>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</si>
  <si>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</si>
  <si>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</si>
  <si>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</si>
  <si>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</si>
  <si>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</si>
  <si>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</si>
  <si>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</si>
  <si>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</si>
  <si>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</si>
  <si>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</si>
  <si>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</si>
  <si>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</si>
  <si>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</si>
  <si>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</si>
  <si>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</si>
  <si>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</si>
  <si>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</si>
  <si>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</si>
  <si>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</si>
  <si>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</si>
  <si>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</si>
  <si>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</si>
  <si>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</si>
  <si>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</si>
  <si>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</si>
  <si>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</si>
  <si>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</si>
  <si>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</si>
  <si>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</si>
  <si>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</si>
  <si>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</si>
  <si>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</si>
  <si>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</si>
  <si>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</si>
  <si>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</si>
  <si>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</si>
  <si>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</si>
  <si>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</si>
  <si>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</si>
  <si>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</si>
  <si>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</si>
  <si>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</si>
  <si>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</si>
  <si>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</si>
  <si>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</si>
  <si>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</si>
  <si>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</si>
  <si>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</si>
  <si>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</si>
  <si>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</si>
  <si>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</si>
  <si>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</si>
  <si>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</si>
  <si>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</si>
  <si>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</si>
  <si>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</si>
  <si>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</si>
  <si>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</si>
  <si>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</si>
  <si>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</si>
  <si>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</si>
  <si>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</si>
  <si>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</si>
  <si>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</si>
  <si>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</si>
  <si>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</si>
  <si>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</si>
  <si>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</si>
  <si>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</si>
  <si>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</si>
  <si>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</si>
  <si>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</si>
  <si>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</si>
  <si>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</si>
  <si>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</si>
  <si>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</si>
  <si>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</si>
  <si>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</si>
  <si>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</si>
  <si>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</si>
  <si>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</si>
  <si>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</si>
  <si>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</si>
  <si>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</si>
  <si>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</si>
  <si>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</si>
  <si>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</si>
  <si>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</si>
  <si>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</si>
  <si>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</si>
  <si>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</si>
  <si>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</si>
  <si>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</si>
  <si>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</si>
  <si>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</si>
  <si>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</si>
  <si>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</si>
  <si>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</si>
  <si>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</si>
  <si>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</si>
  <si>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</si>
  <si>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</si>
  <si>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</si>
  <si>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</si>
  <si>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</si>
  <si>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</si>
  <si>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</si>
  <si>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</si>
  <si>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</si>
  <si>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</si>
  <si>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</si>
  <si>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</si>
  <si>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</si>
  <si>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</si>
  <si>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</si>
  <si>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</si>
  <si>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</si>
  <si>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</si>
  <si>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</si>
  <si>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</si>
  <si>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</si>
  <si>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</si>
  <si>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</si>
  <si>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</si>
  <si>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</si>
  <si>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</si>
  <si>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</si>
  <si>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</si>
  <si>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</si>
  <si>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</si>
  <si>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</si>
  <si>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</si>
  <si>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</si>
  <si>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</si>
  <si>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</si>
  <si>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</si>
  <si>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</si>
  <si>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</si>
  <si>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</si>
  <si>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</si>
  <si>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</si>
  <si>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</si>
  <si>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</si>
  <si>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</si>
  <si>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</si>
  <si>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</si>
  <si>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</si>
  <si>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</si>
  <si>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</si>
  <si>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</si>
  <si>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</si>
  <si>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</si>
  <si>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</si>
  <si>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</si>
  <si>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</si>
  <si>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</si>
  <si>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</si>
  <si>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</si>
  <si>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</si>
  <si>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</si>
  <si>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</si>
  <si>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</si>
  <si>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</si>
  <si>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</si>
  <si>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</si>
  <si>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</si>
  <si>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</si>
  <si>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</si>
  <si>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</si>
  <si>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</si>
  <si>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</si>
  <si>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</si>
  <si>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</si>
  <si>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</si>
  <si>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</si>
  <si>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</si>
  <si>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</si>
  <si>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</si>
  <si>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</si>
  <si>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</si>
  <si>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</si>
  <si>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</si>
  <si>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</si>
  <si>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</si>
  <si>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</si>
  <si>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</si>
  <si>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</si>
  <si>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</si>
  <si>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</si>
  <si>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</si>
  <si>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</si>
  <si>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</si>
  <si>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</si>
  <si>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</si>
  <si>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</si>
  <si>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</si>
  <si>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</si>
  <si>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</si>
  <si>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</si>
  <si>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</si>
  <si>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</si>
  <si>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</si>
  <si>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</si>
  <si>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</si>
  <si>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</si>
  <si>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</si>
  <si>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</si>
  <si>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</si>
  <si>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</si>
  <si>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</si>
  <si>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</si>
  <si>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</si>
  <si>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</si>
  <si>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</si>
  <si>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</si>
  <si>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</si>
  <si>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</si>
  <si>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</si>
  <si>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</si>
  <si>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</si>
  <si>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</si>
  <si>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</si>
  <si>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</si>
  <si>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</si>
  <si>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</si>
  <si>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</si>
  <si>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</si>
  <si>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</si>
  <si>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</si>
  <si>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</si>
  <si>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</si>
  <si>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</si>
  <si>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</si>
  <si>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</si>
  <si>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</si>
  <si>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</si>
  <si>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</si>
  <si>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</si>
  <si>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</si>
  <si>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</si>
  <si>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</si>
  <si>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</si>
  <si>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</si>
  <si>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</si>
  <si>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</si>
  <si>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</si>
  <si>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</si>
  <si>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</si>
  <si>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</si>
  <si>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</si>
  <si>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</si>
  <si>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</si>
  <si>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</si>
  <si>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</si>
  <si>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</si>
  <si>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</si>
  <si>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</si>
  <si>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</si>
  <si>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</si>
  <si>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</si>
  <si>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</si>
  <si>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</si>
  <si>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</si>
  <si>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</si>
  <si>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</si>
  <si>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</si>
  <si>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</si>
  <si>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</si>
  <si>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</si>
  <si>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</si>
  <si>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</si>
  <si>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</si>
  <si>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</si>
  <si>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</si>
  <si>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</si>
  <si>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</si>
  <si>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E COMPACTAÇÃO DE BASE E OU SUB BASE PARA PAVIMENTAÇÃO DE SOLOS ESTABILIZADOS GRANULOMETRICAMENTE COM MISTURA DE SOLOS EM PISTA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</si>
  <si>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</si>
  <si>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</si>
  <si>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</si>
  <si>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</si>
  <si>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</si>
  <si>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</si>
  <si>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</si>
  <si>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</si>
  <si>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</si>
  <si>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</si>
  <si>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</si>
  <si>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</si>
  <si>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</si>
  <si>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</si>
  <si>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</si>
  <si>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</si>
  <si>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</si>
  <si>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</si>
  <si>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</si>
  <si>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</si>
  <si>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</si>
  <si>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</si>
  <si>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</si>
  <si>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</si>
  <si>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</si>
  <si>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</si>
  <si>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</si>
  <si>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</si>
  <si>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</si>
  <si>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</si>
  <si>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</si>
  <si>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</si>
  <si>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</si>
  <si>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</si>
  <si>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</si>
  <si>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</si>
  <si>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</si>
  <si>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</si>
  <si>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</si>
  <si>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</si>
  <si>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</si>
  <si>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</si>
  <si>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</si>
  <si>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</si>
  <si>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</si>
  <si>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</si>
  <si>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</si>
  <si>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</si>
  <si>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</si>
  <si>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</si>
  <si>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</si>
  <si>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</si>
  <si>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</si>
  <si>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</si>
  <si>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</si>
  <si>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</si>
  <si>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</si>
  <si>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</si>
  <si>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</si>
  <si>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</si>
  <si>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</si>
  <si>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</si>
  <si>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</si>
  <si>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</si>
  <si>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</si>
  <si>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</si>
  <si>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</si>
  <si>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</si>
  <si>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</si>
  <si>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</si>
  <si>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</si>
  <si>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</si>
  <si>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</si>
  <si>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</si>
  <si>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</si>
  <si>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</si>
  <si>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</si>
  <si>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</si>
  <si>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</si>
  <si>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</si>
  <si>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</si>
  <si>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</si>
  <si>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</si>
  <si>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</si>
  <si>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</si>
  <si>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</si>
  <si>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</si>
  <si>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</si>
  <si>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</si>
  <si>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</si>
  <si>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</si>
  <si>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</si>
  <si>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</si>
  <si>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</si>
  <si>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</si>
  <si>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</si>
  <si>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</si>
  <si>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</si>
  <si>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</si>
  <si>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</si>
  <si>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</si>
  <si>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</si>
  <si>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</si>
  <si>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</si>
  <si>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</si>
  <si>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</si>
  <si>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</si>
  <si>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</si>
  <si>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</si>
  <si>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</si>
  <si>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</si>
  <si>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</si>
  <si>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</si>
  <si>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</si>
  <si>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</si>
  <si>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</si>
  <si>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</si>
  <si>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</si>
  <si>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</si>
  <si>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</si>
  <si>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</si>
  <si>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</si>
  <si>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</si>
  <si>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</si>
  <si>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</si>
  <si>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</si>
  <si>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</si>
  <si>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</si>
  <si>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</si>
  <si>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</si>
  <si>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</si>
  <si>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</si>
  <si>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</si>
  <si>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</si>
  <si>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</si>
  <si>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</si>
  <si>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</si>
  <si>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</si>
  <si>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</si>
  <si>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</si>
  <si>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</si>
  <si>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</si>
  <si>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</si>
  <si>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</si>
  <si>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</si>
  <si>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</si>
  <si>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</si>
  <si>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</si>
  <si>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</si>
  <si>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</si>
  <si>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</si>
  <si>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</si>
  <si>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</si>
  <si>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</si>
  <si>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</si>
  <si>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</si>
  <si>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</si>
  <si>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</si>
  <si>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</si>
  <si>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</si>
  <si>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</si>
  <si>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</si>
  <si>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</si>
  <si>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</si>
  <si>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</si>
  <si>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</si>
  <si>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</si>
  <si>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</si>
  <si>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</si>
  <si>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</si>
  <si>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</si>
  <si>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</si>
  <si>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</si>
  <si>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</si>
  <si>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</si>
  <si>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</si>
  <si>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</si>
  <si>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</si>
  <si>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</si>
  <si>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</si>
  <si>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</si>
  <si>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</si>
  <si>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</si>
  <si>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</si>
  <si>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</si>
  <si>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</si>
  <si>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</si>
  <si>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</si>
  <si>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</si>
  <si>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</si>
  <si>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</si>
  <si>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</si>
  <si>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</si>
  <si>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</si>
  <si>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</si>
  <si>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</si>
  <si>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</si>
  <si>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</si>
  <si>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</si>
  <si>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</si>
  <si>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</si>
  <si>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</si>
  <si>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</si>
  <si>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</si>
  <si>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</si>
  <si>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</si>
  <si>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</si>
  <si>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</si>
  <si>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</si>
  <si>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</si>
  <si>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</si>
  <si>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</si>
  <si>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</si>
  <si>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</si>
  <si>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</si>
  <si>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</si>
  <si>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</si>
  <si>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</si>
  <si>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</si>
  <si>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</si>
  <si>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</si>
  <si>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</si>
  <si>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</si>
  <si>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</si>
  <si>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</si>
  <si>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</si>
  <si>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</si>
  <si>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</si>
  <si>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</si>
  <si>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</si>
  <si>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</si>
  <si>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</si>
  <si>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</si>
  <si>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</si>
  <si>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</si>
  <si>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</si>
  <si>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</si>
  <si>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</si>
  <si>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</si>
  <si>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</si>
  <si>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</si>
  <si>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</si>
  <si>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</si>
  <si>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</si>
  <si>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</si>
  <si>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</si>
  <si>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</si>
  <si>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</si>
  <si>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</si>
  <si>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</si>
  <si>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</si>
  <si>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</si>
  <si>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</si>
  <si>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</si>
  <si>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</si>
  <si>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</si>
  <si>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</si>
  <si>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</si>
  <si>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</si>
  <si>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</si>
  <si>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</si>
  <si>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</si>
  <si>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</si>
  <si>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</si>
  <si>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</si>
  <si>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</si>
  <si>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</si>
  <si>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</si>
  <si>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</si>
  <si>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</si>
  <si>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</si>
  <si>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</si>
  <si>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</si>
  <si>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</si>
  <si>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</si>
  <si>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</si>
  <si>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</si>
  <si>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</si>
  <si>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</si>
  <si>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</si>
  <si>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</si>
  <si>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</si>
  <si>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</si>
  <si>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</si>
  <si>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</si>
  <si>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</si>
  <si>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</si>
  <si>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</si>
  <si>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</si>
  <si>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</si>
  <si>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</si>
  <si>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</si>
  <si>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</si>
  <si>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</si>
  <si>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</si>
  <si>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</si>
  <si>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</si>
  <si>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</si>
  <si>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</si>
  <si>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</si>
  <si>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</si>
  <si>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</si>
  <si>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</si>
  <si>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</si>
  <si>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</si>
  <si>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</si>
  <si>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</si>
  <si>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</si>
  <si>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</si>
  <si>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</si>
  <si>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</si>
  <si>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</si>
  <si>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</si>
  <si>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</si>
  <si>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</si>
  <si>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</si>
  <si>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</si>
  <si>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</si>
  <si>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</si>
  <si>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</si>
  <si>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</si>
  <si>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</si>
  <si>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</si>
  <si>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</si>
  <si>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</si>
  <si>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</si>
  <si>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</si>
  <si>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</si>
  <si>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</si>
  <si>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</si>
  <si>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</si>
  <si>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</si>
  <si>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</si>
  <si>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</si>
  <si>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</si>
  <si>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</si>
  <si>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</si>
  <si>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</si>
  <si>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</si>
  <si>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</si>
  <si>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</si>
  <si>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</si>
  <si>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</si>
  <si>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</si>
  <si>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</si>
  <si>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</si>
  <si>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</si>
  <si>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</si>
  <si>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</si>
  <si>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</si>
  <si>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</si>
  <si>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</si>
  <si>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</si>
  <si>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</si>
  <si>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</si>
  <si>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</si>
  <si>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</si>
  <si>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</si>
  <si>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</si>
  <si>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</si>
  <si>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</si>
  <si>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</si>
  <si>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</si>
  <si>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</si>
  <si>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</si>
  <si>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</si>
  <si>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</si>
  <si>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</si>
  <si>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</si>
  <si>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</si>
  <si>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</si>
  <si>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</si>
  <si>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</si>
  <si>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</si>
  <si>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</si>
  <si>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</si>
  <si>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</si>
  <si>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</si>
  <si>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</si>
  <si>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</si>
  <si>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</si>
  <si>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</si>
  <si>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</si>
  <si>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</si>
  <si>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</si>
  <si>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</si>
  <si>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</si>
  <si>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</si>
  <si>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</si>
  <si>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</si>
  <si>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</si>
  <si>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</si>
  <si>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</si>
  <si>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</si>
  <si>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</si>
  <si>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</si>
  <si>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</si>
  <si>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</si>
  <si>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</si>
  <si>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</si>
  <si>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</si>
  <si>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</si>
  <si>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</si>
  <si>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</si>
  <si>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</si>
  <si>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</si>
  <si>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</si>
  <si>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</si>
  <si>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</si>
  <si>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</si>
  <si>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</si>
  <si>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</si>
  <si>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</si>
  <si>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</si>
  <si>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</si>
  <si>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</si>
  <si>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</si>
  <si>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</si>
  <si>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</si>
  <si>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</si>
  <si>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</si>
  <si>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</si>
  <si>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</si>
  <si>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</si>
  <si>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</si>
  <si>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</si>
  <si>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</si>
  <si>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</si>
  <si>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</si>
  <si>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</si>
  <si>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</si>
  <si>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</si>
  <si>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</si>
  <si>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2.1</t>
  </si>
  <si>
    <t>C</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</si>
  <si>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</si>
  <si>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</si>
  <si>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</si>
  <si>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</si>
  <si>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</si>
  <si>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</si>
  <si>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</si>
  <si>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</si>
  <si>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</si>
  <si>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</si>
  <si>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</si>
  <si>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</si>
  <si>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</si>
  <si>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</si>
  <si>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</si>
  <si>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</si>
  <si>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</si>
  <si>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</si>
  <si>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</si>
  <si>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</si>
  <si>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</si>
  <si>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</si>
  <si>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</si>
  <si>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</si>
  <si>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</si>
  <si>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</si>
  <si>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</si>
  <si>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</si>
  <si>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</si>
  <si>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</si>
  <si>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</si>
  <si>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</si>
  <si>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</si>
  <si>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</si>
  <si>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</si>
  <si>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</si>
  <si>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</si>
  <si>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</si>
  <si>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</si>
  <si>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</si>
  <si>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</si>
  <si>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</si>
  <si>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</si>
  <si>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</si>
  <si>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</si>
  <si>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</si>
  <si>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</si>
  <si>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</si>
  <si>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</si>
  <si>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</si>
  <si>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</si>
  <si>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</si>
  <si>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</si>
  <si>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</si>
  <si>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</si>
  <si>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</si>
  <si>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</si>
  <si>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</si>
  <si>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</si>
  <si>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</si>
  <si>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</si>
  <si>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</si>
  <si>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</si>
  <si>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</si>
  <si>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</si>
  <si>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</si>
  <si>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</si>
  <si>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</si>
  <si>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</si>
  <si>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</si>
  <si>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</si>
  <si>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</si>
  <si>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</si>
  <si>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</si>
  <si>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</si>
  <si>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</si>
  <si>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</si>
  <si>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</si>
  <si>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</si>
  <si>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</si>
  <si>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</si>
  <si>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</si>
  <si>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</si>
  <si>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</si>
  <si>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</si>
  <si>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</si>
  <si>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</si>
  <si>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</si>
  <si>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</si>
  <si>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</si>
  <si>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</si>
  <si>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</si>
  <si>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</si>
  <si>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</si>
  <si>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</si>
  <si>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</si>
  <si>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</si>
  <si>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</si>
  <si>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</si>
  <si>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</si>
  <si>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</si>
  <si>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</si>
  <si>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</si>
  <si>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</si>
  <si>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</si>
  <si>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</si>
  <si>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</si>
  <si>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</si>
  <si>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</si>
  <si>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</si>
  <si>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</si>
  <si>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</si>
  <si>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</si>
  <si>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</si>
  <si>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</si>
  <si>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</si>
  <si>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</si>
  <si>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</si>
  <si>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</si>
  <si>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</si>
  <si>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</si>
  <si>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</si>
  <si>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</si>
  <si>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</si>
  <si>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</si>
  <si>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C40,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</si>
  <si>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</si>
  <si>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</si>
  <si>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</si>
  <si>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</si>
  <si>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</si>
  <si>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</si>
  <si>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</si>
  <si>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</si>
  <si>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</si>
  <si>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</si>
  <si>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</si>
  <si>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</si>
  <si>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</si>
  <si>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</si>
  <si>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</si>
  <si>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</si>
  <si>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</si>
  <si>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</si>
  <si>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</si>
  <si>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</si>
  <si>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</si>
  <si>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</si>
  <si>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</si>
  <si>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</si>
  <si>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</si>
  <si>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</si>
  <si>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</si>
  <si>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</si>
  <si>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</si>
  <si>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</si>
  <si>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</si>
  <si>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</si>
  <si>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</si>
  <si>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</si>
  <si>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</si>
  <si>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</si>
  <si>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</si>
  <si>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</si>
  <si>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</si>
  <si>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</si>
  <si>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</si>
  <si>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</si>
  <si>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</si>
  <si>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</si>
  <si>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</si>
  <si>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</si>
  <si>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</si>
  <si>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</si>
  <si>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</si>
  <si>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</si>
  <si>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</si>
  <si>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</si>
  <si>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</si>
  <si>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</si>
  <si>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</si>
  <si>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</si>
  <si>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</si>
  <si>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</si>
  <si>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</si>
  <si>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</si>
  <si>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</si>
  <si>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</si>
  <si>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</si>
  <si>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</si>
  <si>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CONE DE SINALIZACAO EM PVC FLEXIVEL, H = 70 / 76 CM (NBR 15071)                                                                                                                                                                                                                                                                                                                                                                                                                                           </t>
  </si>
  <si>
    <t xml:space="preserve">CONE DE SINALIZACAO EM PVC RIGIDO COM FAIXA REFLETIVA, H = 70 / 76 CM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</si>
  <si>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</si>
  <si>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</si>
  <si>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</si>
  <si>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</si>
  <si>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</si>
  <si>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</si>
  <si>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</si>
  <si>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</si>
  <si>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</si>
  <si>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</si>
  <si>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</si>
  <si>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</si>
  <si>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</si>
  <si>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</si>
  <si>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</si>
  <si>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</si>
  <si>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</si>
  <si>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</si>
  <si>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</si>
  <si>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</si>
  <si>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</si>
  <si>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</si>
  <si>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</si>
  <si>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</si>
  <si>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</si>
  <si>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</si>
  <si>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</si>
  <si>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</si>
  <si>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</si>
  <si>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</si>
  <si>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</si>
  <si>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</si>
  <si>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</si>
  <si>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</si>
  <si>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</si>
  <si>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</si>
  <si>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</si>
  <si>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</si>
  <si>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</si>
  <si>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</si>
  <si>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</si>
  <si>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</si>
  <si>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</si>
  <si>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</si>
  <si>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</si>
  <si>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</si>
  <si>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</si>
  <si>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</si>
  <si>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</si>
  <si>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</si>
  <si>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</si>
  <si>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MONTADO ESTOPIM COM ESPOLETA COMUM NUMERO 8, COM CABECA ACENDEDORA, 1,5 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</si>
  <si>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</si>
  <si>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</si>
  <si>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</si>
  <si>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</si>
  <si>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</si>
  <si>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</si>
  <si>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</si>
  <si>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</si>
  <si>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</si>
  <si>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</si>
  <si>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</si>
  <si>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</si>
  <si>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</si>
  <si>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</si>
  <si>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</si>
  <si>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</si>
  <si>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</si>
  <si>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</si>
  <si>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</si>
  <si>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</si>
  <si>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</si>
  <si>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</si>
  <si>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</si>
  <si>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</si>
  <si>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</si>
  <si>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</si>
  <si>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</si>
  <si>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</si>
  <si>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</si>
  <si>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</si>
  <si>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</si>
  <si>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</si>
  <si>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</si>
  <si>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</si>
  <si>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</si>
  <si>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</si>
  <si>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</si>
  <si>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</si>
  <si>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</si>
  <si>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</si>
  <si>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</si>
  <si>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</si>
  <si>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</si>
  <si>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</si>
  <si>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</si>
  <si>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</si>
  <si>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</si>
  <si>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</si>
  <si>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</si>
  <si>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</si>
  <si>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</si>
  <si>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</si>
  <si>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</si>
  <si>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</si>
  <si>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</si>
  <si>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</si>
  <si>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</si>
  <si>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</si>
  <si>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</si>
  <si>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</si>
  <si>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</si>
  <si>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</si>
  <si>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</si>
  <si>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</si>
  <si>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</si>
  <si>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</si>
  <si>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</si>
  <si>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</si>
  <si>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</si>
  <si>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</si>
  <si>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</si>
  <si>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</si>
  <si>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</si>
  <si>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</si>
  <si>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</si>
  <si>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</si>
  <si>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</si>
  <si>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</si>
  <si>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</si>
  <si>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</si>
  <si>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</si>
  <si>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</si>
  <si>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</si>
  <si>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</si>
  <si>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</si>
  <si>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</si>
  <si>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</si>
  <si>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</si>
  <si>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</si>
  <si>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</si>
  <si>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</si>
  <si>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</si>
  <si>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</si>
  <si>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</si>
  <si>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</si>
  <si>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</si>
  <si>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</si>
  <si>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</si>
  <si>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</si>
  <si>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</si>
  <si>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</si>
  <si>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</si>
  <si>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</si>
  <si>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</si>
  <si>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</si>
  <si>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</si>
  <si>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</si>
  <si>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</si>
  <si>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</si>
  <si>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</si>
  <si>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</si>
  <si>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</si>
  <si>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</si>
  <si>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</si>
  <si>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</si>
  <si>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</si>
  <si>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</si>
  <si>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</si>
  <si>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</si>
  <si>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</si>
  <si>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</si>
  <si>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</si>
  <si>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</si>
  <si>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</si>
  <si>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</si>
  <si>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</si>
  <si>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PVC CURTA 90 GRAUS, DN 40 MM, PARA ESGOTO PREDIAL                                                                                                                                                                                                                                                                                                                                                                                                                                                   </t>
  </si>
  <si>
    <t xml:space="preserve">CURVA PVC CURTA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</si>
  <si>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</si>
  <si>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</si>
  <si>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</si>
  <si>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</si>
  <si>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</si>
  <si>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</si>
  <si>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</si>
  <si>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</si>
  <si>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</si>
  <si>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</si>
  <si>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</si>
  <si>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</si>
  <si>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</si>
  <si>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</si>
  <si>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</si>
  <si>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</si>
  <si>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</si>
  <si>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</si>
  <si>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</si>
  <si>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</si>
  <si>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</si>
  <si>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</si>
  <si>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</si>
  <si>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</si>
  <si>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</si>
  <si>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</si>
  <si>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</si>
  <si>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</si>
  <si>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</si>
  <si>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</si>
  <si>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</si>
  <si>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</si>
  <si>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</si>
  <si>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</si>
  <si>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</si>
  <si>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</si>
  <si>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</si>
  <si>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</si>
  <si>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</si>
  <si>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</si>
  <si>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</si>
  <si>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</si>
  <si>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</si>
  <si>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</si>
  <si>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</si>
  <si>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</si>
  <si>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</si>
  <si>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</si>
  <si>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</si>
  <si>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</si>
  <si>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</si>
  <si>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</si>
  <si>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</si>
  <si>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</si>
  <si>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</si>
  <si>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</si>
  <si>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</si>
  <si>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</si>
  <si>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</si>
  <si>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</si>
  <si>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</si>
  <si>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</si>
  <si>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</si>
  <si>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</si>
  <si>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</si>
  <si>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</si>
  <si>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</si>
  <si>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</si>
  <si>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</si>
  <si>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</si>
  <si>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</si>
  <si>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</si>
  <si>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</si>
  <si>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</si>
  <si>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</si>
  <si>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</si>
  <si>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</si>
  <si>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</si>
  <si>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</si>
  <si>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</si>
  <si>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</si>
  <si>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</si>
  <si>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</si>
  <si>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</si>
  <si>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</si>
  <si>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</si>
  <si>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</si>
  <si>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</si>
  <si>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</si>
  <si>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</si>
  <si>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</si>
  <si>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</si>
  <si>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</si>
  <si>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</si>
  <si>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</si>
  <si>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</si>
  <si>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</si>
  <si>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</si>
  <si>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</si>
  <si>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</si>
  <si>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</si>
  <si>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</si>
  <si>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</si>
  <si>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</si>
  <si>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</si>
  <si>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</si>
  <si>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</si>
  <si>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</si>
  <si>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</si>
  <si>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</si>
  <si>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</si>
  <si>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</si>
  <si>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</si>
  <si>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</si>
  <si>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</si>
  <si>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</si>
  <si>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</si>
  <si>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</si>
  <si>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</si>
  <si>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</si>
  <si>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</si>
  <si>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</si>
  <si>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</si>
  <si>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</si>
  <si>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(MENSALISTA)                                                                                                                                                                                                                                                                                                                                                                                                                                                                           </t>
  </si>
  <si>
    <t xml:space="preserve">DESENHISTA DETALHISTA (MENSALISTA)                                                                                                                                                                                                                                                                                                                                                                                                                                                                        </t>
  </si>
  <si>
    <t xml:space="preserve">DESENHISTA PROJETISTA (MENSALISTA)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</si>
  <si>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</si>
  <si>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</si>
  <si>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</si>
  <si>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</si>
  <si>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</si>
  <si>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CORTE DIAMANTADO SEGMENTADO PARA CONCRETO, DIAMETRO DE 110 MM, FURO DE 20 MM                                                                                                                                                                                                                                                                                                                                                                                                                     </t>
  </si>
  <si>
    <t xml:space="preserve">DISCO DE CORTE DIAMANTADO SEGMENTADO PARA CONCRETO, DIAMETRO DE 350 MM, FURO DE 1 " (14 X 1 ")                                                                                                                                                                                                                                                                                                                                                                                                            </t>
  </si>
  <si>
    <t xml:space="preserve">DISJUNTOR  TERMOMAGNETICO TRIPOLAR 3 X 400 A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</si>
  <si>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</si>
  <si>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</si>
  <si>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</si>
  <si>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</si>
  <si>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</si>
  <si>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</si>
  <si>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</si>
  <si>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</si>
  <si>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</si>
  <si>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</si>
  <si>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</si>
  <si>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</si>
  <si>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</si>
  <si>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</si>
  <si>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</si>
  <si>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</si>
  <si>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</si>
  <si>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</si>
  <si>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</si>
  <si>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</si>
  <si>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</si>
  <si>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</si>
  <si>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</si>
  <si>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</si>
  <si>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</si>
  <si>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</si>
  <si>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</si>
  <si>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</si>
  <si>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</si>
  <si>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</si>
  <si>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</si>
  <si>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</si>
  <si>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</si>
  <si>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</si>
  <si>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</si>
  <si>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</si>
  <si>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</si>
  <si>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</si>
  <si>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</si>
  <si>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</si>
  <si>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</si>
  <si>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</si>
  <si>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</si>
  <si>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</si>
  <si>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</si>
  <si>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</si>
  <si>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</si>
  <si>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</si>
  <si>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</si>
  <si>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</si>
  <si>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</si>
  <si>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</si>
  <si>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</si>
  <si>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DIVISORIA EM MARMORE, COM DUAS FACES POLIDAS, BRANCO COMUM, E=  *3,0* CM                                                                                                                                                                                                                                                                                                                                                                                                                                  </t>
  </si>
  <si>
    <t xml:space="preserve">DIVISORIA, PLACA  PRE-MOLDADA EM GRANILITE, MARMORITE OU GRANITINA,  E = *3 CM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</si>
  <si>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</si>
  <si>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</si>
  <si>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</si>
  <si>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</si>
  <si>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</si>
  <si>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</si>
  <si>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</si>
  <si>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</si>
  <si>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</si>
  <si>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</si>
  <si>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</si>
  <si>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</si>
  <si>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</si>
  <si>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</si>
  <si>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</si>
  <si>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</si>
  <si>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</si>
  <si>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</si>
  <si>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</si>
  <si>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</si>
  <si>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</si>
  <si>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</si>
  <si>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(MENSALISTA)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</si>
  <si>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</si>
  <si>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</si>
  <si>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</si>
  <si>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</si>
  <si>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</si>
  <si>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</si>
  <si>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</si>
  <si>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</si>
  <si>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</si>
  <si>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</si>
  <si>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</si>
  <si>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</si>
  <si>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</si>
  <si>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</si>
  <si>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</si>
  <si>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</si>
  <si>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</si>
  <si>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</si>
  <si>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</si>
  <si>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</si>
  <si>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</si>
  <si>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</si>
  <si>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</si>
  <si>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</si>
  <si>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</si>
  <si>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</si>
  <si>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</si>
  <si>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</si>
  <si>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</si>
  <si>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</si>
  <si>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</si>
  <si>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</si>
  <si>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</si>
  <si>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</si>
  <si>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</si>
  <si>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</si>
  <si>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</si>
  <si>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</si>
  <si>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</si>
  <si>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</si>
  <si>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</si>
  <si>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</si>
  <si>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</si>
  <si>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</si>
  <si>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</si>
  <si>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</si>
  <si>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</si>
  <si>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</si>
  <si>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</si>
  <si>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</si>
  <si>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</si>
  <si>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</si>
  <si>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</si>
  <si>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</si>
  <si>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</si>
  <si>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</si>
  <si>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</si>
  <si>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(MENSALISTA)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</si>
  <si>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</si>
  <si>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</si>
  <si>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</si>
  <si>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</si>
  <si>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</si>
  <si>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</si>
  <si>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</si>
  <si>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</si>
  <si>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(MENSALISTA)                                                                                                                                                                                                                                                                                                                                                                                                                                                              </t>
  </si>
  <si>
    <t xml:space="preserve">ENGENHEIRO CIVIL DE OBRA PLENO (MENSALISTA)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</si>
  <si>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</si>
  <si>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</si>
  <si>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</si>
  <si>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</si>
  <si>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</si>
  <si>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</si>
  <si>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</si>
  <si>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</si>
  <si>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</si>
  <si>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</si>
  <si>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</si>
  <si>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</si>
  <si>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</si>
  <si>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</si>
  <si>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</si>
  <si>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</si>
  <si>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</si>
  <si>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</si>
  <si>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</si>
  <si>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</si>
  <si>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</si>
  <si>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</si>
  <si>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</si>
  <si>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</si>
  <si>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</si>
  <si>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</si>
  <si>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</si>
  <si>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</si>
  <si>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</si>
  <si>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</si>
  <si>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</si>
  <si>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</si>
  <si>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</si>
  <si>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</si>
  <si>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</si>
  <si>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</si>
  <si>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</si>
  <si>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</si>
  <si>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</si>
  <si>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</si>
  <si>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</si>
  <si>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</si>
  <si>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</si>
  <si>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</si>
  <si>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</si>
  <si>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</si>
  <si>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</si>
  <si>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</si>
  <si>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</si>
  <si>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</si>
  <si>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</si>
  <si>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</si>
  <si>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</si>
  <si>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</si>
  <si>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</si>
  <si>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</si>
  <si>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</si>
  <si>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</si>
  <si>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</si>
  <si>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</si>
  <si>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</si>
  <si>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</si>
  <si>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</si>
  <si>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</si>
  <si>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</si>
  <si>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</si>
  <si>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</si>
  <si>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</si>
  <si>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</si>
  <si>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</si>
  <si>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</si>
  <si>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</si>
  <si>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</si>
  <si>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</si>
  <si>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</si>
  <si>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</si>
  <si>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</si>
  <si>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</si>
  <si>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</si>
  <si>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</si>
  <si>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</si>
  <si>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</si>
  <si>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</si>
  <si>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</si>
  <si>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</si>
  <si>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</si>
  <si>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</si>
  <si>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</si>
  <si>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</si>
  <si>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</si>
  <si>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</si>
  <si>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</si>
  <si>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</si>
  <si>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</si>
  <si>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</si>
  <si>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</si>
  <si>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</si>
  <si>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</si>
  <si>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</si>
  <si>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</si>
  <si>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</si>
  <si>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</si>
  <si>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</si>
  <si>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</si>
  <si>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</si>
  <si>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</si>
  <si>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</si>
  <si>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</si>
  <si>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</si>
  <si>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</si>
  <si>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</si>
  <si>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</si>
  <si>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</si>
  <si>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</si>
  <si>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</si>
  <si>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</si>
  <si>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</si>
  <si>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</si>
  <si>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</si>
  <si>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</si>
  <si>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</si>
  <si>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</si>
  <si>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</si>
  <si>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</si>
  <si>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</si>
  <si>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</si>
  <si>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</si>
  <si>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</si>
  <si>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</si>
  <si>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</si>
  <si>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</si>
  <si>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</si>
  <si>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</si>
  <si>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</si>
  <si>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</si>
  <si>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</si>
  <si>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</si>
  <si>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</si>
  <si>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</si>
  <si>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</si>
  <si>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</si>
  <si>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</si>
  <si>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</si>
  <si>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</si>
  <si>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</si>
  <si>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</si>
  <si>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</si>
  <si>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</si>
  <si>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</si>
  <si>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</si>
  <si>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</si>
  <si>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</si>
  <si>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</si>
  <si>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</si>
  <si>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</si>
  <si>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</si>
  <si>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</si>
  <si>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</si>
  <si>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</si>
  <si>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</si>
  <si>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</si>
  <si>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</si>
  <si>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</si>
  <si>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</si>
  <si>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</si>
  <si>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</si>
  <si>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</si>
  <si>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</si>
  <si>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</si>
  <si>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</si>
  <si>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</si>
  <si>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</si>
  <si>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</si>
  <si>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</si>
  <si>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</si>
  <si>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</si>
  <si>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</si>
  <si>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</si>
  <si>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</si>
  <si>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</si>
  <si>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</si>
  <si>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</si>
  <si>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</si>
  <si>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</si>
  <si>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</si>
  <si>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</si>
  <si>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</si>
  <si>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</si>
  <si>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</si>
  <si>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</si>
  <si>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</si>
  <si>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</si>
  <si>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</si>
  <si>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</si>
  <si>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</si>
  <si>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</si>
  <si>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</si>
  <si>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</si>
  <si>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</si>
  <si>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</si>
  <si>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</si>
  <si>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</si>
  <si>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</si>
  <si>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</si>
  <si>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</si>
  <si>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</si>
  <si>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</si>
  <si>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</si>
  <si>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</si>
  <si>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</si>
  <si>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</si>
  <si>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</si>
  <si>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</si>
  <si>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</si>
  <si>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</si>
  <si>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</si>
  <si>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</si>
  <si>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</si>
  <si>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</si>
  <si>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</si>
  <si>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</si>
  <si>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</si>
  <si>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</si>
  <si>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</si>
  <si>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</si>
  <si>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</si>
  <si>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</si>
  <si>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</si>
  <si>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</si>
  <si>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</si>
  <si>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</si>
  <si>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</si>
  <si>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</si>
  <si>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</si>
  <si>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</si>
  <si>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</si>
  <si>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</si>
  <si>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</si>
  <si>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</si>
  <si>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</si>
  <si>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</si>
  <si>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</si>
  <si>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</si>
  <si>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</si>
  <si>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</si>
  <si>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</si>
  <si>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</si>
  <si>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</si>
  <si>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</si>
  <si>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</si>
  <si>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</si>
  <si>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</si>
  <si>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</si>
  <si>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</si>
  <si>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</si>
  <si>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</si>
  <si>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</si>
  <si>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</si>
  <si>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</si>
  <si>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</si>
  <si>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</si>
  <si>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</si>
  <si>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</si>
  <si>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</si>
  <si>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</si>
  <si>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</si>
  <si>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</si>
  <si>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</si>
  <si>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</si>
  <si>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</si>
  <si>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</si>
  <si>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</si>
  <si>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</si>
  <si>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</si>
  <si>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</si>
  <si>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</si>
  <si>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</si>
  <si>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</si>
  <si>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</si>
  <si>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</si>
  <si>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</si>
  <si>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</si>
  <si>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</si>
  <si>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</si>
  <si>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</si>
  <si>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</si>
  <si>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</si>
  <si>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</si>
  <si>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</si>
  <si>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</si>
  <si>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</si>
  <si>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</si>
  <si>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</si>
  <si>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</si>
  <si>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</si>
  <si>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</si>
  <si>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</si>
  <si>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</si>
  <si>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</si>
  <si>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</si>
  <si>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</si>
  <si>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</si>
  <si>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</si>
  <si>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</si>
  <si>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</si>
  <si>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</si>
  <si>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</si>
  <si>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</si>
  <si>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</si>
  <si>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</si>
  <si>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</si>
  <si>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</si>
  <si>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</si>
  <si>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</si>
  <si>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</si>
  <si>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MOTOR DIESEL POTENCIA 170 KVA                                                                                                                                                                                                                                                                                                                                                                                                                                                 </t>
  </si>
  <si>
    <t xml:space="preserve">GRUPO GERADOR ESTACIONARIO, POTENCIA 150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</si>
  <si>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</si>
  <si>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</si>
  <si>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</si>
  <si>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</si>
  <si>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</si>
  <si>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</si>
  <si>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</si>
  <si>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</si>
  <si>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</si>
  <si>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</si>
  <si>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</si>
  <si>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</si>
  <si>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</si>
  <si>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</si>
  <si>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</si>
  <si>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</si>
  <si>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</si>
  <si>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</si>
  <si>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</si>
  <si>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</si>
  <si>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</si>
  <si>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</si>
  <si>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</si>
  <si>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</si>
  <si>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</si>
  <si>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</si>
  <si>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</si>
  <si>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</si>
  <si>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</si>
  <si>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</si>
  <si>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</si>
  <si>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</si>
  <si>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</si>
  <si>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</si>
  <si>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</si>
  <si>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</si>
  <si>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</si>
  <si>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</si>
  <si>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</si>
  <si>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</si>
  <si>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</si>
  <si>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(MENSALISTA)                                                                                                                                                                                                                                                                                                                                                                                                                                                                            </t>
  </si>
  <si>
    <t xml:space="preserve">IMPERMEABILIZANTE FLEXIVEL BRANCO DE BASE ACRILICA PARA COBERTURAS                                                                                                                                                                                                                                                                                                                                                                                                                                        </t>
  </si>
  <si>
    <t xml:space="preserve">IMUNIZANTE PARA MADEIRA, INCOLOR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</si>
  <si>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</si>
  <si>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</si>
  <si>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</si>
  <si>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</si>
  <si>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</si>
  <si>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</si>
  <si>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</si>
  <si>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</si>
  <si>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</si>
  <si>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</si>
  <si>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</si>
  <si>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</si>
  <si>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</si>
  <si>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</si>
  <si>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</si>
  <si>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</si>
  <si>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</si>
  <si>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</si>
  <si>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</si>
  <si>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</si>
  <si>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</si>
  <si>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</si>
  <si>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</si>
  <si>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</si>
  <si>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</si>
  <si>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</si>
  <si>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</si>
  <si>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</si>
  <si>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</si>
  <si>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</si>
  <si>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</si>
  <si>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</si>
  <si>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</si>
  <si>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</si>
  <si>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</si>
  <si>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</si>
  <si>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</si>
  <si>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</si>
  <si>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</si>
  <si>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</si>
  <si>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</si>
  <si>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</si>
  <si>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</si>
  <si>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</si>
  <si>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</si>
  <si>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</si>
  <si>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</si>
  <si>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</si>
  <si>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</si>
  <si>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</si>
  <si>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</si>
  <si>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</si>
  <si>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</si>
  <si>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</si>
  <si>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</si>
  <si>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</si>
  <si>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</si>
  <si>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</si>
  <si>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</si>
  <si>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</si>
  <si>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</si>
  <si>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PVC COM VISITA, 90 GRAUS, DN 100 X 50 MM, SERIE NORMAL, PARA ESGOTO PREDIAL                                                                                                                                                                                                                                                                                                                                                                                                                        </t>
  </si>
  <si>
    <t xml:space="preserve">JOELHO PVC, COM BOLSA E ANEL, 90 GRAUS, DN 40 X *38* MM, SERIE NORMAL, PARA ESGOTO PREDIAL                                                                                                                                                                                                                                                                                                                                                                                                                </t>
  </si>
  <si>
    <t xml:space="preserve">JOELHO PVC, SOLDAVEL, BB, 45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</si>
  <si>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</si>
  <si>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</si>
  <si>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</si>
  <si>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</si>
  <si>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</si>
  <si>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</si>
  <si>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</si>
  <si>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</si>
  <si>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</si>
  <si>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</si>
  <si>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</si>
  <si>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</si>
  <si>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</si>
  <si>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</si>
  <si>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</si>
  <si>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</si>
  <si>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</si>
  <si>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</si>
  <si>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</si>
  <si>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SOLDAVEL, DN 100 X 100 X 100 MM , SERIE NORMAL PARA ESGOTO PREDIAL                                                                                                                                                                                                                                                                                                                                                                                                                      </t>
  </si>
  <si>
    <t xml:space="preserve">JUNCAO INVERTIDA, PVC SOLDAVEL,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</si>
  <si>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</si>
  <si>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</si>
  <si>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</si>
  <si>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</si>
  <si>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</si>
  <si>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</si>
  <si>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</si>
  <si>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</si>
  <si>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</si>
  <si>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</si>
  <si>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</si>
  <si>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</si>
  <si>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</si>
  <si>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</si>
  <si>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</si>
  <si>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</si>
  <si>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</si>
  <si>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</si>
  <si>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</si>
  <si>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</si>
  <si>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</si>
  <si>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</si>
  <si>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</si>
  <si>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</si>
  <si>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</si>
  <si>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</si>
  <si>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</si>
  <si>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</si>
  <si>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</si>
  <si>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</si>
  <si>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</si>
  <si>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</si>
  <si>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</si>
  <si>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</si>
  <si>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</si>
  <si>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</si>
  <si>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</si>
  <si>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</si>
  <si>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</si>
  <si>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</si>
  <si>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</si>
  <si>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</si>
  <si>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</si>
  <si>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</si>
  <si>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</si>
  <si>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</si>
  <si>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</si>
  <si>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</si>
  <si>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</si>
  <si>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</si>
  <si>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</si>
  <si>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</si>
  <si>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</si>
  <si>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</si>
  <si>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</si>
  <si>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</si>
  <si>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</si>
  <si>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</si>
  <si>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</si>
  <si>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</si>
  <si>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</si>
  <si>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</si>
  <si>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</si>
  <si>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</si>
  <si>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</si>
  <si>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</si>
  <si>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</si>
  <si>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</si>
  <si>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</si>
  <si>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</si>
  <si>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</si>
  <si>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</si>
  <si>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</si>
  <si>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</si>
  <si>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</si>
  <si>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</si>
  <si>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</si>
  <si>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</si>
  <si>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</si>
  <si>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</si>
  <si>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</si>
  <si>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</si>
  <si>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</si>
  <si>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</si>
  <si>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</si>
  <si>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</si>
  <si>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</si>
  <si>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</si>
  <si>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</si>
  <si>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</si>
  <si>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</si>
  <si>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</si>
  <si>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</si>
  <si>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</si>
  <si>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</si>
  <si>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</si>
  <si>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</si>
  <si>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</si>
  <si>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</si>
  <si>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</si>
  <si>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</si>
  <si>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</si>
  <si>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</si>
  <si>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</si>
  <si>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</si>
  <si>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</si>
  <si>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</si>
  <si>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</si>
  <si>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</si>
  <si>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</si>
  <si>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</si>
  <si>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</si>
  <si>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</si>
  <si>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</si>
  <si>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</si>
  <si>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</si>
  <si>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</si>
  <si>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</si>
  <si>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</si>
  <si>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</si>
  <si>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</si>
  <si>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</si>
  <si>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</si>
  <si>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</si>
  <si>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</si>
  <si>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</si>
  <si>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</si>
  <si>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</si>
  <si>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</si>
  <si>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</si>
  <si>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</si>
  <si>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</si>
  <si>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</si>
  <si>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</si>
  <si>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</si>
  <si>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</si>
  <si>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</si>
  <si>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</si>
  <si>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</si>
  <si>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</si>
  <si>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</si>
  <si>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</si>
  <si>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</si>
  <si>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</si>
  <si>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</si>
  <si>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</si>
  <si>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</si>
  <si>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</si>
  <si>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</si>
  <si>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</si>
  <si>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</si>
  <si>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</si>
  <si>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</si>
  <si>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</si>
  <si>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</si>
  <si>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</si>
  <si>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</si>
  <si>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</si>
  <si>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</si>
  <si>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</si>
  <si>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</si>
  <si>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</si>
  <si>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</si>
  <si>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</si>
  <si>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</si>
  <si>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</si>
  <si>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</si>
  <si>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</si>
  <si>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</si>
  <si>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</si>
  <si>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</si>
  <si>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</si>
  <si>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</si>
  <si>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</si>
  <si>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</si>
  <si>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</si>
  <si>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</si>
  <si>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</si>
  <si>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</si>
  <si>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</si>
  <si>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</si>
  <si>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</si>
  <si>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</si>
  <si>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</si>
  <si>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</si>
  <si>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</si>
  <si>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</si>
  <si>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</si>
  <si>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</si>
  <si>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</si>
  <si>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</si>
  <si>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</si>
  <si>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</si>
  <si>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</si>
  <si>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</si>
  <si>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</si>
  <si>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</si>
  <si>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</si>
  <si>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</si>
  <si>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</si>
  <si>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</si>
  <si>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</si>
  <si>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</si>
  <si>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</si>
  <si>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</si>
  <si>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</si>
  <si>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</si>
  <si>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</si>
  <si>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</si>
  <si>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</si>
  <si>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</si>
  <si>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</si>
  <si>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</si>
  <si>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</si>
  <si>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</si>
  <si>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</si>
  <si>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</si>
  <si>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</si>
  <si>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</si>
  <si>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</si>
  <si>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</si>
  <si>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</si>
  <si>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</si>
  <si>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</si>
  <si>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</si>
  <si>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</si>
  <si>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</si>
  <si>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</si>
  <si>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</si>
  <si>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</si>
  <si>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</si>
  <si>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</si>
  <si>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</si>
  <si>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</si>
  <si>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</si>
  <si>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</si>
  <si>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</si>
  <si>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</si>
  <si>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</si>
  <si>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</si>
  <si>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</si>
  <si>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</si>
  <si>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</si>
  <si>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</si>
  <si>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</si>
  <si>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</si>
  <si>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</si>
  <si>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</si>
  <si>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</si>
  <si>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</si>
  <si>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</si>
  <si>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</si>
  <si>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</si>
  <si>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</si>
  <si>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</si>
  <si>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</si>
  <si>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</si>
  <si>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</si>
  <si>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</si>
  <si>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</si>
  <si>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</si>
  <si>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</si>
  <si>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</si>
  <si>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</si>
  <si>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</si>
  <si>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</si>
  <si>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</si>
  <si>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</si>
  <si>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</si>
  <si>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</si>
  <si>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</si>
  <si>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</si>
  <si>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</si>
  <si>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</si>
  <si>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</si>
  <si>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</si>
  <si>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</si>
  <si>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</si>
  <si>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</si>
  <si>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</si>
  <si>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</si>
  <si>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</si>
  <si>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</si>
  <si>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</si>
  <si>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</si>
  <si>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</si>
  <si>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</si>
  <si>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</si>
  <si>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</si>
  <si>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</si>
  <si>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</si>
  <si>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</si>
  <si>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</si>
  <si>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</si>
  <si>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</si>
  <si>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</si>
  <si>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</si>
  <si>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</si>
  <si>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</si>
  <si>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</si>
  <si>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</si>
  <si>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</si>
  <si>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</si>
  <si>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RASPA DE COURO, CANO CURTO (PUNHO *7* CM)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</si>
  <si>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</si>
  <si>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</si>
  <si>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</si>
  <si>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</si>
  <si>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</si>
  <si>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</si>
  <si>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</si>
  <si>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</si>
  <si>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</si>
  <si>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</si>
  <si>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</si>
  <si>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</si>
  <si>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</si>
  <si>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</si>
  <si>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</si>
  <si>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</si>
  <si>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</si>
  <si>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</si>
  <si>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</si>
  <si>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</si>
  <si>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</si>
  <si>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</si>
  <si>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</si>
  <si>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</si>
  <si>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</si>
  <si>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</si>
  <si>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</si>
  <si>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</si>
  <si>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</si>
  <si>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</si>
  <si>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</si>
  <si>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</si>
  <si>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</si>
  <si>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</si>
  <si>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</si>
  <si>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</si>
  <si>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</si>
  <si>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</si>
  <si>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</si>
  <si>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</si>
  <si>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</si>
  <si>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</si>
  <si>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</si>
  <si>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</si>
  <si>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</si>
  <si>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</si>
  <si>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</si>
  <si>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</si>
  <si>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</si>
  <si>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</si>
  <si>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</si>
  <si>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</si>
  <si>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</si>
  <si>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</si>
  <si>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</si>
  <si>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</si>
  <si>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</si>
  <si>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</si>
  <si>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</si>
  <si>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</si>
  <si>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</si>
  <si>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</si>
  <si>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</si>
  <si>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</si>
  <si>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</si>
  <si>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</si>
  <si>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</si>
  <si>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</si>
  <si>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</si>
  <si>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</si>
  <si>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</si>
  <si>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</si>
  <si>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</si>
  <si>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</si>
  <si>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</si>
  <si>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</si>
  <si>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</si>
  <si>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</si>
  <si>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</si>
  <si>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</si>
  <si>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</si>
  <si>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</si>
  <si>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</si>
  <si>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</si>
  <si>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</si>
  <si>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TRANSFORMADORA MONOFASICA PARA SOLDA ELETRICA, TENSAO DE 220 V, FREQUENCIA DE 60 HZ, FAIXA DE CORRENTE ENTRE 80 A (+/- 10 A) E 250 A, POTENCIA ENTRE 14,00 KVA E 15,0 KVA, CICLO DE TRABALHO ENTRE 10% E 20% A 250 A                                                                                                                                                                                                                                                                              </t>
  </si>
  <si>
    <t xml:space="preserve">MARCENEIRO (MENSALISTA)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</si>
  <si>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</si>
  <si>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</si>
  <si>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</si>
  <si>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</si>
  <si>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</si>
  <si>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</si>
  <si>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</si>
  <si>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</si>
  <si>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</si>
  <si>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</si>
  <si>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</si>
  <si>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</si>
  <si>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</si>
  <si>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</si>
  <si>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</si>
  <si>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VIDRO                                                                                                                                                                                                                                                                                                                                                                                                                                                                                          </t>
  </si>
  <si>
    <t xml:space="preserve">MASSA PLASTICA PARA MARMORE/GRANITO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</si>
  <si>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</si>
  <si>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</si>
  <si>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</si>
  <si>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</si>
  <si>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</si>
  <si>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</si>
  <si>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</si>
  <si>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</si>
  <si>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</si>
  <si>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(MENSALISTA)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</si>
  <si>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</si>
  <si>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</si>
  <si>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</si>
  <si>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</si>
  <si>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</si>
  <si>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</si>
  <si>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</si>
  <si>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</si>
  <si>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</si>
  <si>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</si>
  <si>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</si>
  <si>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</si>
  <si>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</si>
  <si>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</si>
  <si>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</si>
  <si>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</si>
  <si>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</si>
  <si>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</si>
  <si>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</si>
  <si>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</si>
  <si>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</si>
  <si>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</si>
  <si>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</si>
  <si>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</si>
  <si>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</si>
  <si>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</si>
  <si>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</si>
  <si>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</si>
  <si>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</si>
  <si>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</si>
  <si>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</si>
  <si>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</si>
  <si>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(MENSALISTA)                                                                                                                                                                                                                                                                                                                                                                                                                                                                              </t>
  </si>
  <si>
    <t xml:space="preserve">METACAULIM DE ALTA REATIVIDADE/CAULIM CALCINADO                                                                                                                                                                                                                                                                                                                                                                                                                                                           </t>
  </si>
  <si>
    <t xml:space="preserve">MICRO-TRATOR CORTADOR DE GRAMA COM LARGURA DO CORTE DE 107 CM, COM  2 LAMINAS E DESCARTE LATERAL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</si>
  <si>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</si>
  <si>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</si>
  <si>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</si>
  <si>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</si>
  <si>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</si>
  <si>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</si>
  <si>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</si>
  <si>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</si>
  <si>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</si>
  <si>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</si>
  <si>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</si>
  <si>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</si>
  <si>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</si>
  <si>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</si>
  <si>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</si>
  <si>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</si>
  <si>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</si>
  <si>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</si>
  <si>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</si>
  <si>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</si>
  <si>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</si>
  <si>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</si>
  <si>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</si>
  <si>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</si>
  <si>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</si>
  <si>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</si>
  <si>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</si>
  <si>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(MENSALISTA)                                                                                                                                                                                                                                                                                                                                                                                                                                                                </t>
  </si>
  <si>
    <t xml:space="preserve">MONTADOR DE ESTRUTURAS METALICAS (MENSALISTA)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</si>
  <si>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</si>
  <si>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</si>
  <si>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</si>
  <si>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</si>
  <si>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</si>
  <si>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</si>
  <si>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</si>
  <si>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</si>
  <si>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</si>
  <si>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</si>
  <si>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</si>
  <si>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</si>
  <si>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</si>
  <si>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(MENSALISTA)                                                                                                                                                                                                                                                                                                                                                                                                                                                                        </t>
  </si>
  <si>
    <t xml:space="preserve">MOTORISTA DE CAMINHAO-BASCULANTE (MENSALISTA)                                                                                                                                                                                                                                                                                                                                                                                                                                                             </t>
  </si>
  <si>
    <t xml:space="preserve">MOTORISTA DE CAMINHAO-CARRETA (MENSALISTA)                                                                                                                                                                                                                                                                                                                                                                                                                                                                </t>
  </si>
  <si>
    <t xml:space="preserve">MOTORISTA DE CARRO DE PASSEIO (MENSALISTA)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</si>
  <si>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</si>
  <si>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</si>
  <si>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</si>
  <si>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</si>
  <si>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</si>
  <si>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</si>
  <si>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</si>
  <si>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</si>
  <si>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</si>
  <si>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</si>
  <si>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</si>
  <si>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</si>
  <si>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</si>
  <si>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</si>
  <si>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</si>
  <si>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</si>
  <si>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</si>
  <si>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</si>
  <si>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</si>
  <si>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</si>
  <si>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</si>
  <si>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</si>
  <si>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</si>
  <si>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</si>
  <si>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</si>
  <si>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</si>
  <si>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</si>
  <si>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</si>
  <si>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</si>
  <si>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</si>
  <si>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</si>
  <si>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</si>
  <si>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</si>
  <si>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</si>
  <si>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</si>
  <si>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</si>
  <si>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</si>
  <si>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</si>
  <si>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</si>
  <si>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</si>
  <si>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</si>
  <si>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</si>
  <si>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</si>
  <si>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</si>
  <si>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</si>
  <si>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</si>
  <si>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</si>
  <si>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</si>
  <si>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</si>
  <si>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</si>
  <si>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</si>
  <si>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</si>
  <si>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</si>
  <si>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</si>
  <si>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</si>
  <si>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</si>
  <si>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</si>
  <si>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</si>
  <si>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OLHO MAGICO PARA PORTAS, EM LATAO, COM LENTE DE POLICARBONATO, ANGULO DE *200* GRAUS, ESPESSURA ENTRE *25 E 46* MM, INCLUINDO FECHO JANELA                                                                                                                                                                                                                                                                                                                                                                </t>
  </si>
  <si>
    <t xml:space="preserve">OPERADOR DE BATE-ESTACAS (MENSALISTA)                                                                                                                                                                                                                                                                                                                                                                                                                                                                     </t>
  </si>
  <si>
    <t xml:space="preserve">OPERADOR DE BETONEIRA (CAMINHAO) (MENSALISTA)                                                                                                                                                                                                                                                                                                                                                                                                                                                             </t>
  </si>
  <si>
    <t xml:space="preserve">OPERADOR DE BETONEIRA ESTACIONARIA / MISTURADOR (MENSALISTA)                                                                                                                                                                                                                                                                                                                                                                                                                                              </t>
  </si>
  <si>
    <t xml:space="preserve">OPERADOR DE COMPRESSOR DE AR OU COMPRESSORISTA (MENSALISTA)                                                                                                                                                                                                                                                                                                                                                                                                                                               </t>
  </si>
  <si>
    <t xml:space="preserve">OPERADOR DE DEMARCADORA DE FAIXAS DE TRAFEGO (MENSALISTA)                                                                                                                                                                                                                                                                                                                                                                                                                                                 </t>
  </si>
  <si>
    <t xml:space="preserve">OPERADOR DE ESCAVADEIRA (MENSALISTA)                                                                                                                                                                                                                                                                                                                                                                                                                                                                      </t>
  </si>
  <si>
    <t xml:space="preserve">OPERADOR DE GUINCHO OU GUINCHEIRO (MENSALISTA)                                                                                                                                                                                                                                                                                                                                                                                                                                                            </t>
  </si>
  <si>
    <t xml:space="preserve">OPERADOR DE GUINDASTE (MENSALISTA)                                                                                                                                                                                                                                                                                                                                                                                                                                                                        </t>
  </si>
  <si>
    <t xml:space="preserve">OPERADOR DE JATO ABRASIVO OU JATISTA (MENSALISTA)                                                                                                                                                                                                                                                                                                                                                                                                                                                         </t>
  </si>
  <si>
    <t xml:space="preserve">OPERADOR DE MARTELETE OU MARTELETEIRO (MENSALISTA)                                                                                                                                                                                                                                                                                                                                                                                                                                                        </t>
  </si>
  <si>
    <t xml:space="preserve">OPERADOR DE MOTO SCRAPER (MENSALISTA)                                                                                                                                                                                                                                                                                                                                                                                                                                                                     </t>
  </si>
  <si>
    <t xml:space="preserve">OPERADOR DE MOTONIVELADORA (MENSALISTA)                                                                                                                                                                                                                                                                                                                                                                                                                                                                   </t>
  </si>
  <si>
    <t xml:space="preserve">OPERADOR DE PA CARREGADEIRA (MENSALISTA)                                                                                                                                                                                                                                                                                                                                                                                                                                                                  </t>
  </si>
  <si>
    <t xml:space="preserve">OPERADOR DE PAVIMENTADORA / MESA VIBROACABADORA (MENSALISTA)                                                                                                                                                                                                                                                                                                                                                                                                                                              </t>
  </si>
  <si>
    <t xml:space="preserve">OPERADOR DE ROLO COMPACTADOR (MENSALISTA)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</si>
  <si>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</si>
  <si>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</si>
  <si>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</si>
  <si>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</si>
  <si>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</si>
  <si>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</si>
  <si>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</si>
  <si>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</si>
  <si>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</si>
  <si>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</si>
  <si>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</si>
  <si>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</si>
  <si>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</si>
  <si>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</si>
  <si>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</si>
  <si>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</si>
  <si>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</si>
  <si>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</si>
  <si>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</si>
  <si>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</si>
  <si>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</si>
  <si>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</si>
  <si>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</si>
  <si>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</si>
  <si>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</si>
  <si>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</si>
  <si>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</si>
  <si>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</si>
  <si>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</si>
  <si>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</si>
  <si>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</si>
  <si>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</si>
  <si>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</si>
  <si>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</si>
  <si>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</si>
  <si>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</si>
  <si>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</si>
  <si>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</si>
  <si>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</si>
  <si>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</si>
  <si>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</si>
  <si>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</si>
  <si>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</si>
  <si>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</si>
  <si>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</si>
  <si>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</si>
  <si>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</si>
  <si>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</si>
  <si>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</si>
  <si>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</si>
  <si>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</si>
  <si>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</si>
  <si>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</si>
  <si>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</si>
  <si>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</si>
  <si>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</si>
  <si>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</si>
  <si>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</si>
  <si>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</si>
  <si>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</si>
  <si>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</si>
  <si>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</si>
  <si>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</si>
  <si>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</si>
  <si>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</si>
  <si>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</si>
  <si>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</si>
  <si>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</si>
  <si>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</si>
  <si>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</si>
  <si>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</si>
  <si>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</si>
  <si>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</si>
  <si>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</si>
  <si>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</si>
  <si>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</si>
  <si>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</si>
  <si>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</si>
  <si>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</si>
  <si>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</si>
  <si>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</si>
  <si>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</si>
  <si>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</si>
  <si>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</si>
  <si>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</si>
  <si>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</si>
  <si>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</si>
  <si>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</si>
  <si>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</si>
  <si>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</si>
  <si>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</si>
  <si>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</si>
  <si>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</si>
  <si>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</si>
  <si>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</si>
  <si>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</si>
  <si>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</si>
  <si>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</si>
  <si>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</si>
  <si>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</si>
  <si>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(MENSALISTA)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</si>
  <si>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</si>
  <si>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</si>
  <si>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</si>
  <si>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</si>
  <si>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</si>
  <si>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</si>
  <si>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</si>
  <si>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</si>
  <si>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</si>
  <si>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</si>
  <si>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</si>
  <si>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</si>
  <si>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</si>
  <si>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</si>
  <si>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</si>
  <si>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</si>
  <si>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</si>
  <si>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</si>
  <si>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</si>
  <si>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</si>
  <si>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</si>
  <si>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</si>
  <si>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</si>
  <si>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</si>
  <si>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</si>
  <si>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</si>
  <si>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</si>
  <si>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</si>
  <si>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</si>
  <si>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</si>
  <si>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</si>
  <si>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</si>
  <si>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</si>
  <si>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</si>
  <si>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</si>
  <si>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</si>
  <si>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</si>
  <si>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</si>
  <si>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</si>
  <si>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</si>
  <si>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</si>
  <si>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</si>
  <si>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</si>
  <si>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</si>
  <si>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</si>
  <si>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</si>
  <si>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</si>
  <si>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</si>
  <si>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</si>
  <si>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</si>
  <si>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</si>
  <si>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</si>
  <si>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</si>
  <si>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</si>
  <si>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</si>
  <si>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</si>
  <si>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</si>
  <si>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</si>
  <si>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</si>
  <si>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</si>
  <si>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</si>
  <si>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</si>
  <si>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</si>
  <si>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</si>
  <si>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</si>
  <si>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</si>
  <si>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</si>
  <si>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</si>
  <si>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</si>
  <si>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</si>
  <si>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</si>
  <si>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</si>
  <si>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</si>
  <si>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</si>
  <si>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</si>
  <si>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</si>
  <si>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</si>
  <si>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</si>
  <si>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</si>
  <si>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</si>
  <si>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</si>
  <si>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</si>
  <si>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</si>
  <si>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</si>
  <si>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</si>
  <si>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(MENSALISTA)                                                                                                                                                                                                                                                                                                                                                                                                                                                                                       </t>
  </si>
  <si>
    <t xml:space="preserve">PINTOR DE LETREIROS (MENSALISTA)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</si>
  <si>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</si>
  <si>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</si>
  <si>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</si>
  <si>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</si>
  <si>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</si>
  <si>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</si>
  <si>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</si>
  <si>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</si>
  <si>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</si>
  <si>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</si>
  <si>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</si>
  <si>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</si>
  <si>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</si>
  <si>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</si>
  <si>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</si>
  <si>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</si>
  <si>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</si>
  <si>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</si>
  <si>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</si>
  <si>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</si>
  <si>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</si>
  <si>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</si>
  <si>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</si>
  <si>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</si>
  <si>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</si>
  <si>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</si>
  <si>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</si>
  <si>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</si>
  <si>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</si>
  <si>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</si>
  <si>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</si>
  <si>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</si>
  <si>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</si>
  <si>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</si>
  <si>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</si>
  <si>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</si>
  <si>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</si>
  <si>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</si>
  <si>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</si>
  <si>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</si>
  <si>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</si>
  <si>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</si>
  <si>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</si>
  <si>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</si>
  <si>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</si>
  <si>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</si>
  <si>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</si>
  <si>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</si>
  <si>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</si>
  <si>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</si>
  <si>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</si>
  <si>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</si>
  <si>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</si>
  <si>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</si>
  <si>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</si>
  <si>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</si>
  <si>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</si>
  <si>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</si>
  <si>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</si>
  <si>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</si>
  <si>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</si>
  <si>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</si>
  <si>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</si>
  <si>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</si>
  <si>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</si>
  <si>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</si>
  <si>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</si>
  <si>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PO DE MARMORE (POSTO PEDREIRA/FORNECEDOR, SEM FRETE)                                                                                                                                                                                                                                                                                                                                                                                                                                                      </t>
  </si>
  <si>
    <t xml:space="preserve">PO DE PEDRA (POSTO PEDREIRA/FORNECEDOR, SEM FRETE)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</si>
  <si>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</si>
  <si>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</si>
  <si>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</si>
  <si>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</si>
  <si>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</si>
  <si>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</si>
  <si>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</si>
  <si>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</si>
  <si>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</si>
  <si>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</si>
  <si>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</si>
  <si>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</si>
  <si>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</si>
  <si>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</si>
  <si>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</si>
  <si>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</si>
  <si>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</si>
  <si>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</si>
  <si>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</si>
  <si>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</si>
  <si>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</si>
  <si>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</si>
  <si>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</si>
  <si>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</si>
  <si>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</si>
  <si>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</si>
  <si>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</si>
  <si>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</si>
  <si>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</si>
  <si>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</si>
  <si>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</si>
  <si>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</si>
  <si>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</si>
  <si>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</si>
  <si>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</si>
  <si>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</si>
  <si>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</si>
  <si>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</si>
  <si>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</si>
  <si>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</si>
  <si>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</si>
  <si>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</si>
  <si>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</si>
  <si>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</si>
  <si>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</si>
  <si>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</si>
  <si>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</si>
  <si>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</si>
  <si>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</si>
  <si>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</si>
  <si>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</si>
  <si>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</si>
  <si>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</si>
  <si>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</si>
  <si>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</si>
  <si>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</si>
  <si>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</si>
  <si>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</si>
  <si>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</si>
  <si>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</si>
  <si>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</si>
  <si>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</si>
  <si>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</si>
  <si>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</si>
  <si>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</si>
  <si>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</si>
  <si>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</si>
  <si>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</si>
  <si>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</si>
  <si>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</si>
  <si>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</si>
  <si>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</si>
  <si>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</si>
  <si>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</si>
  <si>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</si>
  <si>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</si>
  <si>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</si>
  <si>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</si>
  <si>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</si>
  <si>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</si>
  <si>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</si>
  <si>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</si>
  <si>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</si>
  <si>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</si>
  <si>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</si>
  <si>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</si>
  <si>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</si>
  <si>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</si>
  <si>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</si>
  <si>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</si>
  <si>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</si>
  <si>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</si>
  <si>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</si>
  <si>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</si>
  <si>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</si>
  <si>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</si>
  <si>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</si>
  <si>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</si>
  <si>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</si>
  <si>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</si>
  <si>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</si>
  <si>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</si>
  <si>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</si>
  <si>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</si>
  <si>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</si>
  <si>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</si>
  <si>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</si>
  <si>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</si>
  <si>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</si>
  <si>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</si>
  <si>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</si>
  <si>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</si>
  <si>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</si>
  <si>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</si>
  <si>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</si>
  <si>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</si>
  <si>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</si>
  <si>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</si>
  <si>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</si>
  <si>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</si>
  <si>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</si>
  <si>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</si>
  <si>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</si>
  <si>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</si>
  <si>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</si>
  <si>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</si>
  <si>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</si>
  <si>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</si>
  <si>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</si>
  <si>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</si>
  <si>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</si>
  <si>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</si>
  <si>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</si>
  <si>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</si>
  <si>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</si>
  <si>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</si>
  <si>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</si>
  <si>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</si>
  <si>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</si>
  <si>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</si>
  <si>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</si>
  <si>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</si>
  <si>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</si>
  <si>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</si>
  <si>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</si>
  <si>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</si>
  <si>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</si>
  <si>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</si>
  <si>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</si>
  <si>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</si>
  <si>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</si>
  <si>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</si>
  <si>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</si>
  <si>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</si>
  <si>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</si>
  <si>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</si>
  <si>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</si>
  <si>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</si>
  <si>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</si>
  <si>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</si>
  <si>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</si>
  <si>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</si>
  <si>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</si>
  <si>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</si>
  <si>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</si>
  <si>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</si>
  <si>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</si>
  <si>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</si>
  <si>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</si>
  <si>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</si>
  <si>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</si>
  <si>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</si>
  <si>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</si>
  <si>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</si>
  <si>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</si>
  <si>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</si>
  <si>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</si>
  <si>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</si>
  <si>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</si>
  <si>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</si>
  <si>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REBOLO ABRASIVO RETO DE USO GERAL GRAO 36, DE 6 X 3/4 " (DIAMETRO X ALTURA)                                                                                                                                                                                                                                                                                                                                                                                                                               </t>
  </si>
  <si>
    <t xml:space="preserve">RECICLADORA DE ASFALTO A FRIO SOBRE RODAS, LARG. FRESAGEM 2,00 M, POT. 315 KW/422 HP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</si>
  <si>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</si>
  <si>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</si>
  <si>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</si>
  <si>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</si>
  <si>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</si>
  <si>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</si>
  <si>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</si>
  <si>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</si>
  <si>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</si>
  <si>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</si>
  <si>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</si>
  <si>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</si>
  <si>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</si>
  <si>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</si>
  <si>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</si>
  <si>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</si>
  <si>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</si>
  <si>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</si>
  <si>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</si>
  <si>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</si>
  <si>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</si>
  <si>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</si>
  <si>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</si>
  <si>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</si>
  <si>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</si>
  <si>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</si>
  <si>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</si>
  <si>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</si>
  <si>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</si>
  <si>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</si>
  <si>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</si>
  <si>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</si>
  <si>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</si>
  <si>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</si>
  <si>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</si>
  <si>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</si>
  <si>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</si>
  <si>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</si>
  <si>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</si>
  <si>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</si>
  <si>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</si>
  <si>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</si>
  <si>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</si>
  <si>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</si>
  <si>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</si>
  <si>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</si>
  <si>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</si>
  <si>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</si>
  <si>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</si>
  <si>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</si>
  <si>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</si>
  <si>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</si>
  <si>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</si>
  <si>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</si>
  <si>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</si>
  <si>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</si>
  <si>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</si>
  <si>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</si>
  <si>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</si>
  <si>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</si>
  <si>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</si>
  <si>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</si>
  <si>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</si>
  <si>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</si>
  <si>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</si>
  <si>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</si>
  <si>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</si>
  <si>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</si>
  <si>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</si>
  <si>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</si>
  <si>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</si>
  <si>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</si>
  <si>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</si>
  <si>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</si>
  <si>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</si>
  <si>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</si>
  <si>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</si>
  <si>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</si>
  <si>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</si>
  <si>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</si>
  <si>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</si>
  <si>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</si>
  <si>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</si>
  <si>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</si>
  <si>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</si>
  <si>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</si>
  <si>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</si>
  <si>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</si>
  <si>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</si>
  <si>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</si>
  <si>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</si>
  <si>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</si>
  <si>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</si>
  <si>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</si>
  <si>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</si>
  <si>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</si>
  <si>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</si>
  <si>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</si>
  <si>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</si>
  <si>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</si>
  <si>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</si>
  <si>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</si>
  <si>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</si>
  <si>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</si>
  <si>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</si>
  <si>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</si>
  <si>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</si>
  <si>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</si>
  <si>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</si>
  <si>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</si>
  <si>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</si>
  <si>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</si>
  <si>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</si>
  <si>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</si>
  <si>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</si>
  <si>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</si>
  <si>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</si>
  <si>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</si>
  <si>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</si>
  <si>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</si>
  <si>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</si>
  <si>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</si>
  <si>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</si>
  <si>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</si>
  <si>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</si>
  <si>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</si>
  <si>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</si>
  <si>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</si>
  <si>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</si>
  <si>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</si>
  <si>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</si>
  <si>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</si>
  <si>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(MENSALISTA)                                                                                                                                                                                                                                                                                                                                                                                                                                                                                  </t>
  </si>
  <si>
    <t xml:space="preserve">SERVENTE DE OBRAS (MENSALISTA)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</si>
  <si>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</si>
  <si>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</si>
  <si>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</si>
  <si>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</si>
  <si>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</si>
  <si>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</si>
  <si>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</si>
  <si>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</si>
  <si>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</si>
  <si>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</si>
  <si>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</si>
  <si>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</si>
  <si>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</si>
  <si>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</si>
  <si>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</si>
  <si>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</si>
  <si>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(MENSALISTA)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</si>
  <si>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</si>
  <si>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</si>
  <si>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</si>
  <si>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</si>
  <si>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</si>
  <si>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</si>
  <si>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</si>
  <si>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</si>
  <si>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</si>
  <si>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</si>
  <si>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</si>
  <si>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</si>
  <si>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</si>
  <si>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</si>
  <si>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</si>
  <si>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</si>
  <si>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</si>
  <si>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</si>
  <si>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</si>
  <si>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</si>
  <si>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</si>
  <si>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</si>
  <si>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</si>
  <si>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</si>
  <si>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</si>
  <si>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</si>
  <si>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</si>
  <si>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</si>
  <si>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</si>
  <si>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</si>
  <si>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</si>
  <si>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</si>
  <si>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</si>
  <si>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</si>
  <si>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</si>
  <si>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</si>
  <si>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</si>
  <si>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</si>
  <si>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</si>
  <si>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</si>
  <si>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</si>
  <si>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</si>
  <si>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</si>
  <si>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</si>
  <si>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</si>
  <si>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</si>
  <si>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</si>
  <si>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</si>
  <si>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</si>
  <si>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</si>
  <si>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</si>
  <si>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</si>
  <si>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</si>
  <si>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</si>
  <si>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</si>
  <si>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</si>
  <si>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</si>
  <si>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</si>
  <si>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</si>
  <si>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</si>
  <si>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</si>
  <si>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</si>
  <si>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</si>
  <si>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</si>
  <si>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</si>
  <si>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</si>
  <si>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</si>
  <si>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</si>
  <si>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</si>
  <si>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</si>
  <si>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</si>
  <si>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</si>
  <si>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</si>
  <si>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</si>
  <si>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</si>
  <si>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</si>
  <si>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</si>
  <si>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</si>
  <si>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</si>
  <si>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(MENSALISTA)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</si>
  <si>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</si>
  <si>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</si>
  <si>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</si>
  <si>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</si>
  <si>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</si>
  <si>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</si>
  <si>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</si>
  <si>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</si>
  <si>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</si>
  <si>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</si>
  <si>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</si>
  <si>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</si>
  <si>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</si>
  <si>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</si>
  <si>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</si>
  <si>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</si>
  <si>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</si>
  <si>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</si>
  <si>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</si>
  <si>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</si>
  <si>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</si>
  <si>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</si>
  <si>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</si>
  <si>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</si>
  <si>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</si>
  <si>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</si>
  <si>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</si>
  <si>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</si>
  <si>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</si>
  <si>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</si>
  <si>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</si>
  <si>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</si>
  <si>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</si>
  <si>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</si>
  <si>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</si>
  <si>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</si>
  <si>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</si>
  <si>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</si>
  <si>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</si>
  <si>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</si>
  <si>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</si>
  <si>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</si>
  <si>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</si>
  <si>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</si>
  <si>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</si>
  <si>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</si>
  <si>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</si>
  <si>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</si>
  <si>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</si>
  <si>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</si>
  <si>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</si>
  <si>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</si>
  <si>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</si>
  <si>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</si>
  <si>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</si>
  <si>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</si>
  <si>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</si>
  <si>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</si>
  <si>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</si>
  <si>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</si>
  <si>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</si>
  <si>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</si>
  <si>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</si>
  <si>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</si>
  <si>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</si>
  <si>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</si>
  <si>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</si>
  <si>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</si>
  <si>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</si>
  <si>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</si>
  <si>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</si>
  <si>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</si>
  <si>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</si>
  <si>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</si>
  <si>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</si>
  <si>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</si>
  <si>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</si>
  <si>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</si>
  <si>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</si>
  <si>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</si>
  <si>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</si>
  <si>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</si>
  <si>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</si>
  <si>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</si>
  <si>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</si>
  <si>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</si>
  <si>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</si>
  <si>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</si>
  <si>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</si>
  <si>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</si>
  <si>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</si>
  <si>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</si>
  <si>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</si>
  <si>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</si>
  <si>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</si>
  <si>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</si>
  <si>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</si>
  <si>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</si>
  <si>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</si>
  <si>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</si>
  <si>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</si>
  <si>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</si>
  <si>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</si>
  <si>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</si>
  <si>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</si>
  <si>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</si>
  <si>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</si>
  <si>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</si>
  <si>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</si>
  <si>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</si>
  <si>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</si>
  <si>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</si>
  <si>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</si>
  <si>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</si>
  <si>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</si>
  <si>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</si>
  <si>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</si>
  <si>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</si>
  <si>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</si>
  <si>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</si>
  <si>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</si>
  <si>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</si>
  <si>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</si>
  <si>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</si>
  <si>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</si>
  <si>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</si>
  <si>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</si>
  <si>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</si>
  <si>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</si>
  <si>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</si>
  <si>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</si>
  <si>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</si>
  <si>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</si>
  <si>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</si>
  <si>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</si>
  <si>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</si>
  <si>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</si>
  <si>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</si>
  <si>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</si>
  <si>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TECNICO DE EDIFICACOES (MENSALISTA)                                                                                                                                                                                                                                                                                                                                                                                                                                                                       </t>
  </si>
  <si>
    <t xml:space="preserve">TECNICO EM LABORATORIO E CAMPO DE CONSTRUCAO CIVIL (MENSALISTA)                                                                                                                                                                                                                                                                                                                                                                                                                                           </t>
  </si>
  <si>
    <t xml:space="preserve">TECNICO EM SEGURANCA DO TRABALHO (MENSALISTA)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</si>
  <si>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</si>
  <si>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</si>
  <si>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</si>
  <si>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</si>
  <si>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</si>
  <si>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</si>
  <si>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</si>
  <si>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</si>
  <si>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</si>
  <si>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</si>
  <si>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</si>
  <si>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</si>
  <si>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</si>
  <si>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</si>
  <si>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</si>
  <si>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</si>
  <si>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</si>
  <si>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</si>
  <si>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</si>
  <si>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</si>
  <si>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</si>
  <si>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</si>
  <si>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</si>
  <si>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</si>
  <si>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</si>
  <si>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</si>
  <si>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</si>
  <si>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</si>
  <si>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</si>
  <si>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</si>
  <si>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</si>
  <si>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</si>
  <si>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</si>
  <si>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</si>
  <si>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</si>
  <si>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</si>
  <si>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</si>
  <si>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</si>
  <si>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</si>
  <si>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</si>
  <si>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</si>
  <si>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</si>
  <si>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</si>
  <si>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</si>
  <si>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</si>
  <si>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</si>
  <si>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</si>
  <si>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</si>
  <si>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</si>
  <si>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</si>
  <si>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</si>
  <si>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</si>
  <si>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</si>
  <si>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</si>
  <si>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</si>
  <si>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</si>
  <si>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</si>
  <si>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</si>
  <si>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</si>
  <si>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</si>
  <si>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</si>
  <si>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</si>
  <si>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</si>
  <si>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</si>
  <si>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</si>
  <si>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</si>
  <si>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</si>
  <si>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</si>
  <si>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</si>
  <si>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</si>
  <si>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</si>
  <si>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</si>
  <si>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</si>
  <si>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</si>
  <si>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</si>
  <si>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</si>
  <si>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</si>
  <si>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</si>
  <si>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</si>
  <si>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</si>
  <si>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</si>
  <si>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</si>
  <si>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</si>
  <si>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</si>
  <si>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</si>
  <si>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</si>
  <si>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</si>
  <si>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</si>
  <si>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</si>
  <si>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</si>
  <si>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</si>
  <si>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</si>
  <si>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</si>
  <si>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</si>
  <si>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</si>
  <si>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</si>
  <si>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</si>
  <si>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</si>
  <si>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</si>
  <si>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</si>
  <si>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</si>
  <si>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</si>
  <si>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</si>
  <si>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</si>
  <si>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</si>
  <si>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</si>
  <si>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</si>
  <si>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</si>
  <si>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</si>
  <si>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</si>
  <si>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</si>
  <si>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</si>
  <si>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</si>
  <si>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</si>
  <si>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</si>
  <si>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</si>
  <si>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</si>
  <si>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</si>
  <si>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</si>
  <si>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</si>
  <si>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</si>
  <si>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</si>
  <si>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</si>
  <si>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</si>
  <si>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</si>
  <si>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</si>
  <si>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</si>
  <si>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</si>
  <si>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</si>
  <si>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</si>
  <si>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</si>
  <si>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</si>
  <si>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</si>
  <si>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</si>
  <si>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</si>
  <si>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</si>
  <si>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</si>
  <si>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</si>
  <si>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</si>
  <si>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</si>
  <si>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</si>
  <si>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</si>
  <si>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</si>
  <si>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</si>
  <si>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</si>
  <si>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</si>
  <si>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</si>
  <si>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</si>
  <si>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</si>
  <si>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</si>
  <si>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</si>
  <si>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</si>
  <si>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</si>
  <si>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</si>
  <si>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</si>
  <si>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</si>
  <si>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</si>
  <si>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</si>
  <si>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</si>
  <si>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</si>
  <si>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</si>
  <si>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</si>
  <si>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</si>
  <si>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</si>
  <si>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</si>
  <si>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</si>
  <si>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</si>
  <si>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</si>
  <si>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</si>
  <si>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</si>
  <si>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</si>
  <si>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</si>
  <si>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</si>
  <si>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</si>
  <si>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</si>
  <si>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ELETRICA DE PAREDE, BICA ALTA, PARA COZINHA, 5500 W (110/220 V)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</si>
  <si>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</si>
  <si>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</si>
  <si>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</si>
  <si>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</si>
  <si>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</si>
  <si>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</si>
  <si>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</si>
  <si>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</si>
  <si>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</si>
  <si>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</si>
  <si>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</si>
  <si>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</si>
  <si>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</si>
  <si>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</si>
  <si>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</si>
  <si>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</si>
  <si>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</si>
  <si>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</si>
  <si>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</si>
  <si>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</si>
  <si>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</si>
  <si>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</si>
  <si>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</si>
  <si>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</si>
  <si>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</si>
  <si>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</si>
  <si>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</si>
  <si>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</si>
  <si>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</si>
  <si>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</si>
  <si>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</si>
  <si>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</si>
  <si>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</si>
  <si>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</si>
  <si>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</si>
  <si>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</si>
  <si>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</si>
  <si>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</si>
  <si>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</si>
  <si>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</si>
  <si>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</si>
  <si>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</si>
  <si>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</si>
  <si>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</si>
  <si>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</si>
  <si>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</si>
  <si>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</si>
  <si>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</si>
  <si>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</si>
  <si>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</si>
  <si>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</si>
  <si>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</si>
  <si>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</si>
  <si>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</si>
  <si>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</si>
  <si>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</si>
  <si>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</si>
  <si>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</si>
  <si>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</si>
  <si>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</si>
  <si>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</si>
  <si>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</si>
  <si>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</si>
  <si>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</si>
  <si>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</si>
  <si>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</si>
  <si>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</si>
  <si>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</si>
  <si>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</si>
  <si>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</si>
  <si>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</si>
  <si>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</si>
  <si>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</si>
  <si>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</si>
  <si>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</si>
  <si>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</si>
  <si>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</si>
  <si>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</si>
  <si>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</si>
  <si>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</si>
  <si>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</si>
  <si>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</si>
  <si>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</si>
  <si>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</si>
  <si>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</si>
  <si>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</si>
  <si>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</si>
  <si>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</si>
  <si>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</si>
  <si>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</si>
  <si>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</si>
  <si>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</si>
  <si>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</si>
  <si>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</si>
  <si>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</si>
  <si>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</si>
  <si>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</si>
  <si>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</si>
  <si>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</si>
  <si>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</si>
  <si>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</si>
  <si>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</si>
  <si>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</si>
  <si>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</si>
  <si>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</si>
  <si>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</si>
  <si>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</si>
  <si>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</si>
  <si>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</si>
  <si>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</si>
  <si>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</si>
  <si>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</si>
  <si>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</si>
  <si>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</si>
  <si>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</si>
  <si>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</si>
  <si>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</si>
  <si>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</si>
  <si>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</si>
  <si>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</si>
  <si>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</si>
  <si>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</si>
  <si>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</si>
  <si>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</si>
  <si>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</si>
  <si>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</si>
  <si>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</si>
  <si>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</si>
  <si>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</si>
  <si>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</si>
  <si>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</si>
  <si>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</si>
  <si>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</si>
  <si>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</si>
  <si>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</si>
  <si>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</si>
  <si>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</si>
  <si>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</si>
  <si>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</si>
  <si>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</si>
  <si>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</si>
  <si>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</si>
  <si>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</si>
  <si>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</si>
  <si>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</si>
  <si>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</si>
  <si>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</si>
  <si>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</si>
  <si>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</si>
  <si>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</si>
  <si>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</si>
  <si>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</si>
  <si>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</si>
  <si>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</si>
  <si>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</si>
  <si>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</si>
  <si>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</si>
  <si>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</si>
  <si>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</si>
  <si>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</si>
  <si>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</si>
  <si>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</si>
  <si>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</si>
  <si>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</si>
  <si>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</si>
  <si>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</si>
  <si>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</si>
  <si>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</si>
  <si>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</si>
  <si>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</si>
  <si>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</si>
  <si>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</si>
  <si>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</si>
  <si>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</si>
  <si>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</si>
  <si>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</si>
  <si>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</si>
  <si>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</si>
  <si>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</si>
  <si>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</si>
  <si>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</si>
  <si>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</si>
  <si>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</si>
  <si>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</si>
  <si>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</si>
  <si>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</si>
  <si>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</si>
  <si>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</si>
  <si>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</si>
  <si>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</si>
  <si>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</si>
  <si>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</si>
  <si>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</si>
  <si>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</si>
  <si>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</si>
  <si>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</si>
  <si>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</si>
  <si>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</si>
  <si>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</si>
  <si>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</si>
  <si>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</si>
  <si>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</si>
  <si>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</si>
  <si>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</si>
  <si>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</si>
  <si>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</si>
  <si>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</si>
  <si>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</si>
  <si>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</si>
  <si>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</si>
  <si>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</si>
  <si>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</si>
  <si>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</si>
  <si>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</si>
  <si>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</si>
  <si>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</si>
  <si>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</si>
  <si>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</si>
  <si>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</si>
  <si>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</si>
  <si>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</si>
  <si>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</si>
  <si>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</si>
  <si>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</si>
  <si>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</si>
  <si>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</si>
  <si>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</si>
  <si>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</si>
  <si>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</si>
  <si>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</si>
  <si>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</si>
  <si>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</si>
  <si>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</si>
  <si>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</si>
  <si>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</si>
  <si>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</si>
  <si>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</si>
  <si>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</si>
  <si>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</si>
  <si>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</si>
  <si>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</si>
  <si>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</si>
  <si>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</si>
  <si>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</si>
  <si>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</si>
  <si>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</si>
  <si>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</si>
  <si>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</si>
  <si>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</si>
  <si>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</si>
  <si>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</si>
  <si>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</si>
  <si>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</si>
  <si>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</si>
  <si>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</si>
  <si>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</si>
  <si>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</si>
  <si>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</si>
  <si>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</si>
  <si>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</si>
  <si>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</si>
  <si>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</si>
  <si>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</si>
  <si>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</si>
  <si>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</si>
  <si>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</si>
  <si>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</si>
  <si>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</si>
  <si>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</si>
  <si>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</si>
  <si>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</si>
  <si>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</si>
  <si>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</si>
  <si>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</si>
  <si>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</si>
  <si>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</si>
  <si>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</si>
  <si>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</si>
  <si>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</si>
  <si>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</si>
  <si>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</si>
  <si>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</si>
  <si>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</si>
  <si>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</si>
  <si>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</si>
  <si>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</si>
  <si>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</si>
  <si>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</si>
  <si>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</si>
  <si>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</si>
  <si>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</si>
  <si>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</si>
  <si>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</si>
  <si>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</si>
  <si>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</si>
  <si>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</si>
  <si>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</si>
  <si>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</si>
  <si>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</si>
  <si>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</si>
  <si>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</si>
  <si>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</si>
  <si>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</si>
  <si>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</si>
  <si>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</si>
  <si>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</si>
  <si>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</si>
  <si>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</si>
  <si>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</si>
  <si>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</si>
  <si>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</si>
  <si>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</si>
  <si>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</si>
  <si>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</si>
  <si>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</si>
  <si>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</si>
  <si>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</si>
  <si>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</si>
  <si>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</si>
  <si>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</si>
  <si>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</si>
  <si>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</si>
  <si>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</si>
  <si>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</si>
  <si>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</si>
  <si>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</si>
  <si>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</si>
  <si>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</si>
  <si>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</si>
  <si>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</si>
  <si>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</si>
  <si>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</si>
  <si>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</si>
  <si>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</si>
  <si>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</si>
  <si>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</si>
  <si>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</si>
  <si>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</si>
  <si>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</si>
  <si>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</si>
  <si>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</si>
  <si>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</si>
  <si>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</si>
  <si>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</si>
  <si>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</si>
  <si>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</si>
  <si>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</si>
  <si>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</si>
  <si>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</si>
  <si>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</si>
  <si>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</si>
  <si>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</si>
  <si>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</si>
  <si>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</si>
  <si>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</si>
  <si>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</si>
  <si>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</si>
  <si>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</si>
  <si>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</si>
  <si>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</si>
  <si>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</si>
  <si>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</si>
  <si>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</si>
  <si>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</si>
  <si>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</si>
  <si>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</si>
  <si>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</si>
  <si>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</si>
  <si>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</si>
  <si>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</si>
  <si>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</si>
  <si>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</si>
  <si>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</si>
  <si>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</si>
  <si>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</si>
  <si>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</si>
  <si>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</si>
  <si>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</si>
  <si>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</si>
  <si>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</si>
  <si>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</si>
  <si>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</si>
  <si>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</si>
  <si>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</si>
  <si>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</si>
  <si>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</si>
  <si>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</si>
  <si>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</si>
  <si>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</si>
  <si>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</si>
  <si>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</si>
  <si>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</si>
  <si>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</si>
  <si>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</si>
  <si>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</si>
  <si>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</si>
  <si>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</si>
  <si>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</si>
  <si>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</si>
  <si>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</si>
  <si>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</si>
  <si>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</si>
  <si>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</si>
  <si>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</si>
  <si>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</si>
  <si>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</si>
  <si>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</si>
  <si>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</si>
  <si>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</si>
  <si>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</si>
  <si>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</si>
  <si>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</si>
  <si>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</si>
  <si>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</si>
  <si>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</si>
  <si>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</si>
  <si>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</si>
  <si>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</si>
  <si>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</si>
  <si>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</si>
  <si>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</si>
  <si>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</si>
  <si>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</si>
  <si>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</si>
  <si>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</si>
  <si>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</si>
  <si>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</si>
  <si>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</si>
  <si>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</si>
  <si>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</si>
  <si>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</si>
  <si>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</si>
  <si>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</si>
  <si>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</si>
  <si>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</si>
  <si>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</si>
  <si>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</si>
  <si>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</si>
  <si>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</si>
  <si>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</si>
  <si>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</si>
  <si>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</si>
  <si>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</si>
  <si>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</si>
  <si>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</si>
  <si>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</si>
  <si>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</si>
  <si>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</si>
  <si>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</si>
  <si>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</si>
  <si>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</si>
  <si>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</si>
  <si>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</si>
  <si>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</si>
  <si>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</si>
  <si>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</si>
  <si>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DE ESCORAMAENTO H20, DE MADEIRA, PESO DE 5,00 A 5,20 KG/M, COM EXTREMIDADES PLASTICAS                                                                                                                                                                                                                                                                                                                                                                                                                </t>
  </si>
  <si>
    <t xml:space="preserve">VIGIA DIURNO (MENSALISTA)                                                                                                                                                                                                                                                                                                                                                                                                                                                                                 </t>
  </si>
  <si>
    <t xml:space="preserve">VIGIA NOTURNO, HORA EFETIVAMENTE TRABALHADA DE 22 H AS 5 H (COM ADICIONAL NOTURNO)                                                                                                                                                                                                                                                                                                                                                                                                                        </t>
  </si>
  <si>
    <t>4.1</t>
  </si>
  <si>
    <t>4.2</t>
  </si>
  <si>
    <t>5.1</t>
  </si>
  <si>
    <t>3.1</t>
  </si>
  <si>
    <t>3.2</t>
  </si>
  <si>
    <t>3.3</t>
  </si>
  <si>
    <t>2.2</t>
  </si>
  <si>
    <t>1.4</t>
  </si>
  <si>
    <t>1.5</t>
  </si>
  <si>
    <t>1.6</t>
  </si>
  <si>
    <t>R$</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</si>
  <si>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</si>
  <si>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</si>
  <si>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</si>
  <si>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</si>
  <si>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</si>
  <si>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</si>
  <si>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</si>
  <si>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</si>
  <si>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</si>
  <si>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</si>
  <si>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</si>
  <si>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</si>
  <si>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</si>
  <si>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</si>
  <si>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</si>
  <si>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</si>
  <si>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</si>
  <si>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</si>
  <si>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</si>
  <si>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</si>
  <si>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</si>
  <si>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</si>
  <si>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</si>
  <si>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</si>
  <si>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</si>
  <si>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</si>
  <si>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</si>
  <si>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</si>
  <si>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</si>
  <si>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</si>
  <si>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</si>
  <si>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</si>
  <si>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</si>
  <si>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</si>
  <si>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</si>
  <si>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</si>
  <si>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</si>
  <si>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</si>
  <si>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</si>
  <si>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</si>
  <si>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</si>
  <si>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</si>
  <si>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</si>
  <si>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</si>
  <si>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</si>
  <si>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</si>
  <si>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</si>
  <si>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</si>
  <si>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</si>
  <si>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</si>
  <si>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</si>
  <si>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</si>
  <si>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</si>
  <si>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</si>
  <si>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</si>
  <si>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</si>
  <si>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</si>
  <si>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</si>
  <si>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</si>
  <si>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</si>
  <si>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</si>
  <si>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</si>
  <si>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</si>
  <si>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</si>
  <si>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</si>
  <si>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</si>
  <si>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</si>
  <si>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</si>
  <si>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</si>
  <si>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</si>
  <si>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</si>
  <si>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</si>
  <si>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</si>
  <si>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</si>
  <si>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</si>
  <si>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</si>
  <si>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</si>
  <si>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</si>
  <si>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</si>
  <si>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</si>
  <si>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</si>
  <si>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</si>
  <si>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</si>
  <si>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</si>
  <si>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</si>
  <si>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</si>
  <si>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</si>
  <si>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</si>
  <si>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</si>
  <si>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</si>
  <si>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</si>
  <si>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</si>
  <si>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</si>
  <si>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</si>
  <si>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</si>
  <si>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</si>
  <si>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</si>
  <si>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</si>
  <si>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</si>
  <si>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</si>
  <si>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</si>
  <si>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</si>
  <si>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</si>
  <si>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</si>
  <si>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</si>
  <si>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</si>
  <si>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</si>
  <si>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</si>
  <si>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</si>
  <si>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</si>
  <si>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</si>
  <si>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</si>
  <si>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</si>
  <si>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</si>
  <si>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</si>
  <si>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</si>
  <si>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</si>
  <si>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</si>
  <si>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</si>
  <si>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</si>
  <si>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</si>
  <si>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</si>
  <si>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</si>
  <si>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</si>
  <si>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TORNEIRA CROMADA DE MESA PARA LAVATORIO, TIPO MONOCOMANDO. AF_01/2020</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</si>
  <si>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</si>
  <si>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</si>
  <si>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</si>
  <si>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</si>
  <si>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</si>
  <si>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</si>
  <si>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</si>
  <si>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</si>
  <si>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</si>
  <si>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</si>
  <si>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</si>
  <si>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</si>
  <si>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</si>
  <si>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</si>
  <si>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</si>
  <si>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</si>
  <si>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</si>
  <si>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</si>
  <si>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</si>
  <si>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</si>
  <si>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</si>
  <si>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</si>
  <si>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</si>
  <si>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</si>
  <si>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</si>
  <si>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</si>
  <si>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</si>
  <si>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</si>
  <si>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</si>
  <si>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</si>
  <si>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</si>
  <si>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</si>
  <si>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</si>
  <si>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</si>
  <si>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</si>
  <si>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</si>
  <si>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</si>
  <si>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</si>
  <si>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</si>
  <si>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</si>
  <si>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</si>
  <si>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</si>
  <si>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</si>
  <si>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</si>
  <si>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</si>
  <si>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</si>
  <si>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</si>
  <si>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</si>
  <si>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</si>
  <si>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</si>
  <si>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</si>
  <si>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</si>
  <si>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</si>
  <si>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</si>
  <si>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</si>
  <si>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</si>
  <si>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</si>
  <si>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</si>
  <si>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</si>
  <si>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</si>
  <si>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</si>
  <si>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</si>
  <si>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</si>
  <si>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</si>
  <si>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</si>
  <si>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</si>
  <si>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</si>
  <si>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</si>
  <si>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</si>
  <si>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</si>
  <si>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</si>
  <si>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</si>
  <si>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</si>
  <si>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</si>
  <si>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</si>
  <si>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</si>
  <si>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</si>
  <si>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</si>
  <si>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</si>
  <si>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</si>
  <si>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</si>
  <si>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</si>
  <si>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</si>
  <si>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</si>
  <si>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</si>
  <si>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</si>
  <si>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</si>
  <si>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</si>
  <si>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</si>
  <si>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</si>
  <si>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</si>
  <si>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</si>
  <si>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</si>
  <si>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</si>
  <si>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</si>
  <si>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</si>
  <si>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</si>
  <si>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</si>
  <si>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</si>
  <si>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</si>
  <si>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</si>
  <si>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</si>
  <si>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</si>
  <si>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</si>
  <si>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</si>
  <si>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</si>
  <si>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</si>
  <si>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</si>
  <si>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</si>
  <si>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</si>
  <si>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Telha em aço galvalume trapezoidal 40, e=0.50mm, pintura cor branca nas duas faces, inclusive acessório de fixação Ref. Santo André, Eternit, Metform ou equivalente</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</si>
  <si>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</si>
  <si>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</si>
  <si>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</si>
  <si>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</si>
  <si>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Caixa de passagem 100x100x80mm, chapa 18, com tampa parafusada</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</si>
  <si>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</si>
  <si>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</si>
  <si>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</si>
  <si>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</si>
  <si>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</si>
  <si>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</si>
  <si>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</si>
  <si>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</si>
  <si>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</si>
  <si>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</si>
  <si>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</si>
  <si>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</si>
  <si>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</si>
  <si>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</si>
  <si>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</si>
  <si>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</si>
  <si>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</si>
  <si>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LUMINARIAS PARA LÂMPADAS LED</t>
  </si>
  <si>
    <t>Luminária embutir compl., corpo ch. aço pintada branca, refletor,aletas parabólicas alum.alta pureza e refletância nclusive 4 lâmpadas LED T8 9W temp. de cor 5000k - Ref.CE416AL-N - AMES, 6026 - LUMAVI OU EQUIVALENTE</t>
  </si>
  <si>
    <t>AJUDANTE (AJUDANTE PRATICO - SINDUSCON)</t>
  </si>
  <si>
    <t>AZULEJISTA (OFICIAL - SINDUSCON)</t>
  </si>
  <si>
    <t>CALCETEIRO/PINTOR (OFICIAL - SINDUSCON)</t>
  </si>
  <si>
    <t>CARPINTEIRO (OFICIAL - SINDUSCON)</t>
  </si>
  <si>
    <t>ELETRICISTA (OFICIAL - SINDUSCON)</t>
  </si>
  <si>
    <t>ELETROTECNICO MONTADOR - SINTRACONST</t>
  </si>
  <si>
    <t>ARMADOR (OFICIAL - SINDUSCON)</t>
  </si>
  <si>
    <t>GRANITEIRO/MARMORISTA (OFICIAL - SINDUSCON)</t>
  </si>
  <si>
    <t>MONTADOR (SINTRACONST)</t>
  </si>
  <si>
    <t>SERVENTE (AUXILIAR DE OBRAS - SINDUSCON)</t>
  </si>
  <si>
    <t>NIVELADOR (SINTEC)</t>
  </si>
  <si>
    <t>AUXILIAR DE CAMPO (SINTEC)</t>
  </si>
  <si>
    <t>AJUDANTE MONTADOR ELETROMECÂNICO - (AJUDANTE DE MONTAGEM SINTRACONST)</t>
  </si>
  <si>
    <t>MONTADOR DE ESTRUTURA - SINTRACONST</t>
  </si>
  <si>
    <t>MADEIRA DE LEI PARA TELHADO COLONIAL/TELHA FRANCESA</t>
  </si>
  <si>
    <t>MADEIRA DE LEI PARA TELHADO</t>
  </si>
  <si>
    <t>PECA EM MADEIRA DE LEI 7 X 5 CM (APARELHADA)</t>
  </si>
  <si>
    <t>TELHA METALICA EM ACO GALVALUME TRAPEZOIDAL 40 ESP. 0.50MM PRE-PINTADA NAS DUAS FACES</t>
  </si>
  <si>
    <t>BUCHA PLASTICA S-7</t>
  </si>
  <si>
    <t>BUCHA PLASTICA S-5</t>
  </si>
  <si>
    <t>BUCHA PLASTICA S-8</t>
  </si>
  <si>
    <t>BUCHA PLASTICA COM PARAFUSO - 6MM</t>
  </si>
  <si>
    <t>CILINDRO DE GAS DE COZINHA 45 KG (VAZIO)</t>
  </si>
  <si>
    <t>PERFIL "U" EM ALUMINIO ANODIZADO NATURAL 1/2" X 1/2" ESP. 1/16"</t>
  </si>
  <si>
    <t>TABUA MADEIRA DE LEI P/ PISO COM MACHO/FEMEA 15 CM X 2 CM (ASSOALHO)</t>
  </si>
  <si>
    <t>TINTA EPOXI CATALISAVEL PARA ACABAMENTO</t>
  </si>
  <si>
    <t>LAMPADAS (CONTINUAÇÃO)</t>
  </si>
  <si>
    <t>LAMPADA TUBULAR LED T8 9W 600MM BIVOLT CERTIFICADA INMETRO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</si>
  <si>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</si>
  <si>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</si>
  <si>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</si>
  <si>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</si>
  <si>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</si>
  <si>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</si>
  <si>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</si>
  <si>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QUADRO DISTRIB EM PVC 12 CIRCUITOS - BARRAMENTO 100A</t>
  </si>
  <si>
    <t>CANALETA DE DISTRIBUICAO 20X10CM COMPRIMENTO 2,00 M, COM TAMPA, SEM ADESIVO E COM DIVISORIAS, REF. 308 01X LEGRAND SISTEMA X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</si>
  <si>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</si>
  <si>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</si>
  <si>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</si>
  <si>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</si>
  <si>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</si>
  <si>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</si>
  <si>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</si>
  <si>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CAIXA 4X4" EM ALUMINIO P/ PISO</t>
  </si>
  <si>
    <t>CAIXA PVC 4 X 2" - IP40 - TIGRE OU EQUIVALENTE</t>
  </si>
  <si>
    <t>CONDULETE ALUMINIO SILICO, SAIDA T, ENTRADA ROSCA BSP 3/4" C/ VEDACAO E TAMPA</t>
  </si>
  <si>
    <t>HASTE TIPO COPPERWELD - 5/8 "X 2.4M - ALTA CAMADA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</si>
  <si>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</si>
  <si>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</si>
  <si>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</si>
  <si>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</si>
  <si>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</si>
  <si>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</si>
  <si>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</si>
  <si>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</si>
  <si>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</si>
  <si>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</si>
  <si>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</si>
  <si>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</si>
  <si>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</si>
  <si>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</si>
  <si>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</si>
  <si>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</si>
  <si>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BARRA CHATA EM ALUMINIO 7/8" X 1/8" X 3M (70MM2) TEL-771</t>
  </si>
  <si>
    <t>TERMINAL AEREO EM LATAO (MINICAPTOR) H=250MM X 10MM - TEL 2024 - TERMOTECNICA OU EQUIVALENTE</t>
  </si>
  <si>
    <t>CONECTOR PARAFUSO FENDIDO SPLIT-BOLT (KS-17) P/CABO 4 - 10MM2 - BURNDY OU EQUIVALENTE</t>
  </si>
  <si>
    <t>CONECTOR PARAFUSO FENDIDO SPLIT-BOLT (KS-26) P/CABO 35 - 70MM2 - BURNDY OU EQUIVALENTE</t>
  </si>
  <si>
    <t>CABECOTE DE ALUMINIO FUNDIDO 3"</t>
  </si>
  <si>
    <t>CABECOTE DE ALUMINIO FUNDIDO 4"</t>
  </si>
  <si>
    <t>TUBO DE ESGOTO DE PVC SERIE "R" CINZA (6") - 150MM - TIGRE, AMANCO OU EQUIVALENTE</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</si>
  <si>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</si>
  <si>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</si>
  <si>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</si>
  <si>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</si>
  <si>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</si>
  <si>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</si>
  <si>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</si>
  <si>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</si>
  <si>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</si>
  <si>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</si>
  <si>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</si>
  <si>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</si>
  <si>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</si>
  <si>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</si>
  <si>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VALVULA DE DESCARGA P/ MICTORIO 1.1/2"</t>
  </si>
  <si>
    <t>CAIXA ACOPLADA P/ BACIA LOUCA INCL. VALVULA COM DUPLO ACIONAMENTO - REF. CD.00F - DECA OU EQUIVALENTE</t>
  </si>
  <si>
    <t>TORNEIRA DE LAVATORIO PAREDE ANTI-VANDAL CROMADO BIOPRESS AV 140MM - 1182-AV-BIO-140 - FABRIMAR OU EQUIVALENTE</t>
  </si>
  <si>
    <t>ASSENTO POLIESTER P/ BACIA VOGUE PLUS AP51 - DECA OU EQUIVALENTE</t>
  </si>
  <si>
    <t>ASSENTO POLIESTER C/ ABERTURA FRONTAL P/ BACIA VOGUE PLUS AP52 - DECA OU EQUIVALENTE</t>
  </si>
  <si>
    <t>QUADRO DISTRIB. PVC DE EMBUTIR P/ 6 CIRCUITOS C/ BARRAMENTO C/ TRINCO</t>
  </si>
  <si>
    <t>QUADRO DISTRIB. PVC DE EMBUTIR P/ 12 CIRCUITOS S/ BARRAMENTO C/ TRINCO</t>
  </si>
  <si>
    <t>LAMPADA TUBULAR LED T8 18W 1200MM BIVOLT CERTIFICADA INMETRO</t>
  </si>
  <si>
    <t>5.2</t>
  </si>
  <si>
    <t>1.7</t>
  </si>
  <si>
    <t>1.8</t>
  </si>
  <si>
    <t>6.0</t>
  </si>
  <si>
    <t>6.1</t>
  </si>
  <si>
    <t>6.2</t>
  </si>
  <si>
    <t>ESQUADRIAS</t>
  </si>
  <si>
    <t>7.0</t>
  </si>
  <si>
    <t>7.1</t>
  </si>
  <si>
    <t>7.2</t>
  </si>
  <si>
    <t>8.0</t>
  </si>
  <si>
    <t>8.1</t>
  </si>
  <si>
    <t>9.0</t>
  </si>
  <si>
    <t>9.1</t>
  </si>
  <si>
    <t>10.0</t>
  </si>
  <si>
    <t>10.1</t>
  </si>
  <si>
    <t>10.2</t>
  </si>
  <si>
    <t>11.0</t>
  </si>
  <si>
    <t>11.1</t>
  </si>
  <si>
    <t>11.2</t>
  </si>
  <si>
    <t>12.0</t>
  </si>
  <si>
    <t>12.1</t>
  </si>
  <si>
    <t>12.2</t>
  </si>
  <si>
    <t>SERVIÇOS FINAIS</t>
  </si>
  <si>
    <t>Escritório</t>
  </si>
  <si>
    <t>Reservatório</t>
  </si>
  <si>
    <t>DER-ES</t>
  </si>
  <si>
    <t>13.0</t>
  </si>
  <si>
    <t>13.1</t>
  </si>
  <si>
    <t>13.2</t>
  </si>
  <si>
    <t>14.0</t>
  </si>
  <si>
    <t>14.1</t>
  </si>
  <si>
    <t>14.2</t>
  </si>
  <si>
    <t>15.0</t>
  </si>
  <si>
    <t>15.1</t>
  </si>
  <si>
    <t>15.2</t>
  </si>
  <si>
    <t>16.0</t>
  </si>
  <si>
    <t>16.1</t>
  </si>
  <si>
    <t>17.0</t>
  </si>
  <si>
    <t>17.1</t>
  </si>
  <si>
    <t>17.2</t>
  </si>
  <si>
    <t>18.0</t>
  </si>
  <si>
    <t>19.0</t>
  </si>
  <si>
    <t>19.1</t>
  </si>
  <si>
    <t>19.2</t>
  </si>
  <si>
    <t>20.0</t>
  </si>
  <si>
    <t>20.1</t>
  </si>
  <si>
    <t>I</t>
  </si>
  <si>
    <t>Área (m²)</t>
  </si>
  <si>
    <t>Área do terreno</t>
  </si>
  <si>
    <t>M²</t>
  </si>
  <si>
    <t>INSTALAÇÕES DE REDE LOGICA</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</si>
  <si>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</si>
  <si>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</si>
  <si>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21.0</t>
  </si>
  <si>
    <t>21.1</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</si>
  <si>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</si>
  <si>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</si>
  <si>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</si>
  <si>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</si>
  <si>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</si>
  <si>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</si>
  <si>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</si>
  <si>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</si>
  <si>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</si>
  <si>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</si>
  <si>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</si>
  <si>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</si>
  <si>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</si>
  <si>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</si>
  <si>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</si>
  <si>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</si>
  <si>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</si>
  <si>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</si>
  <si>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</si>
  <si>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</si>
  <si>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</si>
  <si>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</si>
  <si>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</si>
  <si>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</si>
  <si>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</si>
  <si>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</si>
  <si>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</si>
  <si>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</si>
  <si>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</si>
  <si>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</si>
  <si>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</si>
  <si>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</si>
  <si>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</si>
  <si>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</si>
  <si>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</si>
  <si>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</si>
  <si>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</si>
  <si>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</si>
  <si>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</si>
  <si>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</si>
  <si>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</si>
  <si>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</si>
  <si>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</si>
  <si>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</si>
  <si>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</si>
  <si>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</si>
  <si>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</si>
  <si>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</si>
  <si>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</si>
  <si>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</si>
  <si>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</si>
  <si>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</si>
  <si>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</si>
  <si>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</si>
  <si>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</si>
  <si>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</si>
  <si>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</si>
  <si>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</si>
  <si>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</si>
  <si>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</si>
  <si>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</si>
  <si>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</si>
  <si>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</si>
  <si>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</si>
  <si>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</si>
  <si>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</si>
  <si>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</si>
  <si>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</si>
  <si>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</si>
  <si>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</si>
  <si>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</si>
  <si>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</si>
  <si>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</si>
  <si>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</si>
  <si>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</si>
  <si>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</si>
  <si>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</si>
  <si>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</si>
  <si>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</si>
  <si>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</si>
  <si>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</si>
  <si>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</si>
  <si>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</si>
  <si>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</si>
  <si>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</si>
  <si>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</si>
  <si>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</si>
  <si>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</si>
  <si>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</si>
  <si>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</si>
  <si>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</si>
  <si>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</si>
  <si>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</si>
  <si>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</si>
  <si>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</si>
  <si>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</si>
  <si>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</si>
  <si>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</si>
  <si>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</si>
  <si>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</si>
  <si>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</si>
  <si>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</si>
  <si>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</si>
  <si>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</si>
  <si>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</si>
  <si>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</si>
  <si>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</si>
  <si>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</si>
  <si>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</si>
  <si>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</si>
  <si>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</si>
  <si>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</si>
  <si>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</si>
  <si>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</si>
  <si>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</si>
  <si>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</si>
  <si>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</si>
  <si>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</si>
  <si>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</si>
  <si>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</si>
  <si>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</si>
  <si>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</si>
  <si>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</si>
  <si>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</si>
  <si>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</si>
  <si>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</si>
  <si>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</si>
  <si>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(MENSALISTA)                                                                                                                                                                                                                                                                                                                                                                                                                                                                          </t>
  </si>
  <si>
    <t xml:space="preserve">AJUDANTE DE ELETRICISTA (MENSALISTA)                                                                                                                                                                                                                                                                                                                                                                                                                                                                      </t>
  </si>
  <si>
    <t xml:space="preserve">AJUDANTE DE ESTRUTURAS METALICAS (MENSALISTA)                                                                                                                                                                                                                                                                                                                                                                                                                                                             </t>
  </si>
  <si>
    <t xml:space="preserve">AJUDANTE DE OPERACAO EM GERAL (MENSALISTA)                                                                                                                                                                                                                                                                                                                                                                                                                                                                </t>
  </si>
  <si>
    <t xml:space="preserve">AJUDANTE DE PINTOR (MENSALISTA)                                                                                                                                                                                                                                                                                                                                                                                                                                                                           </t>
  </si>
  <si>
    <t xml:space="preserve">AJUDANTE DE SERRALHEIRO (MENSALISTA)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</si>
  <si>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</si>
  <si>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</si>
  <si>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</si>
  <si>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</si>
  <si>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</si>
  <si>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</si>
  <si>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</si>
  <si>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</si>
  <si>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</si>
  <si>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</si>
  <si>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</si>
  <si>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</si>
  <si>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</si>
  <si>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ALISADORA DE CONCRETO COM MOTOR A GASOLINA DE 5,5 HP, PESO COM MOTOR DE 78 KG, 4 PAS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</si>
  <si>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</si>
  <si>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</si>
  <si>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</si>
  <si>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</si>
  <si>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</si>
  <si>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</si>
  <si>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</si>
  <si>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</si>
  <si>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</si>
  <si>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</si>
  <si>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</si>
  <si>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</si>
  <si>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</si>
  <si>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</si>
  <si>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</si>
  <si>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</si>
  <si>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</si>
  <si>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</si>
  <si>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</si>
  <si>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</si>
  <si>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</si>
  <si>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</si>
  <si>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</si>
  <si>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</si>
  <si>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</si>
  <si>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</si>
  <si>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</si>
  <si>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</si>
  <si>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</si>
  <si>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</si>
  <si>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</si>
  <si>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</si>
  <si>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</si>
  <si>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</si>
  <si>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</si>
  <si>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</si>
  <si>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</si>
  <si>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</si>
  <si>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</si>
  <si>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</si>
  <si>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</si>
  <si>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</si>
  <si>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</si>
  <si>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</si>
  <si>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</si>
  <si>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</si>
  <si>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</si>
  <si>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</si>
  <si>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</si>
  <si>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</si>
  <si>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</si>
  <si>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</si>
  <si>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</si>
  <si>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</si>
  <si>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</si>
  <si>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</si>
  <si>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</si>
  <si>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</si>
  <si>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</si>
  <si>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</si>
  <si>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</si>
  <si>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</si>
  <si>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</si>
  <si>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</si>
  <si>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</si>
  <si>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</si>
  <si>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</si>
  <si>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</si>
  <si>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</si>
  <si>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</si>
  <si>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</si>
  <si>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</si>
  <si>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</si>
  <si>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</si>
  <si>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</si>
  <si>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</si>
  <si>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</si>
  <si>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</si>
  <si>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</si>
  <si>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</si>
  <si>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</si>
  <si>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</si>
  <si>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</si>
  <si>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</si>
  <si>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</si>
  <si>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</si>
  <si>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</si>
  <si>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</si>
  <si>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</si>
  <si>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</si>
  <si>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</si>
  <si>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</si>
  <si>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</si>
  <si>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</si>
  <si>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</si>
  <si>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</si>
  <si>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</si>
  <si>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</si>
  <si>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</si>
  <si>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</si>
  <si>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</si>
  <si>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</si>
  <si>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</si>
  <si>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</si>
  <si>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</si>
  <si>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</si>
  <si>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</si>
  <si>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</si>
  <si>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</si>
  <si>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</si>
  <si>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</si>
  <si>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</si>
  <si>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</si>
  <si>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</si>
  <si>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</si>
  <si>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</si>
  <si>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</si>
  <si>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</si>
  <si>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</si>
  <si>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</si>
  <si>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</si>
  <si>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</si>
  <si>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</si>
  <si>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</si>
  <si>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</si>
  <si>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</si>
  <si>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</si>
  <si>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</si>
  <si>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</si>
  <si>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</si>
  <si>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</si>
  <si>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</si>
  <si>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</si>
  <si>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</si>
  <si>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</si>
  <si>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</si>
  <si>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</si>
  <si>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</si>
  <si>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</si>
  <si>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</si>
  <si>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</si>
  <si>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</si>
  <si>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</si>
  <si>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</si>
  <si>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PRONTA PARA CONTRAPISO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</si>
  <si>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</si>
  <si>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</si>
  <si>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</si>
  <si>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</si>
  <si>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</si>
  <si>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</si>
  <si>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</si>
  <si>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</si>
  <si>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</si>
  <si>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</si>
  <si>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</si>
  <si>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</si>
  <si>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(MENSALISTA)                                                                                                                                                                                                                                                                                                                                                                                                                                                                                      </t>
  </si>
  <si>
    <t xml:space="preserve">ARQUITETO JUNIOR (MENSALISTA)                                                                                                                                                                                                                                                                                                                                                                                                                                                                             </t>
  </si>
  <si>
    <t xml:space="preserve">ARQUITETO PLENO (MENSALISTA)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</si>
  <si>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</si>
  <si>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</si>
  <si>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</si>
  <si>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</si>
  <si>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</si>
  <si>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</si>
  <si>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</si>
  <si>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</si>
  <si>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</si>
  <si>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</si>
  <si>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</si>
  <si>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</si>
  <si>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</si>
  <si>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</si>
  <si>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</si>
  <si>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</si>
  <si>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</si>
  <si>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</si>
  <si>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</si>
  <si>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</si>
  <si>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</si>
  <si>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(MENSALISTA)                                                                                                                                                                                                                                                                                                                                                                                                                                                                       </t>
  </si>
  <si>
    <t xml:space="preserve">AUXILIAR DE AZULEJISTA (MENSALISTA)                                                                                                                                                                                                                                                                                                                                                                                                                                                                       </t>
  </si>
  <si>
    <t xml:space="preserve">AUXILIAR DE ENCANADOR OU BOMBEIRO HIDRAULICO (MENSALISTA)                                                                                                                                                                                                                                                                                                                                                                                                                                                 </t>
  </si>
  <si>
    <t xml:space="preserve">AUXILIAR DE ESCRITORIO (MENSALISTA)                                                                                                                                                                                                                                                                                                                                                                                                                                                                       </t>
  </si>
  <si>
    <t xml:space="preserve">AUXILIAR DE LABORATORISTA DE SOLOS E DE CONCRETO (MENSALISTA)                                                                                                                                                                                                                                                                                                                                                                                                                                             </t>
  </si>
  <si>
    <t xml:space="preserve">AUXILIAR DE MECANICO (MENSALISTA)                                                                                                                                                                                                                                                                                                                                                                                                                                                                         </t>
  </si>
  <si>
    <t xml:space="preserve">AUXILIAR DE PEDREIRO (MENSALISTA)                                                                                                                                                                                                                                                                                                                                                                                                                                                                         </t>
  </si>
  <si>
    <t xml:space="preserve">AUXILIAR DE SERVICOS GERAIS (MENSALISTA)                                                                                                                                                                                                                                                                                                                                                                                                                                                                  </t>
  </si>
  <si>
    <t xml:space="preserve">AUXILIAR DE TOPOGRAFO (MENSALISTA)                                                                                                                                                                                                                                                                                                                                                                                                                                                                        </t>
  </si>
  <si>
    <t xml:space="preserve">AUXILIAR TECNICO / ASSISTENTE DE ENGENHARIA (MENSALISTA)                                                                                                                                                                                                                                                                                                                                                                                                                                                  </t>
  </si>
  <si>
    <t xml:space="preserve">AVENTAL DE SEGURANCA DE RASPA DE COURO 1,00 X 0,60 M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</si>
  <si>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</si>
  <si>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</si>
  <si>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</si>
  <si>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</si>
  <si>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</si>
  <si>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</si>
  <si>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</si>
  <si>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</si>
  <si>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</si>
  <si>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</si>
  <si>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</si>
  <si>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</si>
  <si>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</si>
  <si>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</si>
  <si>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</si>
  <si>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</si>
  <si>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</si>
  <si>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</si>
  <si>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</si>
  <si>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</si>
  <si>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</si>
  <si>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</si>
  <si>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</si>
  <si>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</si>
  <si>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</si>
  <si>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</si>
  <si>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</si>
  <si>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</si>
  <si>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</si>
  <si>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</si>
  <si>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</si>
  <si>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</si>
  <si>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</si>
  <si>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</si>
  <si>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</si>
  <si>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</si>
  <si>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</si>
  <si>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</si>
  <si>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</si>
  <si>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</si>
  <si>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</si>
  <si>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</si>
  <si>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</si>
  <si>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</si>
  <si>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</si>
  <si>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</si>
  <si>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</si>
  <si>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</si>
  <si>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</si>
  <si>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</si>
  <si>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</si>
  <si>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</si>
  <si>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</si>
  <si>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</si>
  <si>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</si>
  <si>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</si>
  <si>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</si>
  <si>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</si>
  <si>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</si>
  <si>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</si>
  <si>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</si>
  <si>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</si>
  <si>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</si>
  <si>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</si>
  <si>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</si>
  <si>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</si>
  <si>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</si>
  <si>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</si>
  <si>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</si>
  <si>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</si>
  <si>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</si>
  <si>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</si>
  <si>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</si>
  <si>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</si>
  <si>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</si>
  <si>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</si>
  <si>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</si>
  <si>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</si>
  <si>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</si>
  <si>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</si>
  <si>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</si>
  <si>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</si>
  <si>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</si>
  <si>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</si>
  <si>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</si>
  <si>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</si>
  <si>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</si>
  <si>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</si>
  <si>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</si>
  <si>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</si>
  <si>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</si>
  <si>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</si>
  <si>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</si>
  <si>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</si>
  <si>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</si>
  <si>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</si>
  <si>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</si>
  <si>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</si>
  <si>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</si>
  <si>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</si>
  <si>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</si>
  <si>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</si>
  <si>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</si>
  <si>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</si>
  <si>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</si>
  <si>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</si>
  <si>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</si>
  <si>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</si>
  <si>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</si>
  <si>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</si>
  <si>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</si>
  <si>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</si>
  <si>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</si>
  <si>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</si>
  <si>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</si>
  <si>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</si>
  <si>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</si>
  <si>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</si>
  <si>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</si>
  <si>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</si>
  <si>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</si>
  <si>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</si>
  <si>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</si>
  <si>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</si>
  <si>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</si>
  <si>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</si>
  <si>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</si>
  <si>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</si>
  <si>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</si>
  <si>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</si>
  <si>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</si>
  <si>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</si>
  <si>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</si>
  <si>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</si>
  <si>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</si>
  <si>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</si>
  <si>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</si>
  <si>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</si>
  <si>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</si>
  <si>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</si>
  <si>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</si>
  <si>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</si>
  <si>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</si>
  <si>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</si>
  <si>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</si>
  <si>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</si>
  <si>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</si>
  <si>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</si>
  <si>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</si>
  <si>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</si>
  <si>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</si>
  <si>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</si>
  <si>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</si>
  <si>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</si>
  <si>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</si>
  <si>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</si>
  <si>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</si>
  <si>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</si>
  <si>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</si>
  <si>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</si>
  <si>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</si>
  <si>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</si>
  <si>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</si>
  <si>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</si>
  <si>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</si>
  <si>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</si>
  <si>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</si>
  <si>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</si>
  <si>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</si>
  <si>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</si>
  <si>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</si>
  <si>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</si>
  <si>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</si>
  <si>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</si>
  <si>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</si>
  <si>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</si>
  <si>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</si>
  <si>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</si>
  <si>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</si>
  <si>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</si>
  <si>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</si>
  <si>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</si>
  <si>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</si>
  <si>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</si>
  <si>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</si>
  <si>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</si>
  <si>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</si>
  <si>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</si>
  <si>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</si>
  <si>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</si>
  <si>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</si>
  <si>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</si>
  <si>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</si>
  <si>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</si>
  <si>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</si>
  <si>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</si>
  <si>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</si>
  <si>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</si>
  <si>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</si>
  <si>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</si>
  <si>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</si>
  <si>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</si>
  <si>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</si>
  <si>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</si>
  <si>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</si>
  <si>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</si>
  <si>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</si>
  <si>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</si>
  <si>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</si>
  <si>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</si>
  <si>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</si>
  <si>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</si>
  <si>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</si>
  <si>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</si>
  <si>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</si>
  <si>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</si>
  <si>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</si>
  <si>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</si>
  <si>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</si>
  <si>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</si>
  <si>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</si>
  <si>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</si>
  <si>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</si>
  <si>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</si>
  <si>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</si>
  <si>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</si>
  <si>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</si>
  <si>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</si>
  <si>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</si>
  <si>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</si>
  <si>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</si>
  <si>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</si>
  <si>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</si>
  <si>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</si>
  <si>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</si>
  <si>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</si>
  <si>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</si>
  <si>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</si>
  <si>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</si>
  <si>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</si>
  <si>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</si>
  <si>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</si>
  <si>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</si>
  <si>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</si>
  <si>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</si>
  <si>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</si>
  <si>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</si>
  <si>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</si>
  <si>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</si>
  <si>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</si>
  <si>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</si>
  <si>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</si>
  <si>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</si>
  <si>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</si>
  <si>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</si>
  <si>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</si>
  <si>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</si>
  <si>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</si>
  <si>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</si>
  <si>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</si>
  <si>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</si>
  <si>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</si>
  <si>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</si>
  <si>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</si>
  <si>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</si>
  <si>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</si>
  <si>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</si>
  <si>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</si>
  <si>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</si>
  <si>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</si>
  <si>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</si>
  <si>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</si>
  <si>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</si>
  <si>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</si>
  <si>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</si>
  <si>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</si>
  <si>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</si>
  <si>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</si>
  <si>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</si>
  <si>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</si>
  <si>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</si>
  <si>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</si>
  <si>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</si>
  <si>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</si>
  <si>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</si>
  <si>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</si>
  <si>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</si>
  <si>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</si>
  <si>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</si>
  <si>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</si>
  <si>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</si>
  <si>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</si>
  <si>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</si>
  <si>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</si>
  <si>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</si>
  <si>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</si>
  <si>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</si>
  <si>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</si>
  <si>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</si>
  <si>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</si>
  <si>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</si>
  <si>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</si>
  <si>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</si>
  <si>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</si>
  <si>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</si>
  <si>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</si>
  <si>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</si>
  <si>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</si>
  <si>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</si>
  <si>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</si>
  <si>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</si>
  <si>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</si>
  <si>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</si>
  <si>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</si>
  <si>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</si>
  <si>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</si>
  <si>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</si>
  <si>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</si>
  <si>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</si>
  <si>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</si>
  <si>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</si>
  <si>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</si>
  <si>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</si>
  <si>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</si>
  <si>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</si>
  <si>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</si>
  <si>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</si>
  <si>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</si>
  <si>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</si>
  <si>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</si>
  <si>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</si>
  <si>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</si>
  <si>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</si>
  <si>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</si>
  <si>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</si>
  <si>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</si>
  <si>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</si>
  <si>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</si>
  <si>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</si>
  <si>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</si>
  <si>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</si>
  <si>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</si>
  <si>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</si>
  <si>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</si>
  <si>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</si>
  <si>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</si>
  <si>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</si>
  <si>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</si>
  <si>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</si>
  <si>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</si>
  <si>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</si>
  <si>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</si>
  <si>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</si>
  <si>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</si>
  <si>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</si>
  <si>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</si>
  <si>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</si>
  <si>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</si>
  <si>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</si>
  <si>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</si>
  <si>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</si>
  <si>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</si>
  <si>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</si>
  <si>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</si>
  <si>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</si>
  <si>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</si>
  <si>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</si>
  <si>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</si>
  <si>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</si>
  <si>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</si>
  <si>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</si>
  <si>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</si>
  <si>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</si>
  <si>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</si>
  <si>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</si>
  <si>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</si>
  <si>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</si>
  <si>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</si>
  <si>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</si>
  <si>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</si>
  <si>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</si>
  <si>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</si>
  <si>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</si>
  <si>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</si>
  <si>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</si>
  <si>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</si>
  <si>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</si>
  <si>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ROLICO DE MADEIRA TRATADA, D = 4 A 7 CM, H = 3,00 M, EM EUCALIPTO OU EQUIVALENTE DA REGIAO                                                                                                                                                                                                                                                                                                                                                                                                         </t>
  </si>
  <si>
    <t xml:space="preserve">CAIBRO 5 X 5 CM EM PINUS, MISTA OU EQUIVALENTE DA REGIAO - BRUTA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</si>
  <si>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</si>
  <si>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</si>
  <si>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</si>
  <si>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</si>
  <si>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</si>
  <si>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</si>
  <si>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</si>
  <si>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</si>
  <si>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</si>
  <si>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</si>
  <si>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</si>
  <si>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</si>
  <si>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</si>
  <si>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</si>
  <si>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</si>
  <si>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</si>
  <si>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</si>
  <si>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</si>
  <si>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</si>
  <si>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</si>
  <si>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</si>
  <si>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</si>
  <si>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</si>
  <si>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</si>
  <si>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</si>
  <si>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</si>
  <si>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</si>
  <si>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</si>
  <si>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</si>
  <si>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</si>
  <si>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</si>
  <si>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</si>
  <si>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</si>
  <si>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</si>
  <si>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</si>
  <si>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</si>
  <si>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</si>
  <si>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</si>
  <si>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</si>
  <si>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</si>
  <si>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</si>
  <si>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</si>
  <si>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</si>
  <si>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</si>
  <si>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</si>
  <si>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</si>
  <si>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</si>
  <si>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</si>
  <si>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</si>
  <si>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</si>
  <si>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</si>
  <si>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</si>
  <si>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</si>
  <si>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</si>
  <si>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</si>
  <si>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</si>
  <si>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</si>
  <si>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</si>
  <si>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</si>
  <si>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</si>
  <si>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</si>
  <si>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</si>
  <si>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</si>
  <si>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</si>
  <si>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</si>
  <si>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</si>
  <si>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</si>
  <si>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</si>
  <si>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</si>
  <si>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</si>
  <si>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</si>
  <si>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</si>
  <si>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</si>
  <si>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</si>
  <si>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</si>
  <si>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</si>
  <si>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</si>
  <si>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</si>
  <si>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</si>
  <si>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</si>
  <si>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</si>
  <si>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</si>
  <si>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</si>
  <si>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</si>
  <si>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</si>
  <si>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</si>
  <si>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</si>
  <si>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</si>
  <si>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</si>
  <si>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</si>
  <si>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</si>
  <si>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</si>
  <si>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</si>
  <si>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</si>
  <si>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</si>
  <si>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</si>
  <si>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</si>
  <si>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</si>
  <si>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</si>
  <si>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</si>
  <si>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</si>
  <si>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</si>
  <si>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</si>
  <si>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</si>
  <si>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</si>
  <si>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</si>
  <si>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</si>
  <si>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</si>
  <si>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</si>
  <si>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</si>
  <si>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</si>
  <si>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</si>
  <si>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ACO ABAS IGUAIS (QUALQUER BITOLA), ESPESSURA ENTRE 1/8" E 1/4"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</si>
  <si>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</si>
  <si>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</si>
  <si>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</si>
  <si>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</si>
  <si>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</si>
  <si>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</si>
  <si>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</si>
  <si>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</si>
  <si>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</si>
  <si>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</si>
  <si>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</si>
  <si>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</si>
  <si>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</si>
  <si>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</si>
  <si>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</si>
  <si>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</si>
  <si>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</si>
  <si>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</si>
  <si>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</si>
  <si>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</si>
  <si>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</si>
  <si>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</si>
  <si>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</si>
  <si>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</si>
  <si>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</si>
  <si>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</si>
  <si>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</si>
  <si>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</si>
  <si>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</si>
  <si>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</si>
  <si>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</si>
  <si>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</si>
  <si>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</si>
  <si>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</si>
  <si>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</si>
  <si>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</si>
  <si>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</si>
  <si>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</si>
  <si>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</si>
  <si>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</si>
  <si>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</si>
  <si>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</si>
  <si>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</si>
  <si>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</si>
  <si>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</si>
  <si>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(MENSALISTA)                                                                                                                                                                                                                                                                                                                                                                                                                                                                         </t>
  </si>
  <si>
    <t xml:space="preserve">CARPINTEIRO DE ESQUADRIAS (MENSALISTA)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</si>
  <si>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</si>
  <si>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</si>
  <si>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</si>
  <si>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</si>
  <si>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</si>
  <si>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CERA LIQUIDA INCOLOR MULTIPISO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</si>
  <si>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</si>
  <si>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</si>
  <si>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</si>
  <si>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</si>
  <si>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</si>
  <si>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</si>
  <si>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</si>
  <si>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</si>
  <si>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</si>
  <si>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</si>
  <si>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</si>
  <si>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</si>
  <si>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</si>
  <si>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</si>
  <si>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</si>
  <si>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</si>
  <si>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</si>
  <si>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</si>
  <si>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</si>
  <si>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CONTRAMARCO DE ALUMINIO (PERFIL 25) PARA ESQUADRIAS, TIPO CONVENCIONAL / CADEIRINHA, 60 MM (CM-060), INCLUSO CONEXOES, GRAPAS E TRAVAMENTOS                                                                                                                                                                                                                                                                                                                                                               </t>
  </si>
  <si>
    <t xml:space="preserve">DENTE PARA  FRESADORA                                                                                                                                                                                                                                                                                                                                                                                                                                                                                     </t>
  </si>
  <si>
    <t xml:space="preserve">DESINFETANTE PRONTO USO                                                                                                                                                                                                                                                                                                                                                                                                                                                                                   </t>
  </si>
  <si>
    <t xml:space="preserve">DETERGENTE NEUTRO USO GERAL, CONCENTRADO                                                                                                                                                                                                                                                                                                                                                                                                                                                                  </t>
  </si>
  <si>
    <t xml:space="preserve">DILUENTE AGUARRAS                                                                                                                                                                                                                                                                                                                                                                                                                                                                                         </t>
  </si>
  <si>
    <t xml:space="preserve">DISCO DE BORRACHA PARA LIXADEIRA RIGIDO 7 " COM ARRUELA  CENTRAL                                                                                                                                                                                                                                                                                                                                                                                                                                          </t>
  </si>
  <si>
    <t xml:space="preserve">DISCO DE CORTE DIAMANTADO SEGMENTADO DIAMETRO DE 180 MM PARA ESMERILHADEIRA  7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</si>
  <si>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</si>
  <si>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</si>
  <si>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</si>
  <si>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DIVISORIA EM GRANITO, COM DUAS FACES POLIDAS, TIPO ANDORINHA/ QUARTZ/ CASTELO/ CORUMBA OU OUTROS EQUIVALENTES DA REGIAO, E=  *3,0*  CM                                                                                                                                                                                                                                                                                                                                                                    </t>
  </si>
  <si>
    <t xml:space="preserve">DUCHA / CHUVEIRO METALICO, DE PAREDE, ARTICULAVEL, COM BRACO/CANO, SEM DESVIADOR                                                                                                                                                                                                                                                                                                                                                                                                                          </t>
  </si>
  <si>
    <t xml:space="preserve">DUCHA / CHUVEIRO METALICO, DE PAREDE, ARTICULAVEL, COM DESVIADOR E DUCHA MANUAL                                                                                                                                                                                                                                                                                                                                                                                                                           </t>
  </si>
  <si>
    <t xml:space="preserve">ELEMENTO VAZADO CERAMICO QUADRADO (TIPO RETO OU REDONDO), *7 A 9 X 20 X 20* CM (L X A X C)                                                                                                                                                                                                                                                                                                                                                                                                                </t>
  </si>
  <si>
    <t xml:space="preserve">ESCOVA CIRCULAR EM ACO LATONADO, 6 X 1 " (DIAMETRO X ESPESSURA), FURO DE 1 1/4 ", FIO ONDULADO *0,30*  MM                                                                                                                                                                                                                                                                                                                                                                                                 </t>
  </si>
  <si>
    <t xml:space="preserve">FERTILIZANTE NPK -  10:10:10                                                                                                                                                                                                                                                                                                                                                                                                                                                                              </t>
  </si>
  <si>
    <t xml:space="preserve">FUNDO SINTETICO NIVELADOR BRANCO FOSCO PARA MADEIRA                                                                                                                                                                                                                                                                                                                                                                                                                                                       </t>
  </si>
  <si>
    <t xml:space="preserve">GESSO COLA, EM PO, PARA FIXACAO DE MOLDURAS, SANCAS E BLOCOS DE GESSO                                                                                                                                                                                                                                                                                                                                                                                                                                     </t>
  </si>
  <si>
    <t xml:space="preserve">GRANALHA DE ACO, ESFERICA (SHOT), PARA JATEAMENTO, PENEIRA 1,19 A 1,00 MM  (SAE S390)                                                                                                                                                                                                                                                                                                                                                                                                                     </t>
  </si>
  <si>
    <t xml:space="preserve">GRUPO GERADOR ESTACIONARIO SILENCIADO, POTENCIA 50 KVA, MOTOR  DIESEL                                                                                                                                                                                                                                                                                                                                                                                                                                     </t>
  </si>
  <si>
    <t xml:space="preserve">GRUPO GERADOR ESTACIONARIO, SILENCIADO, POTENCIA 180 KVA, MOTOR  DIESEL                                                                                                                                                                                                                                                                                                                                                                                                                                   </t>
  </si>
  <si>
    <t xml:space="preserve">GUARNICAO / MOLDURA / ARREMATE DE ACABAMENTO PARA ESQUADRIA, EM ALUMINIO PERFIL 25, ACABAMENTO ANODIZADO BRANCO OU BRILHANTE, PARA 1 FACE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</si>
  <si>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</si>
  <si>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</si>
  <si>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</si>
  <si>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IMPERMEABILIZANTE INCOLOR,  BASE SILICONE, PARA TRATAMENTO DE FACHADAS, TELHAS, PEDRAS E OUTRAS SUPERFICIES                                                                                                                                                                                                                                                                                                                                                                                               </t>
  </si>
  <si>
    <t xml:space="preserve">JANELA FIXA, EM ALUMINIO PERFIL 20, 60  X 80 CM (A X L), BATENTE/REQUADRO DE 3 A 14 CM, COM VIDRO 4 MM, SEM GUARNICAO/ALIZAR, ACABAMENTO ALUM BRANCO OU BRILHANTE                                                                                                                                                                                                                                                                                                                                         </t>
  </si>
  <si>
    <t xml:space="preserve">LIMPA VIDROS COM PULVERIZADOR                                                                                                                                                                                                                                                                                                                                                                                                                                                                             </t>
  </si>
  <si>
    <t xml:space="preserve">LIXA EM FOLHA PARA PAREDE OU MADEIRA, NUMERO 120, COR VERMELHA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</si>
  <si>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</si>
  <si>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</si>
  <si>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</si>
  <si>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</si>
  <si>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</si>
  <si>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</si>
  <si>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</si>
  <si>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</si>
  <si>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</si>
  <si>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</si>
  <si>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</si>
  <si>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</si>
  <si>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</si>
  <si>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</si>
  <si>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MASSA ACRILICA PARA SUPERFICIES INTERNAS E EXTERNAS                                                                                                                                                                                                                                                                                                                                                                                                                                                       </t>
  </si>
  <si>
    <t xml:space="preserve">MASSA CORRIDA PARA SUPERFICIES DE AMBIENTES INTERNOS                                                                                                                                                                                                                                                                                                                                                                                                                                                      </t>
  </si>
  <si>
    <t xml:space="preserve">MASSA PARA MADEIRA - INTERIOR E EXTERIOR                                                                                                                                                                                                                                                                                                                                                                                                                                                                  </t>
  </si>
  <si>
    <t xml:space="preserve">MASSA PREMIUM PARA TEXTURA LISA DE BASE ACRILICA, USO INTERNO E EXTERNO                                                                                                                                                                                                                                                                                                                                                                                                                                   </t>
  </si>
  <si>
    <t xml:space="preserve">MASSA PREMIUM PARA TEXTURA RUSTICA DE BASE ACRILICA, COR BRANCA, USO INTERNO E EXTERNO                                                                                                                                                                                                                                                                                                                                                                                                                    </t>
  </si>
  <si>
    <t xml:space="preserve">MICROESFERAS DE VIDRO PARA SINALIZACAO HORIZONTAL VIARIA, TIPO I-B (PREMIX) - NBR  16184                                                                                                                                                                                                                                                                                                                                                                                                                  </t>
  </si>
  <si>
    <t xml:space="preserve">MICROESFERAS DE VIDRO PARA SINALIZACAO HORIZONTAL VIARIA, TIPO II-A (DROP-ON) - NBR  16184                                                                                                                                                                                                                                                                                                                                                                                                                </t>
  </si>
  <si>
    <t xml:space="preserve">MONTADOR DE ESTRUTURAS METALICAS HORISTA                                                                                                                                                                                                                                                                                                                                                                                                                                                                  </t>
  </si>
  <si>
    <t xml:space="preserve">PAR DE TABELAS DE BASQUETE EM COMPENSADO NAVAL, OFICIAL, 1800 X 1200 MM, INCLUINDO ARO DE METAL E REDE EM POLIPROPILENO 100% (SEM SUPORTE DE FIXACAO)                                                                                                                                                                                                                                                                                                                                                     </t>
  </si>
  <si>
    <t xml:space="preserve">PERFIL LONGARINA (PRINCIPAL), T CLICADO, EM ACO, BRANCO NAS FACES APARENTES, PARA FORRO REMOVIVEL, 24 X 32 X 3750 MM (L X H X C                                                                                                                                                                                                                                                                                                                                                                           </t>
  </si>
  <si>
    <t xml:space="preserve">PISO EM GRANITO, POLIDO, TIPO MARFIM, DALLAS, CARAVELAS OU OUTROS EQUIVALENTES DA REGIAO, FORMATO MENOR OU IGUAL A 3025 CM2, E=  *2*CM                                                                                                                                                                                                                                                                                                                                                                    </t>
  </si>
  <si>
    <t xml:space="preserve">PISO/ REVESTIMENTO EM GRANITO, POLIDO, TIPO ANDORINHA/ QUARTZ/ CASTELO/ CORUMBA OU OUTROS EQUIVALENTES DA REGIAO, FORMATO MAIOR OU IGUAL A 3025 CM2, E = *2*CM                                                                                                                                                                                                                                                                                                                                            </t>
  </si>
  <si>
    <t xml:space="preserve">PLACA / CHAPA DE GESSO ACARTONADO, RESISTENTE A UMIDADE (RU), COR VERDE, E = 15 MM, 1200 X 2400 MM (L X C)                                                                                                                                                                                                                                                                                                                                                                                                </t>
  </si>
  <si>
    <t xml:space="preserve">PLACA / CHAPA DE GESSO ACARTONADO, RESISTENTE AO FOGO (RF), COR ROSA, E = 15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</si>
  <si>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</si>
  <si>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</si>
  <si>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</si>
  <si>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OBRA (PARA CONSTRUCAO CIVIL) EM CHAPA GALVANIZADA *N. 22*, ADESIVADA, DE *2,4 X 1,2* M (SEM POSTES PARA FIXACAO)                                                                                                                                                                                                                                                                                                                                                                                 </t>
  </si>
  <si>
    <t xml:space="preserve">PONTEIRO PARA MARTELO ROMPEDOR, DIAMETRO = *28* MM, COMPRIMENTO = *520* MM, ENCAIXE  SEXTAVADO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</si>
  <si>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</si>
  <si>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</si>
  <si>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</si>
  <si>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DENTE PARA  FRESADORA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</si>
  <si>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</si>
  <si>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</si>
  <si>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</si>
  <si>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</si>
  <si>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</si>
  <si>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</si>
  <si>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</si>
  <si>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</si>
  <si>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</si>
  <si>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</si>
  <si>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</si>
  <si>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</si>
  <si>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</si>
  <si>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</si>
  <si>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</si>
  <si>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</si>
  <si>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</si>
  <si>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</si>
  <si>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</si>
  <si>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</si>
  <si>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</si>
  <si>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</si>
  <si>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</si>
  <si>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</si>
  <si>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</si>
  <si>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</si>
  <si>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</si>
  <si>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</si>
  <si>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</si>
  <si>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</si>
  <si>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</si>
  <si>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</si>
  <si>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</si>
  <si>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</si>
  <si>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</si>
  <si>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</si>
  <si>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</si>
  <si>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</si>
  <si>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</si>
  <si>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</si>
  <si>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</si>
  <si>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</si>
  <si>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</si>
  <si>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</si>
  <si>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</si>
  <si>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</si>
  <si>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</si>
  <si>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</si>
  <si>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</si>
  <si>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</si>
  <si>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</si>
  <si>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</si>
  <si>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POZOLANA DE CLASSE  C                                                                                                                                                                                                                                                                                                                                                                                                                                                                                     </t>
  </si>
  <si>
    <t xml:space="preserve">PRIMER EPOXI / EPOXIDICO                                                                                                                                                                                                                                                                                                                                                                                                                                                                                  </t>
  </si>
  <si>
    <t xml:space="preserve">REBOLO ABRASIVO RETO DE USO GERAL GRAO 36, DE 6 X 1 " ( DIAMETRO X ALTURA)                                                                                                                                                                                                                                                                                                                                                                                                                                </t>
  </si>
  <si>
    <t xml:space="preserve">RESINA ACRILICA PREMIUM BASE AGUA - COR BRANCA                                                                                                                                                                                                                                                                                                                                                                                                                                                            </t>
  </si>
  <si>
    <t xml:space="preserve">SILICA ATIVA PARA ADICAO EM CONCRETO E  ARGAMASSA                                                                                                                                                                                                                                                                                                                                                                                                                                                         </t>
  </si>
  <si>
    <t xml:space="preserve">TARIFA "A" ENTRE  0 E 20M3 FORNECIMENTO  D'AGUA                                                                                                                                                                                                                                                                                                                                                                                                                                                           </t>
  </si>
  <si>
    <t xml:space="preserve">TARUGO DELIMITADOR DE PROFUNDIDADE EM ESPUMA DE POLIETILENO DE BAIXA DENSIDADE 10 MM, CINZA                                                                                                                                                                                                                                                                                                                                                                                                               </t>
  </si>
  <si>
    <t xml:space="preserve">TELA DE ANIAGEM ( JUTA)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</si>
  <si>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</si>
  <si>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TINTA LATEX ACRILICA PREMIUM, COR BRANCO FOSCO                                                                                                                                                                                                                                                                                                                                                                                                                                                            </t>
  </si>
  <si>
    <t xml:space="preserve">TINTA LATEX ACRILICA SUPER PREMIUM, COR BRANCO FOSCO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</si>
  <si>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</si>
  <si>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</si>
  <si>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</si>
  <si>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</si>
  <si>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</si>
  <si>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</si>
  <si>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</si>
  <si>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</si>
  <si>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</si>
  <si>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</si>
  <si>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</si>
  <si>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</si>
  <si>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</si>
  <si>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</si>
  <si>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</si>
  <si>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</si>
  <si>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</si>
  <si>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</si>
  <si>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</si>
  <si>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</si>
  <si>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</si>
  <si>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</si>
  <si>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REVESTIMENTO, EM ACO, CORPO SCHEDULE 40, PONTEIRA SCHEDULE 80, ROSQUEAVEL E SEGMENTADO PARA PERFURACAO, DIAMETRO 8'' (200 MM)                                                                                                                                                                                                                                                                                                                                                                     </t>
  </si>
  <si>
    <t xml:space="preserve">USINA DE ASFALTO, GRAVIMETRICA, CAPACIDADE DE 150 T/H, POTENCIA DE 400  KW                                                                                                                                                                                                                                                                                                                                                                                                                                </t>
  </si>
  <si>
    <t xml:space="preserve">VALVULA DE ESCOAMENTO PARA TANQUE, EM METAL CROMADO, 1.1/2 ", SEM LADRAO, COM TAMPAO PLASTICO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</si>
  <si>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</si>
  <si>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</si>
  <si>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</si>
  <si>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VIBROACABADORA DE ASFALTO SOBRE ESTEIRAS, LARG. PAVIM. MAX. 8,00 M, POT. 100 KW/ 134 HP, CAP.  600 T/ H                                                                                                                                                                                                                                                                                                                                                                                                   </t>
  </si>
  <si>
    <t xml:space="preserve">VIBROACABADORA DE ASFALTO SOBRE ESTEIRAS, LARG. PAVIM. 2,13 M A 4,55 M, POT. 74 KW/ 100 HP, CAP. 400  T/ H                                                                                                                                                                                                                                                                                                                                                                                                </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</si>
  <si>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</si>
  <si>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</si>
  <si>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</si>
  <si>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</si>
  <si>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</si>
  <si>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</si>
  <si>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</si>
  <si>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</si>
  <si>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</si>
  <si>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</si>
  <si>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</si>
  <si>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</si>
  <si>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</si>
  <si>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</si>
  <si>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</si>
  <si>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</si>
  <si>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</si>
  <si>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</si>
  <si>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</si>
  <si>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</si>
  <si>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</si>
  <si>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</si>
  <si>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</si>
  <si>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</si>
  <si>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</si>
  <si>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</si>
  <si>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</si>
  <si>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</si>
  <si>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</si>
  <si>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</si>
  <si>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</si>
  <si>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</si>
  <si>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</si>
  <si>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</si>
  <si>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</si>
  <si>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</si>
  <si>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</si>
  <si>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</si>
  <si>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</si>
  <si>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</si>
  <si>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</si>
  <si>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</si>
  <si>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</si>
  <si>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</si>
  <si>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</si>
  <si>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</si>
  <si>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</si>
  <si>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</si>
  <si>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</si>
  <si>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</si>
  <si>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</si>
  <si>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</si>
  <si>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</si>
  <si>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</si>
  <si>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</si>
  <si>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</si>
  <si>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</si>
  <si>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</si>
  <si>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</si>
  <si>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</si>
  <si>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</si>
  <si>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</si>
  <si>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</si>
  <si>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</si>
  <si>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</si>
  <si>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</si>
  <si>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</si>
  <si>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</si>
  <si>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</si>
  <si>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</si>
  <si>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</si>
  <si>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</si>
  <si>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</si>
  <si>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</si>
  <si>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</si>
  <si>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</si>
  <si>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</si>
  <si>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</si>
  <si>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</si>
  <si>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</si>
  <si>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</si>
  <si>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</si>
  <si>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</si>
  <si>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</si>
  <si>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</si>
  <si>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</si>
  <si>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</si>
  <si>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</si>
  <si>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</si>
  <si>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</si>
  <si>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</si>
  <si>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</si>
  <si>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</si>
  <si>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</si>
  <si>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</si>
  <si>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</si>
  <si>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</si>
  <si>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</si>
  <si>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</si>
  <si>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</si>
  <si>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</si>
  <si>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</si>
  <si>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</si>
  <si>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</si>
  <si>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</si>
  <si>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</si>
  <si>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</si>
  <si>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</si>
  <si>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</si>
  <si>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</si>
  <si>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</si>
  <si>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</si>
  <si>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</si>
  <si>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</si>
  <si>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</si>
  <si>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</si>
  <si>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</si>
  <si>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</si>
  <si>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</si>
  <si>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</si>
  <si>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</si>
  <si>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</si>
  <si>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</si>
  <si>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</si>
  <si>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</si>
  <si>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</si>
  <si>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</si>
  <si>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</si>
  <si>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</si>
  <si>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</si>
  <si>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</si>
  <si>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</si>
  <si>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</si>
  <si>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</si>
  <si>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</si>
  <si>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</si>
  <si>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</si>
  <si>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</si>
  <si>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</si>
  <si>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</si>
  <si>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</si>
  <si>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</si>
  <si>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</si>
  <si>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</si>
  <si>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</si>
  <si>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</si>
  <si>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</si>
  <si>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</si>
  <si>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</si>
  <si>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</si>
  <si>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</si>
  <si>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</si>
  <si>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</si>
  <si>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</si>
  <si>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</si>
  <si>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</si>
  <si>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</si>
  <si>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</si>
  <si>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</si>
  <si>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</si>
  <si>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</si>
  <si>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PINTOR (LETRISTA) - (SINTRACONST)</t>
  </si>
  <si>
    <t>QUADRO BRANCO QUADRICULADO PADRAO SEDU 3.95X1.29M</t>
  </si>
  <si>
    <t>Placa de obra nas dimensões de 2.0 x 4.0 m, padrão DER</t>
  </si>
  <si>
    <t>16.2</t>
  </si>
  <si>
    <t>18.1</t>
  </si>
  <si>
    <t>18.2</t>
  </si>
  <si>
    <t>Ducha manual higiênica, plástica, com registro metálico</t>
  </si>
  <si>
    <t>UNDIDADE</t>
  </si>
  <si>
    <t>PRANCHA</t>
  </si>
  <si>
    <t>Tubo VDE com joelho 90° (azul) para válvula de descarga, Dn 38 mm</t>
  </si>
  <si>
    <t>Terminal de ventilação, Dn 100 mm, série normal, esgoto predial, fornecido e instalado</t>
  </si>
  <si>
    <t>Junção simples, PVC, série normal, Dn 100 x 50 mm, junta elástica, fornecido e instalado</t>
  </si>
  <si>
    <t>1.9</t>
  </si>
  <si>
    <t>Placa de inauguração</t>
  </si>
  <si>
    <t>ASSUNTO</t>
  </si>
  <si>
    <t>SUPRAESTRUTURA</t>
  </si>
  <si>
    <t>Ligação provisória</t>
  </si>
  <si>
    <t>1.10</t>
  </si>
  <si>
    <t>Refeitório</t>
  </si>
  <si>
    <t>Depósito</t>
  </si>
  <si>
    <t>1.11</t>
  </si>
  <si>
    <t>1.12</t>
  </si>
  <si>
    <t>MOVIMENTAÇÃO DE TERRA PARA FUNDAÇÕES</t>
  </si>
  <si>
    <t>Vol. (m³)</t>
  </si>
  <si>
    <t>Conforme projeto</t>
  </si>
  <si>
    <t>4.1.1</t>
  </si>
  <si>
    <t>4.1.2</t>
  </si>
  <si>
    <t>4.1.3</t>
  </si>
  <si>
    <t>4.1.4</t>
  </si>
  <si>
    <t>4.2.1</t>
  </si>
  <si>
    <t>4.2.2</t>
  </si>
  <si>
    <t>4.2.3</t>
  </si>
  <si>
    <t>4.2.4</t>
  </si>
  <si>
    <t>ELEMENTOS VAZADOS</t>
  </si>
  <si>
    <t>5.1.1</t>
  </si>
  <si>
    <t>5.2.1</t>
  </si>
  <si>
    <t>5.3</t>
  </si>
  <si>
    <t>5.3.1</t>
  </si>
  <si>
    <t>6.1.1</t>
  </si>
  <si>
    <t>FERRAGENS E ACESSÓRIOS</t>
  </si>
  <si>
    <t>6.2.1</t>
  </si>
  <si>
    <t>6.2.2</t>
  </si>
  <si>
    <t>6.3</t>
  </si>
  <si>
    <t>6.3.1</t>
  </si>
  <si>
    <t>6.3.2</t>
  </si>
  <si>
    <t>SISTEMAS DE COBERTURA</t>
  </si>
  <si>
    <t>7.3</t>
  </si>
  <si>
    <t>REVESTIMENTOS INTERNO E EXTERNO</t>
  </si>
  <si>
    <t>SISTEMAS DE PISOS</t>
  </si>
  <si>
    <t>PAVIMENTAÇÃO INTERNA</t>
  </si>
  <si>
    <t>10.1.1</t>
  </si>
  <si>
    <t>10.1.2</t>
  </si>
  <si>
    <t>10.2.1</t>
  </si>
  <si>
    <t>10.2.2</t>
  </si>
  <si>
    <t>10.2.3</t>
  </si>
  <si>
    <t>10.2.4</t>
  </si>
  <si>
    <t>11.1.1</t>
  </si>
  <si>
    <t>11.1.2</t>
  </si>
  <si>
    <t>11.2.1</t>
  </si>
  <si>
    <t>12.3</t>
  </si>
  <si>
    <t>DRENAGEM DE ÁGUAS PLUVIAIS</t>
  </si>
  <si>
    <t>TUBULAÇÕES E CONEXÕES DE PVC</t>
  </si>
  <si>
    <t>TUBULAÇÕES E CONEXÕES</t>
  </si>
  <si>
    <t>14.1.1</t>
  </si>
  <si>
    <t>14.1.2</t>
  </si>
  <si>
    <t>14.1.3</t>
  </si>
  <si>
    <t>14.1.4</t>
  </si>
  <si>
    <t>14.1.5</t>
  </si>
  <si>
    <t>14.1.6</t>
  </si>
  <si>
    <t>14.2.1</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</si>
  <si>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</si>
  <si>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</si>
  <si>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</si>
  <si>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</si>
  <si>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</si>
  <si>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</si>
  <si>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</si>
  <si>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</si>
  <si>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</si>
  <si>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</si>
  <si>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</si>
  <si>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</si>
  <si>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</si>
  <si>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</si>
  <si>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</si>
  <si>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</si>
  <si>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</si>
  <si>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</si>
  <si>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</si>
  <si>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</si>
  <si>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</si>
  <si>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</si>
  <si>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</si>
  <si>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</si>
  <si>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</si>
  <si>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</si>
  <si>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</si>
  <si>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</si>
  <si>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</si>
  <si>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</si>
  <si>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</si>
  <si>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</si>
  <si>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</si>
  <si>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</si>
  <si>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</si>
  <si>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</si>
  <si>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</si>
  <si>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</si>
  <si>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</si>
  <si>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</si>
  <si>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</si>
  <si>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</si>
  <si>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</si>
  <si>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</si>
  <si>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</si>
  <si>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</si>
  <si>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</si>
  <si>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</si>
  <si>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</si>
  <si>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</si>
  <si>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</si>
  <si>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</si>
  <si>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</si>
  <si>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</si>
  <si>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</si>
  <si>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</si>
  <si>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</si>
  <si>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</si>
  <si>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</si>
  <si>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</si>
  <si>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</si>
  <si>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</si>
  <si>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</si>
  <si>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</si>
  <si>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</si>
  <si>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</si>
  <si>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</si>
  <si>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</si>
  <si>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</si>
  <si>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</si>
  <si>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</si>
  <si>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</si>
  <si>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</si>
  <si>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</si>
  <si>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</si>
  <si>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</si>
  <si>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</si>
  <si>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</si>
  <si>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</si>
  <si>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</si>
  <si>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</si>
  <si>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</si>
  <si>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</si>
  <si>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</si>
  <si>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</si>
  <si>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</si>
  <si>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</si>
  <si>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</si>
  <si>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</si>
  <si>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</si>
  <si>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</si>
  <si>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</si>
  <si>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</si>
  <si>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</si>
  <si>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</si>
  <si>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</si>
  <si>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</si>
  <si>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</si>
  <si>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</si>
  <si>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</si>
  <si>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</si>
  <si>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</si>
  <si>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</si>
  <si>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</si>
  <si>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</si>
  <si>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</si>
  <si>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</si>
  <si>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</si>
  <si>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</si>
  <si>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</si>
  <si>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</si>
  <si>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</si>
  <si>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</si>
  <si>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</si>
  <si>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</si>
  <si>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</si>
  <si>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</si>
  <si>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</si>
  <si>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</si>
  <si>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</si>
  <si>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</si>
  <si>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</si>
  <si>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</si>
  <si>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</si>
  <si>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</si>
  <si>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</si>
  <si>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</si>
  <si>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</si>
  <si>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</si>
  <si>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</si>
  <si>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</si>
  <si>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</si>
  <si>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</si>
  <si>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</si>
  <si>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</si>
  <si>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</si>
  <si>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</si>
  <si>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</si>
  <si>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</si>
  <si>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</si>
  <si>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</si>
  <si>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</si>
  <si>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</si>
  <si>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</si>
  <si>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</si>
  <si>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</si>
  <si>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</si>
  <si>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</si>
  <si>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</si>
  <si>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</si>
  <si>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</si>
  <si>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</si>
  <si>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</si>
  <si>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</si>
  <si>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</si>
  <si>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</si>
  <si>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</si>
  <si>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</si>
  <si>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</si>
  <si>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</si>
  <si>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</si>
  <si>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</si>
  <si>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</si>
  <si>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</si>
  <si>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</si>
  <si>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16.3</t>
  </si>
  <si>
    <t>16.4</t>
  </si>
  <si>
    <t>SISTEMA DE PROTEÇÃO CONTRA INCÊNDIO</t>
  </si>
  <si>
    <t>17.1.1</t>
  </si>
  <si>
    <t>EXTINTOR</t>
  </si>
  <si>
    <t>17.2.1</t>
  </si>
  <si>
    <t>17.2.2</t>
  </si>
  <si>
    <t>17.2.3</t>
  </si>
  <si>
    <t>17.2.4</t>
  </si>
  <si>
    <t>17.3</t>
  </si>
  <si>
    <t>17.3.1</t>
  </si>
  <si>
    <t>17.3.2</t>
  </si>
  <si>
    <t>METAIS</t>
  </si>
  <si>
    <t>FERRO MALEÁVEL CLASSE 10</t>
  </si>
  <si>
    <t>HIDRANTES</t>
  </si>
  <si>
    <t>17.5</t>
  </si>
  <si>
    <t>17.4</t>
  </si>
  <si>
    <t>17.4.1</t>
  </si>
  <si>
    <t>17.4.2</t>
  </si>
  <si>
    <t>17.5.1</t>
  </si>
  <si>
    <t>17.5.2</t>
  </si>
  <si>
    <t>17.5.3</t>
  </si>
  <si>
    <t>OUTROS</t>
  </si>
  <si>
    <t>INSTALAÇÃO ELÉTRICA - 220 V</t>
  </si>
  <si>
    <t>18.1.1</t>
  </si>
  <si>
    <t>18.1.2</t>
  </si>
  <si>
    <t>18.1.3</t>
  </si>
  <si>
    <t>18.1.4</t>
  </si>
  <si>
    <t>18.1.5</t>
  </si>
  <si>
    <t>18.2.1</t>
  </si>
  <si>
    <t>18.2.2</t>
  </si>
  <si>
    <t>18.2.3</t>
  </si>
  <si>
    <t>18.2.4</t>
  </si>
  <si>
    <t>18.2.5</t>
  </si>
  <si>
    <t>18.2.6</t>
  </si>
  <si>
    <t>18.2.7</t>
  </si>
  <si>
    <t>18.2.8</t>
  </si>
  <si>
    <t>19.3</t>
  </si>
  <si>
    <t>19.4</t>
  </si>
  <si>
    <t>19.5</t>
  </si>
  <si>
    <t>19.6</t>
  </si>
  <si>
    <t>19.7</t>
  </si>
  <si>
    <t>19.8</t>
  </si>
  <si>
    <t>SISTEMA DE PROTEÇÃO CONTRA DESCARGAS ATMOSFÉRICAS (SPDA)</t>
  </si>
  <si>
    <t>18.3</t>
  </si>
  <si>
    <t>ELETRODUTOS E ACESSÓRIOS</t>
  </si>
  <si>
    <t>18.3.1</t>
  </si>
  <si>
    <t>18.3.2</t>
  </si>
  <si>
    <t>18.3.3</t>
  </si>
  <si>
    <t>18.3.4</t>
  </si>
  <si>
    <t>18.3.5</t>
  </si>
  <si>
    <t>18.3.6</t>
  </si>
  <si>
    <t>18.3.7</t>
  </si>
  <si>
    <t>18.3.8</t>
  </si>
  <si>
    <t>18.4.1</t>
  </si>
  <si>
    <t>18.4</t>
  </si>
  <si>
    <t>18.4.2</t>
  </si>
  <si>
    <t>18.4.3</t>
  </si>
  <si>
    <t>18.4.4</t>
  </si>
  <si>
    <t>18.4.5</t>
  </si>
  <si>
    <t>18.4.6</t>
  </si>
  <si>
    <t>18.4.7</t>
  </si>
  <si>
    <t>18.4.8</t>
  </si>
  <si>
    <t>18.4.9</t>
  </si>
  <si>
    <t>18.5.1</t>
  </si>
  <si>
    <t>18.5.2</t>
  </si>
  <si>
    <t>18.5.3</t>
  </si>
  <si>
    <t>18.5</t>
  </si>
  <si>
    <t>18.5.4</t>
  </si>
  <si>
    <t>18.5.5</t>
  </si>
  <si>
    <t>18.5.6</t>
  </si>
  <si>
    <t>18.5.7</t>
  </si>
  <si>
    <t>ILUMINAÇÃO E TOMADAS</t>
  </si>
  <si>
    <t>20.2</t>
  </si>
  <si>
    <t>20.3</t>
  </si>
  <si>
    <t>21.2</t>
  </si>
  <si>
    <t>Larg. (m)</t>
  </si>
  <si>
    <t>Alt. (m)</t>
  </si>
  <si>
    <t>Per. (m)</t>
  </si>
  <si>
    <t>PORTAS DE FERRO</t>
  </si>
  <si>
    <t>CALÇADA CIDADÃ</t>
  </si>
  <si>
    <t>TETO</t>
  </si>
  <si>
    <t>VIDROS/ ESPELHOS</t>
  </si>
  <si>
    <t>PILARES</t>
  </si>
  <si>
    <t>2.3</t>
  </si>
  <si>
    <t>2.4</t>
  </si>
  <si>
    <t>Esp. (m)</t>
  </si>
  <si>
    <t>VIGAS BALDRAMES</t>
  </si>
  <si>
    <t>LAJE</t>
  </si>
  <si>
    <t>4.2.5</t>
  </si>
  <si>
    <t>PAREDES INTERNAS</t>
  </si>
  <si>
    <t>PAREDES EXTERNAS</t>
  </si>
  <si>
    <t>01</t>
  </si>
  <si>
    <t>ARQUITETURA</t>
  </si>
  <si>
    <t>11.2.2</t>
  </si>
  <si>
    <t>11.2.3</t>
  </si>
  <si>
    <t>3.4</t>
  </si>
  <si>
    <t>12.4</t>
  </si>
  <si>
    <t>CÓD.: 93205_CINTA DE AMARRAÇÃO DE ALVENARIA MOLDADA IN LOCO COM UTILIZAÇÃO DE BLOCOS CANALETA. AF_03/2016</t>
  </si>
  <si>
    <t>VERGAS E CONTRAVERGAS E AMARRAÇÕES</t>
  </si>
  <si>
    <t>5.2.2</t>
  </si>
  <si>
    <t>Lateral esquerda</t>
  </si>
  <si>
    <t>ACESSÓRIOS</t>
  </si>
  <si>
    <t>5.2.3</t>
  </si>
  <si>
    <t>7.4</t>
  </si>
  <si>
    <t>CÓD.: 95547_SABONETEIRA PLÁSTICA TIPO DISPENSER PARA SABONETE LÍQUIDO COM RESERVATÓRIO 800 A 1500 ML, INCLUSO FIXAÇÃO. AF_01/2020</t>
  </si>
  <si>
    <t>Toalheiro plástico tipo dispenser para papel toalha interfolhado, inclusive fixação</t>
  </si>
  <si>
    <t>QUADRA POLIESPORTIVA DE MASCARENHAS</t>
  </si>
  <si>
    <t>SAPATAS</t>
  </si>
  <si>
    <t>5.1.2</t>
  </si>
  <si>
    <t>5.1.3</t>
  </si>
  <si>
    <t>5.1.4</t>
  </si>
  <si>
    <t>5.2.4</t>
  </si>
  <si>
    <t>7.1.1</t>
  </si>
  <si>
    <t>7.2.1</t>
  </si>
  <si>
    <t>7.2.2</t>
  </si>
  <si>
    <t>7.3.1</t>
  </si>
  <si>
    <t>7.4.1</t>
  </si>
  <si>
    <t>7.4.2</t>
  </si>
  <si>
    <t>8.2</t>
  </si>
  <si>
    <t>10.3</t>
  </si>
  <si>
    <t>10.3.1</t>
  </si>
  <si>
    <t>10.3.2</t>
  </si>
  <si>
    <t>ALAMBRADO</t>
  </si>
  <si>
    <t>11.2.4</t>
  </si>
  <si>
    <t>12.1.1</t>
  </si>
  <si>
    <t>12.1.2</t>
  </si>
  <si>
    <t>12.1.3</t>
  </si>
  <si>
    <t>12.2.1</t>
  </si>
  <si>
    <t>12.2.2</t>
  </si>
  <si>
    <t>12.3.1</t>
  </si>
  <si>
    <t>12.3.2</t>
  </si>
  <si>
    <t>12.3.3</t>
  </si>
  <si>
    <t>13.3</t>
  </si>
  <si>
    <t>13.4</t>
  </si>
  <si>
    <t>13.5</t>
  </si>
  <si>
    <t>CAIXAS</t>
  </si>
  <si>
    <t>15.1.1</t>
  </si>
  <si>
    <t>15.1.2</t>
  </si>
  <si>
    <t>15.1.3</t>
  </si>
  <si>
    <t>15.1.4</t>
  </si>
  <si>
    <t>15.1.5</t>
  </si>
  <si>
    <t>15.1.6</t>
  </si>
  <si>
    <t>15.1.7</t>
  </si>
  <si>
    <t>15.1.8</t>
  </si>
  <si>
    <t>15.1.9</t>
  </si>
  <si>
    <t>15.1.10</t>
  </si>
  <si>
    <t>15.1.11</t>
  </si>
  <si>
    <t>15.1.12</t>
  </si>
  <si>
    <t>15.1.13</t>
  </si>
  <si>
    <t>15.1.14</t>
  </si>
  <si>
    <t>15.1.15</t>
  </si>
  <si>
    <t>15.1.16</t>
  </si>
  <si>
    <t>15.1.17</t>
  </si>
  <si>
    <t>15.1.18</t>
  </si>
  <si>
    <t>16.1.1</t>
  </si>
  <si>
    <t>16.1.2</t>
  </si>
  <si>
    <t>16.1.3</t>
  </si>
  <si>
    <t>16.1.4</t>
  </si>
  <si>
    <t>16.2.1</t>
  </si>
  <si>
    <t>16.2.2</t>
  </si>
  <si>
    <t>16.2.3</t>
  </si>
  <si>
    <t>16.2.4</t>
  </si>
  <si>
    <t>16.2.5</t>
  </si>
  <si>
    <t>16.3.1</t>
  </si>
  <si>
    <t>16.3.2</t>
  </si>
  <si>
    <t>16.3.3</t>
  </si>
  <si>
    <t>16.4.1</t>
  </si>
  <si>
    <t>16.4.2</t>
  </si>
  <si>
    <t>16.4.3</t>
  </si>
  <si>
    <t>16.4.4</t>
  </si>
  <si>
    <t>16.4.5</t>
  </si>
  <si>
    <t>16.4.6</t>
  </si>
  <si>
    <t>16.4.7</t>
  </si>
  <si>
    <t>16.4.8</t>
  </si>
  <si>
    <t>16.4.9</t>
  </si>
  <si>
    <t>16.4.10</t>
  </si>
  <si>
    <t>EQUIPAMENTOS ESPORTIVOS</t>
  </si>
  <si>
    <t>20.4</t>
  </si>
  <si>
    <t>20.5</t>
  </si>
  <si>
    <t>20.6</t>
  </si>
  <si>
    <t>Lateral direita_divisa casa</t>
  </si>
  <si>
    <t>Frente</t>
  </si>
  <si>
    <t>Fundos</t>
  </si>
  <si>
    <t>PISO</t>
  </si>
  <si>
    <t>12.4.1</t>
  </si>
  <si>
    <t>12.4.2</t>
  </si>
  <si>
    <t>Pintura de faixas</t>
  </si>
  <si>
    <t>Cor - VERDE</t>
  </si>
  <si>
    <t>15.2.1</t>
  </si>
  <si>
    <t>6.4</t>
  </si>
  <si>
    <t>6.4.1</t>
  </si>
  <si>
    <t>Alambrado com tela losangular de arame fio 12, malha 7,5 x 7,5 cm, revestida em PVC, com tubo de ferro galvanizado de 2" (60,30 x 3,75 mm), pintados com esmalte sintético sobre fundo anticorrosivo</t>
  </si>
  <si>
    <t>Qtd. (pçs)</t>
  </si>
  <si>
    <t>Almoxarifado</t>
  </si>
  <si>
    <t>Sanitário feminino</t>
  </si>
  <si>
    <t>Sanitário masculino</t>
  </si>
  <si>
    <t>Camarim</t>
  </si>
  <si>
    <t>Sanitário (camarim)</t>
  </si>
  <si>
    <t>TOTAL DE BLOCOS:</t>
  </si>
  <si>
    <t>PÇS</t>
  </si>
  <si>
    <t>Fachada frontal</t>
  </si>
  <si>
    <t>Fachada lateral</t>
  </si>
  <si>
    <t>Laterais</t>
  </si>
  <si>
    <t>Palco</t>
  </si>
  <si>
    <t>Cor - VERMELHO</t>
  </si>
  <si>
    <t>Meses</t>
  </si>
  <si>
    <t>1.13</t>
  </si>
  <si>
    <t>Sanitário</t>
  </si>
  <si>
    <t xml:space="preserve">Sanitário </t>
  </si>
  <si>
    <t>SAPATAS:</t>
  </si>
  <si>
    <t>Locação com topografia</t>
  </si>
  <si>
    <t>P1=P2</t>
  </si>
  <si>
    <t>P11=P12=P13=P14=P15=P16=P17=P18=P25=P26=P27=P28=P29=P30=P31=P32</t>
  </si>
  <si>
    <t>V1</t>
  </si>
  <si>
    <t>PA1 - 60 X 180</t>
  </si>
  <si>
    <t>Divisórias sanitários</t>
  </si>
  <si>
    <t>Localização</t>
  </si>
  <si>
    <t>PA2 - 80 x 210</t>
  </si>
  <si>
    <t>PA3 - 90 x 210</t>
  </si>
  <si>
    <t>Vestiário 1</t>
  </si>
  <si>
    <t>Vestiário 2</t>
  </si>
  <si>
    <t>Sanitário PNE</t>
  </si>
  <si>
    <t>Sanitário camarim</t>
  </si>
  <si>
    <t>Circulação/ vestiários</t>
  </si>
  <si>
    <t>Circulação/ sanitários</t>
  </si>
  <si>
    <t>Idem item 12.1.1</t>
  </si>
  <si>
    <t>Grelha metálica - piso quadra</t>
  </si>
  <si>
    <t>Piso quadra e circulações</t>
  </si>
  <si>
    <t>L202</t>
  </si>
  <si>
    <t>L204</t>
  </si>
  <si>
    <t>L205</t>
  </si>
  <si>
    <t>L206</t>
  </si>
  <si>
    <t>L207</t>
  </si>
  <si>
    <t>L208</t>
  </si>
  <si>
    <t>L101</t>
  </si>
  <si>
    <t>Sanitários</t>
  </si>
  <si>
    <t>COBERTURA QUADRA</t>
  </si>
  <si>
    <t>8.1.1</t>
  </si>
  <si>
    <t>8.1.2</t>
  </si>
  <si>
    <t>8.1.3</t>
  </si>
  <si>
    <t>8.1.4</t>
  </si>
  <si>
    <t>8.2.1</t>
  </si>
  <si>
    <t>Idem item 10.1.1</t>
  </si>
  <si>
    <t>Descontos</t>
  </si>
  <si>
    <t>12.4.3</t>
  </si>
  <si>
    <t>Piso (m²)</t>
  </si>
  <si>
    <t>Parede (m²)</t>
  </si>
  <si>
    <t>IMPLANTAÇÃO E PLANTA BAIXA GERAL</t>
  </si>
  <si>
    <t>Chumbadores</t>
  </si>
  <si>
    <t>Chapa de base</t>
  </si>
  <si>
    <t>Banzos arco</t>
  </si>
  <si>
    <t xml:space="preserve">Montantes/ diagonais </t>
  </si>
  <si>
    <t>Terças</t>
  </si>
  <si>
    <t>Tirante 1</t>
  </si>
  <si>
    <t>Tirante 2</t>
  </si>
  <si>
    <t>Material</t>
  </si>
  <si>
    <t>Dim. (m)</t>
  </si>
  <si>
    <t>Peso (kg/ m
ou kg/ m²)</t>
  </si>
  <si>
    <r>
      <rPr>
        <sz val="10"/>
        <rFont val="Calibri"/>
        <family val="2"/>
      </rPr>
      <t>Ø</t>
    </r>
    <r>
      <rPr>
        <sz val="10"/>
        <rFont val="Arial"/>
        <family val="2"/>
      </rPr>
      <t xml:space="preserve"> 5/8"</t>
    </r>
  </si>
  <si>
    <t>Ch. 1/2"</t>
  </si>
  <si>
    <t>Tirante 3</t>
  </si>
  <si>
    <t>Calha galpão</t>
  </si>
  <si>
    <t>Telha central</t>
  </si>
  <si>
    <t>Telha intermediária</t>
  </si>
  <si>
    <t>Telha pontas (calha)</t>
  </si>
  <si>
    <t>Perda (%)</t>
  </si>
  <si>
    <t>NOTA: Acréscimo de perda de material devido as peças serem vendidas apenas com 6 m.</t>
  </si>
  <si>
    <t>8.2.2</t>
  </si>
  <si>
    <t>8.2.3</t>
  </si>
  <si>
    <t>8.2.4</t>
  </si>
  <si>
    <t>8.2.5</t>
  </si>
  <si>
    <t>Caixa d'água</t>
  </si>
  <si>
    <t>Vestiários/ depósito</t>
  </si>
  <si>
    <t>Idem item 8.2.1</t>
  </si>
  <si>
    <t>8.2.6</t>
  </si>
  <si>
    <t>PONTOS</t>
  </si>
  <si>
    <t>BANCADAS, LOUÇAS, ACESSÓRIOS E METAIS</t>
  </si>
  <si>
    <t>2.5</t>
  </si>
  <si>
    <t>2.6</t>
  </si>
  <si>
    <t>2.7</t>
  </si>
  <si>
    <t>Vestiário</t>
  </si>
  <si>
    <t>Quadra</t>
  </si>
  <si>
    <t>Bar</t>
  </si>
  <si>
    <t>Arquibancada</t>
  </si>
  <si>
    <t>2.8</t>
  </si>
  <si>
    <t>Item 2.1 - piso</t>
  </si>
  <si>
    <t>Esp. Média (m)</t>
  </si>
  <si>
    <t>Área externa</t>
  </si>
  <si>
    <t>*Estimado</t>
  </si>
  <si>
    <t>Frente/ fundos</t>
  </si>
  <si>
    <t>Laterais (cantos)</t>
  </si>
  <si>
    <t>Laterais (meio)</t>
  </si>
  <si>
    <t xml:space="preserve">Coef. </t>
  </si>
  <si>
    <t>Item 2.2 - alvenaria</t>
  </si>
  <si>
    <t>Item 2.3 - paralelepípedo</t>
  </si>
  <si>
    <t>Item 2.6 - telhas</t>
  </si>
  <si>
    <t>Item 2.7 - estrutura</t>
  </si>
  <si>
    <t>Nova área quadra</t>
  </si>
  <si>
    <t>3.5</t>
  </si>
  <si>
    <t>Dimensões (m)</t>
  </si>
  <si>
    <t>CINTAS:</t>
  </si>
  <si>
    <t>SAPATA CORRIDA:</t>
  </si>
  <si>
    <t>Vestiários</t>
  </si>
  <si>
    <t>Esquina</t>
  </si>
  <si>
    <t>Lateral</t>
  </si>
  <si>
    <t>8.2.7</t>
  </si>
  <si>
    <t>Sanitário masculino (divisória mictório)</t>
  </si>
  <si>
    <t>Camarim (copa)</t>
  </si>
  <si>
    <t>Roda parede (m)</t>
  </si>
  <si>
    <t>Testeira (m)</t>
  </si>
  <si>
    <t>Platibanda (cobertura lateral)</t>
  </si>
  <si>
    <t>QUADRO DE ÁREA</t>
  </si>
  <si>
    <t>ÁREA CONSTRUÍDA (M²)</t>
  </si>
  <si>
    <t>ÁREA COBERTURA (M²)</t>
  </si>
  <si>
    <t>TAXA DE OCUPAÇÃO (%)</t>
  </si>
  <si>
    <t>COEFICIENTE DE APROVEITAMENTO</t>
  </si>
  <si>
    <t>ÁREA PERMEÁVEL (M²)</t>
  </si>
  <si>
    <t>TAXA DE PERMEABILIDADE (%)</t>
  </si>
  <si>
    <t>ÁREA DO TERRENO (M²)</t>
  </si>
  <si>
    <t>QUADRO DE ESQUADRIAS</t>
  </si>
  <si>
    <t>CÓD.</t>
  </si>
  <si>
    <t>QTD.</t>
  </si>
  <si>
    <t>LOCALIZAÇÃO</t>
  </si>
  <si>
    <t>PA1</t>
  </si>
  <si>
    <t>PA2</t>
  </si>
  <si>
    <t>PA3</t>
  </si>
  <si>
    <t>PORTAS DIVISÓRIAS DE GRANITO</t>
  </si>
  <si>
    <t>VESTIÁRIO 1 E 2/ ALMOXARIFADO/ SANITÁRIO FEMININO E MASCULINO/ SANITÁRIO CAMARIM/ CAMARIM/ COPA-BAR</t>
  </si>
  <si>
    <t>PF1</t>
  </si>
  <si>
    <t>PF2</t>
  </si>
  <si>
    <t>ABRIR - 01 FOLHA - ALUMÍNIO TIPO VENEZIANA</t>
  </si>
  <si>
    <t>FACHADA LATERAL</t>
  </si>
  <si>
    <t>FACHADA FRONTAL</t>
  </si>
  <si>
    <t>LARG. 
(M)</t>
  </si>
  <si>
    <t>ALT. 
(M)</t>
  </si>
  <si>
    <t>ÁREA 
(M²)</t>
  </si>
  <si>
    <t>Alçapão Caixa d'água</t>
  </si>
  <si>
    <t>COBERTURA:</t>
  </si>
  <si>
    <t>FECHAMENTO - FRENTE/ FUNDOS:</t>
  </si>
  <si>
    <t>Montantes pilaretes</t>
  </si>
  <si>
    <t>Cantoneira de borda</t>
  </si>
  <si>
    <r>
      <rPr>
        <sz val="10"/>
        <rFont val="Calibri"/>
        <family val="2"/>
      </rPr>
      <t>Ø</t>
    </r>
    <r>
      <rPr>
        <sz val="10"/>
        <rFont val="Arial"/>
        <family val="2"/>
      </rPr>
      <t xml:space="preserve"> 1/2"</t>
    </r>
  </si>
  <si>
    <t>Telha</t>
  </si>
  <si>
    <t>Fachada fundos</t>
  </si>
  <si>
    <t>Fachada lateral esquerda</t>
  </si>
  <si>
    <t>11.1.3</t>
  </si>
  <si>
    <t>11.1.4</t>
  </si>
  <si>
    <t>Ladrilho</t>
  </si>
  <si>
    <t>Ch. 5/8"</t>
  </si>
  <si>
    <t>Contraventamento</t>
  </si>
  <si>
    <t>12.5</t>
  </si>
  <si>
    <t>ARQUIBANCADA</t>
  </si>
  <si>
    <t>12.5.1</t>
  </si>
  <si>
    <t>SERVIÇOS COMPLEMENTARES</t>
  </si>
  <si>
    <t>22.0</t>
  </si>
  <si>
    <t>22.1</t>
  </si>
  <si>
    <t>22.2</t>
  </si>
  <si>
    <t>INSTALAÇÕES HIDRÁULICAS</t>
  </si>
  <si>
    <t>INSTALAÇÕES SANITÁRIAS</t>
  </si>
  <si>
    <t>PAREDES</t>
  </si>
  <si>
    <t>Considerado 5 dias.</t>
  </si>
  <si>
    <t>Vol. Escavado (m³)</t>
  </si>
  <si>
    <t>Vol. Concreto sapatas (m³)</t>
  </si>
  <si>
    <t>Vol. Concreto vigas (m³)</t>
  </si>
  <si>
    <t>Dimensões (cm)</t>
  </si>
  <si>
    <t>V3</t>
  </si>
  <si>
    <t>V2-A</t>
  </si>
  <si>
    <t>V2-B</t>
  </si>
  <si>
    <t>Qtd. (pç)</t>
  </si>
  <si>
    <t>Peso (kg/m)</t>
  </si>
  <si>
    <t>FUNDAÇÕES E CONTENÇÕES</t>
  </si>
  <si>
    <t>4.3</t>
  </si>
  <si>
    <t>CONTENÇÕES</t>
  </si>
  <si>
    <t>4.3.1</t>
  </si>
  <si>
    <t>4.3.2</t>
  </si>
  <si>
    <t>4.3.3</t>
  </si>
  <si>
    <t>4.3.4</t>
  </si>
  <si>
    <t>P7=P8=P9=P10</t>
  </si>
  <si>
    <t>P3=P4=P5=P6</t>
  </si>
  <si>
    <t>Qtd. Estribos</t>
  </si>
  <si>
    <t>Peso (kg/ m)</t>
  </si>
  <si>
    <t>Qtd. Barras (pç)</t>
  </si>
  <si>
    <t>5.1.5</t>
  </si>
  <si>
    <t>TABELA TUBOS E CONEXÕES</t>
  </si>
  <si>
    <t>ALTURA PONTOS HIDRÁULICOS</t>
  </si>
  <si>
    <t>DIÂMETRO</t>
  </si>
  <si>
    <t>ALIM.</t>
  </si>
  <si>
    <t>DISTR.</t>
  </si>
  <si>
    <t>EXT./ LIMP.</t>
  </si>
  <si>
    <t>AF1</t>
  </si>
  <si>
    <t>AF2</t>
  </si>
  <si>
    <t>AF3</t>
  </si>
  <si>
    <t>AF4</t>
  </si>
  <si>
    <t>AF5</t>
  </si>
  <si>
    <t>AF6</t>
  </si>
  <si>
    <t>AF7</t>
  </si>
  <si>
    <t>AF8</t>
  </si>
  <si>
    <t>ALT. (CM)</t>
  </si>
  <si>
    <t>ADAPTADOR CURTO COM BOLSA E ROSCA PARA REGISTRO</t>
  </si>
  <si>
    <t>25 MM X 3/4"</t>
  </si>
  <si>
    <t>BEBEDOURO</t>
  </si>
  <si>
    <t>50 MM X 1.1/2"</t>
  </si>
  <si>
    <t>CHUVEIRO</t>
  </si>
  <si>
    <t xml:space="preserve">JOELHO 90° </t>
  </si>
  <si>
    <t>25 MM</t>
  </si>
  <si>
    <t>DUCHA HIGIÊNICA</t>
  </si>
  <si>
    <t>50 MM</t>
  </si>
  <si>
    <t>LAVATÓRIO</t>
  </si>
  <si>
    <t>JOELHO 90° COM BUCHA DE LATÃO</t>
  </si>
  <si>
    <t>MICTÓRIO</t>
  </si>
  <si>
    <t>LUVA DE REDUÇÃO</t>
  </si>
  <si>
    <t>50 X 25 MM</t>
  </si>
  <si>
    <t>PIA COZINHA (TORNEIRA DE MESA)</t>
  </si>
  <si>
    <t>LUVA COM BUCHA DE LATÃO</t>
  </si>
  <si>
    <t>PIA COZINHA (TORNEIRA PAREDE)</t>
  </si>
  <si>
    <t>TÊ</t>
  </si>
  <si>
    <t>REGISTRO DE GAVETA</t>
  </si>
  <si>
    <t>REGISTRO DE PRESSÃO</t>
  </si>
  <si>
    <t>REGISTRO DE ESFERA, SOLDÁVEL</t>
  </si>
  <si>
    <t>TORNEIRA</t>
  </si>
  <si>
    <t>VÁLVULA DE DESCARGA</t>
  </si>
  <si>
    <t>REGISTRO DE GAVETA BRUTO, LATÃO, ROSCÁVEL</t>
  </si>
  <si>
    <t>3/4"</t>
  </si>
  <si>
    <t>1.1/2"</t>
  </si>
  <si>
    <t>REGISTRO DE PRESSÃO BRUTO, LATÃO, ROSCÁVEL</t>
  </si>
  <si>
    <t>VÁLVULA DE DESCARGA (VASO SANITÁRIO)</t>
  </si>
  <si>
    <t>TUBO VDE COM JOELHO 90° (AZUL)</t>
  </si>
  <si>
    <t>38 MM</t>
  </si>
  <si>
    <t xml:space="preserve">TUBO </t>
  </si>
  <si>
    <t>ADAPTADOR PARA CAIXA D'ÁGUA COM FLANGE</t>
  </si>
  <si>
    <t xml:space="preserve">QTD. TOTAL </t>
  </si>
  <si>
    <t>SANIT. FEM.</t>
  </si>
  <si>
    <t>SANIT. MASC.</t>
  </si>
  <si>
    <t>SANIT. PNE</t>
  </si>
  <si>
    <t xml:space="preserve">CAIXA SIFONADA COM GRELHA </t>
  </si>
  <si>
    <t>JOELHO 45°</t>
  </si>
  <si>
    <t>100 MM</t>
  </si>
  <si>
    <t>JOELHO 90°</t>
  </si>
  <si>
    <t>40 MM</t>
  </si>
  <si>
    <t>JUNÇÃO SIMPLES</t>
  </si>
  <si>
    <t>50 X 50 MM</t>
  </si>
  <si>
    <t>100 X 50 MM</t>
  </si>
  <si>
    <t>LUVA SIMPLES</t>
  </si>
  <si>
    <t>TÊ SIMPLES</t>
  </si>
  <si>
    <t>100 X 100 MM</t>
  </si>
  <si>
    <t>JUNÇÃO DE REDUÇÃO</t>
  </si>
  <si>
    <t>SANIT. CAMARIM</t>
  </si>
  <si>
    <t>VESTIÁRIO 1</t>
  </si>
  <si>
    <t>VESTIÁRIO 2</t>
  </si>
  <si>
    <t>COPA CAMARIM</t>
  </si>
  <si>
    <t>ALMOX.</t>
  </si>
  <si>
    <t xml:space="preserve">HALL </t>
  </si>
  <si>
    <t>CAIXA DE GORDURA</t>
  </si>
  <si>
    <t xml:space="preserve">VENT. </t>
  </si>
  <si>
    <t>2.9</t>
  </si>
  <si>
    <t>2.10</t>
  </si>
  <si>
    <t>Luminárias refletores</t>
  </si>
  <si>
    <t>VIGAS - NÍVEL +600 CM</t>
  </si>
  <si>
    <t>20x40</t>
  </si>
  <si>
    <t>15x40</t>
  </si>
  <si>
    <t>VIGAS - NÍVEL +325 CM</t>
  </si>
  <si>
    <t>V101</t>
  </si>
  <si>
    <t>V102</t>
  </si>
  <si>
    <t>V104</t>
  </si>
  <si>
    <t>V105</t>
  </si>
  <si>
    <t>V116</t>
  </si>
  <si>
    <t>Comp. 
Viga (m)</t>
  </si>
  <si>
    <t>Portas (PA2)</t>
  </si>
  <si>
    <t>Portas (PA3)</t>
  </si>
  <si>
    <t>Porta sanitário PNE</t>
  </si>
  <si>
    <t>L 1.1/2"x3/16"</t>
  </si>
  <si>
    <t>L 2"x1/8"</t>
  </si>
  <si>
    <t>SOBRE COBOGÓS</t>
  </si>
  <si>
    <t>Descidas</t>
  </si>
  <si>
    <t>Descidas_lateral esquerda</t>
  </si>
  <si>
    <t>21.3</t>
  </si>
  <si>
    <t>Banco fachada frontal</t>
  </si>
  <si>
    <t>Malha</t>
  </si>
  <si>
    <t>PUE 
150x60x20
#3.00</t>
  </si>
  <si>
    <t>L 2.1/2"x1/4"</t>
  </si>
  <si>
    <r>
      <rPr>
        <sz val="10"/>
        <rFont val="Calibri"/>
        <family val="2"/>
      </rPr>
      <t>Ø</t>
    </r>
    <r>
      <rPr>
        <sz val="10"/>
        <rFont val="Arial"/>
        <family val="2"/>
      </rPr>
      <t xml:space="preserve"> 1"</t>
    </r>
  </si>
  <si>
    <t>Montantes (quadros)</t>
  </si>
  <si>
    <t xml:space="preserve">Diagonais </t>
  </si>
  <si>
    <t>Fachada lateral direita (corte E-E - meio)</t>
  </si>
  <si>
    <t>11.1.5</t>
  </si>
  <si>
    <t>CÓD.: 101963_LAJE PRÉ-MOLDADA UNIDIRECIONAL, BIAPOIADA, PARA PISO, ENCHIMENTO EM CERÂMICA, VIGOTA CONVENCIONAL, ALTURA TOTAL DA LAJE (ENCHIMENTO + CAPA) = (8 + 4)</t>
  </si>
  <si>
    <t>Arquibancada 1</t>
  </si>
  <si>
    <t>Arquibancada 2</t>
  </si>
  <si>
    <t>Arquibancada 3</t>
  </si>
  <si>
    <t>Coef.</t>
  </si>
  <si>
    <t>5.4</t>
  </si>
  <si>
    <t>5.4.1</t>
  </si>
  <si>
    <t>5.4.2</t>
  </si>
  <si>
    <t>5.4.3</t>
  </si>
  <si>
    <t>5.4.4</t>
  </si>
  <si>
    <t>5.4.5</t>
  </si>
  <si>
    <t>5.4.6</t>
  </si>
  <si>
    <t>5.4.7</t>
  </si>
  <si>
    <t>5.4.8</t>
  </si>
  <si>
    <t>5.4.9</t>
  </si>
  <si>
    <t>5.4.10</t>
  </si>
  <si>
    <t>Vol. Concreto magro (m³)</t>
  </si>
  <si>
    <t>Vol. Concreto (m³)</t>
  </si>
  <si>
    <t>5.4.11</t>
  </si>
  <si>
    <t>5.4.12</t>
  </si>
  <si>
    <t>Transversais</t>
  </si>
  <si>
    <t>Platibanda sobre depósito/ divisa</t>
  </si>
  <si>
    <t>Idem item 10.2.3</t>
  </si>
  <si>
    <t>Áreas secas</t>
  </si>
  <si>
    <t>Paredes vestiários/ sanitários</t>
  </si>
  <si>
    <t>Meia parede sanitários</t>
  </si>
  <si>
    <t>SOBRE SAPATA CORRIDA:</t>
  </si>
  <si>
    <t>SOBRE VIGAS BALDRAMES:</t>
  </si>
  <si>
    <t>AP2</t>
  </si>
  <si>
    <t>Ligação entre AP1 e AP2</t>
  </si>
  <si>
    <t>AP1</t>
  </si>
  <si>
    <t>Interligação entre caixas de passagem</t>
  </si>
  <si>
    <t>9.2</t>
  </si>
  <si>
    <t>9.3</t>
  </si>
  <si>
    <t>9.4</t>
  </si>
  <si>
    <t>9.5</t>
  </si>
  <si>
    <t>Desc. PORTAS (m²)</t>
  </si>
  <si>
    <t>Laje caixa d'água</t>
  </si>
  <si>
    <t>Calha de concreto</t>
  </si>
  <si>
    <t>Calha (m²)</t>
  </si>
  <si>
    <t>V4</t>
  </si>
  <si>
    <t>V5-A</t>
  </si>
  <si>
    <t>V5-B</t>
  </si>
  <si>
    <t>V6</t>
  </si>
  <si>
    <t>V7=V8=V9=V10</t>
  </si>
  <si>
    <t>V11</t>
  </si>
  <si>
    <t>V12</t>
  </si>
  <si>
    <t>21.4</t>
  </si>
  <si>
    <t>Caixa d'água_lado interno quadra</t>
  </si>
  <si>
    <t>Portas (PA4)</t>
  </si>
  <si>
    <t>Lateral direita (divisa arquibancadas/ sanitários/ depósito)</t>
  </si>
  <si>
    <t>Fachada lateral esquerda (entrada/ rampa)</t>
  </si>
  <si>
    <t>Fachada lateral esquerda (acima das arquibancadas)</t>
  </si>
  <si>
    <t>Muretas arquibancada</t>
  </si>
  <si>
    <t>Divisa depósito/ bar</t>
  </si>
  <si>
    <t>NOTA: Apenas área da quadra</t>
  </si>
  <si>
    <t>ESQUADRIAS DE ALUMÍNIO</t>
  </si>
  <si>
    <t>Portas:</t>
  </si>
  <si>
    <t>PA4 - 100 x 210</t>
  </si>
  <si>
    <t>Janela/ alçapão:</t>
  </si>
  <si>
    <t>PM2 - 280 x 280</t>
  </si>
  <si>
    <t>PM1 - 100 x 280</t>
  </si>
  <si>
    <t>NOTA: Caso não seja possível a utilização de containers, deverá ser alterado o item para barracão de obra com suas respectivas áreas.</t>
  </si>
  <si>
    <t>Locação de obra</t>
  </si>
  <si>
    <t>Distrito de Macarenhas - Baixo Guandu/ ES</t>
  </si>
  <si>
    <t>PILARETES</t>
  </si>
  <si>
    <t>Ø</t>
  </si>
  <si>
    <t>4.3.5</t>
  </si>
  <si>
    <t>4.4</t>
  </si>
  <si>
    <t>4.4.1</t>
  </si>
  <si>
    <t>4.4.2</t>
  </si>
  <si>
    <t>4.4.3</t>
  </si>
  <si>
    <t>4.4.4</t>
  </si>
  <si>
    <t>Armadura de pele:</t>
  </si>
  <si>
    <t>Armadura longitudinal superior:</t>
  </si>
  <si>
    <t>Armadura longitudinal inferior:</t>
  </si>
  <si>
    <t>15x30x600</t>
  </si>
  <si>
    <t>15x30x420</t>
  </si>
  <si>
    <t>20x30x420</t>
  </si>
  <si>
    <t>30x60x600</t>
  </si>
  <si>
    <t>30x40x600</t>
  </si>
  <si>
    <t>15x30x370</t>
  </si>
  <si>
    <t>15x30x340</t>
  </si>
  <si>
    <t>Vestiários/Almox./Sanitários/Bar/Camarim</t>
  </si>
  <si>
    <t>6.5</t>
  </si>
  <si>
    <t>ELEMENTOS DECORATIVOS</t>
  </si>
  <si>
    <t>Revestimento em ACM, tipo bandeja, espessura 4 mm, na cor vermelho, letreiro em alto relevo, tipo bandeja, na cor branco, altura 50 cm, brasão padrão prefeitura municipal, altura 1,50 m. Inclui alizar portões em ACM, na cor vermelho, largura 20 cm</t>
  </si>
  <si>
    <t>26.811.945/0001-87</t>
  </si>
  <si>
    <t>ATLAS VISUAL LTDA</t>
  </si>
  <si>
    <t>(27) 99914-4059</t>
  </si>
  <si>
    <t>23.190.999/0001-84</t>
  </si>
  <si>
    <t>UP SOLUÇÕES COMUNICAÇÃO VISUAL</t>
  </si>
  <si>
    <t>(27) 99808-6266</t>
  </si>
  <si>
    <t>Estrutura de ACM, tipo bandeja, espessura 4 mm, em alto relevo, letreiro e brasão, conforme projeto</t>
  </si>
  <si>
    <t>6.5.1</t>
  </si>
  <si>
    <t>Entrada caixa hidrante</t>
  </si>
  <si>
    <t>17.5.4</t>
  </si>
  <si>
    <t>17.5.5</t>
  </si>
  <si>
    <t>TANQUE</t>
  </si>
  <si>
    <t>BE</t>
  </si>
  <si>
    <t>CH</t>
  </si>
  <si>
    <t>DH</t>
  </si>
  <si>
    <t>RG</t>
  </si>
  <si>
    <t>RP</t>
  </si>
  <si>
    <t>VD</t>
  </si>
  <si>
    <t>VS</t>
  </si>
  <si>
    <t>LV</t>
  </si>
  <si>
    <t>MIC</t>
  </si>
  <si>
    <t>PM</t>
  </si>
  <si>
    <t>PP</t>
  </si>
  <si>
    <t>TQ</t>
  </si>
  <si>
    <t xml:space="preserve">VASO SANITÁRIO </t>
  </si>
  <si>
    <t>AF9</t>
  </si>
  <si>
    <t>BAR</t>
  </si>
  <si>
    <t>INTERLIGAÇÃO CI 2 À REDE PÚBLICA = 30 M</t>
  </si>
  <si>
    <t>REDUÇÃO EXCÊNTRICA</t>
  </si>
  <si>
    <t>150 X 100 MM</t>
  </si>
  <si>
    <t>AP3=AP4=AP5=AP6=AP7=AP8 (X6)</t>
  </si>
  <si>
    <t>AP9=AP10=AP11=AP12=AP13=AP14=AP15=AP16 (X8)</t>
  </si>
  <si>
    <t>AP17</t>
  </si>
  <si>
    <t>AP18=AP19 (X2)</t>
  </si>
  <si>
    <t>AP20=AP21=AP22 (X3)</t>
  </si>
  <si>
    <t>AP23</t>
  </si>
  <si>
    <t>CANALETA</t>
  </si>
  <si>
    <t>INTERLIGAÇÃO CAIXAS = 154 M</t>
  </si>
  <si>
    <t>13.6</t>
  </si>
  <si>
    <t>13.7</t>
  </si>
  <si>
    <t>13.8</t>
  </si>
  <si>
    <t>13.9</t>
  </si>
  <si>
    <t>13.10</t>
  </si>
  <si>
    <t>13.11</t>
  </si>
  <si>
    <t>13.12</t>
  </si>
  <si>
    <t>13.13</t>
  </si>
  <si>
    <t>13.14</t>
  </si>
  <si>
    <t>13.15</t>
  </si>
  <si>
    <t>13.16</t>
  </si>
  <si>
    <t>13.17</t>
  </si>
  <si>
    <t>13.18</t>
  </si>
  <si>
    <t>13.19</t>
  </si>
  <si>
    <t>13.20</t>
  </si>
  <si>
    <t>13.21</t>
  </si>
  <si>
    <t>13.22</t>
  </si>
  <si>
    <t>13.23</t>
  </si>
  <si>
    <t>Prumadas e ligações até caixas</t>
  </si>
  <si>
    <t xml:space="preserve">PRANCHA </t>
  </si>
  <si>
    <t>A1 EXT. (950 X 594 MM)</t>
  </si>
  <si>
    <t>02</t>
  </si>
  <si>
    <t>03</t>
  </si>
  <si>
    <t>04</t>
  </si>
  <si>
    <t>A1 (841 X 594 MM)</t>
  </si>
  <si>
    <t>05</t>
  </si>
  <si>
    <t>06</t>
  </si>
  <si>
    <t>07</t>
  </si>
  <si>
    <t>DRENAGEM PLUVIAL</t>
  </si>
  <si>
    <t>SPDA</t>
  </si>
  <si>
    <t>PCI - PREVENÇÃO E COMBATE À INCÊNDIO</t>
  </si>
  <si>
    <t>PLANTA BAIXA - PCI - PREVENÇÃO E COMBATE À INCÊNDIO</t>
  </si>
  <si>
    <t>PLANTA DE COBERTURA/ CORTE ESQUEMÁTICO CALHAS</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</si>
  <si>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</si>
  <si>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</si>
  <si>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</si>
  <si>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</si>
  <si>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</si>
  <si>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</si>
  <si>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</si>
  <si>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</si>
  <si>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</si>
  <si>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</si>
  <si>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</si>
  <si>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</si>
  <si>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</si>
  <si>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</si>
  <si>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</si>
  <si>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</si>
  <si>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Registro de pressão bruto, com volante, diam. 15mm (1/2")</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</si>
  <si>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</si>
  <si>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</si>
  <si>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</si>
  <si>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</si>
  <si>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</si>
  <si>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ENTRADA E DISTRIBUIÇÃO</t>
  </si>
  <si>
    <t>18.1.6</t>
  </si>
  <si>
    <t>PLANTA BAIXA - TÉRREO E DETALHES CONSTRUTIVOS</t>
  </si>
  <si>
    <t>PLANTA BAIXA - COBERTURA E DETALHES CONSTRUTIVOS</t>
  </si>
  <si>
    <t>Espessura média</t>
  </si>
  <si>
    <t>Agulha</t>
  </si>
  <si>
    <t>S1=S2</t>
  </si>
  <si>
    <t>S3=S19=S20=S21</t>
  </si>
  <si>
    <t>S4=S5=S6</t>
  </si>
  <si>
    <t>S7=S8=S9=S10</t>
  </si>
  <si>
    <t>S11=S12=S13=S14=S15=S28=S29=S30=31=S32</t>
  </si>
  <si>
    <t>S16=S17=S18=S33=S34=S35</t>
  </si>
  <si>
    <t>S22=S24=S26</t>
  </si>
  <si>
    <t>S23=S25=S27</t>
  </si>
  <si>
    <t>Item 11.1.3</t>
  </si>
  <si>
    <t>S11=S12=S13=S14=S15=S16=S17=S18=S28=S29=S30=31=S32=S33=S34=S35</t>
  </si>
  <si>
    <t>S22=S23=S24=S25=S26=S27</t>
  </si>
  <si>
    <t>15x30x120</t>
  </si>
  <si>
    <t>100x100</t>
  </si>
  <si>
    <t>80x80</t>
  </si>
  <si>
    <t>100x80</t>
  </si>
  <si>
    <t>80x60</t>
  </si>
  <si>
    <t>150x180</t>
  </si>
  <si>
    <t>130x140</t>
  </si>
  <si>
    <t>15x50</t>
  </si>
  <si>
    <t>20x80</t>
  </si>
  <si>
    <t>15x80</t>
  </si>
  <si>
    <t>60x15</t>
  </si>
  <si>
    <t>P3=P19=P20=P21</t>
  </si>
  <si>
    <t>P4=P5=P6</t>
  </si>
  <si>
    <t>20x30x120</t>
  </si>
  <si>
    <t>P11=P12=P13=P14=P15=P28=P29=P30=P31=P32</t>
  </si>
  <si>
    <t>30x60x100</t>
  </si>
  <si>
    <t>30x60x150</t>
  </si>
  <si>
    <t>P22=P24=P26</t>
  </si>
  <si>
    <t>P23=P25=P27</t>
  </si>
  <si>
    <t>P16=P17=P18=P33=P34=P35</t>
  </si>
  <si>
    <t>30x40x110</t>
  </si>
  <si>
    <t>30x40x160</t>
  </si>
  <si>
    <t>NOTA: Incluso forma para concreto magro</t>
  </si>
  <si>
    <t xml:space="preserve">Palco - sobre V6 </t>
  </si>
  <si>
    <t>Palco - sobre V3</t>
  </si>
  <si>
    <t>NOTA: Contenções arquibancadas - ver item 5.4</t>
  </si>
  <si>
    <t>NOTA: Inclui forma para concreto magro</t>
  </si>
  <si>
    <t>NOTA: Considerando armadura para pontos de graute a cada 80 cm</t>
  </si>
  <si>
    <t>NOTA: Considerando graute em meio-bloco</t>
  </si>
  <si>
    <t>P19</t>
  </si>
  <si>
    <t>P20=P21</t>
  </si>
  <si>
    <t>P22=P23=P24=P25=P26=P27</t>
  </si>
  <si>
    <t>V103</t>
  </si>
  <si>
    <t>VIGAS - NÍVEL +320 CM</t>
  </si>
  <si>
    <t>V106</t>
  </si>
  <si>
    <t>V107</t>
  </si>
  <si>
    <t>V117</t>
  </si>
  <si>
    <t>V109=V111=V112=V113=V114=V115</t>
  </si>
  <si>
    <t>V118</t>
  </si>
  <si>
    <t>VIGAS - NÍVEL +355 CM</t>
  </si>
  <si>
    <t>V110</t>
  </si>
  <si>
    <t>V108</t>
  </si>
  <si>
    <t>V201=V202</t>
  </si>
  <si>
    <t>V203=V204</t>
  </si>
  <si>
    <t>L201=L203</t>
  </si>
  <si>
    <t>NOTA: Incluso forma fundo da viga</t>
  </si>
  <si>
    <t>15x30</t>
  </si>
  <si>
    <t xml:space="preserve">Cinta de amarração de alvenaria moldada in loco com utilização de bloco canaleta 9 x 19 x 19 cm cheia </t>
  </si>
  <si>
    <t>Desconto de vãos COBOGÓ</t>
  </si>
  <si>
    <t>NOTAS: Paredes abaixo da arquibancada/ palco em bloco de concreto cheio - descontadas. 
Altura não considerado vigas de concreto</t>
  </si>
  <si>
    <t>Lateral direita (divisa sanitário/ camarim)_abaixo da viga e acima do palco</t>
  </si>
  <si>
    <t>Lateral direita (divisa cx d'água/ quadra)_acima da viga</t>
  </si>
  <si>
    <t>Acesso depósito + Bar</t>
  </si>
  <si>
    <t>&gt; Desconto viga de amarração</t>
  </si>
  <si>
    <t>NOTA: Largura útil considerada 980 mm</t>
  </si>
  <si>
    <t>Sanitários/ depósito</t>
  </si>
  <si>
    <t>&gt; Inclusive meia parede</t>
  </si>
  <si>
    <t>NOTA: Aplicação de manta em laje caixa d'água subindo 20 cm nas paredes em relação ao piso.
Desenvolvimento calha de concreto = 116 cm</t>
  </si>
  <si>
    <t>&gt; Considerações item anterior</t>
  </si>
  <si>
    <t>&gt; Saídas água pluvial - AP18 à AP23</t>
  </si>
  <si>
    <t>NOTA: Ver projeto de drenagem pluvial</t>
  </si>
  <si>
    <t>Meia parede sanitários (x2)</t>
  </si>
  <si>
    <t>&gt; Desconto arquibancada e portões (x2)</t>
  </si>
  <si>
    <t>&gt; Desconto arquibancada e portão</t>
  </si>
  <si>
    <t>&gt; Área de chapisco (pintura) - área de emboço (revestimento cerâmico)</t>
  </si>
  <si>
    <t>Desc. Cobogós (m²)</t>
  </si>
  <si>
    <t>&gt; Desconto porta e vão janela</t>
  </si>
  <si>
    <t>Camarim (vista para o palco)</t>
  </si>
  <si>
    <t>PA4</t>
  </si>
  <si>
    <t>SANITÁRIO PNE</t>
  </si>
  <si>
    <t>DEPÓSITO</t>
  </si>
  <si>
    <t>Desconto COBOGÓS (m²)</t>
  </si>
  <si>
    <t>Fachada lateral direita - acima calha de concreto</t>
  </si>
  <si>
    <t>Fachada lateral direita - parede sanitários</t>
  </si>
  <si>
    <t>Fachada frontal (interno)</t>
  </si>
  <si>
    <t>Fachada fundos (interno)</t>
  </si>
  <si>
    <t>Fachada lateral direita (interno)</t>
  </si>
  <si>
    <t>Idem item 10.3.1</t>
  </si>
  <si>
    <t>Idem item 10.2.4</t>
  </si>
  <si>
    <t>NOTA: Não considerado arquibancada, palco, rampa e escada</t>
  </si>
  <si>
    <t>&gt; Considerado hall acesso sanitários e acesso vestiários</t>
  </si>
  <si>
    <t>NOTA: Piso palco, camarim e sanitário em laje pré-fabricada - item 5.3.1.
Piso arquibancada considerado em laje maciça - item 5.4.13</t>
  </si>
  <si>
    <t>Área piso (m²)</t>
  </si>
  <si>
    <t>Área espelho (m²)</t>
  </si>
  <si>
    <t>Calçada</t>
  </si>
  <si>
    <t>11.2.5</t>
  </si>
  <si>
    <t>Área assentamento ladrilho</t>
  </si>
  <si>
    <t>11.2.6</t>
  </si>
  <si>
    <t>Idem item 12.3.2</t>
  </si>
  <si>
    <t>Idem item 12.3.1</t>
  </si>
  <si>
    <t>Desconto ACM (m²)</t>
  </si>
  <si>
    <t>Desconto esquadrias (m²)</t>
  </si>
  <si>
    <t>Espelho (m²)</t>
  </si>
  <si>
    <t>NOTA: Considerando pintura sobre face interna e externa dos cobogós - COR VERMELHO.</t>
  </si>
  <si>
    <t>NOTA: Incluso 2 cm de embutimento em paredes</t>
  </si>
  <si>
    <t>&gt; 5 pçs por prateleira</t>
  </si>
  <si>
    <t>Prateleiras almoxarifado</t>
  </si>
  <si>
    <t>NOTA: Válvula de descarga com acabamento, considerada no item 13.16 - Instalações hidráulicas</t>
  </si>
  <si>
    <t>Torneiras para jardim</t>
  </si>
  <si>
    <t>NOTA: Considerando torneira para limpeza localizada em lateral escada palco, acesso vestiários e em caixa de passagem externa (jardim) - ver projeto hidráulico.</t>
  </si>
  <si>
    <t>Sanitário PNE (porta)</t>
  </si>
  <si>
    <t>Guarda-corpo escada (fachada frontal)</t>
  </si>
  <si>
    <t>Guarda-corpo rampa (fachada frontal)</t>
  </si>
  <si>
    <t>Arquibancada (área cadeirantes)</t>
  </si>
  <si>
    <t>&gt; 5 unidades em cada canteiro</t>
  </si>
  <si>
    <t>Pata-de-vaca ou similar</t>
  </si>
  <si>
    <t>Móreias ou similar</t>
  </si>
  <si>
    <t>Placa de inauguração em inox com gravação em baixo relevo, dimensões 80 x 110 cm</t>
  </si>
  <si>
    <t>38.594.901/0001-21</t>
  </si>
  <si>
    <t>FUND ART</t>
  </si>
  <si>
    <t>(27) 99882-9279</t>
  </si>
  <si>
    <t>05.076.269/0001-75</t>
  </si>
  <si>
    <t>CASA DAS PLACAS</t>
  </si>
  <si>
    <t>(27) 99686-0022</t>
  </si>
  <si>
    <t>Placa de inauguração em inox com gravação em baixo relevo, dimensões 80 x 110 cm, inclusive com brasão prefeitura</t>
  </si>
  <si>
    <t>Placa contribuidores</t>
  </si>
  <si>
    <t>Escada e rampa externa</t>
  </si>
  <si>
    <t>40x15</t>
  </si>
  <si>
    <t>&gt; Fechamento lateral rampa e escada</t>
  </si>
  <si>
    <t>Rampa externa</t>
  </si>
  <si>
    <t>Portão de correr em chapa de aço, completa, inclusive requadro, trilhos e roldanas</t>
  </si>
  <si>
    <t>Bar (balcão)</t>
  </si>
  <si>
    <t>4.4.5</t>
  </si>
  <si>
    <t>Escada externa</t>
  </si>
  <si>
    <t>Rampa interna_trecho 1</t>
  </si>
  <si>
    <t>Rampa interna_trecho 2</t>
  </si>
  <si>
    <t>ESCADAS:</t>
  </si>
  <si>
    <t>Escada interna</t>
  </si>
  <si>
    <t>ABRIR - 01 FOLHA - FERRO COM FECHAMENTO EM CHAPA</t>
  </si>
  <si>
    <t>CORRER - 02 FOLHAS - FERRO COM FECHAMENTO EM CHAPA</t>
  </si>
  <si>
    <t>Placa de obra</t>
  </si>
  <si>
    <t>NOTA: Considerando remoção de portas de madeira.</t>
  </si>
  <si>
    <t>NOTA: Remoção de alambrado quadra.</t>
  </si>
  <si>
    <t>Refletores quadra</t>
  </si>
  <si>
    <t>Vol. Concreto pilaretes (m³)</t>
  </si>
  <si>
    <t>Vol. Concreto m magro (m³)</t>
  </si>
  <si>
    <t>Escada interna_ARMADURA LONGITUDINAL</t>
  </si>
  <si>
    <t>Escada interna_ARMADURA TRANSVERSAL</t>
  </si>
  <si>
    <t>Escada externa_ARMADURA TRANSVERSAL</t>
  </si>
  <si>
    <t>Escada externa_ARMADURA LONGITUDINAL</t>
  </si>
  <si>
    <t>4.1.5</t>
  </si>
  <si>
    <t>4.1.6</t>
  </si>
  <si>
    <t>Rampa interna</t>
  </si>
  <si>
    <t>NOTA: Desconsiderado paredes/ contenções</t>
  </si>
  <si>
    <t xml:space="preserve">VIGAS </t>
  </si>
  <si>
    <t>NOTA: Inclui escavação do concreto magro. Comprimento sapatas corridas - EIXO. 
Considerado 20 cm de folga para cada lado para colocação de forma</t>
  </si>
  <si>
    <t>NOTA: Medidas comprimento EIXO. Considerado folga de 20 cm para cada lado para colocação de forma. Altura inclui escavação do concreto magro</t>
  </si>
  <si>
    <r>
      <t xml:space="preserve">NOTA SIMBOLOGIAS:
</t>
    </r>
    <r>
      <rPr>
        <sz val="10"/>
        <rFont val="Calibri"/>
        <family val="2"/>
      </rPr>
      <t>Ø</t>
    </r>
    <r>
      <rPr>
        <sz val="10"/>
        <rFont val="Arial"/>
        <family val="2"/>
      </rPr>
      <t xml:space="preserve"> - Barra redonda/ Ch. - Chapa grossa / L - Cantoneira/ PUE - Perfil "U" enrijecido</t>
    </r>
  </si>
  <si>
    <t>Bancos vestiários</t>
  </si>
  <si>
    <t>Caixa d'água (interno)</t>
  </si>
  <si>
    <t>Platibanda (interno)_excluso parede calha de concreto</t>
  </si>
  <si>
    <t>11.1.6</t>
  </si>
  <si>
    <t>Bancos vestiário</t>
  </si>
  <si>
    <t>Bancos vestiário (assento)</t>
  </si>
  <si>
    <t>Banco fachada frontal (assento)</t>
  </si>
  <si>
    <t>NOTA: Colocação de armadura 5.0 mm</t>
  </si>
  <si>
    <t>ENGENHEIRO JUNIOR</t>
  </si>
  <si>
    <t>MECANICO DE REFRIGERACAO - (SINDIFER)</t>
  </si>
  <si>
    <t>TECNICO DE REFRIGERACAO - (SINDIFER)</t>
  </si>
  <si>
    <t>CONCRETO USINADO FCK 30 MPA BRITA 0+1 ABATIMENTO 100 +/- 20MM</t>
  </si>
  <si>
    <t>REJUNTE EPOXI COR BRANCA</t>
  </si>
  <si>
    <t>CONCRETO USINADO FCK 20 MPA BRITA 0+1 ABATIMENTO 100 +/- 20MM</t>
  </si>
  <si>
    <t>CONCRETO USINADO FCK 25 MPA BRITA 0+1 ABATIMENTO 100 +/- 20MM</t>
  </si>
  <si>
    <t>DIVISORIA ESP.35MM MIOLO COLMEIA MOD ALTA/PAINEL/PAINEL MODULARES NO TIPO MD-1</t>
  </si>
  <si>
    <t>PORTA P/ DIVISORIA 80X210 CM, MIOLO CELULAR 35MM INC DOBR/FECH TUBULAR</t>
  </si>
  <si>
    <t>TELHA METALICA ONDULADA ACO GALVALUME ESP 0.5MM PRE PINTADA 1 FACE COR RAL 9003 (BRANCA)</t>
  </si>
  <si>
    <t>PARAFUSO GALVANIZADO P/ TELHA (FIXAÇÃO EM MADEIRA), 5/16? X 110MM</t>
  </si>
  <si>
    <t>GRAMPO P/ CERCA GALVANIZADO 1" X 9"</t>
  </si>
  <si>
    <t>PARAFUSO CABEÇA QUADRADA MAQUINA GALVANIZADO A FOGO 16 X 100MM</t>
  </si>
  <si>
    <t>KIT M5 100 PECAS PORCA-GAIOLA C/ PARAF PHILIPS</t>
  </si>
  <si>
    <t>BARRA APOIO RETA INOX 40CM ACCESS - JACKWAL OU EQUIVALENTE</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</si>
  <si>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</si>
  <si>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</si>
  <si>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</si>
  <si>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</si>
  <si>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</si>
  <si>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</si>
  <si>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</si>
  <si>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</si>
  <si>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PISO VINILICO PAVIFLEX CHROMA CONCEPT 30X30CM - ESP.2MM - COLOCADO, INCLUSIVE ARGAMASSA DE REGULARIZAÇÃO</t>
  </si>
  <si>
    <t>VIDRO LISO INCOLOR ESP.4MM,COLOCADO</t>
  </si>
  <si>
    <t>TINTA ESMALTE SINT. BRILHANTE COR BRANCA - LINHA PREMIUM (GALÃO 3,6 LITROS)</t>
  </si>
  <si>
    <t>POSTE DE CONCRETO DUPLO "T" (DT) 7 METROS - 200 DAN</t>
  </si>
  <si>
    <t>ELETRODUTO GALVANIZADO ZINCADO 6"</t>
  </si>
  <si>
    <t>ELETRODUTO GALVANIZADO ZINCADO LEVE - 2.1/2"</t>
  </si>
  <si>
    <t>ELETRODUTO GALVANIZADO ZINCADO 4"</t>
  </si>
  <si>
    <t>CURVA 90º PARA ELETRODUTO GALVANIZADO ZINCADO 3"</t>
  </si>
  <si>
    <t>ELETRODUTO GALVANIZADO ZINCADO 3"</t>
  </si>
  <si>
    <t>CABO FLEX ISOL. TERMOPLAST. 0,6/1KV - 95MM2 - 90º HEPR</t>
  </si>
  <si>
    <t>CABO FLEX ISOL. TERMOPLAST. 0,6/1KV - 185MM2 - 90º HEPR</t>
  </si>
  <si>
    <t>CABO FLEX ISOL. TERMOPLAST. 0,6/1KV - 16MM2 - 90º HEPR</t>
  </si>
  <si>
    <t>CABO FLEX ISOL. TERMOPLAST. 0,6/1KV - 70MM2 - 90º HEPR</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</si>
  <si>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</si>
  <si>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</si>
  <si>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</si>
  <si>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</si>
  <si>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</si>
  <si>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0,6/1KV - 240MM2 - 90º HEPR</t>
  </si>
  <si>
    <t>CABO FLEX ISOL. TERMOPLAST. 0,6/1KV - 150MM2 - 90º HEPR</t>
  </si>
  <si>
    <t>CABO FLEX ISOL. TERMOPLAST. 0,6/1KV - 2,5MM2 - 90º HEPR</t>
  </si>
  <si>
    <t>CABO FLEX ISOL. TERMOPLAST. 0,6/1KV - 4,0MM2 - 90º HEPR</t>
  </si>
  <si>
    <t>CABO FLEX ISOL. TERMOPLAST. 0,6/1KV - 120MM2 - 90º HEPR</t>
  </si>
  <si>
    <t>CABO FLEX ISOL. TERMOPLAST. 0,6/1KV - 300MM2 - 90º HEPR</t>
  </si>
  <si>
    <t>CABO UTP 4P CAT.6</t>
  </si>
  <si>
    <t>FIOS E CABOS (CONTINUACAO)</t>
  </si>
  <si>
    <t>CABO TELEFONICO CI C/ 20 PARES Ø 50 MM</t>
  </si>
  <si>
    <t>CABO COAXIAL P/ TV, SERIE -RG6-67% - 75 OHMS</t>
  </si>
  <si>
    <t>DISJUNTOR CX MOLDADA TRIPOLAR 100A - CURVA C - 20KA 220/127V</t>
  </si>
  <si>
    <t>DISJUNTOR CX MOLDADA TERMOMAGNETICO TRIPOLAR 125A 20KA</t>
  </si>
  <si>
    <t>DISPOSITIVO INTERRUPTOR DR BIPOLAR 40A - 30MA</t>
  </si>
  <si>
    <t>DISPOSITIVO INTERRUPTOR DR BIPOLAR 25A - 30MA</t>
  </si>
  <si>
    <t>DISJUNTOR CAIXA MOLDADA DIN TRIPOLAR 200A</t>
  </si>
  <si>
    <t>DISPOSITIVO INTERRUPTOR DR BIPOLAR 80A - 30 MA</t>
  </si>
  <si>
    <t>DISJ TERMOMAG TRIP CX MOLDADA 250A 25KA 480/600VCA</t>
  </si>
  <si>
    <t>DISJ TERMOMAG TRIP CX MOLD 150A 25KA 480/600VCA</t>
  </si>
  <si>
    <t>CAIXA C/TAMPA DO TIPO CIE-5 80X80X12 CM (TELEFONE) (DE EMBUTIR)</t>
  </si>
  <si>
    <t>CAIXA C/TAMPA TIPO CIE-7 150X150X15 CM (TELEFONE) (DE EMBUTIR)</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</si>
  <si>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</si>
  <si>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</si>
  <si>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</si>
  <si>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</si>
  <si>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</si>
  <si>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LAMPADA LED BIVOLT BULBO E27 9W - LUZ BRANCA - FORMATO TRADICIONAL</t>
  </si>
  <si>
    <t>LAMPADA LED BIVOLT BULBO E27 20W - LUZ BRANCA - FORMATO TRADICIONAL</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</si>
  <si>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</si>
  <si>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</si>
  <si>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</si>
  <si>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ABRACADEIRA TIPO "D" COM CUNHA P/ ELETRODUTO 2" TEL 097</t>
  </si>
  <si>
    <t>PARAFUSO CABEÇA QUADRADA MAQUINA GALVANIZADO A FOGO 16 X 300MM</t>
  </si>
  <si>
    <t>ARRUELA DE ALUMINIO FUNDIDO 1 1/4" - WETZEL OU EQUIVALENTE</t>
  </si>
  <si>
    <t>VELCRO 20 MM P/ FIXACAO DE CABOS DE REDE LOGICA</t>
  </si>
  <si>
    <t>PARAFUSO SEXTAVADA ACO GALV 1020 1/4" X 1/2"</t>
  </si>
  <si>
    <t>PARAFUSO CABEÇA QUADRADA MAQUINA GALVANIZADO A FOGO 16 X 200MM</t>
  </si>
  <si>
    <t>BANDEJA DESLIZANTE P/ RACK PADRAO 19" - 500MM</t>
  </si>
  <si>
    <t>SAIDA HORIZONTAL P/ ELETRODUTO 3/4" PRE ZZINCADA</t>
  </si>
  <si>
    <t>GUIAS HORIZONTAIS FECHADO C/ TAMPA 1U P/ RACK</t>
  </si>
  <si>
    <t>GUIAS/ORGANIZADOR DE CABOS HORIZONTAIS FECHADO C/ TAMPA 2U P/ RACK</t>
  </si>
  <si>
    <t>PARAFUSO ALLEN CABEÇA ABAULADA M16 X 45MM</t>
  </si>
  <si>
    <t>PARAFUSO ALLEN CABEÇA ABAULADA M16 X 125MM</t>
  </si>
  <si>
    <t>PARAFUSO ALLEN CABEÇA ABAULADA M16 X 150MM</t>
  </si>
  <si>
    <t>SOQUETE ANTI-VIBRATORIO P/LAMP FLUOR/LED PANAM/SIMILAR</t>
  </si>
  <si>
    <t>ARRUELA QUADRADA 38 X 38 X 3MM, C/ FURO 18MM.</t>
  </si>
  <si>
    <t>FITA ISOLANTE AUTO FUSAO, C/10M</t>
  </si>
  <si>
    <t>PARAFUSO ALLEN CABEÇA ABAULADA M10 X 150MM</t>
  </si>
  <si>
    <t>ELETROCALHA STANDARD PERFURADA S/ TAMPA 300X100MM - CH16</t>
  </si>
  <si>
    <t>SAÍDA HORIZONTAL P/ ELETRODUTO Ø 2" PRE ZZINCADA</t>
  </si>
  <si>
    <t>PATCH CORD U/UTP GIGALAN RJ-45 CAT 6 - 1.50 M</t>
  </si>
  <si>
    <t>PATCH CORD U/UTP MULTILAN RJ-45 CAT 5E - 1.50 M</t>
  </si>
  <si>
    <t>CONECTOR RJ45 CAT 5E MACHO - PARA REDE DE DADOS</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</si>
  <si>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</si>
  <si>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</si>
  <si>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</si>
  <si>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</si>
  <si>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</si>
  <si>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</si>
  <si>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</si>
  <si>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</si>
  <si>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</si>
  <si>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</si>
  <si>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</si>
  <si>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</si>
  <si>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</si>
  <si>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</si>
  <si>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</si>
  <si>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</si>
  <si>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</si>
  <si>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</si>
  <si>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</si>
  <si>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</si>
  <si>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</si>
  <si>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</si>
  <si>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</si>
  <si>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</si>
  <si>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</si>
  <si>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</si>
  <si>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</si>
  <si>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</si>
  <si>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</si>
  <si>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</si>
  <si>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</si>
  <si>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</si>
  <si>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TUBO DE CONCRETO SIMPLES DIAM. 30CM - PS1 PONTA E BOLSA</t>
  </si>
  <si>
    <t>TUBO DE CONCRETO SIMPLES DIAM. 20CM - PS1 - PONTA E BOLSA</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</si>
  <si>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</si>
  <si>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</si>
  <si>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</si>
  <si>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</si>
  <si>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</si>
  <si>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</si>
  <si>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</si>
  <si>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</si>
  <si>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</si>
  <si>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</si>
  <si>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</si>
  <si>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</si>
  <si>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</si>
  <si>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FERRO FUNDIDO DE 150MM PONTA E BOLSA (PB) - "TB SME"</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</si>
  <si>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</si>
  <si>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</si>
  <si>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</si>
  <si>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</si>
  <si>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</si>
  <si>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</si>
  <si>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</si>
  <si>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</si>
  <si>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</si>
  <si>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</si>
  <si>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</si>
  <si>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PRESSAO CROMADO COM ACABAMENTO 1/2"</t>
  </si>
  <si>
    <t>REGISTRO DE PRESSAO CROMADO COM ACABAMENTO 3/4"</t>
  </si>
  <si>
    <t>REGISTRO DE PRESSAO BRUTO COM VOLANTE 3/4"</t>
  </si>
  <si>
    <t>REGISTRO PRESSAO BRUTO COM VOLANTE 1/2"</t>
  </si>
  <si>
    <t>REGISTRO DE GAVETA BRUTO 100MM - 4"</t>
  </si>
  <si>
    <t>VALVULA RETENCAO VERTICAL BRONZE - 100MM (4")</t>
  </si>
  <si>
    <t>ANEL DE VEDAÇÃO AZUL PARA BACIA SANITARIA</t>
  </si>
  <si>
    <t>MICTORIO BRANCO GELO C/ SIFAO REF. M-715 DECA</t>
  </si>
  <si>
    <t>VALVULA DESCARGA ANTI-VANDALISMO P/ MICTORIO - PRESSMATIC - DOCOL OU EQUIVALENTE</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</si>
  <si>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</si>
  <si>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</si>
  <si>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</si>
  <si>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</si>
  <si>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</si>
  <si>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</si>
  <si>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</si>
  <si>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</si>
  <si>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</si>
  <si>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</si>
  <si>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</si>
  <si>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ADESIVO 60X60CM COM IMPRESSAO LOGO DIGITAL CONFORME PROJETO</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</si>
  <si>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</si>
  <si>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</si>
  <si>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</si>
  <si>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</si>
  <si>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</si>
  <si>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</si>
  <si>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</si>
  <si>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</si>
  <si>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</si>
  <si>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</si>
  <si>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</si>
  <si>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</si>
  <si>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</si>
  <si>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</si>
  <si>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</si>
  <si>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</si>
  <si>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</si>
  <si>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</si>
  <si>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</si>
  <si>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</si>
  <si>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</si>
  <si>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</si>
  <si>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</si>
  <si>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</si>
  <si>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KIT 2 BARRAS DE APOIO LATERAL "U" ACO INOX POLIDO 304 Ø 1 1/4" COMP. 30CM</t>
  </si>
  <si>
    <t>EQUIPAMENTOS CUSTO AQUISIÇÃO</t>
  </si>
  <si>
    <t>MACARICO DE CORTE E SOLDA ? WH 200 (ACETILENO E OXIGÊNIO) - FOX, WHITE MARTINS OU EQUIVALENTE</t>
  </si>
  <si>
    <t xml:space="preserve">ACABAMENTO DE METAL CROMADO PARA REGISTRO PEQUENO, DE PAREDE, 1/2 " OU 3/4 "                                                                                                                                                                                                                                                                                                                                                                                                                              </t>
  </si>
  <si>
    <t xml:space="preserve">ACETILENO (RECARGA DE GAS ACETILENO PARA CILINDRO DE CONJUNTO OXICORTE GRANDE) NAO INCLUI TROCA/MANUTENCAO DO CILINDRO                                                                                                                                                                                                                                                                                                                                                                                    </t>
  </si>
  <si>
    <t xml:space="preserve">AJUDANTE DE ARMADOR (HORISTA)                                                                                                                                                                                                                                                                                                                                                                                                                                                                             </t>
  </si>
  <si>
    <t xml:space="preserve">AJUDANTE DE ELETRICISTA (HORISTA)                                                                                                                                                                                                                                                                                                                                                                                                                                                                         </t>
  </si>
  <si>
    <t xml:space="preserve">AJUDANTE DE OPERACAO EM GERAL (HORISTA)                                                                                                                                                                                                                                                                                                                                                                                                                                                                   </t>
  </si>
  <si>
    <t xml:space="preserve">AJUDANTE DE PINTOR (HORISTA)                                                                                                                                                                                                                                                                                                                                                                                                                                                                              </t>
  </si>
  <si>
    <t xml:space="preserve">AJUDANTE DE SERRALHEIRO (HORISTA)                                                                                                                                                                                                                                                                                                                                                                                                                                                                         </t>
  </si>
  <si>
    <t xml:space="preserve">AJUDANTE ESPECIALIZADO (HORISTA)                                                                                                                                                                                                                                                                                                                                                                                                                                                                          </t>
  </si>
  <si>
    <t xml:space="preserve">ALMOXARIFE (HORISTA)                                                                                                                                                                                                                                                                                                                                                                                                                                                                                      </t>
  </si>
  <si>
    <t xml:space="preserve">APONTADOR OU APROPRIADOR DE MAO DE OBRA (HORISTA)                                                                                                                                                                                                                                                                                                                                                                                                                                                         </t>
  </si>
  <si>
    <t xml:space="preserve">ARMADOR (HORISTA)                                                                                                                                                                                                                                                                                                                                                                                                                                                                                         </t>
  </si>
  <si>
    <t xml:space="preserve">AUXILIAR DE ALMOXARIFE (HORISTA)                                                                                                                                                                                                                                                                                                                                                                                                                                                                          </t>
  </si>
  <si>
    <t xml:space="preserve">AUXILIAR DE AZULEJISTA (HORISTA)                                                                                                                                                                                                                                                                                                                                                                                                                                                                          </t>
  </si>
  <si>
    <t xml:space="preserve">AUXILIAR DE ENCANADOR OU BOMBEIRO HIDRAULICO (HORISTA)                                                                                                                                                                                                                                                                                                                                                                                                                                                    </t>
  </si>
  <si>
    <t xml:space="preserve">AUXILIAR DE ESCRITORIO (HORISTA)                                                                                                                                                                                                                                                                                                                                                                                                                                                                          </t>
  </si>
  <si>
    <t xml:space="preserve">AUXILIAR DE LABORATORISTA DE SOLOS E DE CONCRETO (HORISTA)                                                                                                                                                                                                                                                                                                                                                                                                                                                </t>
  </si>
  <si>
    <t xml:space="preserve">AUXILIAR DE PEDREIRO (HORISTA)                                                                                                                                                                                                                                                                                                                                                                                                                                                                            </t>
  </si>
  <si>
    <t xml:space="preserve">AUXILIAR DE TOPOGRAFO (HORISTA)                                                                                                                                                                                                                                                                                                                                                                                                                                                                           </t>
  </si>
  <si>
    <t xml:space="preserve">AZULEJISTA OU LADRILHEIRO (HORISTA)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</si>
  <si>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</si>
  <si>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</si>
  <si>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</si>
  <si>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</si>
  <si>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</si>
  <si>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</si>
  <si>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</si>
  <si>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</si>
  <si>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</si>
  <si>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</si>
  <si>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</si>
  <si>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</si>
  <si>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BASTIDOR PARA BLOCO M10                                                                                                                                                                                                                                                                                                                                                                                                                                                                                   </t>
  </si>
  <si>
    <t xml:space="preserve">BENTONITA, ARGILA CONSTITUIDA POR  MONTMORILONITA                                                                                                                                                                                                                                                                                                                                                                                                                                                         </t>
  </si>
  <si>
    <t xml:space="preserve">BLOCO CONCRETO CELULAR AUTOCLAVADO 12,5 X 30 X 60 CM (E X A X C)                                                                                                                                                                                                                                                                                                                                                                                                                                          </t>
  </si>
  <si>
    <t xml:space="preserve">BLOCO CONCRETO CELULAR AUTOCLAVADO 7,5 X 30 X 60 CM (E X A X C)                                                                                                                                                                                                                                                                                                                                                                                                                                           </t>
  </si>
  <si>
    <t xml:space="preserve">BLOCO DE ENGATE RAPIDO PARA BASTIDOR TIPO M10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</si>
  <si>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</si>
  <si>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</si>
  <si>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</si>
  <si>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UTP, 4 PARES, CATEGORIA 6 (CAT 6), ISOLAMENTO PVC (LSZH)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</si>
  <si>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</si>
  <si>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</si>
  <si>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</si>
  <si>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</si>
  <si>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</si>
  <si>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</si>
  <si>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</si>
  <si>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</si>
  <si>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</si>
  <si>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</si>
  <si>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</si>
  <si>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</si>
  <si>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</si>
  <si>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</si>
  <si>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</si>
  <si>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CARPINTEIRO AUXILIAR (HORISTA)                                                                                                                                                                                                                                                                                                                                                                                                                                                                            </t>
  </si>
  <si>
    <t xml:space="preserve">CARPINTEIRO DE ESQUADRIAS (HORISTA)                                                                                                                                                                                                                                                                                                                                                                                                                                                                       </t>
  </si>
  <si>
    <t xml:space="preserve">CARPINTEIRO DE FORMAS (HORISTA)                                                                                                                                                                                                                                                                                                                                                                                                                                                                           </t>
  </si>
  <si>
    <t xml:space="preserve">CARVAO ANTRACITO PARA FILTRO, GRAO VARIANDO DE 0,8 ATE 1,1 MM, COEFICIENTE DE UNIFORMIDADE MENOR QUE 1,7 MM (POSTO JAZIDA/PRODUTOR)                                                                                                                                                                                                                                                                                                                                                                       </t>
  </si>
  <si>
    <t xml:space="preserve">CONECTOR / TOMADA FEMEA RJ 45, CATEGORIA 5 E (CAT 5E) PARA CABOS                                                                                                                                                                                                                                                                                                                                                                                                                                          </t>
  </si>
  <si>
    <t xml:space="preserve">CONECTOR / TOMADA FEMEA RJ 45, CATEGORIA 6 (CAT 6) PARA CABOS                                                                                                                                                                                                                                                                                                                                                                                                                                             </t>
  </si>
  <si>
    <t xml:space="preserve">CONECTOR MACHO RJ 45, CATEGORIA 5 E (CAT 5E) PARA CABOS                                                                                                                                                                                                                                                                                                                                                                                                                                                   </t>
  </si>
  <si>
    <t xml:space="preserve">CONECTOR MACHO RJ 45, CATEGORIA 6 (CAT 6) PARA CABOS                                                                                                                                                                                                                                                                                                                                                                                                                                                      </t>
  </si>
  <si>
    <t xml:space="preserve">CONJ. DE FERRAGENS PARA PORTA DE VIDRO TEMPERADO, EM ZAMAC CROMADO, CONTEMPLANDO DOBRADICA INF., DOBRADICA SUP., PIVO PARA DOBRADICA INF., PIVO PARA DOBRADICA SUP., FECHADURA CENTRAL EM ZAMC. CROMADO, CONTRA FECHADURA DE PRESSAO                                                                                                                                                                                                                                                                      </t>
  </si>
  <si>
    <t xml:space="preserve">DESENHISTA COPISTA (HORISTA)                                                                                                                                                                                                                                                                                                                                                                                                                                                                              </t>
  </si>
  <si>
    <t xml:space="preserve">DESENHISTA DETALHISTA (HORISTA)                                                                                                                                                                                                                                                                                                                                                                                                                                                                           </t>
  </si>
  <si>
    <t xml:space="preserve">DESENHISTA PROJETISTA (HORISTA)                                                                                                                                                                                                                                                                                                                                                                                                                                                                           </t>
  </si>
  <si>
    <t xml:space="preserve">DESENHISTA TECNICO AUXILIAR (HORISTA)                                                                                                                                                                                                                                                                                                                                                                                                                                                                     </t>
  </si>
  <si>
    <t xml:space="preserve">DOBRADICA EM ACO/FERRO, 3" X 2 1/2", E= 1,2 A 1,8 MM, SEM ANEL, CROMADO OU ZINCADO, TAMPA BOLA, COM PARAFUSOS                                                                                                                                                                                                                                                                                                                                                                                             </t>
  </si>
  <si>
    <t xml:space="preserve">ELETRICISTA (HORISTA)                                                                                                                                                                                                                                                                                                                                                                                                                                                                                     </t>
  </si>
  <si>
    <t xml:space="preserve">ELETRICISTA DE MANUTENCAO INDUSTRIAL (HORISTA)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</si>
  <si>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</si>
  <si>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</si>
  <si>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</si>
  <si>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</si>
  <si>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ELETROTECNICO (HORISTA)                                                                                                                                                                                                                                                                                                                                                                                                                                                                                   </t>
  </si>
  <si>
    <t xml:space="preserve">ENCANADOR OU BOMBEIRO HIDRAULICO (HORISTA)                                                                                                                                                                                                                                                                                                                                                                                                                                                                </t>
  </si>
  <si>
    <t xml:space="preserve">ENCARREGADO GERAL DE OBRAS (HORISTA)                                                                                                                                                                                                                                                                                                                                                                                                                                                                      </t>
  </si>
  <si>
    <t xml:space="preserve">KWH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</si>
  <si>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</si>
  <si>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</si>
  <si>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FINCAPINO CURTO CALIBRE 22, CARGA MEDIA POTENCIA 5 (PARA FERRAMENTA DE ACAO DIRETA) COR VERMELHA                                                                                                                                                                                                                                                                                                                                                                                                          </t>
  </si>
  <si>
    <t xml:space="preserve">FINCAPINO LONGO CALIBRE 22, CARGA FORTE POTENCIA 7 (PARA FERRAMENTA DE ACAO DIRETA), COR AMARELA                                                                                                                                                                                                                                                                                                                                                                                                          </t>
  </si>
  <si>
    <t xml:space="preserve">GESSEIRO (HORISTA)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</si>
  <si>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</si>
  <si>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</si>
  <si>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</si>
  <si>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</si>
  <si>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</si>
  <si>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IMPERMEABILIZADOR (HORISTA)                                                                                                                                                                                                                                                                                                                                                                                                                                                                               </t>
  </si>
  <si>
    <t xml:space="preserve">JANELA DE CORRER, ACO, BATENTE/REQUADRO DE 6 A 14 CM, COM DIVISAO HORIZ , PINT ANTICORROSIVA, SEM VIDRO, BANDEIRA COM BASCULA, 4 FLS, 120 X 150 CM (A X L)                                                                                                                                                                                                                                                                                                                                                </t>
  </si>
  <si>
    <t xml:space="preserve">JARDINEIRO (HORISTA)                                                                                                                                                                                                                                                                                                                                                                                                                                                                                      </t>
  </si>
  <si>
    <t xml:space="preserve">LEITURISTA OU CADASTRISTA DE REDES DE AGUA E ESGOTO (HORISTA)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</si>
  <si>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</si>
  <si>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</si>
  <si>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</si>
  <si>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</si>
  <si>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</si>
  <si>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</si>
  <si>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</si>
  <si>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</si>
  <si>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</si>
  <si>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</si>
  <si>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</si>
  <si>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UNXMES</t>
  </si>
  <si>
    <t xml:space="preserve">LUMINARIA FECHADA P/ ILUMINACAO PUBLICA, TIPO ABL 50/F OU EQUIV, P/ LAMPADA A VAPOR DE MERCURIO 400W                                                                                                                                                                                                                                                                                                                                                                                                      </t>
  </si>
  <si>
    <t xml:space="preserve">MACARIQUEIRO (HORISTA)                                                                                                                                                                                                                                                                                                                                                                                                                                                                                    </t>
  </si>
  <si>
    <t xml:space="preserve">MARCENEIRO (HORISTA)                                                                                                                                                                                                                                                                                                                                                                                                                                                                                      </t>
  </si>
  <si>
    <t xml:space="preserve">MARMORISTA / GRANITEIRO (HORISTA)                                                                                                                                                                                                                                                                                                                                                                                                                                                                         </t>
  </si>
  <si>
    <t xml:space="preserve">MECANICO DE REFRIGERACAO (HORISTA)                                                                                                                                                                                                                                                                                                                                                                                                                                                                        </t>
  </si>
  <si>
    <t xml:space="preserve">MESTRE DE OBRAS (HORISTA)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</si>
  <si>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</si>
  <si>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</si>
  <si>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</si>
  <si>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METALICO, BASE PARA CHUVEIRO/BANHEIRA, 1/2 " OU 3/4 ", SOLDAVEL OU ROSCAVEL (NAO INCLUI ACABAMENTOS)                                                                                                                                                                                                                                                                                                                                                                                           </t>
  </si>
  <si>
    <t xml:space="preserve">MISTURADOR MONOCOMANDO PARA CHUVEIRO, BASE BRUTA, METALICO COM ACABAMENTO CROMADO                                                                                                                                                                                                                                                                                                                                                                                                                         </t>
  </si>
  <si>
    <t xml:space="preserve">MONTADOR DE ELETROELETRONICOS (HORISTA)                                                                                                                                                                                                                                                                                                                                                                                                                                                                   </t>
  </si>
  <si>
    <t xml:space="preserve">MONTADOR DE MAQUINAS (HORISTA)                                                                                                                                                                                                                                                                                                                                                                                                                                                                            </t>
  </si>
  <si>
    <t xml:space="preserve">MUDA DE ARBUSTO, BUXINHO, H= *50* CM                                                                                                                                                                                                                                                                                                                                                                                                                                                                      </t>
  </si>
  <si>
    <t xml:space="preserve">MUDA DE PALMEIRA ARECA, H= *1,50* M                                                                                                                                                                                                                                                                                                                                                                                                                                                                       </t>
  </si>
  <si>
    <t xml:space="preserve">NIVELADOR (HORISTA)                                                                                                                                                                                                                                                                                                                                                                                                                                                                                       </t>
  </si>
  <si>
    <t xml:space="preserve">PASTILHEIRO (HORISTA)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</si>
  <si>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</si>
  <si>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</si>
  <si>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</si>
  <si>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</si>
  <si>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</si>
  <si>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</si>
  <si>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</si>
  <si>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</si>
  <si>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PEDREIRO (HORISTA)                                                                                                                                                                                                                                                                                                                                                                                                                                                                                        </t>
  </si>
  <si>
    <t xml:space="preserve">PINTOR (HORISTA)                                                                                                                                                                                                                                                                                                                                                                                                                                                                                          </t>
  </si>
  <si>
    <t xml:space="preserve">PINTOR DE LETREIROS (HORISTA)                                                                                                                                                                                                                                                                                                                                                                                                                                                                             </t>
  </si>
  <si>
    <t xml:space="preserve">PINTOR PARA TINTA EPOXI (HORISTA)                                                                                                                                                                                                                                                                                                                                                                                                                                                                         </t>
  </si>
  <si>
    <t xml:space="preserve">RACK DE PISO PARA SERVIDOR, ABERTO, EM COLUNA, 44U X *570* MM                                                                                                                                                                                                                                                                                                                                                                                                                                             </t>
  </si>
  <si>
    <t xml:space="preserve">RACK DE PISO PARA SERVIDOR, FECHADO, 44U, COM PORTA, 44U X *570* MM                                                                                                                                                                                                                                                                                                                                                                                                                                       </t>
  </si>
  <si>
    <t xml:space="preserve">SERRALHEIRO (HORISTA)                                                                                                                                                                                                                                                                                                                                                                                                                                                                                     </t>
  </si>
  <si>
    <t xml:space="preserve">SIFAO / TUBO SINFONADO EXTENSIVEL/SANFONADO, UNIVERSAL/ SIMPLES, ENTRE *50 A 70* CM, DE PLASTICO BRANCO                                                                                                                                                                                                                                                                                                                                                                                                   </t>
  </si>
  <si>
    <t xml:space="preserve">SISAL EM FIBRA / ESTOPA SISAL PARA GESSO                                                                                                                                                                                                                                                                                                                                                                                                                                                                  </t>
  </si>
  <si>
    <t xml:space="preserve">SOLDADOR (HORISTA)                                                                                                                                                                                                                                                                                                                                                                                                                                                                                        </t>
  </si>
  <si>
    <t xml:space="preserve">SOLDADOR ELETRICO (PARA SOLDA A SER TESTADA COM RAIOS "X") (HORISTA)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</si>
  <si>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</si>
  <si>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</si>
  <si>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TAQUEADOR OU TAQUEIRO (HORISTA)                                                                                                                                                                                                                                                                                                                                                                                                                                                                           </t>
  </si>
  <si>
    <t xml:space="preserve">TECNICO DE EDIFICACOES (HORISTA)                                                                                                                                                                                                                                                                                                                                                                                                                                                                          </t>
  </si>
  <si>
    <t xml:space="preserve">TECNICO EM LABORATORIO E CAMPO DE CONSTRUCAO CIVIL (HORISTA)                                                                                                                                                                                                                                                                                                                                                                                                                                              </t>
  </si>
  <si>
    <t xml:space="preserve">TECNICO EM SEGURANCA DO TRABALHO (HORISTA)                                                                                                                                                                                                                                                                                                                                                                                                                                                                </t>
  </si>
  <si>
    <t xml:space="preserve">TELHADOR (HORISTA)                                                                                                                                                                                                                                                                                                                                                                                                                                                                                        </t>
  </si>
  <si>
    <t xml:space="preserve">TOPOGRAFO (HORISTA)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</si>
  <si>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</si>
  <si>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</si>
  <si>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</si>
  <si>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</si>
  <si>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</si>
  <si>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</si>
  <si>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</si>
  <si>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</si>
  <si>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</si>
  <si>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</si>
  <si>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</si>
  <si>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</si>
  <si>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</si>
  <si>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</si>
  <si>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</si>
  <si>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TUBO CORRUGADO PEAD, PAREDE DUPLA, INTERNA LISA, JEI DN/DI 500 MM (DRENAGEM/ESGOTO)                                                                                                                                                                                                                                                                                                                                                                                                                       </t>
  </si>
  <si>
    <t xml:space="preserve">VIDRACEIRO (HORISTA)                                                                                                                                                                                                                                                                                                                                                                                                                                                                                      </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</si>
  <si>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</si>
  <si>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</si>
  <si>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</si>
  <si>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</si>
  <si>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</si>
  <si>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</si>
  <si>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</si>
  <si>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</si>
  <si>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</si>
  <si>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</si>
  <si>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</si>
  <si>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</si>
  <si>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</si>
  <si>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</si>
  <si>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</si>
  <si>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TRAMA DE AÇO COMPOSTA POR TERÇAS PARA TELHADOS DE ATÉ 2 ÁGUAS PARA TELHA ONDULADA DE FIBROCIMENTO, METÁLICA, PLÁSTICA OU TERMOACÚSTICA, INCLUSO TRANSPORTE VERTICAL (EM KG). AF_07/2019</t>
  </si>
  <si>
    <t>GEOTÊXTIL NÃO TECIDO 100% POLIÉSTER, RESISTÊNCIA A TRAÇÃO DE 31 KN/M (RT-31), INSTALADO EM DRENO - FORNECIMENTO E INSTALAÇÃO.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</si>
  <si>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</si>
  <si>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</si>
  <si>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</si>
  <si>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</si>
  <si>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</si>
  <si>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</si>
  <si>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</si>
  <si>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</si>
  <si>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</si>
  <si>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</si>
  <si>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</si>
  <si>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</si>
  <si>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</si>
  <si>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</si>
  <si>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</si>
  <si>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</si>
  <si>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</si>
  <si>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</si>
  <si>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</si>
  <si>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</si>
  <si>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</si>
  <si>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</si>
  <si>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</si>
  <si>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</si>
  <si>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</si>
  <si>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</si>
  <si>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</si>
  <si>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</si>
  <si>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</si>
  <si>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</si>
  <si>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</si>
  <si>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</si>
  <si>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</si>
  <si>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</si>
  <si>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</si>
  <si>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</si>
  <si>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</si>
  <si>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</si>
  <si>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</si>
  <si>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</si>
  <si>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</si>
  <si>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</si>
  <si>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</si>
  <si>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</si>
  <si>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</si>
  <si>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</si>
  <si>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</si>
  <si>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</si>
  <si>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</si>
  <si>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</si>
  <si>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</si>
  <si>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</si>
  <si>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</si>
  <si>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</si>
  <si>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</si>
  <si>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</si>
  <si>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</si>
  <si>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</si>
  <si>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</si>
  <si>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</si>
  <si>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</si>
  <si>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</si>
  <si>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</si>
  <si>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</si>
  <si>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</si>
  <si>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</si>
  <si>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</si>
  <si>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</si>
  <si>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</si>
  <si>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</si>
  <si>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</si>
  <si>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</si>
  <si>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</si>
  <si>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</si>
  <si>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</si>
  <si>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</si>
  <si>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</si>
  <si>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</si>
  <si>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</si>
  <si>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</si>
  <si>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</si>
  <si>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</si>
  <si>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</si>
  <si>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</si>
  <si>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</si>
  <si>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</si>
  <si>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</si>
  <si>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</si>
  <si>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</si>
  <si>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</si>
  <si>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</si>
  <si>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</si>
  <si>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</si>
  <si>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</si>
  <si>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</si>
  <si>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</si>
  <si>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</si>
  <si>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</si>
  <si>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</si>
  <si>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</si>
  <si>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</si>
  <si>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</si>
  <si>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</si>
  <si>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</si>
  <si>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</si>
  <si>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</si>
  <si>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</si>
  <si>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</si>
  <si>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</si>
  <si>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</si>
  <si>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</si>
  <si>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</si>
  <si>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</si>
  <si>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</si>
  <si>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</si>
  <si>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</si>
  <si>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</si>
  <si>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</si>
  <si>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</si>
  <si>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</si>
  <si>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</si>
  <si>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</si>
  <si>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</si>
  <si>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</si>
  <si>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</si>
  <si>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</si>
  <si>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</si>
  <si>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</si>
  <si>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</si>
  <si>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</si>
  <si>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</si>
  <si>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</si>
  <si>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</si>
  <si>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</si>
  <si>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</si>
  <si>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</si>
  <si>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</si>
  <si>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</si>
  <si>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</si>
  <si>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</si>
  <si>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</si>
  <si>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</si>
  <si>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</si>
  <si>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</si>
  <si>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</si>
  <si>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</si>
  <si>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</si>
  <si>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</si>
  <si>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</si>
  <si>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</si>
  <si>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</si>
  <si>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</si>
  <si>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</si>
  <si>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</si>
  <si>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</si>
  <si>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</si>
  <si>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</si>
  <si>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</si>
  <si>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</si>
  <si>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</si>
  <si>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</si>
  <si>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</si>
  <si>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</si>
  <si>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</si>
  <si>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</si>
  <si>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</si>
  <si>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</si>
  <si>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</si>
  <si>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</si>
  <si>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</si>
  <si>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</si>
  <si>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</si>
  <si>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</si>
  <si>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</si>
  <si>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</si>
  <si>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</si>
  <si>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</si>
  <si>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</si>
  <si>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</si>
  <si>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</si>
  <si>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</si>
  <si>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</si>
  <si>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</si>
  <si>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</si>
  <si>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</si>
  <si>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</si>
  <si>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</si>
  <si>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</si>
  <si>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</si>
  <si>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</si>
  <si>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</si>
  <si>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</si>
  <si>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</si>
  <si>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</si>
  <si>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</si>
  <si>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</si>
  <si>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</si>
  <si>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</si>
  <si>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</si>
  <si>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</si>
  <si>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</si>
  <si>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</si>
  <si>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</si>
  <si>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</si>
  <si>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</si>
  <si>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</si>
  <si>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</si>
  <si>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</si>
  <si>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</si>
  <si>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</si>
  <si>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</si>
  <si>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</si>
  <si>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</si>
  <si>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</si>
  <si>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</si>
  <si>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</si>
  <si>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</si>
  <si>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</si>
  <si>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</si>
  <si>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</si>
  <si>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</si>
  <si>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</si>
  <si>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</si>
  <si>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</si>
  <si>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</si>
  <si>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</si>
  <si>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</si>
  <si>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</si>
  <si>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</si>
  <si>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</si>
  <si>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</si>
  <si>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</si>
  <si>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</si>
  <si>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</si>
  <si>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</si>
  <si>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</si>
  <si>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</si>
  <si>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</si>
  <si>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</si>
  <si>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</si>
  <si>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</si>
  <si>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</si>
  <si>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</si>
  <si>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</si>
  <si>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</si>
  <si>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</si>
  <si>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</si>
  <si>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</si>
  <si>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</si>
  <si>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</si>
  <si>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</si>
  <si>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</si>
  <si>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</si>
  <si>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</si>
  <si>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</si>
  <si>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</si>
  <si>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</si>
  <si>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</si>
  <si>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</si>
  <si>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</si>
  <si>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</si>
  <si>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</si>
  <si>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</si>
  <si>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</si>
  <si>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</si>
  <si>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</si>
  <si>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</si>
  <si>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</si>
  <si>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</si>
  <si>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</si>
  <si>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</si>
  <si>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</si>
  <si>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</si>
  <si>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</si>
  <si>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</si>
  <si>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</si>
  <si>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</si>
  <si>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</si>
  <si>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</si>
  <si>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</si>
  <si>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</si>
  <si>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</si>
  <si>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</si>
  <si>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</si>
  <si>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</si>
  <si>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</si>
  <si>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</si>
  <si>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</si>
  <si>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</si>
  <si>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</si>
  <si>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</si>
  <si>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</si>
  <si>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</si>
  <si>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</si>
  <si>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</si>
  <si>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</si>
  <si>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</si>
  <si>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</si>
  <si>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</si>
  <si>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</si>
  <si>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</si>
  <si>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</si>
  <si>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</si>
  <si>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</si>
  <si>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</si>
  <si>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</si>
  <si>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</si>
  <si>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</si>
  <si>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</si>
  <si>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</si>
  <si>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</si>
  <si>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</si>
  <si>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</si>
  <si>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</si>
  <si>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</si>
  <si>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</si>
  <si>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</si>
  <si>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</si>
  <si>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</si>
  <si>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</si>
  <si>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</si>
  <si>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</si>
  <si>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</si>
  <si>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</si>
  <si>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</si>
  <si>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</si>
  <si>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</si>
  <si>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</si>
  <si>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</si>
  <si>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</si>
  <si>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</si>
  <si>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</si>
  <si>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</si>
  <si>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</si>
  <si>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</si>
  <si>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</si>
  <si>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</si>
  <si>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</si>
  <si>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</si>
  <si>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</si>
  <si>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</si>
  <si>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</si>
  <si>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</si>
  <si>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</si>
  <si>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</si>
  <si>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</si>
  <si>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</si>
  <si>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</si>
  <si>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</si>
  <si>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</si>
  <si>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</si>
  <si>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</si>
  <si>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</si>
  <si>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</si>
  <si>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</si>
  <si>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</si>
  <si>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</si>
  <si>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</si>
  <si>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</si>
  <si>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</si>
  <si>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</si>
  <si>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</si>
  <si>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</si>
  <si>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</si>
  <si>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</si>
  <si>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</si>
  <si>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</si>
  <si>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</si>
  <si>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</si>
  <si>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</si>
  <si>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</si>
  <si>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</si>
  <si>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</si>
  <si>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</si>
  <si>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</si>
  <si>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</si>
  <si>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</si>
  <si>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</si>
  <si>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</si>
  <si>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</si>
  <si>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</si>
  <si>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</si>
  <si>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</si>
  <si>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</si>
  <si>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</si>
  <si>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</si>
  <si>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</si>
  <si>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</si>
  <si>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</si>
  <si>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</si>
  <si>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</si>
  <si>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</si>
  <si>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</si>
  <si>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</si>
  <si>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</si>
  <si>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</si>
  <si>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</si>
  <si>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</si>
  <si>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</si>
  <si>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</si>
  <si>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</si>
  <si>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</si>
  <si>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</si>
  <si>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</si>
  <si>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</si>
  <si>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</si>
  <si>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</si>
  <si>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</si>
  <si>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</si>
  <si>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</si>
  <si>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</si>
  <si>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</si>
  <si>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</si>
  <si>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</si>
  <si>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</si>
  <si>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</si>
  <si>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</si>
  <si>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</si>
  <si>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</si>
  <si>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</si>
  <si>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</si>
  <si>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</si>
  <si>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</si>
  <si>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</si>
  <si>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</si>
  <si>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</si>
  <si>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</si>
  <si>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</si>
  <si>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</si>
  <si>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</si>
  <si>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</si>
  <si>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</si>
  <si>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</si>
  <si>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</si>
  <si>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</si>
  <si>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</si>
  <si>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</si>
  <si>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</si>
  <si>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</si>
  <si>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</si>
  <si>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</si>
  <si>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</si>
  <si>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</si>
  <si>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</si>
  <si>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</si>
  <si>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</si>
  <si>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</si>
  <si>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</si>
  <si>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</si>
  <si>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</si>
  <si>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</si>
  <si>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</si>
  <si>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</si>
  <si>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</si>
  <si>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</si>
  <si>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</si>
  <si>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</si>
  <si>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</si>
  <si>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</si>
  <si>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</si>
  <si>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</si>
  <si>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</si>
  <si>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</si>
  <si>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</si>
  <si>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</si>
  <si>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</si>
  <si>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</si>
  <si>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</si>
  <si>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</si>
  <si>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</si>
  <si>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</si>
  <si>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</si>
  <si>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</si>
  <si>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</si>
  <si>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</si>
  <si>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</si>
  <si>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</si>
  <si>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</si>
  <si>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</si>
  <si>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</si>
  <si>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</si>
  <si>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</si>
  <si>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</si>
  <si>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</si>
  <si>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</si>
  <si>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</si>
  <si>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</si>
  <si>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</si>
  <si>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</si>
  <si>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</si>
  <si>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</si>
  <si>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</si>
  <si>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</si>
  <si>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</si>
  <si>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</si>
  <si>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</si>
  <si>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</si>
  <si>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</si>
  <si>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</si>
  <si>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</si>
  <si>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</si>
  <si>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</si>
  <si>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</si>
  <si>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</si>
  <si>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</si>
  <si>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</si>
  <si>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</si>
  <si>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</si>
  <si>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</si>
  <si>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</si>
  <si>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</si>
  <si>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</si>
  <si>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</si>
  <si>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</si>
  <si>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</si>
  <si>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</si>
  <si>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</si>
  <si>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</si>
  <si>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</si>
  <si>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</si>
  <si>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</si>
  <si>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</si>
  <si>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</si>
  <si>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</si>
  <si>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</si>
  <si>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</si>
  <si>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</si>
  <si>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</si>
  <si>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</si>
  <si>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</si>
  <si>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</si>
  <si>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</si>
  <si>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</si>
  <si>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</si>
  <si>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</si>
  <si>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</si>
  <si>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</si>
  <si>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</si>
  <si>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</si>
  <si>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</si>
  <si>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</si>
  <si>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</si>
  <si>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</si>
  <si>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</si>
  <si>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</si>
  <si>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</si>
  <si>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</si>
  <si>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</si>
  <si>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</si>
  <si>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</si>
  <si>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</si>
  <si>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</si>
  <si>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</si>
  <si>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</si>
  <si>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</si>
  <si>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</si>
  <si>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</si>
  <si>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</si>
  <si>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</si>
  <si>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</si>
  <si>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</si>
  <si>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</si>
  <si>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</si>
  <si>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</si>
  <si>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</si>
  <si>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</si>
  <si>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</si>
  <si>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</si>
  <si>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</si>
  <si>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</si>
  <si>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</si>
  <si>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</si>
  <si>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</si>
  <si>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</si>
  <si>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</si>
  <si>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</si>
  <si>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</si>
  <si>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</si>
  <si>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</si>
  <si>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</si>
  <si>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</si>
  <si>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</si>
  <si>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</si>
  <si>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</si>
  <si>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</si>
  <si>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</si>
  <si>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</si>
  <si>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</si>
  <si>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</si>
  <si>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</si>
  <si>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</si>
  <si>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</si>
  <si>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</si>
  <si>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</si>
  <si>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</si>
  <si>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</si>
  <si>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</si>
  <si>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</si>
  <si>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</si>
  <si>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</si>
  <si>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</si>
  <si>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</si>
  <si>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</si>
  <si>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</si>
  <si>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</si>
  <si>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</si>
  <si>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</si>
  <si>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</si>
  <si>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</si>
  <si>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</si>
  <si>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</si>
  <si>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</si>
  <si>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</si>
  <si>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</si>
  <si>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</si>
  <si>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</si>
  <si>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</si>
  <si>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</si>
  <si>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</si>
  <si>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</si>
  <si>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</si>
  <si>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</si>
  <si>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</si>
  <si>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</si>
  <si>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</si>
  <si>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</si>
  <si>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</si>
  <si>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</si>
  <si>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</si>
  <si>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</si>
  <si>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</si>
  <si>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</si>
  <si>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</si>
  <si>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</si>
  <si>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</si>
  <si>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</si>
  <si>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</si>
  <si>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</si>
  <si>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</si>
  <si>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</si>
  <si>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</si>
  <si>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</si>
  <si>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</si>
  <si>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</si>
  <si>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</si>
  <si>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</si>
  <si>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</si>
  <si>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</si>
  <si>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</si>
  <si>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</si>
  <si>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</si>
  <si>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</si>
  <si>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</si>
  <si>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</si>
  <si>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</si>
  <si>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</si>
  <si>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</si>
  <si>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</si>
  <si>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</si>
  <si>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</si>
  <si>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</si>
  <si>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</si>
  <si>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</si>
  <si>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</si>
  <si>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</si>
  <si>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</si>
  <si>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</si>
  <si>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</si>
  <si>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</si>
  <si>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</si>
  <si>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</si>
  <si>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</si>
  <si>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</si>
  <si>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</si>
  <si>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</si>
  <si>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</si>
  <si>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</si>
  <si>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</si>
  <si>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</si>
  <si>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</si>
  <si>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</si>
  <si>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</si>
  <si>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</si>
  <si>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</si>
  <si>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</si>
  <si>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</si>
  <si>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</si>
  <si>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</si>
  <si>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</si>
  <si>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</si>
  <si>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</si>
  <si>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</si>
  <si>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</si>
  <si>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</si>
  <si>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</si>
  <si>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</si>
  <si>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</si>
  <si>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</si>
  <si>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</si>
  <si>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</si>
  <si>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</si>
  <si>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</si>
  <si>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</si>
  <si>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</si>
  <si>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</si>
  <si>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</si>
  <si>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</si>
  <si>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</si>
  <si>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</si>
  <si>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</si>
  <si>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</si>
  <si>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</si>
  <si>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</si>
  <si>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</si>
  <si>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</si>
  <si>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</si>
  <si>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</si>
  <si>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</si>
  <si>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</si>
  <si>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</si>
  <si>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</si>
  <si>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</si>
  <si>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</si>
  <si>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</si>
  <si>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</si>
  <si>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</si>
  <si>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</si>
  <si>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</si>
  <si>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</si>
  <si>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</si>
  <si>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</si>
  <si>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</si>
  <si>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</si>
  <si>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</si>
  <si>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</si>
  <si>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</si>
  <si>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</si>
  <si>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</si>
  <si>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</si>
  <si>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</si>
  <si>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</si>
  <si>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</si>
  <si>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</si>
  <si>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</si>
  <si>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</si>
  <si>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</si>
  <si>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</si>
  <si>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</si>
  <si>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</si>
  <si>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</si>
  <si>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</si>
  <si>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</si>
  <si>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</si>
  <si>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</si>
  <si>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</si>
  <si>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</si>
  <si>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</si>
  <si>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</si>
  <si>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</si>
  <si>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</si>
  <si>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</si>
  <si>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</si>
  <si>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</si>
  <si>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</si>
  <si>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</si>
  <si>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</si>
  <si>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</si>
  <si>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</si>
  <si>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</si>
  <si>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</si>
  <si>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</si>
  <si>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</si>
  <si>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</si>
  <si>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</si>
  <si>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</si>
  <si>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</si>
  <si>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</si>
  <si>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</si>
  <si>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</si>
  <si>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</si>
  <si>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</si>
  <si>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</si>
  <si>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</si>
  <si>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</si>
  <si>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</si>
  <si>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</si>
  <si>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</si>
  <si>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</si>
  <si>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</si>
  <si>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</si>
  <si>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</si>
  <si>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</si>
  <si>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</si>
  <si>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</si>
  <si>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</si>
  <si>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</si>
  <si>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</si>
  <si>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</si>
  <si>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</si>
  <si>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</si>
  <si>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</si>
  <si>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</si>
  <si>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</si>
  <si>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</si>
  <si>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</si>
  <si>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</si>
  <si>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</si>
  <si>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</si>
  <si>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</si>
  <si>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</si>
  <si>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</si>
  <si>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</si>
  <si>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</si>
  <si>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</si>
  <si>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</si>
  <si>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</si>
  <si>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</si>
  <si>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</si>
  <si>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</si>
  <si>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</si>
  <si>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</si>
  <si>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</si>
  <si>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</si>
  <si>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</si>
  <si>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</si>
  <si>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</si>
  <si>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</si>
  <si>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</si>
  <si>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</si>
  <si>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</si>
  <si>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</si>
  <si>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</si>
  <si>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</si>
  <si>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</si>
  <si>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</si>
  <si>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</si>
  <si>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</si>
  <si>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</si>
  <si>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</si>
  <si>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</si>
  <si>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</si>
  <si>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</si>
  <si>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</si>
  <si>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</si>
  <si>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</si>
  <si>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</si>
  <si>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</si>
  <si>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</si>
  <si>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</si>
  <si>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</si>
  <si>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</si>
  <si>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</si>
  <si>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</si>
  <si>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</si>
  <si>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</si>
  <si>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</si>
  <si>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</si>
  <si>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</si>
  <si>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</si>
  <si>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</si>
  <si>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</si>
  <si>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</si>
  <si>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</si>
  <si>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</si>
  <si>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</si>
  <si>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</si>
  <si>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</si>
  <si>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</si>
  <si>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</si>
  <si>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</si>
  <si>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</si>
  <si>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</si>
  <si>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</si>
  <si>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</si>
  <si>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</si>
  <si>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</si>
  <si>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</si>
  <si>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</si>
  <si>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</si>
  <si>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</si>
  <si>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</si>
  <si>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</si>
  <si>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</si>
  <si>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</si>
  <si>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</si>
  <si>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</si>
  <si>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</si>
  <si>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</si>
  <si>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</si>
  <si>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</si>
  <si>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</si>
  <si>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</si>
  <si>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</si>
  <si>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</si>
  <si>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</si>
  <si>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</si>
  <si>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</si>
  <si>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</si>
  <si>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</si>
  <si>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</si>
  <si>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</si>
  <si>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</si>
  <si>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</si>
  <si>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</si>
  <si>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</si>
  <si>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</si>
  <si>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</si>
  <si>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</si>
  <si>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</si>
  <si>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</si>
  <si>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</si>
  <si>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</si>
  <si>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</si>
  <si>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</si>
  <si>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</si>
  <si>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</si>
  <si>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</si>
  <si>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</si>
  <si>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</si>
  <si>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</si>
  <si>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</si>
  <si>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</si>
  <si>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</si>
  <si>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</si>
  <si>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</si>
  <si>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</si>
  <si>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</si>
  <si>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</si>
  <si>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</si>
  <si>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</si>
  <si>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</si>
  <si>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</si>
  <si>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</si>
  <si>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</si>
  <si>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</si>
  <si>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</si>
  <si>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</si>
  <si>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</si>
  <si>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</si>
  <si>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</si>
  <si>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</si>
  <si>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</si>
  <si>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</si>
  <si>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</si>
  <si>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</si>
  <si>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</si>
  <si>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</si>
  <si>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</si>
  <si>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</si>
  <si>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</si>
  <si>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</si>
  <si>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</si>
  <si>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</si>
  <si>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</si>
  <si>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</si>
  <si>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</si>
  <si>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</si>
  <si>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</si>
  <si>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</si>
  <si>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</si>
  <si>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</si>
  <si>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</si>
  <si>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</si>
  <si>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</si>
  <si>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</si>
  <si>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</si>
  <si>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</si>
  <si>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</si>
  <si>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</si>
  <si>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</si>
  <si>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</si>
  <si>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</si>
  <si>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</si>
  <si>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</si>
  <si>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</si>
  <si>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</si>
  <si>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</si>
  <si>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</si>
  <si>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</si>
  <si>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</si>
  <si>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</si>
  <si>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</si>
  <si>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</si>
  <si>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</si>
  <si>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</si>
  <si>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</si>
  <si>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</si>
  <si>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</si>
  <si>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</si>
  <si>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</si>
  <si>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</si>
  <si>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</si>
  <si>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</si>
  <si>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</si>
  <si>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</si>
  <si>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</si>
  <si>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</si>
  <si>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</si>
  <si>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</si>
  <si>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</si>
  <si>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</si>
  <si>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</si>
  <si>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</si>
  <si>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</si>
  <si>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</si>
  <si>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</si>
  <si>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</si>
  <si>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</si>
  <si>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</si>
  <si>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</si>
  <si>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</si>
  <si>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</si>
  <si>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</si>
  <si>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</si>
  <si>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</si>
  <si>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</si>
  <si>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</si>
  <si>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</si>
  <si>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</si>
  <si>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</si>
  <si>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</si>
  <si>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</si>
  <si>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</si>
  <si>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</si>
  <si>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</si>
  <si>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</si>
  <si>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</si>
  <si>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</si>
  <si>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</si>
  <si>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</si>
  <si>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</si>
  <si>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</si>
  <si>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</si>
  <si>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</si>
  <si>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</si>
  <si>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</si>
  <si>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</si>
  <si>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</si>
  <si>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</si>
  <si>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</si>
  <si>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</si>
  <si>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</si>
  <si>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</si>
  <si>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</si>
  <si>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</si>
  <si>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</si>
  <si>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</si>
  <si>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</si>
  <si>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</si>
  <si>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</si>
  <si>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</si>
  <si>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</si>
  <si>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</si>
  <si>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</si>
  <si>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</si>
  <si>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</si>
  <si>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</si>
  <si>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</si>
  <si>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</si>
  <si>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</si>
  <si>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</si>
  <si>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</si>
  <si>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</si>
  <si>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</si>
  <si>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</si>
  <si>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</si>
  <si>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</si>
  <si>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</si>
  <si>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</si>
  <si>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</si>
  <si>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</si>
  <si>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</si>
  <si>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</si>
  <si>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</si>
  <si>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</si>
  <si>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</si>
  <si>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</si>
  <si>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</si>
  <si>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</si>
  <si>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</si>
  <si>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</si>
  <si>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</si>
  <si>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</si>
  <si>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</si>
  <si>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</si>
  <si>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</si>
  <si>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</si>
  <si>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</si>
  <si>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</si>
  <si>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</si>
  <si>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</si>
  <si>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</si>
  <si>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</si>
  <si>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</si>
  <si>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</si>
  <si>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</si>
  <si>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</si>
  <si>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</si>
  <si>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</si>
  <si>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</si>
  <si>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</si>
  <si>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</si>
  <si>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</si>
  <si>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</si>
  <si>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</si>
  <si>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</si>
  <si>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</si>
  <si>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</si>
  <si>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</si>
  <si>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</si>
  <si>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</si>
  <si>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</si>
  <si>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</si>
  <si>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</si>
  <si>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</si>
  <si>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</si>
  <si>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</si>
  <si>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</si>
  <si>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</si>
  <si>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</si>
  <si>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</si>
  <si>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</si>
  <si>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</si>
  <si>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</si>
  <si>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</si>
  <si>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</si>
  <si>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</si>
  <si>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</si>
  <si>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</si>
  <si>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</si>
  <si>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</si>
  <si>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</si>
  <si>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</si>
  <si>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</si>
  <si>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</si>
  <si>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</si>
  <si>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</si>
  <si>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</si>
  <si>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</si>
  <si>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</si>
  <si>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</si>
  <si>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</si>
  <si>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</si>
  <si>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</si>
  <si>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</si>
  <si>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</si>
  <si>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</si>
  <si>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</si>
  <si>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</si>
  <si>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</si>
  <si>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</si>
  <si>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</si>
  <si>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</si>
  <si>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</si>
  <si>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</si>
  <si>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</si>
  <si>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</si>
  <si>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</si>
  <si>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</si>
  <si>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</si>
  <si>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</si>
  <si>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</si>
  <si>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</si>
  <si>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</si>
  <si>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</si>
  <si>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</si>
  <si>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</si>
  <si>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</si>
  <si>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</si>
  <si>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</si>
  <si>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</si>
  <si>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</si>
  <si>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</si>
  <si>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</si>
  <si>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</si>
  <si>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</si>
  <si>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</si>
  <si>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</si>
  <si>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</si>
  <si>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</si>
  <si>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</si>
  <si>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</si>
  <si>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</si>
  <si>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</si>
  <si>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</si>
  <si>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</si>
  <si>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</si>
  <si>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</si>
  <si>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</si>
  <si>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</si>
  <si>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</si>
  <si>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</si>
  <si>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</si>
  <si>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</si>
  <si>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</si>
  <si>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</si>
  <si>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</si>
  <si>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</si>
  <si>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</si>
  <si>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</si>
  <si>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</si>
  <si>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</si>
  <si>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</si>
  <si>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</si>
  <si>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</si>
  <si>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</si>
  <si>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</si>
  <si>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</si>
  <si>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</si>
  <si>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</si>
  <si>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</si>
  <si>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</si>
  <si>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</si>
  <si>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</si>
  <si>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</si>
  <si>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</si>
  <si>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</si>
  <si>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M3XKM</t>
  </si>
  <si>
    <t>UNXKM</t>
  </si>
  <si>
    <t>M2XKM</t>
  </si>
  <si>
    <t>PLANTIO DE GRAMA BATATAIS EM PLACAS. AF_05/2018</t>
  </si>
  <si>
    <t>PLANTIO DE GRAMA ESMERALDA OU SÃO CARLOS OU CURITIBANA, EM PLACAS. AF_05/2022</t>
  </si>
  <si>
    <t>PAR DE TABELAS DE BASQUETE DE COMPENSADO NAVAL, COM AROS E REDES - FORNECIMENTO E INSTALAÇÃO. AF_03/2022</t>
  </si>
  <si>
    <t>Laje pré-fabricada convencional (lajota + vigotas) para piso, unidirecional, biapoiada, sobrecarga de 350 kg/ m², vão até 4,50 m, altura total da laje (enchimento + capa) = (8 + 5) = 13 cm, inclusive instalação de tela anti-fissuração (tela soldada Q-138) e concreto usinado Fck = 25 MPa</t>
  </si>
  <si>
    <t>Laje maciça para arquibancada, espessura 8 cm, armada, Fck = 20 Mpa</t>
  </si>
  <si>
    <t>JA1 - 150 x 150</t>
  </si>
  <si>
    <t>AA1 - 60 x 60</t>
  </si>
  <si>
    <t>Janela (JA1)</t>
  </si>
  <si>
    <t>&gt; Verga e contraverga</t>
  </si>
  <si>
    <t>Travamento montantes e diagonais</t>
  </si>
  <si>
    <t>L 1"x1/8"</t>
  </si>
  <si>
    <t>Suporte calha</t>
  </si>
  <si>
    <t># 1" x 1/8"</t>
  </si>
  <si>
    <t>COBERTURA VESTIÁRIOS/ SANITÁRIOS</t>
  </si>
  <si>
    <t>BANCADAS/ DIVISÓRIAS E PRATELEIRAS</t>
  </si>
  <si>
    <t>Saída poste e padrão de entrada</t>
  </si>
  <si>
    <t>Luminárias fixadas na estrutura metálica</t>
  </si>
  <si>
    <t>18.3.9</t>
  </si>
  <si>
    <t>JA1</t>
  </si>
  <si>
    <t>ABRIR - 02 FOLHAS - ALUMÍNIO TIPO VENEZIANA</t>
  </si>
  <si>
    <t>AA1</t>
  </si>
  <si>
    <t>ALÇAPÃO ACESSO CAIXA D'ÁGUA</t>
  </si>
  <si>
    <t>CORTE D-D; E-E; F-F</t>
  </si>
  <si>
    <t>CORTE A-A, B-B; C-C</t>
  </si>
  <si>
    <t>FACHADA FRONTAL; FACHADA LATERAL E DETALHES GUARDA-CORPO E CORRIMÃO</t>
  </si>
  <si>
    <t>PAGINAÇÃO PISO E EQUIPAMENTOS ESPORTIVOS</t>
  </si>
  <si>
    <t>HIDROSSANITÁRIO</t>
  </si>
  <si>
    <t>ESTRUTURA DE CONCRETO</t>
  </si>
  <si>
    <t>PLANTA DE LOCAÇÃO E DETALHAMENTO - SAPATAS</t>
  </si>
  <si>
    <t>DETALHAMENTO SAPATAS E PILARES</t>
  </si>
  <si>
    <t>FORMA CINTAMENTO - NÍVEL 000 E DETALHAMENTO ESTRUTURA ARQUIBANCADA</t>
  </si>
  <si>
    <t>CORTE A-A/ B-B; BASE PARA RAMPA E ESCADA INTERNA E EXTERNA</t>
  </si>
  <si>
    <t>FORMA VIGAS - NÍVEL +320/ +325/ +355 CM; LAJE - NÍVEL +90</t>
  </si>
  <si>
    <t>FORMA VIGAS - NÍVEL +600 CM</t>
  </si>
  <si>
    <t>UNIFILAR - ESTRUTURA COBERTURA QUADRA E DETALHES TERÇAS E ELEMENTOS DE TRAVAMENTO</t>
  </si>
  <si>
    <t>CORTE ESQUEMÁTICO ESTRUTURA/ ARCO E FECHAMENTO; MEDIDAS TELHAS; DETALHE CHAPA DE BASE E CHUMBADORES E CORTE CALHA</t>
  </si>
  <si>
    <t>PLANTA DE COBERTURA</t>
  </si>
  <si>
    <t>HIDRÁULICA - PLANTA BAIXA GERAL</t>
  </si>
  <si>
    <t>PLANTA BAIXA - EXTRAVASOR/ LIMPEZA; DISTRIBUIÇÃO E ALIMENTAÇÃO; ISOMÉTRICO - CAIXA D'ÁGUA</t>
  </si>
  <si>
    <t>ISOMÉTRICO - VESTIÁRIO 1-2 E ALMOXARIFADO</t>
  </si>
  <si>
    <t>ISOMÉTRICO - SANITÁRIO FEMININO/ MASCULINO/ PNE/ CAMARIM E BAR</t>
  </si>
  <si>
    <t>SANITÁRIO - PLANTA BAIXA GERAL</t>
  </si>
  <si>
    <t>SANITÁRIO - DETALHE TRECHO 1</t>
  </si>
  <si>
    <t>SANITÁRIO - DETALHE TRECHO 2-3; DETALHE CAIXA DE INSPEÇÃO</t>
  </si>
  <si>
    <t>ÁGUA PLUVIAL - COBERTURA QUADRA E BLOCO SANITÁRIOS</t>
  </si>
  <si>
    <t>INTERLIGAÇÃO CAIXAS E DETALHES DESCIDAS ÁGUA PLUVIAL</t>
  </si>
  <si>
    <t>ELÉTRICA</t>
  </si>
  <si>
    <t>LOCAÇÃO PONTOS ELÉTRICOS</t>
  </si>
  <si>
    <t>SEM DESONER.</t>
  </si>
  <si>
    <t>Priscila David da Silva</t>
  </si>
  <si>
    <t>Engenheira Civil - CREA ES-040521/D</t>
  </si>
  <si>
    <t>20.7</t>
  </si>
  <si>
    <t>Área de jogo</t>
  </si>
  <si>
    <t>DATA E LOCAL:</t>
  </si>
  <si>
    <t>FABRICIO BENÍCIO DE BRITO</t>
  </si>
  <si>
    <t xml:space="preserve">CREA: ES-014512/D </t>
  </si>
  <si>
    <t>CONVÊNIO</t>
  </si>
  <si>
    <t>LICITAÇÃO</t>
  </si>
  <si>
    <t>BDI: 33,25 %</t>
  </si>
  <si>
    <t>O BDI ADOTADO SEGUE RESOLUÇÃO TC Nº 366, DE 22 DE NOVEMBRO DE 2022. BDI DE 33,25% DE ACORDO COM A TABELA 2, PARA OBRAS DE SANEAMENTO BÁSICOE DEMAIS OBRAS, 2° FAIXA (R$ 330.001,00 a R$ 3.300.000,00)</t>
  </si>
  <si>
    <t>Cobertura translucida, cristal, branca leitosa ou cores basicas, perfil trapezoidal ou
ondulada, de resina de poliester reforcada com fibra de vidro, com aditivo
estabilizante contra degradacao dos raios U.V., estruturada com veu interno de
poliester, espessura de 1,5mm, para uso onde se requer iluminacao natural
controlada e privilegia-se: a resistencia e a luz difratada, larguras uteis de 990mm
e 1020mm, respectivamente, comprimento ate 6,00m, incluindo os acessorios para
fixacao, Facil &amp; Rapido ou similar. Fornecimento e colocacao.(desonerado)</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</si>
  <si>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</si>
  <si>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</si>
  <si>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</si>
  <si>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</si>
  <si>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</si>
  <si>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</si>
  <si>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</si>
  <si>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</si>
  <si>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</si>
  <si>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</si>
  <si>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</si>
  <si>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</si>
  <si>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</si>
  <si>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</si>
  <si>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</si>
  <si>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</si>
  <si>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</si>
  <si>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</si>
  <si>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</si>
  <si>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</si>
  <si>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</si>
  <si>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</si>
  <si>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</si>
  <si>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</si>
  <si>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</si>
  <si>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</si>
  <si>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</si>
  <si>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</si>
  <si>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</si>
  <si>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</si>
  <si>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</si>
  <si>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</si>
  <si>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</si>
  <si>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</si>
  <si>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</si>
  <si>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</si>
  <si>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</si>
  <si>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</si>
  <si>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</si>
  <si>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</si>
  <si>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</si>
  <si>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</si>
  <si>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</si>
  <si>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</si>
  <si>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</si>
  <si>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</si>
  <si>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</si>
  <si>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</si>
  <si>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</si>
  <si>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</si>
  <si>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</si>
  <si>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</si>
  <si>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</si>
  <si>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</si>
  <si>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</si>
  <si>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</si>
  <si>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</si>
  <si>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</si>
  <si>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</si>
  <si>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</si>
  <si>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</si>
  <si>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</si>
  <si>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</si>
  <si>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</si>
  <si>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</si>
  <si>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</si>
  <si>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</si>
  <si>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</si>
  <si>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</si>
  <si>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</si>
  <si>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</si>
  <si>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</si>
  <si>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</si>
  <si>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</si>
  <si>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</si>
  <si>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</si>
  <si>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</si>
  <si>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</si>
  <si>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</si>
  <si>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</si>
  <si>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</si>
  <si>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</si>
  <si>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</si>
  <si>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</si>
  <si>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</si>
  <si>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</si>
  <si>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</si>
  <si>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</si>
  <si>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</si>
  <si>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</si>
  <si>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</si>
  <si>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</si>
  <si>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</si>
  <si>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</si>
  <si>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</si>
  <si>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</si>
  <si>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</si>
  <si>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</si>
  <si>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</si>
  <si>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</si>
  <si>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</si>
  <si>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</si>
  <si>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</si>
  <si>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</si>
  <si>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</si>
  <si>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</si>
  <si>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</si>
  <si>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</si>
  <si>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</si>
  <si>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</si>
  <si>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</si>
  <si>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</si>
  <si>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</si>
  <si>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</si>
  <si>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</si>
  <si>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</si>
  <si>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</si>
  <si>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</si>
  <si>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</si>
  <si>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</si>
  <si>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</si>
  <si>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</si>
  <si>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</si>
  <si>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</si>
  <si>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</si>
  <si>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</si>
  <si>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</si>
  <si>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</si>
  <si>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</si>
  <si>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</si>
  <si>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</si>
  <si>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</si>
  <si>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</si>
  <si>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</si>
  <si>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</si>
  <si>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</si>
  <si>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</si>
  <si>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</si>
  <si>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</si>
  <si>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</si>
  <si>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</si>
  <si>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</si>
  <si>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</si>
  <si>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</si>
  <si>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</si>
  <si>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</si>
  <si>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</si>
  <si>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</si>
  <si>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</si>
  <si>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</si>
  <si>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</si>
  <si>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</si>
  <si>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</si>
  <si>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</si>
  <si>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</si>
  <si>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</si>
  <si>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</si>
  <si>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</si>
  <si>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</si>
  <si>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</si>
  <si>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</si>
  <si>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</si>
  <si>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</si>
  <si>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</si>
  <si>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</si>
  <si>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</si>
  <si>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</si>
  <si>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</si>
  <si>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</si>
  <si>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</si>
  <si>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</si>
  <si>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</si>
  <si>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</si>
  <si>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</si>
  <si>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</si>
  <si>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</si>
  <si>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</si>
  <si>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</si>
  <si>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</si>
  <si>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</si>
  <si>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</si>
  <si>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</si>
  <si>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</si>
  <si>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</si>
  <si>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</si>
  <si>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</si>
  <si>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</si>
  <si>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</si>
  <si>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</si>
  <si>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</si>
  <si>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</si>
  <si>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</si>
  <si>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</si>
  <si>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</si>
  <si>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</si>
  <si>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</si>
  <si>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FABRICAÇÃO E INSTALAÇÃO DE TESOURA INTEIRA EM AÇO, VÃO DE 3 M, PARA TELHA ONDULADA DE FIBROCIMENTO, METÁLICA, PLÁSTICA OU TERMOACÚSTICA, INCLUSO IÇAMENTO. AF_12/2015</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</si>
  <si>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</si>
  <si>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</si>
  <si>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</si>
  <si>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</si>
  <si>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</si>
  <si>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</si>
  <si>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</si>
  <si>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</si>
  <si>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</si>
  <si>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</si>
  <si>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</si>
  <si>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</si>
  <si>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</si>
  <si>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</si>
  <si>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</si>
  <si>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</si>
  <si>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</si>
  <si>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</si>
  <si>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</si>
  <si>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</si>
  <si>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</si>
  <si>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</si>
  <si>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</si>
  <si>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</si>
  <si>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</si>
  <si>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</si>
  <si>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</si>
  <si>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</si>
  <si>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</si>
  <si>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</si>
  <si>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</si>
  <si>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</si>
  <si>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</si>
  <si>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</si>
  <si>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</si>
  <si>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</si>
  <si>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</si>
  <si>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</si>
  <si>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</si>
  <si>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</si>
  <si>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</si>
  <si>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</si>
  <si>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</si>
  <si>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</si>
  <si>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</si>
  <si>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</si>
  <si>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</si>
  <si>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</si>
  <si>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</si>
  <si>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</si>
  <si>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</si>
  <si>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</si>
  <si>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</si>
  <si>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</si>
  <si>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</si>
  <si>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</si>
  <si>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</si>
  <si>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</si>
  <si>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</si>
  <si>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</si>
  <si>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</si>
  <si>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</si>
  <si>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</si>
  <si>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</si>
  <si>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</si>
  <si>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</si>
  <si>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</si>
  <si>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</si>
  <si>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</si>
  <si>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</si>
  <si>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</si>
  <si>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</si>
  <si>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</si>
  <si>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</si>
  <si>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</si>
  <si>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</si>
  <si>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</si>
  <si>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</si>
  <si>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</si>
  <si>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</si>
  <si>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</si>
  <si>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</si>
  <si>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</si>
  <si>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</si>
  <si>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</si>
  <si>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</si>
  <si>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</si>
  <si>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</si>
  <si>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</si>
  <si>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</si>
  <si>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</si>
  <si>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</si>
  <si>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</si>
  <si>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</si>
  <si>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</si>
  <si>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</si>
  <si>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</si>
  <si>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</si>
  <si>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</si>
  <si>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</si>
  <si>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</si>
  <si>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</si>
  <si>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</si>
  <si>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</si>
  <si>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</si>
  <si>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</si>
  <si>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</si>
  <si>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</si>
  <si>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</si>
  <si>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</si>
  <si>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</si>
  <si>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</si>
  <si>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</si>
  <si>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</si>
  <si>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</si>
  <si>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</si>
  <si>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</si>
  <si>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</si>
  <si>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</si>
  <si>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</si>
  <si>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</si>
  <si>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</si>
  <si>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</si>
  <si>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</si>
  <si>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</si>
  <si>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</si>
  <si>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</si>
  <si>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</si>
  <si>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</si>
  <si>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</si>
  <si>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</si>
  <si>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</si>
  <si>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</si>
  <si>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</si>
  <si>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</si>
  <si>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</si>
  <si>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</si>
  <si>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</si>
  <si>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</si>
  <si>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</si>
  <si>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</si>
  <si>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</si>
  <si>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</si>
  <si>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</si>
  <si>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</si>
  <si>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</si>
  <si>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</si>
  <si>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</si>
  <si>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</si>
  <si>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</si>
  <si>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</si>
  <si>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</si>
  <si>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</si>
  <si>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</si>
  <si>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</si>
  <si>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</si>
  <si>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</si>
  <si>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</si>
  <si>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</si>
  <si>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</si>
  <si>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</si>
  <si>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</si>
  <si>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</si>
  <si>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</si>
  <si>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</si>
  <si>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</si>
  <si>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</si>
  <si>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</si>
  <si>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</si>
  <si>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</si>
  <si>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</si>
  <si>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</si>
  <si>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</si>
  <si>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</si>
  <si>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</si>
  <si>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</si>
  <si>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</si>
  <si>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</si>
  <si>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</si>
  <si>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</si>
  <si>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</si>
  <si>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</si>
  <si>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</si>
  <si>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</si>
  <si>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</si>
  <si>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</si>
  <si>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</si>
  <si>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</si>
  <si>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</si>
  <si>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</si>
  <si>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</si>
  <si>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</si>
  <si>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</si>
  <si>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</si>
  <si>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</si>
  <si>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</si>
  <si>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</si>
  <si>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</si>
  <si>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</si>
  <si>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</si>
  <si>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</si>
  <si>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</si>
  <si>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</si>
  <si>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</si>
  <si>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</si>
  <si>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</si>
  <si>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</si>
  <si>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</si>
  <si>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</si>
  <si>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</si>
  <si>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</si>
  <si>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</si>
  <si>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</si>
  <si>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</si>
  <si>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</si>
  <si>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</si>
  <si>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</si>
  <si>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</si>
  <si>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</si>
  <si>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</si>
  <si>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</si>
  <si>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</si>
  <si>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</si>
  <si>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</si>
  <si>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</si>
  <si>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</si>
  <si>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</si>
  <si>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</si>
  <si>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</si>
  <si>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</si>
  <si>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</si>
  <si>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</si>
  <si>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</si>
  <si>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</si>
  <si>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</si>
  <si>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</si>
  <si>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</si>
  <si>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</si>
  <si>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</si>
  <si>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</si>
  <si>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</si>
  <si>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</si>
  <si>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</si>
  <si>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</si>
  <si>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</si>
  <si>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</si>
  <si>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</si>
  <si>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</si>
  <si>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</si>
  <si>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</si>
  <si>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</si>
  <si>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</si>
  <si>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</si>
  <si>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</si>
  <si>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</si>
  <si>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</si>
  <si>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</si>
  <si>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</si>
  <si>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</si>
  <si>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</si>
  <si>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</si>
  <si>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</si>
  <si>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</si>
  <si>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</si>
  <si>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</si>
  <si>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</si>
  <si>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</si>
  <si>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</si>
  <si>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</si>
  <si>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</si>
  <si>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</si>
  <si>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</si>
  <si>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</si>
  <si>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</si>
  <si>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</si>
  <si>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</si>
  <si>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</si>
  <si>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</si>
  <si>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</si>
  <si>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</si>
  <si>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</si>
  <si>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</si>
  <si>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</si>
  <si>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</si>
  <si>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</si>
  <si>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</si>
  <si>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</si>
  <si>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</si>
  <si>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</si>
  <si>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</si>
  <si>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</si>
  <si>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</si>
  <si>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</si>
  <si>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</si>
  <si>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</si>
  <si>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</si>
  <si>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</si>
  <si>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</si>
  <si>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</si>
  <si>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</si>
  <si>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</si>
  <si>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</si>
  <si>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</si>
  <si>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</si>
  <si>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</si>
  <si>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</si>
  <si>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</si>
  <si>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</si>
  <si>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</si>
  <si>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</si>
  <si>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</si>
  <si>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</si>
  <si>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</si>
  <si>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</si>
  <si>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</si>
  <si>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</si>
  <si>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</si>
  <si>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</si>
  <si>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</si>
  <si>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</si>
  <si>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</si>
  <si>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</si>
  <si>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</si>
  <si>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</si>
  <si>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</si>
  <si>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</si>
  <si>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</si>
  <si>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</si>
  <si>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</si>
  <si>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</si>
  <si>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</si>
  <si>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</si>
  <si>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</si>
  <si>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</si>
  <si>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</si>
  <si>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</si>
  <si>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</si>
  <si>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</si>
  <si>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</si>
  <si>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</si>
  <si>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</si>
  <si>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</si>
  <si>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</si>
  <si>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</si>
  <si>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</si>
  <si>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</si>
  <si>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</si>
  <si>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</si>
  <si>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</si>
  <si>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</si>
  <si>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</si>
  <si>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</si>
  <si>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</si>
  <si>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</si>
  <si>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</si>
  <si>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</si>
  <si>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</si>
  <si>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</si>
  <si>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</si>
  <si>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</si>
  <si>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</si>
  <si>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</si>
  <si>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</si>
  <si>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</si>
  <si>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</si>
  <si>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</si>
  <si>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</si>
  <si>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</si>
  <si>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</si>
  <si>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</si>
  <si>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</si>
  <si>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</si>
  <si>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</si>
  <si>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</si>
  <si>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</si>
  <si>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</si>
  <si>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</si>
  <si>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</si>
  <si>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</si>
  <si>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</si>
  <si>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</si>
  <si>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</si>
  <si>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</si>
  <si>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</si>
  <si>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</si>
  <si>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</si>
  <si>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</si>
  <si>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</si>
  <si>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</si>
  <si>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</si>
  <si>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</si>
  <si>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</si>
  <si>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</si>
  <si>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</si>
  <si>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</si>
  <si>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</si>
  <si>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</si>
  <si>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</si>
  <si>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</si>
  <si>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</si>
  <si>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</si>
  <si>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</si>
  <si>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</si>
  <si>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</si>
  <si>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</si>
  <si>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</si>
  <si>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</si>
  <si>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</si>
  <si>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</si>
  <si>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</si>
  <si>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</si>
  <si>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</si>
  <si>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</si>
  <si>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</si>
  <si>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</si>
  <si>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</si>
  <si>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</si>
  <si>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</si>
  <si>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</si>
  <si>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</si>
  <si>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</si>
  <si>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</si>
  <si>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</si>
  <si>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</si>
  <si>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</si>
  <si>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</si>
  <si>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</si>
  <si>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</si>
  <si>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</si>
  <si>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</si>
  <si>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</si>
  <si>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</si>
  <si>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</si>
  <si>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</si>
  <si>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</si>
  <si>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</si>
  <si>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</si>
  <si>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</si>
  <si>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</si>
  <si>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</si>
  <si>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</si>
  <si>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</si>
  <si>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</si>
  <si>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</si>
  <si>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</si>
  <si>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</si>
  <si>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</si>
  <si>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</si>
  <si>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</si>
  <si>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</si>
  <si>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</si>
  <si>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</si>
  <si>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</si>
  <si>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</si>
  <si>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</si>
  <si>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</si>
  <si>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</si>
  <si>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</si>
  <si>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</si>
  <si>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</si>
  <si>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</si>
  <si>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</si>
  <si>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</si>
  <si>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</si>
  <si>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</si>
  <si>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</si>
  <si>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</si>
  <si>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</si>
  <si>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</si>
  <si>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</si>
  <si>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</si>
  <si>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</si>
  <si>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</si>
  <si>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</si>
  <si>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</si>
  <si>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</si>
  <si>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</si>
  <si>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</si>
  <si>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</si>
  <si>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</si>
  <si>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</si>
  <si>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</si>
  <si>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</si>
  <si>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</si>
  <si>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</si>
  <si>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</si>
  <si>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</si>
  <si>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</si>
  <si>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</si>
  <si>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</si>
  <si>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</si>
  <si>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</si>
  <si>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</si>
  <si>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</si>
  <si>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</si>
  <si>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</si>
  <si>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</si>
  <si>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</si>
  <si>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</si>
  <si>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</si>
  <si>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</si>
  <si>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</si>
  <si>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</si>
  <si>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</si>
  <si>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</si>
  <si>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</si>
  <si>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</si>
  <si>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</si>
  <si>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</si>
  <si>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</si>
  <si>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</si>
  <si>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</si>
  <si>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</si>
  <si>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</si>
  <si>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</si>
  <si>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</si>
  <si>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</si>
  <si>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</si>
  <si>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</si>
  <si>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</si>
  <si>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</si>
  <si>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</si>
  <si>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</si>
  <si>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</si>
  <si>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</si>
  <si>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</si>
  <si>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</si>
  <si>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</si>
  <si>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</si>
  <si>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</si>
  <si>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</si>
  <si>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</si>
  <si>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</si>
  <si>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</si>
  <si>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</si>
  <si>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</si>
  <si>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</si>
  <si>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</si>
  <si>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</si>
  <si>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</si>
  <si>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</si>
  <si>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</si>
  <si>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</si>
  <si>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</si>
  <si>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</si>
  <si>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</si>
  <si>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</si>
  <si>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</si>
  <si>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</si>
  <si>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</si>
  <si>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</si>
  <si>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</si>
  <si>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</si>
  <si>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</si>
  <si>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</si>
  <si>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</si>
  <si>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</si>
  <si>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</si>
  <si>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</si>
  <si>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</si>
  <si>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</si>
  <si>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</si>
  <si>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</si>
  <si>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</si>
  <si>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</si>
  <si>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</si>
  <si>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</si>
  <si>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</si>
  <si>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</si>
  <si>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</si>
  <si>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</si>
  <si>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</si>
  <si>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</si>
  <si>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</si>
  <si>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</si>
  <si>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</si>
  <si>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</si>
  <si>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</si>
  <si>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</si>
  <si>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</si>
  <si>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</si>
  <si>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</si>
  <si>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</si>
  <si>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</si>
  <si>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</si>
  <si>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</si>
  <si>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</si>
  <si>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</si>
  <si>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</si>
  <si>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</si>
  <si>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</si>
  <si>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</si>
  <si>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</si>
  <si>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</si>
  <si>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</si>
  <si>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</si>
  <si>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</si>
  <si>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</si>
  <si>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</si>
  <si>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</si>
  <si>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</si>
  <si>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</si>
  <si>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</si>
  <si>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</si>
  <si>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</si>
  <si>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</si>
  <si>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</si>
  <si>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</si>
  <si>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</si>
  <si>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</si>
  <si>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</si>
  <si>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</si>
  <si>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</si>
  <si>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</si>
  <si>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</si>
  <si>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</si>
  <si>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</si>
  <si>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</si>
  <si>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</si>
  <si>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</si>
  <si>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</si>
  <si>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</si>
  <si>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</si>
  <si>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</si>
  <si>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</si>
  <si>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</si>
  <si>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</si>
  <si>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</si>
  <si>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</si>
  <si>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</si>
  <si>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</si>
  <si>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</si>
  <si>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</si>
  <si>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</si>
  <si>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</si>
  <si>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</si>
  <si>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</si>
  <si>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</si>
  <si>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</si>
  <si>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</si>
  <si>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</si>
  <si>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</si>
  <si>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</si>
  <si>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</si>
  <si>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</si>
  <si>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</si>
  <si>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</si>
  <si>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</si>
  <si>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</si>
  <si>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</si>
  <si>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</si>
  <si>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</si>
  <si>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</si>
  <si>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</si>
  <si>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</si>
  <si>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</si>
  <si>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</si>
  <si>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</si>
  <si>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</si>
  <si>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</si>
  <si>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</si>
  <si>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</si>
  <si>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</si>
  <si>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CPVC, SOLDÁVEL, DN 114 MM,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</si>
  <si>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</si>
  <si>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</si>
  <si>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</si>
  <si>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</si>
  <si>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LUVA DE CORRER, PVC, SOLDÁVEL, DN 40MM, INSTALADO EM PRUMADA DE ÁGUA   FORNECIMENTO E INSTALAÇÃO. AF_06/2022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</si>
  <si>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</si>
  <si>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</si>
  <si>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</si>
  <si>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</si>
  <si>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</si>
  <si>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</si>
  <si>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</si>
  <si>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</si>
  <si>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</si>
  <si>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</si>
  <si>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</si>
  <si>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</si>
  <si>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</si>
  <si>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</si>
  <si>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</si>
  <si>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</si>
  <si>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</si>
  <si>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</si>
  <si>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</si>
  <si>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</si>
  <si>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</si>
  <si>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</si>
  <si>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</si>
  <si>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</si>
  <si>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</si>
  <si>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</si>
  <si>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</si>
  <si>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</si>
  <si>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</si>
  <si>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</si>
  <si>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</si>
  <si>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</si>
  <si>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</si>
  <si>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</si>
  <si>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</si>
  <si>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</si>
  <si>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</si>
  <si>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</si>
  <si>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</si>
  <si>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</si>
  <si>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</si>
  <si>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</si>
  <si>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</si>
  <si>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</si>
  <si>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</si>
  <si>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</si>
  <si>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</si>
  <si>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</si>
  <si>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</si>
  <si>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</si>
  <si>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</si>
  <si>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</si>
  <si>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</si>
  <si>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</si>
  <si>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</si>
  <si>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</si>
  <si>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</si>
  <si>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</si>
  <si>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</si>
  <si>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</si>
  <si>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</si>
  <si>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</si>
  <si>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</si>
  <si>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</si>
  <si>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</si>
  <si>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</si>
  <si>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</si>
  <si>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</si>
  <si>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</si>
  <si>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</si>
  <si>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</si>
  <si>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</si>
  <si>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</si>
  <si>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</si>
  <si>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</si>
  <si>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</si>
  <si>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</si>
  <si>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</si>
  <si>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</si>
  <si>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</si>
  <si>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</si>
  <si>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</si>
  <si>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</si>
  <si>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</si>
  <si>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</si>
  <si>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</si>
  <si>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</si>
  <si>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</si>
  <si>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</si>
  <si>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</si>
  <si>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CORRER, PVC, SOLDÁVEL, DN 40MM,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</si>
  <si>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</si>
  <si>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</si>
  <si>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</si>
  <si>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</si>
  <si>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</si>
  <si>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</si>
  <si>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</si>
  <si>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</si>
  <si>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</si>
  <si>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</si>
  <si>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</si>
  <si>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</si>
  <si>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</si>
  <si>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</si>
  <si>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</si>
  <si>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</si>
  <si>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</si>
  <si>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</si>
  <si>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</si>
  <si>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</si>
  <si>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</si>
  <si>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</si>
  <si>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</si>
  <si>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</si>
  <si>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</si>
  <si>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</si>
  <si>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</si>
  <si>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</si>
  <si>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</si>
  <si>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</si>
  <si>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</si>
  <si>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</si>
  <si>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</si>
  <si>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</si>
  <si>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</si>
  <si>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</si>
  <si>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</si>
  <si>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</si>
  <si>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</si>
  <si>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</si>
  <si>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</si>
  <si>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</si>
  <si>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</si>
  <si>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</si>
  <si>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</si>
  <si>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</si>
  <si>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</si>
  <si>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</si>
  <si>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</si>
  <si>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</si>
  <si>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</si>
  <si>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</si>
  <si>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</si>
  <si>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</si>
  <si>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</si>
  <si>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</si>
  <si>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</si>
  <si>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</si>
  <si>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</si>
  <si>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</si>
  <si>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</si>
  <si>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</si>
  <si>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</si>
  <si>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</si>
  <si>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</si>
  <si>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</si>
  <si>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</si>
  <si>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</si>
  <si>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</si>
  <si>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</si>
  <si>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</si>
  <si>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</si>
  <si>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</si>
  <si>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</si>
  <si>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</si>
  <si>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</si>
  <si>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</si>
  <si>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</si>
  <si>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</si>
  <si>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</si>
  <si>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</si>
  <si>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</si>
  <si>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</si>
  <si>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</si>
  <si>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</si>
  <si>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</si>
  <si>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</si>
  <si>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</si>
  <si>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</si>
  <si>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</si>
  <si>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</si>
  <si>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</si>
  <si>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</si>
  <si>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</si>
  <si>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</si>
  <si>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</si>
  <si>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</si>
  <si>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</si>
  <si>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</si>
  <si>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</si>
  <si>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</si>
  <si>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</si>
  <si>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</si>
  <si>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</si>
  <si>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</si>
  <si>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</si>
  <si>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</si>
  <si>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</si>
  <si>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</si>
  <si>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</si>
  <si>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</si>
  <si>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</si>
  <si>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</si>
  <si>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</si>
  <si>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</si>
  <si>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</si>
  <si>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</si>
  <si>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</si>
  <si>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</si>
  <si>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</si>
  <si>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</si>
  <si>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</si>
  <si>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</si>
  <si>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</si>
  <si>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</si>
  <si>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</si>
  <si>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</si>
  <si>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</si>
  <si>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</si>
  <si>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</si>
  <si>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</si>
  <si>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</si>
  <si>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</si>
  <si>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</si>
  <si>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</si>
  <si>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</si>
  <si>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</si>
  <si>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</si>
  <si>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</si>
  <si>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</si>
  <si>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</si>
  <si>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</si>
  <si>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</si>
  <si>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</si>
  <si>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</si>
  <si>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</si>
  <si>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</si>
  <si>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</si>
  <si>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</si>
  <si>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</si>
  <si>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</si>
  <si>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</si>
  <si>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</si>
  <si>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</si>
  <si>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</si>
  <si>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</si>
  <si>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</si>
  <si>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</si>
  <si>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</si>
  <si>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</si>
  <si>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</si>
  <si>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</si>
  <si>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</si>
  <si>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</si>
  <si>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</si>
  <si>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</si>
  <si>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</si>
  <si>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</si>
  <si>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</si>
  <si>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</si>
  <si>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</si>
  <si>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</si>
  <si>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</si>
  <si>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</si>
  <si>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</si>
  <si>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</si>
  <si>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</si>
  <si>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</si>
  <si>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</si>
  <si>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</si>
  <si>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</si>
  <si>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</si>
  <si>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</si>
  <si>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</si>
  <si>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</si>
  <si>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</si>
  <si>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</si>
  <si>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</si>
  <si>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</si>
  <si>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</si>
  <si>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</si>
  <si>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</si>
  <si>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</si>
  <si>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</si>
  <si>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</si>
  <si>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</si>
  <si>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</si>
  <si>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</si>
  <si>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</si>
  <si>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</si>
  <si>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</si>
  <si>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</si>
  <si>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</si>
  <si>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</si>
  <si>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</si>
  <si>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</si>
  <si>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</si>
  <si>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</si>
  <si>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</si>
  <si>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</si>
  <si>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</si>
  <si>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</si>
  <si>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</si>
  <si>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</si>
  <si>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</si>
  <si>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</si>
  <si>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</si>
  <si>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</si>
  <si>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</si>
  <si>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</si>
  <si>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</si>
  <si>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</si>
  <si>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</si>
  <si>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</si>
  <si>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</si>
  <si>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</si>
  <si>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</si>
  <si>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</si>
  <si>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</si>
  <si>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</si>
  <si>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</si>
  <si>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</si>
  <si>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</si>
  <si>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</si>
  <si>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</si>
  <si>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</si>
  <si>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</si>
  <si>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</si>
  <si>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</si>
  <si>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</si>
  <si>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</si>
  <si>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</si>
  <si>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</si>
  <si>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</si>
  <si>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</si>
  <si>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</si>
  <si>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</si>
  <si>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</si>
  <si>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</si>
  <si>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</si>
  <si>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</si>
  <si>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</si>
  <si>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</si>
  <si>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</si>
  <si>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</si>
  <si>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</si>
  <si>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</si>
  <si>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</si>
  <si>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</si>
  <si>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</si>
  <si>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</si>
  <si>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</si>
  <si>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</si>
  <si>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</si>
  <si>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</si>
  <si>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</si>
  <si>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</si>
  <si>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</si>
  <si>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</si>
  <si>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</si>
  <si>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</si>
  <si>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</si>
  <si>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</si>
  <si>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</si>
  <si>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</si>
  <si>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</si>
  <si>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</si>
  <si>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</si>
  <si>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</si>
  <si>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</si>
  <si>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</si>
  <si>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</si>
  <si>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</si>
  <si>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</si>
  <si>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</si>
  <si>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</si>
  <si>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</si>
  <si>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</si>
  <si>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</si>
  <si>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</si>
  <si>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</si>
  <si>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</si>
  <si>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</si>
  <si>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</si>
  <si>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</si>
  <si>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</si>
  <si>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</si>
  <si>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</si>
  <si>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</si>
  <si>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</si>
  <si>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</si>
  <si>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</si>
  <si>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</si>
  <si>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</si>
  <si>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</si>
  <si>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</si>
  <si>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</si>
  <si>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</si>
  <si>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</si>
  <si>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</si>
  <si>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</si>
  <si>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</si>
  <si>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</si>
  <si>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</si>
  <si>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</si>
  <si>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</si>
  <si>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</si>
  <si>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</si>
  <si>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</si>
  <si>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</si>
  <si>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</si>
  <si>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</si>
  <si>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</si>
  <si>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</si>
  <si>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</si>
  <si>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</si>
  <si>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</si>
  <si>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</si>
  <si>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</si>
  <si>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</si>
  <si>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</si>
  <si>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</si>
  <si>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</si>
  <si>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</si>
  <si>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</si>
  <si>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</si>
  <si>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</si>
  <si>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</si>
  <si>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</si>
  <si>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</si>
  <si>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</si>
  <si>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</si>
  <si>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</si>
  <si>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</si>
  <si>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</si>
  <si>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</si>
  <si>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</si>
  <si>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</si>
  <si>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</si>
  <si>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</si>
  <si>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</si>
  <si>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</si>
  <si>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</si>
  <si>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</si>
  <si>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</si>
  <si>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</si>
  <si>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</si>
  <si>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</si>
  <si>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</si>
  <si>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</si>
  <si>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</si>
  <si>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</si>
  <si>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</si>
  <si>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</si>
  <si>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</si>
  <si>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</si>
  <si>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</si>
  <si>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</si>
  <si>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</si>
  <si>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</si>
  <si>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</si>
  <si>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</si>
  <si>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</si>
  <si>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</si>
  <si>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</si>
  <si>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</si>
  <si>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</si>
  <si>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</si>
  <si>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</si>
  <si>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</si>
  <si>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</si>
  <si>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</si>
  <si>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</si>
  <si>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</si>
  <si>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</si>
  <si>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</si>
  <si>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</si>
  <si>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</si>
  <si>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</si>
  <si>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</si>
  <si>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</si>
  <si>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</si>
  <si>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</si>
  <si>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</si>
  <si>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</si>
  <si>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</si>
  <si>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</si>
  <si>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</si>
  <si>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</si>
  <si>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</si>
  <si>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</si>
  <si>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</si>
  <si>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</si>
  <si>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</si>
  <si>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</si>
  <si>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</si>
  <si>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</si>
  <si>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CONTRAPISO EM ARGAMASSA PRONTA, PREPARO MANUAL, APLICADO EM ÁREAS SECAS SOBRE LAJE, ADERIDO, ACABAMENTO NÃO REFORÇADO, ESPESSURA 2CM. AF_07/2021</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</si>
  <si>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</si>
  <si>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</si>
  <si>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</si>
  <si>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</si>
  <si>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</si>
  <si>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</si>
  <si>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</si>
  <si>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</si>
  <si>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</si>
  <si>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</si>
  <si>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</si>
  <si>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</si>
  <si>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</si>
  <si>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</si>
  <si>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</si>
  <si>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</si>
  <si>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</si>
  <si>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</si>
  <si>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</si>
  <si>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</si>
  <si>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</si>
  <si>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</si>
  <si>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</si>
  <si>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</si>
  <si>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</si>
  <si>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</si>
  <si>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</si>
  <si>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</si>
  <si>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</si>
  <si>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</si>
  <si>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</si>
  <si>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</si>
  <si>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</si>
  <si>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</si>
  <si>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</si>
  <si>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</si>
  <si>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</si>
  <si>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</si>
  <si>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</si>
  <si>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</si>
  <si>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</si>
  <si>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</si>
  <si>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</si>
  <si>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</si>
  <si>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</si>
  <si>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</si>
  <si>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</si>
  <si>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</si>
  <si>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</si>
  <si>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</si>
  <si>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</si>
  <si>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</si>
  <si>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</si>
  <si>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</si>
  <si>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</si>
  <si>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</si>
  <si>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</si>
  <si>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</si>
  <si>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</si>
  <si>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</si>
  <si>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</si>
  <si>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</si>
  <si>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</si>
  <si>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</si>
  <si>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</si>
  <si>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</si>
  <si>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</si>
  <si>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</si>
  <si>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</si>
  <si>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</si>
  <si>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</si>
  <si>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</si>
  <si>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</si>
  <si>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</si>
  <si>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</si>
  <si>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</si>
  <si>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</si>
  <si>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</si>
  <si>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</si>
  <si>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</si>
  <si>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</si>
  <si>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</si>
  <si>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</si>
  <si>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</si>
  <si>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</si>
  <si>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</si>
  <si>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</si>
  <si>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</si>
  <si>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</si>
  <si>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</si>
  <si>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</si>
  <si>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</si>
  <si>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</si>
  <si>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</si>
  <si>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</si>
  <si>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</si>
  <si>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</si>
  <si>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</si>
  <si>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</si>
  <si>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</si>
  <si>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</si>
  <si>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</si>
  <si>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</si>
  <si>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</si>
  <si>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</si>
  <si>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</si>
  <si>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</si>
  <si>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</si>
  <si>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</si>
  <si>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</si>
  <si>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</si>
  <si>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</si>
  <si>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</si>
  <si>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</si>
  <si>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</si>
  <si>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</si>
  <si>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</si>
  <si>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</si>
  <si>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</si>
  <si>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</si>
  <si>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</si>
  <si>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</si>
  <si>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</si>
  <si>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</si>
  <si>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</si>
  <si>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</si>
  <si>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</si>
  <si>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</si>
  <si>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</si>
  <si>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</si>
  <si>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</si>
  <si>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</si>
  <si>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</si>
  <si>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</si>
  <si>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</si>
  <si>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</si>
  <si>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</si>
  <si>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</si>
  <si>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</si>
  <si>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</si>
  <si>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</si>
  <si>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</si>
  <si>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</si>
  <si>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</si>
  <si>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</si>
  <si>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</si>
  <si>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</si>
  <si>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</si>
  <si>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</si>
  <si>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</si>
  <si>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</si>
  <si>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</si>
  <si>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</si>
  <si>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</si>
  <si>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</si>
  <si>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</si>
  <si>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</si>
  <si>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</si>
  <si>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</si>
  <si>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</si>
  <si>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</si>
  <si>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</si>
  <si>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</si>
  <si>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</si>
  <si>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</si>
  <si>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</si>
  <si>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</si>
  <si>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</si>
  <si>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</si>
  <si>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</si>
  <si>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 xml:space="preserve">ABRACADEIRA PVC, PARA CALHA PLUVIAL, DIAMETRO ENTRE *80 E 100* MM, PARA DRENAGEM PLUVIAL PREDIAL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</si>
  <si>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</si>
  <si>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</si>
  <si>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</si>
  <si>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</si>
  <si>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</si>
  <si>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</si>
  <si>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</si>
  <si>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</si>
  <si>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</si>
  <si>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</si>
  <si>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</si>
  <si>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</si>
  <si>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</si>
  <si>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AJUDANTE DE ESTRUTURAS METALICAS (HORISTA)                                                                                                                                                                                                                                                                                                                                                                                                                                                                </t>
  </si>
  <si>
    <t xml:space="preserve">ALIMENTACAO - HORISTA (COLETADO CAIXA - ENCARGOS COMPLEMENTARES)                                                                                                                                                                                                                                                                                                                                                                                                                                          </t>
  </si>
  <si>
    <t xml:space="preserve">ALIMENTACAO - MENSALISTA (COLETADO CAIXA - ENCARGOS COMPLEMENTARES)                                                                                                                                                                                                                                                                                                                                                                                                                                       </t>
  </si>
  <si>
    <t xml:space="preserve">AR CONDICIONADO SPLIT INVERTER, HI-WALL (PAREDE), 24000 BTU/H, CICLO FRIO, 60HZ, CLASSIFICACAO A (SELO PROCEL), GAS HFC, CONTROLE S/FIO                                                                                                                                                                                                                                                                                                                                                                   </t>
  </si>
  <si>
    <t xml:space="preserve">ARGAMASSA POLIMERICA IMPERMEABILIZANTE SEMIFLEXIVEL, BICOMPONENTE, A BASE DE CIMENTO E ADITIVOS                                                                                                                                                                                                                                                                                                                                                                                                           </t>
  </si>
  <si>
    <t xml:space="preserve">ARGAMASSA USINADA AUTOADENSAVEL E AUTONIVELANTE PARA CONTRAPISO, COM BOMBEAMENTO (DISPONIBILIZACAO DE BOMBA), SEM O LANCAMENTO                                                                                                                                                                                                                                                                                                                                                                            </t>
  </si>
  <si>
    <t xml:space="preserve">ARQUITETO JUNIOR (HORISTA)                                                                                                                                                                                                                                                                                                                                                                                                                                                                                </t>
  </si>
  <si>
    <t xml:space="preserve">ARQUITETO PLENO (HORISTA)                                                                                                                                                                                                                                                                                                                                                                                                                                                                                 </t>
  </si>
  <si>
    <t xml:space="preserve">ARQUITETO SENIOR (HORISTA)                                                                                                                                                                                                                                                                                                                                                                                                                                                                                </t>
  </si>
  <si>
    <t xml:space="preserve">ASSENTADOR DE MANILHAS (HORISTA)                                                                                                                                                                                                                                                                                                                                                                                                                                                                          </t>
  </si>
  <si>
    <t xml:space="preserve">AUXILIAR DE MECANICO (HORISTA)                                                                                                                                                                                                                                                                                                                                                                                                                                                                            </t>
  </si>
  <si>
    <t xml:space="preserve">AUXILIAR DE SERVICOS GERAIS (HORISTA)                                                                                                                                                                                                                                                                                                                                                                                                                                                                     </t>
  </si>
  <si>
    <t xml:space="preserve">AUXILIAR TECNICO / ASSISTENTE DE ENGENHARIA (HORISTA)                                                                                                                                                                                                                                                                                                                                                                                                                                                     </t>
  </si>
  <si>
    <t xml:space="preserve">BANCADA/ BANCA/ BALCAO/ TAMPO EM MARMORE BRANCO COMUM, POLIDO, LISO, ACABAMENTO RETO, E= *3* CM (SEM FUROS)                                                                                                                                                                                                                                                                                                                                                                                               </t>
  </si>
  <si>
    <t xml:space="preserve">BLASTER, DINAMITADOR OU CABO DE FOGO (HORISTA)                                                                                                                                                                                                                                                                                                                                                                                                                                                            </t>
  </si>
  <si>
    <t xml:space="preserve">BOCAL PVC, PARA CALHA PLUVIAL, DIAMETRO DA SAIDA ENTRE *75 E 120* MM, PARA DRENAGEM PLUVIAL PREDIAL                                                                                                                                                                                                                                                                                                                                                                                                       </t>
  </si>
  <si>
    <t xml:space="preserve">BOLSA DE LIGACAO EM PVC FLEXIVEL PARA VASO SANITARIO 40 MM (1 1/2")                                                                                                                                                                                                                                                                                                                                                                                                                                       </t>
  </si>
  <si>
    <t xml:space="preserve">BUCHA DE REDUCAO CPVC, SOLDAVEL, 54 X 28 MM, PARA AGUA QUENTE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</si>
  <si>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</si>
  <si>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</si>
  <si>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</si>
  <si>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</si>
  <si>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54 X 35 MM, PARA AGUA QUENTE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</si>
  <si>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</si>
  <si>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</si>
  <si>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</si>
  <si>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CABECEIRA DIREITA OU ESQUERDA, PVC, PARA CALHA PLUVIAL, DIAMETRO ENTRE *119 E 170* MM, PARA DRENAGEM PLUVIAL PREDIAL                                                                                                                                                                                                                                                                                                                                                                                      </t>
  </si>
  <si>
    <t xml:space="preserve">CABO COAXIAL RG11 95% DE MALHA                                                                                                                                                                                                                                                                                                                                                                                                                                                                            </t>
  </si>
  <si>
    <t xml:space="preserve">CABO COAXIAL RG59 95% DE MALHA                                                                                                                                                                                                                                                                                                                                                                                                                                                                            </t>
  </si>
  <si>
    <t xml:space="preserve">CABO COAXIAL RG6 95% DE MALHA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</si>
  <si>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</si>
  <si>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</si>
  <si>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</si>
  <si>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</si>
  <si>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</si>
  <si>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RIGIDO, CLASSE 2, ISOLACAO EM PVC, ANTI-CHAMA BWF-B, 1 CONDUTOR, 450/750 V, DIAMETRO 120 MM2                                                                                                                                                                                                                                                                                                                                                                                               </t>
  </si>
  <si>
    <t xml:space="preserve">CABO DE REDE, PAR TRANCADO U/UTP, 4 PARES, CATEGORIA 6 (CAT 6), ISOLAMENTO PVC (CM)                                                                                                                                                                                                                                                                                                                                                                                                                       </t>
  </si>
  <si>
    <t xml:space="preserve">CABO ELETRONICO CATEGORIA 6A U/UTP 23AWG X 4P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</si>
  <si>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</si>
  <si>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</si>
  <si>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</si>
  <si>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</si>
  <si>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</si>
  <si>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</si>
  <si>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</si>
  <si>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</si>
  <si>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</si>
  <si>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</si>
  <si>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</si>
  <si>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</si>
  <si>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</si>
  <si>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</si>
  <si>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</si>
  <si>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</si>
  <si>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</si>
  <si>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</si>
  <si>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</si>
  <si>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</si>
  <si>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</si>
  <si>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</si>
  <si>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</si>
  <si>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</si>
  <si>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</si>
  <si>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</si>
  <si>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</si>
  <si>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</si>
  <si>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</si>
  <si>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</si>
  <si>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</si>
  <si>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</si>
  <si>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</si>
  <si>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</si>
  <si>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PVC, SERIE R, DN 100 MM, PARA ESGOTO PREDIAL                                                                                                                                                                                                                                                                                                                                                                                                                                                          </t>
  </si>
  <si>
    <t xml:space="preserve">CAP PVC, SERIE R, DN 150 MM, PARA ESGOTO PREDIAL                                                                                                                                                                                                                                                                                                                                                                                                                                                          </t>
  </si>
  <si>
    <t xml:space="preserve">CAP PVC, SERIE R, DN 75 MM, PARA ESGOTO PREDIAL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</si>
  <si>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</si>
  <si>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</si>
  <si>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CAVOUQUEIRO OU OPERADOR DE PERFURATRIZ / ROMPEDOR (HORISTA)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</si>
  <si>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</si>
  <si>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</si>
  <si>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</si>
  <si>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CHUMBADOR DE ACO GALVANIZADO, 1" X 600 MM, PARA POSTES DE ACO COM BASE, INCLUSO PORCA E ARRUELA                                                                                                                                                                                                                                                                                                                                                                                                           </t>
  </si>
  <si>
    <t xml:space="preserve">CIMENTO BRANCO NAO ESTRUTURAL (CPB - NAO ESTRUTURAL)                                                                                                                                                                                                                                                                                                                                                                                                                                                      </t>
  </si>
  <si>
    <t xml:space="preserve">CIMENTO PORTLAND ESTRUTURAL BRANCO CPB - 32 ou CPB - 40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</si>
  <si>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</si>
  <si>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</si>
  <si>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</si>
  <si>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</si>
  <si>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</si>
  <si>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</si>
  <si>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COMPRESSOR DE AR REBOCAVEL, VAZAO 89 PCM, PRESSAO EFETIVA DE TRABALHO *102* PSI, MOTOR DIESEL, POTENCIA *20* CV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</si>
  <si>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</si>
  <si>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</si>
  <si>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</si>
  <si>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</si>
  <si>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</si>
  <si>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</si>
  <si>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</si>
  <si>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</si>
  <si>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C30, BRITA 0 E 1, SLUMP = 100 +/- 20 MM, COM BOMBEAMENTO (DISPONIBILIZACAO DE BOMBA), SEM O LANCAMENTO (NBR 8953)                                                                                                                                                                                                                                                                                                                                       </t>
  </si>
  <si>
    <t xml:space="preserve">CONCRETO USINADO BOMBEAVEL, CLASSE DE RESISTENCIA C35, BRITA 0 E 1, SLUMP = 100 +/- 20 MM, COM BOMBEAMENTO (DISPONIBILIZACAO DE BOMBA), SEM O LANCAMENTO (NBR 8953)                                                                                                                                                                                                                                                                                                                                       </t>
  </si>
  <si>
    <t xml:space="preserve">CONCRETO USINADO BOMBEAVEL, CLASSE DE RESISTENCIA C40, BRITA 0 E 1, SLUMP = 100 +/- 20 MM, COM BOMBEAMENTO (DISPONIBILIZACAO DE BOMBA), SEM O LANCAMENTO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</si>
  <si>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</si>
  <si>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</si>
  <si>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</si>
  <si>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CONDUTOR PLUVIAL, PVC, CIRCULAR, DIAMETRO ENTRE 80 E 100 MM, PARA DRENAGEM PLUVIAL PREDIAL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</si>
  <si>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</si>
  <si>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</si>
  <si>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</si>
  <si>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</si>
  <si>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</si>
  <si>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</si>
  <si>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</si>
  <si>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</si>
  <si>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</si>
  <si>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</si>
  <si>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</si>
  <si>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</si>
  <si>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</si>
  <si>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</si>
  <si>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</si>
  <si>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</si>
  <si>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</si>
  <si>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</si>
  <si>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54 MM X 2", PARA AGUA QUENTE                                                                                                                                                                                                                                                                                                                                                                                                                                                    </t>
  </si>
  <si>
    <t xml:space="preserve">CONECTOR, CPVC, SOLDAVEL, 73 MM X 2 1/2", PARA AGUA QUENTE                                                                                                                                                                                                                                                                                                                                                                                                                                                </t>
  </si>
  <si>
    <t xml:space="preserve">CONECTOR, CPVC, SOLDAVEL, 89 MM X 3", PARA AGUA QUENTE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</si>
  <si>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</si>
  <si>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</si>
  <si>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PARA FUTSAL COM PAR DE TRAVES OFICIAIS DE 3,00 X 2,00 M EM TUBO DE ACO GALVANIZADO 3" COM REQUADROS EM TUBO DE 1", PINTURA EM PRIMER COM TINTA ESMALTE SINTETICO E REDES DE POLIETILENO FIO 4 MM                                                                                                                                                                                                                                                                                                 </t>
  </si>
  <si>
    <t xml:space="preserve">CURVA CPVC, 90 GRAUS, SOLDAVEL, 15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</si>
  <si>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</si>
  <si>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</si>
  <si>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</si>
  <si>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</si>
  <si>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</si>
  <si>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</si>
  <si>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</si>
  <si>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</si>
  <si>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</si>
  <si>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</si>
  <si>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</si>
  <si>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</si>
  <si>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</si>
  <si>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</si>
  <si>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</si>
  <si>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</si>
  <si>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</si>
  <si>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</si>
  <si>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</si>
  <si>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</si>
  <si>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</si>
  <si>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</si>
  <si>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</si>
  <si>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</si>
  <si>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</si>
  <si>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</si>
  <si>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</si>
  <si>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</si>
  <si>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50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</si>
  <si>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</si>
  <si>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</si>
  <si>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</si>
  <si>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</si>
  <si>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</si>
  <si>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</si>
  <si>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</si>
  <si>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</si>
  <si>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</si>
  <si>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</si>
  <si>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</si>
  <si>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</si>
  <si>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</si>
  <si>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</si>
  <si>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90 GRAUS DE BARRA CHATA EM ALUMINIO 3/4" X 1/4" X 300 MM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</si>
  <si>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</si>
  <si>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</si>
  <si>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</si>
  <si>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</si>
  <si>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</si>
  <si>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</si>
  <si>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</si>
  <si>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</si>
  <si>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</si>
  <si>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</si>
  <si>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</si>
  <si>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</si>
  <si>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</si>
  <si>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</si>
  <si>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</si>
  <si>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</si>
  <si>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</si>
  <si>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</si>
  <si>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</si>
  <si>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</si>
  <si>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</si>
  <si>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</si>
  <si>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</si>
  <si>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</si>
  <si>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</si>
  <si>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</si>
  <si>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EMENDA PARA CALHA PLUVIAL, PVC, DIAMETRO ENTRE 119 E 170 MM, PARA DRENAGEM PLUVIAL PREDIAL                                                                                                                                                                                                                                                                                                                                                                                                                </t>
  </si>
  <si>
    <t xml:space="preserve">ENGENHEIRO CIVIL DE OBRA JUNIOR (HORISTA)                                                                                                                                                                                                                                                                                                                                                                                                                                                                 </t>
  </si>
  <si>
    <t xml:space="preserve">ENGENHEIRO CIVIL DE OBRA PLENO (HORISTA)                                                                                                                                                                                                                                                                                                                                                                                                                                                                  </t>
  </si>
  <si>
    <t xml:space="preserve">ENGENHEIRO CIVIL DE OBRA SENIOR (HORISTA)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</si>
  <si>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</si>
  <si>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EXAMES - HORISTA (COLETADO CAIXA - ENCARGOS COMPLEMENTARES)                                                                                                                                                                                                                                                                                                                                                                                                                                               </t>
  </si>
  <si>
    <t xml:space="preserve">EXAMES - MENSALISTA (COLETADO CAIXA - ENCARGOS COMPLEMENTARES)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</si>
  <si>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</si>
  <si>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</si>
  <si>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</si>
  <si>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</si>
  <si>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GRAXA LUBRIFICANTE A BASE DE LITIO, DE MULTIPLAS APLICACOES E CONTENDO ADITIVOS DE EXTREMA PRESSAO (GRAU DE VISCOSIDADE NLGI 2)                                                                                                                                                                                                                                                                                                                                                                           </t>
  </si>
  <si>
    <t xml:space="preserve">INSTALADOR DE TUBULACOES - TUBOS/EQUIPAMENTOS (HORISTA)                                                                                                                                                                                                                                                                                                                                                                                                                                                   </t>
  </si>
  <si>
    <t xml:space="preserve">JANELA BASCULANTE, EM ALUMINIO PERFIL 20, 80 X 60 CM (A X L), 4 FLS (1 FIXA E 3 MOVEIS), ACABAMENTO BRANCO OU BRILHANTE, BATENTE DE 3 A 4 CM, COM VIDRO 4 MM, SEM GUARNICAO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</si>
  <si>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</si>
  <si>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</si>
  <si>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</si>
  <si>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</si>
  <si>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</si>
  <si>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</si>
  <si>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</si>
  <si>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</si>
  <si>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</si>
  <si>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JOELHO CPVC, SOLDAVEL, 90 GRAUS, 114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</si>
  <si>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</si>
  <si>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</si>
  <si>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</si>
  <si>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</si>
  <si>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</si>
  <si>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</si>
  <si>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</si>
  <si>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</si>
  <si>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</si>
  <si>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</si>
  <si>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</si>
  <si>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</si>
  <si>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</si>
  <si>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</si>
  <si>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</si>
  <si>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</si>
  <si>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</si>
  <si>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</si>
  <si>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</si>
  <si>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</si>
  <si>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</si>
  <si>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</si>
  <si>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</si>
  <si>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</si>
  <si>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</si>
  <si>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</si>
  <si>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</si>
  <si>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</si>
  <si>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</si>
  <si>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</si>
  <si>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</si>
  <si>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90 GRAUS, SEM ANEL, DN 40 MM, PARA ESGOTO PREDIAL SECUNDARIO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</si>
  <si>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</si>
  <si>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</si>
  <si>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</si>
  <si>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</si>
  <si>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</si>
  <si>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</si>
  <si>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</si>
  <si>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</si>
  <si>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</si>
  <si>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</si>
  <si>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</si>
  <si>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</si>
  <si>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</si>
  <si>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</si>
  <si>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</si>
  <si>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</si>
  <si>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</si>
  <si>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</si>
  <si>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</si>
  <si>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</si>
  <si>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</si>
  <si>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</si>
  <si>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</si>
  <si>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</si>
  <si>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</si>
  <si>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</si>
  <si>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</si>
  <si>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</si>
  <si>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</si>
  <si>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</si>
  <si>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</si>
  <si>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</si>
  <si>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</si>
  <si>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</si>
  <si>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</si>
  <si>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</si>
  <si>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</si>
  <si>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</si>
  <si>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</si>
  <si>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</si>
  <si>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</si>
  <si>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</si>
  <si>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</si>
  <si>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</si>
  <si>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</si>
  <si>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</si>
  <si>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</si>
  <si>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JUNCAO DUPLA, PVC SERIE R, DN 100 X 100 X 100 MM,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</si>
  <si>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</si>
  <si>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</si>
  <si>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</si>
  <si>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</si>
  <si>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</si>
  <si>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</si>
  <si>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</si>
  <si>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</si>
  <si>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</si>
  <si>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50 X 50 MM, SERIE NORMAL PARA ESGOTO PREDIAL                                                                                                                                                                                                                                                                                                                                                                                                                            </t>
  </si>
  <si>
    <t xml:space="preserve">JUNCAO SIMPLES, PVC, 45 GRAUS, DN 75 X 75 MM, SERIE NORMAL PARA ESGOTO PREDIAL                                                                                                                                                                                                                                                                                                                                                                                                                            </t>
  </si>
  <si>
    <t xml:space="preserve">JUNCAO, PVC, 45 GRAUS, JE, BBB, DN 150 MM, PARA TUBO CORRUGADO E/OU LISO, REDE COLETORA DE ESGOTO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</si>
  <si>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</si>
  <si>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</si>
  <si>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</si>
  <si>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</si>
  <si>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</si>
  <si>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</si>
  <si>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LOCACAO DE ANDAIME METALICO TIPO FACHADEIRO, PECAS COM APROXIMADAMENTE 1,20 M DE LARGURA E 2,0 M DE ALTURA, INCLUINDO DIAGONAIS EM X, BARRAS DE LIGACAO, SAPATAS E DEMAIS ITENS NECESSARIOS A MONTAGEM (NAO INCLUI INSTALACAO)                                                                                                                                                                                                                                                                            </t>
  </si>
  <si>
    <t xml:space="preserve">LOCACAO DE CRUZETA, SIMPLES, PARA ESCORA METALICA, COMPRIMENTO ENTRE 50 A 60 CM, PARA ESCORA DE 1,80 A 3,20 METROS E TUBO EXTERNO ATE 48 MM DE DIAMETRO                                                                                                                                                                                                                                                                                                                                                   </t>
  </si>
  <si>
    <t xml:space="preserve">LUBRIFICANTE REDUTOR DE TORQUE E ARRASTO DE ALTO DESEMPENHO, PARA PERFURACAO HORIZONTAL DIRECIONAL, HDD                                                                                                                                                                                                                                                                                                                                                                                                   </t>
  </si>
  <si>
    <t xml:space="preserve">LUVA CPVC, SOLDAVEL, 114 MM, PARA AGUA QUENTE PREDIAL                                                                                                                                                                                                                                                                                                                                                                                                                                                     </t>
  </si>
  <si>
    <t xml:space="preserve">LUVA DE CORRER PARA TUBO SOLDAVEL, PVC, 40 MM, PARA AGUA FRIA PREDIAL                                                                                                                                                                                                                                                                                                                                                                                                                                     </t>
  </si>
  <si>
    <t xml:space="preserve">LUVA DE CORRER PVC, JE, DN 250 MM, PARA REDE COLETORA DE ESGOTO                                                                                                                                                                                                                                                                                                                                                                                                                                           </t>
  </si>
  <si>
    <t xml:space="preserve">LUVA DE CORRER, PVC SERIE R, 100 MM, PARA ESGOTO PREDIAL                                                                                                                                                                                                                                                                                                                                                                                                                                                  </t>
  </si>
  <si>
    <t xml:space="preserve">LUVA DE CORRER, PVC SERIE R, 150 MM, PARA ESGOTO PREDIAL                                                                                                                                                                                                                                                                                                                                                                                                                                                  </t>
  </si>
  <si>
    <t xml:space="preserve">LUVA DE CORRER, PVC SERIE R, 75 MM, PARA ESGOTO PREDIAL                                                                                                                                                                                                                                                                                                                                                                                                                                                   </t>
  </si>
  <si>
    <t xml:space="preserve">LUVA DE REDUCAO, SOLDAVEL, PVC, 50 X 25 MM, PARA AGUA FRIA PREDIAL                                                                                                                                                                                                                                                                                                                                                                                                                                        </t>
  </si>
  <si>
    <t xml:space="preserve">LUVA PVC, ROSCAVEL, 1/2", AGUA FRIA PREDIAL                                                                                                                                                                                                                                                                                                                                                                                                                                                               </t>
  </si>
  <si>
    <t xml:space="preserve">LUVA PVC, ROSCAVEL, 1", AGUA FRIA PREDIAL                                                                                                                                                                                                                                                                                                                                                                                                                                                                 </t>
  </si>
  <si>
    <t xml:space="preserve">LUVA PVC, ROSCAVEL, 3/4", AGUA FRIA PREDIAL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</si>
  <si>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</si>
  <si>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</si>
  <si>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</si>
  <si>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</si>
  <si>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</si>
  <si>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</si>
  <si>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</si>
  <si>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</si>
  <si>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</si>
  <si>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</si>
  <si>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</si>
  <si>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</si>
  <si>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</si>
  <si>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</si>
  <si>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</si>
  <si>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</si>
  <si>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</si>
  <si>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</si>
  <si>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</si>
  <si>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</si>
  <si>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</si>
  <si>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</si>
  <si>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</si>
  <si>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</si>
  <si>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</si>
  <si>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</si>
  <si>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</si>
  <si>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</si>
  <si>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</si>
  <si>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MANTA / LENCOL DE BORRACHA, SBR, ANTIRRUIDO, E = 5 MM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</si>
  <si>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</si>
  <si>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MECANICO DE EQUIPAMENTOS PESADOS (HORISTA)                                                                                                                                                                                                                                                                                                                                                                                                                                                                </t>
  </si>
  <si>
    <t xml:space="preserve">MICTORIO INDIVIDUAL, SIFONADO, DE LOUCA BRANCA, SEM COMPLEMENTOS                                                                                                                                                                                                                                                                                                                                                                                                                                          </t>
  </si>
  <si>
    <t xml:space="preserve">MOTORISTA DE CAMINHAO (HORISTA)                                                                                                                                                                                                                                                                                                                                                                                                                                                                           </t>
  </si>
  <si>
    <t xml:space="preserve">MOTORISTA DE CAMINHAO BETONEIRA (HORISTA)                                                                                                                                                                                                                                                                                                                                                                                                                                                                 </t>
  </si>
  <si>
    <t xml:space="preserve">MOTORISTA DE CAMINHAO-BASCULANTE (HORISTA)                                                                                                                                                                                                                                                                                                                                                                                                                                                                </t>
  </si>
  <si>
    <t xml:space="preserve">MOTORISTA DE CAMINHAO-CARRETA (HORISTA)                                                                                                                                                                                                                                                                                                                                                                                                                                                                   </t>
  </si>
  <si>
    <t xml:space="preserve">MOTORISTA DE CARRO DE PASSEIO (HORISTA)                                                                                                                                                                                                                                                                                                                                                                                                                                                                   </t>
  </si>
  <si>
    <t xml:space="preserve">MOTORISTA OPERADOR DE CAMINHAO COM MUNCK (HORISTA)                                                                                                                                                                                                                                                                                                                                                                                                                                                        </t>
  </si>
  <si>
    <t xml:space="preserve">OLEO DIESEL COMBUSTIVEL COMUM METROPOLITANO S-10 OU S-500                                                                                                                                                                                                                                                                                                                                                                                                                                                 </t>
  </si>
  <si>
    <t xml:space="preserve">OLEO LUBRIFICANTE MINERAL MONOVISCOSO, SAE 40, PARA MOTORES DE EQUIPAMENTOS PESADOS (CAMINHOES, TRATORES, RETROS E ETC)                                                                                                                                                                                                                                                                                                                                                                                   </t>
  </si>
  <si>
    <t xml:space="preserve">OPERADOR DE BATE-ESTACAS (HORISTA)                                                                                                                                                                                                                                                                                                                                                                                                                                                                        </t>
  </si>
  <si>
    <t xml:space="preserve">OPERADOR DE BETONEIRA ESTACIONARIA / MISTURADOR (HORISTA)                                                                                                                                                                                                                                                                                                                                                                                                                                                 </t>
  </si>
  <si>
    <t xml:space="preserve">OPERADOR DE COMPRESSOR DE AR OU COMPRESSORISTA (HORISTA)                                                                                                                                                                                                                                                                                                                                                                                                                                                  </t>
  </si>
  <si>
    <t xml:space="preserve">OPERADOR DE DEMARCADORA DE FAIXAS DE TRAFEGO (HORISTA)                                                                                                                                                                                                                                                                                                                                                                                                                                                    </t>
  </si>
  <si>
    <t xml:space="preserve">OPERADOR DE ESCAVADEIRA (HORISTA)                                                                                                                                                                                                                                                                                                                                                                                                                                                                         </t>
  </si>
  <si>
    <t xml:space="preserve">OPERADOR DE GUINCHO OU GUINCHEIRO (HORISTA)                                                                                                                                                                                                                                                                                                                                                                                                                                                               </t>
  </si>
  <si>
    <t xml:space="preserve">OPERADOR DE GUINDASTE (HORISTA)                                                                                                                                                                                                                                                                                                                                                                                                                                                                           </t>
  </si>
  <si>
    <t xml:space="preserve">OPERADOR DE JATO ABRASIVO OU JATISTA (HORISTA)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</si>
  <si>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</si>
  <si>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</si>
  <si>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</si>
  <si>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MOTO SCRAPER (HORISTA)                                                                                                                                                                                                                                                                                                                                                                                                                                                                        </t>
  </si>
  <si>
    <t xml:space="preserve">OPERADOR DE MOTONIVELADORA (HORISTA)                                                                                                                                                                                                                                                                                                                                                                                                                                                                      </t>
  </si>
  <si>
    <t xml:space="preserve">OPERADOR DE PA CARREGADEIRA (HORISTA)                                                                                                                                                                                                                                                                                                                                                                                                                                                                     </t>
  </si>
  <si>
    <t xml:space="preserve">OPERADOR DE PAVIMENTADORA / MESA VIBROACABADORA (HORISTA)                                                                                                                                                                                                                                                                                                                                                                                                                                                 </t>
  </si>
  <si>
    <t xml:space="preserve">OPERADOR DE ROLO COMPACTADOR (HORISTA)                                                                                                                                                                                                                                                                                                                                                                                                                                                                    </t>
  </si>
  <si>
    <t xml:space="preserve">OPERADOR DE USINA DE ASFALTO, DE SOLOS OU DE CONCRETO (HORISTA)                                                                                                                                                                                                                                                                                                                                                                                                                                           </t>
  </si>
  <si>
    <t xml:space="preserve">PARAFUSO, AUTO ATARRACHANTE, CABECA CHATA, FENDA SIMPLES, 1/4" (6,35 MM) X 25 MM                                                                                                                                                                                                                                                                                                                                                                                                                          </t>
  </si>
  <si>
    <t xml:space="preserve">PERFIL EM ALUMINIO, FORMATO U, ABAS IGUAIS, LARGURA DE 25,4 MM (1"), ESPESSURA DE 2,38 MM (3/32") E PESO LINEAR DE APROXIMADAMENTE 0,460 KG/M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</si>
  <si>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</si>
  <si>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</si>
  <si>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</si>
  <si>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</si>
  <si>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</si>
  <si>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</si>
  <si>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</si>
  <si>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</si>
  <si>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</si>
  <si>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PLUG PVC, JE, DN 100 MM, PARA REDE COLETORA ESGOTO                                                                                                                                                                                                                                                                                                                                                                                                                                                        </t>
  </si>
  <si>
    <t xml:space="preserve">PLUG PVC, JE, DN 150 MM, PARA REDE COLETORA ESGOTO                                                                                                                                                                                                                                                                                                                                                                                                                                                        </t>
  </si>
  <si>
    <t xml:space="preserve">POCEIRO / ESCAVADOR DE VALAS E TUBULOES (HORISTA)                                                                                                                                                                                                                                                                                                                                                                                                                                                         </t>
  </si>
  <si>
    <t xml:space="preserve">PORTA CORTA-FOGO SIMPLES PARA SAIDA DE EMERGENCIA, 1 FOLHA DE ABRIR, 5 CM, ACABAMENTO NATURAL / SEM PINTURA, COM FECHADURA TIPO TRINCO, DOBRADICAS E BATENTE, VAO LUZ DE 90 X 210 CM, CLASSE P-90 (NBR 11742)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</si>
  <si>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</si>
  <si>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</si>
  <si>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</si>
  <si>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</si>
  <si>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</si>
  <si>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</si>
  <si>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</si>
  <si>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</si>
  <si>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REBITE DE REPUXO EM ALUMINIO VAZADO, DIAMETRO 3,2 X 8 MM DE COMPRIMENTO (1KG = 1025 UNIDADES)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</si>
  <si>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</si>
  <si>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</si>
  <si>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</si>
  <si>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</si>
  <si>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</si>
  <si>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</si>
  <si>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</si>
  <si>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</si>
  <si>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</si>
  <si>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</si>
  <si>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</si>
  <si>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</si>
  <si>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</si>
  <si>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</si>
  <si>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</si>
  <si>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SELIM PVC, COM TRAVA, JE, 90 GRAUS, DN 125 X 100 MM OU 150 X 100 MM, PARA REDE COLETORA ESGOTO                                                                                                                                                                                                                                                                                                                                                                                                            </t>
  </si>
  <si>
    <t xml:space="preserve">SERVENTE DE OBRAS (HORISTA)                                                                                                                                                                                                                                                                                                                                                                                                                                                                               </t>
  </si>
  <si>
    <t xml:space="preserve">SERVICO DE BOMBEAMENTO DE CONCRETO COM CONSUMO MINIMO DE 40 M3, (DISPONIBILIZACAO DE BOMBA), SEM O LANCAMENTO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</si>
  <si>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</si>
  <si>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</si>
  <si>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</si>
  <si>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</si>
  <si>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</si>
  <si>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</si>
  <si>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</si>
  <si>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METALICO PARA CALHA PLUVIAL, ZINCADO, DOBRADO, DIAMETRO ENTRE 119 E 170 MM, PARA DRENAGEM PLUVIAL PREDIAL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</si>
  <si>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</si>
  <si>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</si>
  <si>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</si>
  <si>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</si>
  <si>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</si>
  <si>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</si>
  <si>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TAMPAO / CAP, ROSCA MACHO, DN 1", PARA TUBO PEX PARA INST. AGUA QUENTE/FRIA                                                                                                                                                                                                                                                                                                                                                                                                                               </t>
  </si>
  <si>
    <t xml:space="preserve">TAMPAO / CAP, ROSCA MACHO, DN 3/4", PARA TUBO PEX PARA INST. AGUA QUENTE/FRIA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</si>
  <si>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</si>
  <si>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</si>
  <si>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</si>
  <si>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</si>
  <si>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</si>
  <si>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</si>
  <si>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</si>
  <si>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</si>
  <si>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TE CPVC, SOLDAVEL, 90 GRAUS, 114 MM, PARA AGUA QUENTE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</si>
  <si>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</si>
  <si>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</si>
  <si>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</si>
  <si>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1.1/2" X 3/4", AGUA FRIA PREDIAL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</si>
  <si>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</si>
  <si>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</si>
  <si>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</si>
  <si>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</si>
  <si>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</si>
  <si>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</si>
  <si>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</si>
  <si>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</si>
  <si>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</si>
  <si>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</si>
  <si>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</si>
  <si>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</si>
  <si>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</si>
  <si>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</si>
  <si>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</si>
  <si>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</si>
  <si>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</si>
  <si>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</si>
  <si>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</si>
  <si>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</si>
  <si>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</si>
  <si>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</si>
  <si>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</si>
  <si>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</si>
  <si>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</si>
  <si>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</si>
  <si>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</si>
  <si>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</si>
  <si>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</si>
  <si>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</si>
  <si>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EM SONDAGEM (HORISTA)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</si>
  <si>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</si>
  <si>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</si>
  <si>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</si>
  <si>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TINTA/RESINA ACRILICA PREMIUM PARA CERAMICA, PEDRAS E OUTROS                                                                                                                                                                                                                                                                                                                                                                                                                                              </t>
  </si>
  <si>
    <t xml:space="preserve">TRANSPORTE - HORISTA (COLETADO CAIXA - ENCARGOS COMPLEMENTARES)                                                                                                                                                                                                                                                                                                                                                                                                                                           </t>
  </si>
  <si>
    <t xml:space="preserve">TRANSPORTE - MENSALISTA (COLETADO CAIXA - ENCARGOS COMPLEMENTARES)                                                                                                                                                                                                                                                                                                                                                                                                                                        </t>
  </si>
  <si>
    <t xml:space="preserve">TUBO CPVC, SOLDAVEL, 114 MM, AGUA QUENTE (NBR 15884)                                                                                                                                                                                                                                                                                                                                                                                                                                                      </t>
  </si>
  <si>
    <t xml:space="preserve">TUBO DE DESCIDA EXTERNO, DE PVC, PARA CAIXA DE DESCARGA EXTERNA ALTA - DIAMETRO DE 40 MM E ALTURA DE APROXIMADAMENTE 1,55 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</si>
  <si>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</si>
  <si>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</si>
  <si>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</si>
  <si>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</si>
  <si>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CLASSE PN 20, SOLDAVEL, DN 32 MM PARA AGUA FRIA OU QUENTE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</si>
  <si>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</si>
  <si>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</si>
  <si>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</si>
  <si>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</si>
  <si>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</si>
  <si>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</si>
  <si>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RIGIDO, CORRUGADO, PERFURADO DN 100 MM, PARA DRENAGEM, SISTEMA IRRIGACAO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</si>
  <si>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</si>
  <si>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</si>
  <si>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</si>
  <si>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</si>
  <si>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</si>
  <si>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</si>
  <si>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</si>
  <si>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</si>
  <si>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</si>
  <si>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</si>
  <si>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</si>
  <si>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</si>
  <si>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</si>
  <si>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</si>
  <si>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UNIAO COM FLANGE PPR, COM PARAFUSOS, DN 40 MM, PARA AGUA QUENTE PREDIAL                                                                                                                                                                                                                                                                                                                                                                                                                                   </t>
  </si>
  <si>
    <t xml:space="preserve">UNIAO DUPLA PPR, DN 20 MM, PARA AGUA QUENTE PREDIAL                                                                                                                                                                                                                                                                                                                                                                                                                                                       </t>
  </si>
  <si>
    <t xml:space="preserve">UNIAO DUPLA PPR, DN 25 MM, PARA AGUA QUENTE PREDIAL                                                                                                                                                                                                                                                                                                                                                                                                                                                       </t>
  </si>
  <si>
    <t xml:space="preserve">VEU DE POLIESTER PARA IMPERMEABILIZACAO                                                                                                                                                                                                                                                                                                                                                                                                                                                                   </t>
  </si>
  <si>
    <t xml:space="preserve">VIDRO PLANO ARAMADO E = 7MM - SEM COLOCACAO                                                                                                                                                                                                                                                                                                                                                                                                                                                               </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</si>
  <si>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</si>
  <si>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</si>
  <si>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</si>
  <si>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</si>
  <si>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</si>
  <si>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</si>
  <si>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</si>
  <si>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</si>
  <si>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</si>
  <si>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</si>
  <si>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</si>
  <si>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</si>
  <si>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</si>
  <si>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</si>
  <si>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</si>
  <si>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</si>
  <si>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</si>
  <si>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</si>
  <si>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</si>
  <si>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</si>
  <si>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FURO EM CONCRETO</t>
  </si>
  <si>
    <t>Furo em concreto com martelete ou rompedor pneumático manual para diâmetros menores ou iguais a 1.1/2"</t>
  </si>
  <si>
    <t>cm</t>
  </si>
  <si>
    <t>Furo em concreto com martelete ou rompedor pneumático manual para diâmetros maiores 1.1/2" e menores ou iguais a 3"</t>
  </si>
  <si>
    <t>Furo em concreto com martelete ou rompedor pneumático manual para diâmetros maiores 3" e menores ou iguais a 4"</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</si>
  <si>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</si>
  <si>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</si>
  <si>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</si>
  <si>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</si>
  <si>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</si>
  <si>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</si>
  <si>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</si>
  <si>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</si>
  <si>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</si>
  <si>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</si>
  <si>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o de cobre termoplástico (PVC) flexível isolado 0,60/1kV, antichama, HEPR 90ºC ? 4,0mm2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</si>
  <si>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</si>
  <si>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</si>
  <si>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</si>
  <si>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</si>
  <si>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</si>
  <si>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</si>
  <si>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</si>
  <si>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</si>
  <si>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</si>
  <si>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</si>
  <si>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</si>
  <si>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</si>
  <si>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</si>
  <si>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</si>
  <si>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</si>
  <si>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</si>
  <si>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</si>
  <si>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</si>
  <si>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Patch Panel 24 Portas RJ45/IDC Cat.6, inclusive fixação em Rack 19"</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</si>
  <si>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</si>
  <si>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Poste circular de concreto de 11m padrão ESCELSA, incl. luminária tipo LED 1 pétala pot 100W, IP66, temp cor sup 5000K, vida util superior a 60.000 H, mod EDN100, HBP-100 ou 001100G3-1006 - AMES Iluminação, ECP, HDA Iluminação ou equiv</t>
  </si>
  <si>
    <t>Emassamento de paredes e forros, com duas demãos de massa corrida, referência Suvinil, Coral, Metalatex ou equivalente, inclusive uma demão de liquido selador PVA,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</si>
  <si>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</si>
  <si>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</si>
  <si>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</si>
  <si>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</si>
  <si>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</si>
  <si>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</si>
  <si>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</si>
  <si>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</si>
  <si>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</si>
  <si>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</si>
  <si>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</si>
  <si>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</si>
  <si>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</si>
  <si>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</si>
  <si>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</si>
  <si>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</si>
  <si>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</si>
  <si>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</si>
  <si>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</si>
  <si>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</si>
  <si>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</si>
  <si>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</si>
  <si>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</si>
  <si>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</si>
  <si>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</si>
  <si>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</si>
  <si>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</si>
  <si>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</si>
  <si>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Fornecimento e instalação de Gradil Nylofor 3D, em painel de aço galv., H: 2,03m - Belgo ou equivalente, malha retangular 200x50mm e fio de aço Ø5,0mm, incl. poste de aço galv. 60x40mm, chumbado em base de concreto</t>
  </si>
  <si>
    <t>Blocos pré-moldados de concreto intertravados tipo pavi-s ou equivalente, esp. de 8 cm e resistência a compressão mínima de 35MPa, assentados sobre colchão de areia 10cm e rejuntamento com pó de pedra</t>
  </si>
  <si>
    <t>Letra tipo Caixa em chapa de aço inox 304 escovado N16 - Largura: 7,5 cm, Altura: 15cm e Prof. 3cm, inclusive fixação invisível</t>
  </si>
  <si>
    <t>Letra tipo Caixa em chapa de aço inox 304 escovado N16 - Largura: 15 cm, Altura: 30cm e Prof. 3cm, inclusive fixação invisível</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</si>
  <si>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</si>
  <si>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</si>
  <si>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</si>
  <si>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</si>
  <si>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</si>
  <si>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</si>
  <si>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</si>
  <si>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</si>
  <si>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</si>
  <si>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</si>
  <si>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</si>
  <si>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</si>
  <si>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</si>
  <si>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</si>
  <si>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</si>
  <si>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</si>
  <si>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</si>
  <si>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</si>
  <si>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</si>
  <si>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</si>
  <si>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</si>
  <si>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</si>
  <si>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</si>
  <si>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</si>
  <si>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</si>
  <si>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</si>
  <si>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</si>
  <si>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</si>
  <si>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</si>
  <si>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</si>
  <si>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</si>
  <si>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</si>
  <si>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</si>
  <si>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</si>
  <si>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</si>
  <si>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</si>
  <si>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</si>
  <si>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</si>
  <si>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</si>
  <si>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</si>
  <si>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</si>
  <si>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</si>
  <si>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</si>
  <si>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</si>
  <si>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</si>
  <si>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</si>
  <si>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</si>
  <si>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MÃO DE OBRA (MENSALISTAS - DESONERADO - LEIS SOCIAIS=49,08%)</t>
  </si>
  <si>
    <t>Tecnico Segundo Grau -A-(Incl.L Sociais de 49,08%)</t>
  </si>
  <si>
    <t>Engenheiro Senior (Incl.L Sociais de 49,08%)</t>
  </si>
  <si>
    <t>Programador (Incl.L Sociais de 49,08%)</t>
  </si>
  <si>
    <t>Digitador - 6 Horas(Incl.L Sociais de 49,08%)</t>
  </si>
  <si>
    <t>Engenheiro Junior(Incl.L Sociais de 49,08%)</t>
  </si>
  <si>
    <t>Tecnico Segundo Grau -B - (Incl.L Sociais de 49,08%)</t>
  </si>
  <si>
    <t>Tecnico Segundo Grau -C - (Incl.L Sociais de 49,08%)</t>
  </si>
  <si>
    <t>Gerente de Projeto (Incl.L Sociais de 49,08%)</t>
  </si>
  <si>
    <t>Analista de Sistemas (Incl.L Sociais de 49,08%)</t>
  </si>
  <si>
    <t>Analista Desenvolvimento (Incl.L Sociais de 49,08%)</t>
  </si>
  <si>
    <t>Gerente Bd/Servidores/Redes (Incl.L Sociais de 49,08%)</t>
  </si>
  <si>
    <t>Designer Gráfico (Incl.L Sociais de 49,08%)</t>
  </si>
  <si>
    <t>Analista Sistemas/Suporte(Incl.L Sociais de 49,08%)</t>
  </si>
  <si>
    <t>Coordenador Tecnico Especialista(Incl.L Sociais de 49,08%)</t>
  </si>
  <si>
    <t>Cotador (Incl.L Sociais de 49,08%)</t>
  </si>
  <si>
    <t>Tecnico Nivel Superior (Incl.L Sociais de 49,08%)</t>
  </si>
  <si>
    <t>Engenheiro Pleno (Incl.L Sociais de 49,08%)</t>
  </si>
  <si>
    <t>Almoxarife (Incl.L Sociais de 49,08%)</t>
  </si>
  <si>
    <t>Mestre Obras Senior (Incl.L Sociais de 49,08%)</t>
  </si>
  <si>
    <t>Vigia (Incl.L Sociais de 49,08%)</t>
  </si>
  <si>
    <t>Aux Almoxarife (Incl.L Sociais de 49,08%)</t>
  </si>
  <si>
    <t>Encarregado de Turma (Incl.L Sociais de 49,08%)</t>
  </si>
  <si>
    <t>Tecnico Segundo Grau -D - (Incl.L Sociais de 49,08%)</t>
  </si>
  <si>
    <t>MÃO DE OBRA (MENSALISTAS - NÃO DESONERADO - LEIS SOCIAIS=72,93%)</t>
  </si>
  <si>
    <t>Tecnico Segundo Grau -A-(Incl.L Sociais de 72,93%)</t>
  </si>
  <si>
    <t>Engenheiro Senior (Incl.L Sociais de 72,93%)</t>
  </si>
  <si>
    <t>Programador (Incl.L Sociais de 72,93%)</t>
  </si>
  <si>
    <t>Digitador - 6 Horas (Incl.L Sociais de 72,93%)</t>
  </si>
  <si>
    <t>Engenheiro Junior (Incl.L Sociais de 72,93%)</t>
  </si>
  <si>
    <t>Tecnico Segundo Grau -B - (Incl.L Sociais de 72,93%)</t>
  </si>
  <si>
    <t>Tecnico Segundo Grau-C- (Incl.L Sociais de 72,93%)</t>
  </si>
  <si>
    <t>Gerente de Projeto (Incl.L Sociais de 72,93%)</t>
  </si>
  <si>
    <t>Analista de Sistemas (Incl.L Sociais de 72,93%)</t>
  </si>
  <si>
    <t>Analista Desenvolvimento (Incl.L Sociais de 72,93%)</t>
  </si>
  <si>
    <t>Gerente Bd/Servidores/Redes (Incl.L Sociais de 72,93%)</t>
  </si>
  <si>
    <t>Designer Gráfico (Incl.L Sociais de 72,93%)</t>
  </si>
  <si>
    <t>Analista Sistemas/Suporte (Incl.L Sociais de 72,93%)</t>
  </si>
  <si>
    <t>Coordenador Tecnico Especialista (Incl.L Sociais de 72,93%)</t>
  </si>
  <si>
    <t>Cotador (Incl.L Sociais de 72,93%)</t>
  </si>
  <si>
    <t>Tecnico Nivel Superior (Incl.L Sociais de 72,93%)</t>
  </si>
  <si>
    <t>Engenheiro Pleno (Incl.L Sociais de 72,93%)</t>
  </si>
  <si>
    <t>Almoxarife (Incl.L Sociais de 72,93%)</t>
  </si>
  <si>
    <t>Mestre Obras Senior (Incl.L Sociais de 72,93%)</t>
  </si>
  <si>
    <t>Vigia (Incl.L Sociais de 72,93%)</t>
  </si>
  <si>
    <t>Aux Almoxarife (Incl.L Sociais de 72,93%)</t>
  </si>
  <si>
    <t>Encarregado de Turma (Incl.L Sociais de 72,93%)</t>
  </si>
  <si>
    <t>Tecnico Segundo Grau -D - (Incl.L Sociais de 72,93%)</t>
  </si>
  <si>
    <t>Retirada de caixa d água de fibrocimento, inclusive tubulação de ligação</t>
  </si>
  <si>
    <t>Rede de água com padrão de entrada d água diâm. 3/4", conf. espec. CESAN, incl. tubos e conexões para alimentação, distribuição, extravasor e limpeza, cons. o padrão a 25m, conf. projeto (1 utilização)</t>
  </si>
  <si>
    <t>Rede de água, com padrão de entrada d 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</si>
  <si>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</si>
  <si>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 água com caixa termoplástica para hidrômetro de 3/4" - padrão 1B da CESAN. Instalado embutido na alvenaria. Inclusive tubulação, conexões, registro, tubo camisa e caixa com tampa transparente. Conferir detalhe.</t>
  </si>
  <si>
    <t>Padrão entrada d 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</si>
  <si>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 água, diâmetro 25mm x 3/4"</t>
  </si>
  <si>
    <t>Adaptador de PVC soldável com flanges livres para caixa d água, diâmetro 32mm x 1"</t>
  </si>
  <si>
    <t>Adaptador de PVC soldável com flanges livres para caixa d água, diâmetro 40mm x 1 1/4"</t>
  </si>
  <si>
    <t>Adaptador de PVC soldável com flanges livres para caixa d água, diâmetro 50mm x 1 1/2"</t>
  </si>
  <si>
    <t>Adaptador de PVC soldável com flanges livres para caixa d água, diâmetro 60mm x 2"</t>
  </si>
  <si>
    <t>Adaptador de PVC soldável com flanges livres para caixa d água, diâmetro 75mm x 2 1/2"</t>
  </si>
  <si>
    <t>Adaptador de PVC soldável com anel para caixa d água, DN 32mm</t>
  </si>
  <si>
    <t>Adaptador de PVC com flanges livres para caixa d água de 20mm x 1/2"</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</si>
  <si>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</si>
  <si>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</si>
  <si>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 s, inclusive fixação em Rack 19"</t>
  </si>
  <si>
    <t>Bandeja Simples Fixa 2 U s x 390mm carga máxima 20kg, inclusive fixação em Rack 19"</t>
  </si>
  <si>
    <t>Escada tipo marinheiro de tubo de ferro 1" e 3/4", com h=4.20m, para acesso a caixa d água, inclusive pintura em esmalte sintético, conforme detalhe em projeto</t>
  </si>
  <si>
    <t>ENCANADOR (OFICIAL - SINDUSCON)</t>
  </si>
  <si>
    <t>LADRILHISTA (OFICIAL - SINDUSCON)</t>
  </si>
  <si>
    <t>PASTILHEIRO (OFICIAL - SINDUSCON)</t>
  </si>
  <si>
    <t>PEDREIRO (OFICIAL - SINDUSCON)</t>
  </si>
  <si>
    <t>PINTOR (OFICIAL - SINDUSCON)</t>
  </si>
  <si>
    <t>SERRALHEIRO (OFICIAL - SINDUSCON)</t>
  </si>
  <si>
    <t>SOLDADOR (OFICIAL - SINDUSCON)</t>
  </si>
  <si>
    <t>TELHADISTA (OFICIAL - SINDUSCON)</t>
  </si>
  <si>
    <t>OPERADOR DE MAQUINAS AUXILIARES (OPERADOR DE MAQUINAS PESADAS I - SINDICOPES)</t>
  </si>
  <si>
    <t>MOTORISTA III - VEICULO C/ CAPAC. CARGA ACIMA DE 12 TONELADAS</t>
  </si>
  <si>
    <t>OFICIAL DA CONSTRUÇÃO PESADA I</t>
  </si>
  <si>
    <t>OPERADOR DE MAQUINAS PESADAS II - SINDICOPES</t>
  </si>
  <si>
    <t>BLOCO CERÂMICO 08 FUROS 09X19X19CM - PRAÇA VITÓRIA</t>
  </si>
  <si>
    <t>BLOCO CERÂMICO 08 FUROS 09X19X19CM - DA FABRICA</t>
  </si>
  <si>
    <t>ADITIVO IMPERMEABILIZANTE PEGA NORMAL P/ ARGAMASSA E CONCRETO - SIKA 1, VEDACIT PRO OU EQUIVALENTE</t>
  </si>
  <si>
    <t>DISCO DE CORTE DIAMANTADO SEGMENTADO PARA CONCRETO, DIAMETRO DE 350 MM, FURO DE 1 " (14 X 1 ")</t>
  </si>
  <si>
    <t>ESQUADRIAS METÁLICAS (CONT)</t>
  </si>
  <si>
    <t>PORTAO ABRIR NYLOFOR-3D L=1.00M H=2.43M</t>
  </si>
  <si>
    <t>PORTAO CORRER NYLOFOR 3D 3.50X2.43M, KIT COMPLETO</t>
  </si>
  <si>
    <t>LIXA DE MADEIRA GRAO 220 - NORTON OU EQUIVALENTE</t>
  </si>
  <si>
    <t>ESMALTE SINTETICO BRANCO FOSCO - LINHA PREMIUM</t>
  </si>
  <si>
    <t>TINTA LATEX PVA - LINHA PREMIUM</t>
  </si>
  <si>
    <t>TINTA LATEX ACRILICA FOSCA - LINHA PREMIUM</t>
  </si>
  <si>
    <t>AGUARRAS MINERAL</t>
  </si>
  <si>
    <t>VERNIZ TRIPLA PROTECAO INCOLOR FOSCO PREMIUM, SUVINIL OU EQUIVALENTE</t>
  </si>
  <si>
    <t>VERNIZ COPAL INCOLOR BRILHANTE PREMIUM, SUVINIL, EUCATEX, MONTANA OU EQUIVALENTE</t>
  </si>
  <si>
    <t>VERNIZES E OUTROS MATERIAIS PARA PINTURA (CONT.)</t>
  </si>
  <si>
    <t>DILUENTE P/ TINTA EPÓXI</t>
  </si>
  <si>
    <t>PLACA DE OBRA CHAPA DE AÇO Nº 22, REQUADRO EM METALON - IMPRESSÃO DIGITAL</t>
  </si>
  <si>
    <t>GRADIL FECHAMENTO NYLOFOR-3D-H=2.03M, KIT COMPLETO - PINTURA ELETROSTATICA - FIO 5MM</t>
  </si>
  <si>
    <t>CABO DE COBRE TERMOPLÁSTICO (PVC) FLEXÍVEL ISOLADO 0,60/1KV, ANTI-CHAMA, HEPR 90ºC ? 4X4,0MM2</t>
  </si>
  <si>
    <t>CABO DE COBRE TERMOPLÁSTICO (PVC) FLEXÍVEL ISOLADO 0,60/1KV, ANTI-CHAMA, HEPR 90ºC ? 4X16,0MM2</t>
  </si>
  <si>
    <t>CABO DE COBRE TERMOPLÁSTICO (PVC) FLEXÍVEL ISOLADO 0,60/1KV, ANTI-CHAMA, HEPR 90ºC ? 3X4,0MM2</t>
  </si>
  <si>
    <t>CABO DE COBRE TERMOPLÁSTICO (PVC) FLEXÍVEL ISOLADO 0,60/1KV, ANTI-CHAMA, HEPR 90ºC ? 2X2,5MM2</t>
  </si>
  <si>
    <t>CABO DE COBRE TERMOPLÁSTICO (PVC) FLEXÍVEL ISOLADO 0,60/1KV, ANTI-CHAMA, HEPR 90ºC ? 3X2,5MM2</t>
  </si>
  <si>
    <t>FUSIVEL RETARDADO NH - 01, IN=100A - GG(GL)</t>
  </si>
  <si>
    <t>FUSIVEL RETARDADO NH - 01, IN=160A - GG(GL)</t>
  </si>
  <si>
    <t>FUSIVEL RETARDADO NH - 02, IN=300A - GG(GL)</t>
  </si>
  <si>
    <t>FUSIVEL RETARDADO NH - 02, IN=250A - GG(GL)</t>
  </si>
  <si>
    <t>DISJUNTOR CAIXA MOLDADA TERMOMAGNETICO FIXO, TRIPOLAR 400A, ICU: 65KA, 380/415VCA</t>
  </si>
  <si>
    <t>DISJUNTOR CAIXA MOLDADA TERMOMAGNETICO FIXO, TRIPOLAR 200A, ICU: 50KA, 400/500VCA</t>
  </si>
  <si>
    <t>DISJUNTOR CAIXA MOLDADA TERMOMAGNETICO FIXO, TRIPOLAR 175A, ICU: 50KA, 400/500VCA</t>
  </si>
  <si>
    <t>RELE FOTOCONTROLADOR T2 AN2000 LN PP TECNOWATT/EQUIV</t>
  </si>
  <si>
    <t>SUPORTE SIMPLES PARA TOPO DE POSTE DIAMETRO 110 - 114MM (ILUMINAÇÃO PÚBLICA) REF FORT LIGHT - REPUME - FORTE NOBRE OU EQUIV</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</si>
  <si>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</si>
  <si>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</si>
  <si>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</si>
  <si>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</si>
  <si>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</si>
  <si>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FIXADOR OMEGA EM LATAO PARA CABOS 35 MM² FURO DE 5MM</t>
  </si>
  <si>
    <t>CONSUMO DE ENERGIA ELETRICA COMERCIAL, BAIXA TENSAO CONSUMO ATE 100KWH, INCLUIDO ICMS, PIS/PASEP E CONFINS</t>
  </si>
  <si>
    <t>KWH</t>
  </si>
  <si>
    <t>PATCH PANEL RJ45/IDC 24 PORTAS CAT 6, D-LINK, AMP, CABLIX, MAXI TELECOM, TILFLEX OU EQUIVALENTE</t>
  </si>
  <si>
    <t>ADAPTADOR PVC SOLDAVEL C/ ANEL P/ CAIXA D`AGUA DN 20MM</t>
  </si>
  <si>
    <t>ADAPTADOR PVC SOLDAVEL C/ ANEL P/ CAIXA D`AGUA DN 25MM</t>
  </si>
  <si>
    <t>ADAPTADOR PVC SOLDAVEL C/ ANEL P/ CAIXA D`AGUA DN 32MM</t>
  </si>
  <si>
    <t>ADAPTADOR PVC SOLDAVEL C/ ANEL P/ CAIXA D`AGUA DN 40MM</t>
  </si>
  <si>
    <t>ADAPTADOR PVC SOLDAVEL C/ ANEL P/ CAIXA D`AGUA DN 50MM</t>
  </si>
  <si>
    <t>ADAPTADOR PVC SOLDAVEL C/ ANEL P/ CAIXA D`AGUA DN 60MM</t>
  </si>
  <si>
    <t>ADAPTADOR PVC SOLDAVEL C/ ANEL P/ CAIXA D`AGUA DN 75MM</t>
  </si>
  <si>
    <t>TUBOS (PVC E CONEXOES - CONT)</t>
  </si>
  <si>
    <t>LIXA D AGUA N. 100</t>
  </si>
  <si>
    <t>RESERVATORIO/TANQUE DE POLIETILENO 20.000 L COM TAMPA ROSCAVEL DIAMETRO 60CM - FORTLEV, BAKOF TEC, ROTOPLASTYC OU EQUIVALENTE</t>
  </si>
  <si>
    <t>ADAPTADOR LATAO ROSCA PARA ENGATE RAPIDO 63X63MM</t>
  </si>
  <si>
    <t>SUPORTE EM BARRA CHATA GALVANIZADA PARA CALHA</t>
  </si>
  <si>
    <t>IRRIGACAO E DRENAGEM</t>
  </si>
  <si>
    <t>TUBO DRENO CORRUGADO, PERFURADO DE PEAD (POLIETILENO DE ALTA DENSIDADE), NBR 15073 / DNIT 093/2006 - DIAM. 100MM (4")</t>
  </si>
  <si>
    <t>CHAPA ACO INOX 304 Nº 13 (2,50 MM) ACABAMENTO ESCOVADO</t>
  </si>
  <si>
    <t>LUMINARIA EMB 4X09/10W (2X16W) CORPO CH ACO PINT ELETROST REFLETOR E ALETAS - REF. CE416AL-N - AMES, 6026 ? LUMAVI; SO003000 - CLARON/EQUIVALENTE</t>
  </si>
  <si>
    <t>LUMINARIA PUBLICA LED PETALA POT 100W, IP66, TEMP COR SUP 5000K, VIDA UTIL SUPERIOR A 60.000 H, MOD. EDN100, HBP-100 OU 001100G3-1006 - AMES ILUMINAÇÃO, ECP, HDA ILUMINAÇÃO OU EQUIVALENTE</t>
  </si>
  <si>
    <t>TINTAS E VERNIZES</t>
  </si>
  <si>
    <t>OLEO DIESEL</t>
  </si>
  <si>
    <t>FITA CREPE 24 MM X 50 M - 3M OU EQUIVALENTE</t>
  </si>
  <si>
    <t>RL</t>
  </si>
  <si>
    <t>MAO DE OBRA (SALARIO MENSAL)</t>
  </si>
  <si>
    <t>TECNICO SEGUNDO GRAU -A-(INCL.L SOCIAIS DE 72,58%)</t>
  </si>
  <si>
    <t>ENGENHEIRO SENIOR (INCL.L SOCIAIS DE 72,58%)</t>
  </si>
  <si>
    <t>PROGRAMADOR (INCL.L SOCIAIS DE 72,58%)</t>
  </si>
  <si>
    <t>DIGITADOR - 6 HORAS (INCL.L SOCIAIS DE 72,58%)</t>
  </si>
  <si>
    <t>ENGENHEIRO JUNIOR (INCL.L SOCIAIS DE 72,58%)</t>
  </si>
  <si>
    <t>TECNICO SEGUNDO GRAU -B - (INCL.L SOCIAIS DE 72,58%)</t>
  </si>
  <si>
    <t>TECNICO SEGUNDO GRAU-C- (INCL.L SOCIAIS DE 72,58%)</t>
  </si>
  <si>
    <t>GERENTE DE PROJETO (INCL.L SOCIAIS DE 72,58%)</t>
  </si>
  <si>
    <t>ANALISTA DE SISTEMAS (INCL.L SOCIAIS DE 72,58%)</t>
  </si>
  <si>
    <t>ANALISTA DESENVOLVIMENTO (INCL.L SOCIAIS DE 72,58%)</t>
  </si>
  <si>
    <t>GERENTE BD/SERVIDORES/REDES (INCL.L SOCIAIS DE 72,58%)</t>
  </si>
  <si>
    <t>DESIGNER GRÁFICO (INCL.L SOCIAIS DE 72,58%)</t>
  </si>
  <si>
    <t>ANALISTA SISTEMAS/SUPORTE (INCL.L SOCIAIS DE 72,58%)</t>
  </si>
  <si>
    <t>COORDENADOR TECNICO ESPECIALISTA(INCL.L SOCIAIS DE 72,58</t>
  </si>
  <si>
    <t>COTADOR (INCL.L SOCIAIS DE 72,58%)</t>
  </si>
  <si>
    <t>TECNICO NIVEL SUPERIOR(INCL.L SOCIAIS DE 72,58%)</t>
  </si>
  <si>
    <t>ENGENHEIRO PLENO (INCL.L SOCIAIS DE 72,58%)</t>
  </si>
  <si>
    <t>ALMOXARIFE (INCL.L SOCIAIS DE 72,58%)</t>
  </si>
  <si>
    <t>MESTRE OBRAS SENIOR (INCL.L SOCIAIS DE 72,58%)</t>
  </si>
  <si>
    <t>VIGIA(INCL.L SOCIAIS DE 72,58%)</t>
  </si>
  <si>
    <t>AUX ALMOXARIFE (INCL.L SOCIAIS DE 72,58%)</t>
  </si>
  <si>
    <t>TECNICO SEGUNDO GRAU -A-(INCL.L SOCIAIS DE 48,87%)</t>
  </si>
  <si>
    <t>ENGENHEIRO SENIOR (INCL.L SOCIAIS DE 48,87%)</t>
  </si>
  <si>
    <t>PROGRAMADOR (INCL.L SOCIAIS DE 48,87%)</t>
  </si>
  <si>
    <t>DIGITADOR - 6 HORAS(INCL.L SOCIAIS DE 48,87%)</t>
  </si>
  <si>
    <t>ENGENHEIRO JUNIOR(INCL.L SOCIAIS DE 48,87%)</t>
  </si>
  <si>
    <t>TECNICO SEGUNDO GRAU -B - (INCL.L SOCIAIS DE 48,87%)</t>
  </si>
  <si>
    <t>TECNICO SEGUNDO GRAU -C - (INCL.L SOCIAIS DE 48,87%)</t>
  </si>
  <si>
    <t>GERENTE DE PROJETO (INCL.L SOCIAIS DE 48,87%)</t>
  </si>
  <si>
    <t>ANALISTA DE SISTEMAS (INCL.L SOCIAIS DE 48,87%)</t>
  </si>
  <si>
    <t>ANALISTA DESENVOLVIMENTO (INCL.L SOCIAIS DE 48,87%)</t>
  </si>
  <si>
    <t>GERENTE BD/SERVIDORES/REDES (INCL.L SOCIAIS DE 48,87%)</t>
  </si>
  <si>
    <t>DESIGNER GRÁFICO (INCL.L SOCIAIS DE 48,87%)</t>
  </si>
  <si>
    <t>ANALISTA SISTEMAS/SUPORTE(INCL.L SOCIAIS DE 48,87%)</t>
  </si>
  <si>
    <t>COORDENADOR TECNICO ESPECIALISTA(INCL.L SOCIAIS DE 48,87%)</t>
  </si>
  <si>
    <t>COTADOR(INCL.L SOCIAIS DE 48,87%)</t>
  </si>
  <si>
    <t>TECNICO NIVEL SUPERIOR(INCL.L SOCIAIS DE 48,87%)</t>
  </si>
  <si>
    <t>ENGENHEIRO PLENO (INCL.L SOCIAIS DE 48,87%)</t>
  </si>
  <si>
    <t>ALMOXARIFE (INCL.L SOCIAIS DE 48,87%)</t>
  </si>
  <si>
    <t>MESTRE OBRAS SENIOR (INCL.L SOCIAIS DE 48,87%)</t>
  </si>
  <si>
    <t>VIGIA (INCL.L SOCIAIS DE 48,87%)</t>
  </si>
  <si>
    <t>AUX ALMOXARIFE (INCL.L SOCIAIS DE 48,87%)</t>
  </si>
  <si>
    <t>ENCARREGADO DE TURMA(INCL.L SOCIAIS DE 48,87%)</t>
  </si>
  <si>
    <t>TECNICO SEGUNDO GRAU -A-(INCL.L SOCIAIS DE 49,08%)</t>
  </si>
  <si>
    <t>ENGENHEIRO SENIOR (INCL.L SOCIAIS DE 49,08%)</t>
  </si>
  <si>
    <t>PROGRAMADOR (INCL.L SOCIAIS DE 49,08%)</t>
  </si>
  <si>
    <t>DIGITADOR - 6 HORAS(INCL.L SOCIAIS DE 49,08%)</t>
  </si>
  <si>
    <t>ENGENHEIRO JUNIOR(INCL.L SOCIAIS DE 49,08%)</t>
  </si>
  <si>
    <t>TECNICO SEGUNDO GRAU -B - (INCL.L SOCIAIS DE 49,08%)</t>
  </si>
  <si>
    <t>TECNICO SEGUNDO GRAU -C - (INCL.L SOCIAIS DE 49,08%)</t>
  </si>
  <si>
    <t>GERENTE DE PROJETO (INCL.L SOCIAIS DE 49,08%)</t>
  </si>
  <si>
    <t>ANALISTA DE SISTEMAS (INCL.L SOCIAIS DE 49,08%)</t>
  </si>
  <si>
    <t>ANALISTA DESENVOLVIMENTO (INCL.L SOCIAIS DE 49,08%)</t>
  </si>
  <si>
    <t>GERENTE BD/SERVIDORES/REDES (INCL.L SOCIAIS DE 49,08%)</t>
  </si>
  <si>
    <t>DESIGNER GRÁFICO (INCL.L SOCIAIS DE 49,08%)</t>
  </si>
  <si>
    <t>ANALISTA SISTEMAS/SUPORTE(INCL.L SOCIAIS DE 49,08%)</t>
  </si>
  <si>
    <t>COORDENADOR TECNICO ESPECIALISTA(INCL.L SOCIAIS DE 49,08%)</t>
  </si>
  <si>
    <t>COTADOR (INCL.L SOCIAIS DE 49,08%)</t>
  </si>
  <si>
    <t>TECNICO NIVEL SUPERIOR(INCL.L SOCIAIS DE 49,08%)</t>
  </si>
  <si>
    <t>ENGENHEIRO PLENO (INCL.L SOCIAIS DE 49,08%)</t>
  </si>
  <si>
    <t>ALMOXARIFE (INCL.L SOCIAIS DE 49,08%)</t>
  </si>
  <si>
    <t>MESTRE OBRAS SENIOR (INCL.L SOCIAIS DE 49,08%)</t>
  </si>
  <si>
    <t>VIGIA (INCL.L SOCIAIS DE 49,08%)</t>
  </si>
  <si>
    <t>AUX ALMOXARIFE (INCL.L SOCIAIS DE 49,08%)</t>
  </si>
  <si>
    <t>ENCARREGADO DE TURMA(INCL.L SOCIAIS DE 49,08%)</t>
  </si>
  <si>
    <t>TECNICO SEGUNDO GRAU -D - (INCL.L SOCIAIS DE 49,08%)</t>
  </si>
  <si>
    <t>TECNICO SEGUNDO GRAU -A-(INCL.L SOCIAIS DE 72,93%)</t>
  </si>
  <si>
    <t>ENGENHEIRO SENIOR (INCL.L SOCIAIS DE 72,93%)</t>
  </si>
  <si>
    <t>PROGRAMADOR (INCL.L SOCIAIS DE 72,93%)</t>
  </si>
  <si>
    <t>DIGITADOR - 6 HORAS (INCL.L SOCIAIS DE 72,93%)</t>
  </si>
  <si>
    <t>ENGENHEIRO JUNIOR (INCL.L SOCIAIS DE 72,93%)</t>
  </si>
  <si>
    <t>TECNICO SEGUNDO GRAU -B - (INCL.L SOCIAIS DE 72,93%)</t>
  </si>
  <si>
    <t>TECNICO SEGUNDO GRAU-C- (INCL.L SOCIAIS DE 72,93%)</t>
  </si>
  <si>
    <t>GERENTE DE PROJETO (INCL.L SOCIAIS DE 72,93%)</t>
  </si>
  <si>
    <t>ANALISTA DE SISTEMAS (INCL.L SOCIAIS DE 72,93%)</t>
  </si>
  <si>
    <t>ANALISTA DESENVOLVIMENTO (INCL.L SOCIAIS DE 72,93%)</t>
  </si>
  <si>
    <t>GERENTE BD/SERVIDORES/REDES (INCL.L SOCIAIS DE 72,93%)</t>
  </si>
  <si>
    <t>DESIGNER GRÁFICO (INCL.L SOCIAIS DE 72,93%)</t>
  </si>
  <si>
    <t>ANALISTA SISTEMAS/SUPORTE (INCL.L SOCIAIS DE 72,93%)</t>
  </si>
  <si>
    <t>COORDENADOR TECNICO ESPECIALISTA(INCL.L SOCIAIS DE 72,93%)</t>
  </si>
  <si>
    <t>COTADOR (INCL.L SOCIAIS DE 72,93%)</t>
  </si>
  <si>
    <t>TECNICO NIVEL SUPERIOR(INCL.L SOCIAIS DE 72,93%)</t>
  </si>
  <si>
    <t>ENGENHEIRO PLENO (INCL.L SOCIAIS DE 72,93%)</t>
  </si>
  <si>
    <t>ALMOXARIFE (INCL.L SOCIAIS DE 72,93%)</t>
  </si>
  <si>
    <t>MESTRE OBRAS SENIOR (INCL.L SOCIAIS DE 72,93%)</t>
  </si>
  <si>
    <t>MÃO DE OBRA SALARIOS</t>
  </si>
  <si>
    <t>VIGIA(INCL.L SOCIAIS DE 72,93%)</t>
  </si>
  <si>
    <t>AUX ALMOXARIFE (INCL.L SOCIAIS DE 72,93%)</t>
  </si>
  <si>
    <t>ENCARREGADO DE TURMA (INCL.L SOCIAIS DE 72,93%)</t>
  </si>
  <si>
    <t>TECNICO SEGUNDO GRAU -D - (INCL.L SOCIAIS DE 72,93%)</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</si>
  <si>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</si>
  <si>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</si>
  <si>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</si>
  <si>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</si>
  <si>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CACAMBA METALICA BASCULANTE COM CAPACIDADE DE 6 M3 (INCLUI MONTAGEM, NAO INCLUI CAMINHAO)</t>
  </si>
  <si>
    <t>MARTELO DEMOLIDOR PNEUMATICO MANUAL, PESO DE 28 KG, COM SILENCIADOR</t>
  </si>
  <si>
    <t>VIBRADOR DE IMERSAO, DIAMETRO DA PONTEIRA DE *45* MM, COM MOTOR ELETRICO TRIFASICO DE 2 HP (2 CV)</t>
  </si>
  <si>
    <t>GUINDAUTO HIDRAULICO, CAPACIDADE MAXIMA DE CARGA 6200 KG, MOMENTO MAXIMO DE CARGA 11,7 TM , ALCANCE MAXIMO HORIZONTAL 9,70 M, PARA MONTAGEM SOBRE CHASSI DE CAMINHAO PBT MINIMO 13000 KG (INCLUI MONTAGEM, NAO INCLUI CAMINHAO)</t>
  </si>
  <si>
    <t>PA CARREGADEIRA SOBRE RODAS, POTENCIA LIQUIDA 128 HP, CAPACIDADE DA CACAMBA DE 1,7 A 2,8 M3, PESO OPERACIONAL MAXIMO DE 11632 KG</t>
  </si>
  <si>
    <t>CORTADEIRA DE PISO DE CONCRETO E ASFALTO, PARA DISCO PADRAO DE DIAMETRO 350 MM (14") OU 450 MM (18") , MOTOR A GASOLINA, POTENCIA 13 HP, SEM DISCO</t>
  </si>
  <si>
    <t>COMPACTADOR DE SOLOS DE PERCURSAO (SOQUETE) COM MOTOR A GASOLINA 4 TEMPOS DE 4 HP (4 CV)</t>
  </si>
  <si>
    <t>COMPACTADOR DE SOLO TIPO PLACA VIBRATORIA REVERSIVEL, A GASOLINA, 4 TEMPOS, PESO DE 125 A 150 KG, FORCA CENTRIFUGA DE 2500 A 2800 KGF, LARG. TRABALHO DE 400 A 450 MM, FREQ VIBRACAO DE 4300 A 4500 RPM, VELOC. TRABALHO DE 15 A 20 M/MIN, POT. DE 5,5 A 6,0 HP</t>
  </si>
  <si>
    <t>RETROESCAVADEIRA SOBRE RODAS COM CARREGADEIRA, TRACAO 4 X 2, POTENCIA LIQUIDA 79 HP, PESO OPERACIONAL MINIMO DE 6570 KG, CAPACIDADE DA CARREGADEIRA DE 1,00 M3 E DA RETROESCAVADEIRA MINIMA DE 0,20 M3, PROFUNDIDADE DE ESCAVACAO MAXIMA DE 4,37 M</t>
  </si>
  <si>
    <t>TANQUE DE ACO PARA TRANSPORTE DE AGUA COM CAPACIDADE DE 6 M3 (INCLUI MONTAGEM, NAO INCLUI CAMINHAO)</t>
  </si>
  <si>
    <t>CAMINHAO TOCO, PESO BRUTO TOTAL 13200 KG, CARGA UTIL MAXIMA 9200 KG, DISTANCIA ENTRE EIXOS 3,31 M, POTENCIA 175 CV (INCLUI CABINE E CHASSI, NAO INCLUI CARROCERIA)</t>
  </si>
  <si>
    <t>MASSA ACRILICA A BASE D  AGUA SUVINIL/CORAL/EQUIVALENTE</t>
  </si>
  <si>
    <t>MASSA PARA MADEIRA A BASE D  AGUA SUVINIL/CORAL/EQUIVALENTE</t>
  </si>
  <si>
    <t>CONDULETE ALUMINIO SEM ROSCA, TIPO   B   DIAMETRO 3/4" C/ TAMPA C/ VEDACAO</t>
  </si>
  <si>
    <t>CONDULETE ALUMINIO SEM ROSCA TIPO   LR   DIAM 3/4" C/ TAMPA C/ VEDACAO</t>
  </si>
  <si>
    <t>CONDULETE ALUMINIO SEM ROSCA TIPO   X   DIAM 3/4" C/ TAMPA COM VEDACAO</t>
  </si>
  <si>
    <t>CONJ AR COND SPLIT INVERTER PISO TETO 48000 BTU  S - CICLO QUENTE/FRIO - CLASSIFICACAO A OU B - 220V TRIFASICO</t>
  </si>
  <si>
    <t>PLACA CEGA FRONTAL 2U  S P/ RACK 19"</t>
  </si>
  <si>
    <t>CONJ AR COND SPLIT INVERTER PISO TETO 36000 BTU  S - CICLO QUENTE/FRIO - CLASSIFICACAO A OU B - 220V</t>
  </si>
  <si>
    <t>BANDEJA FIXACAO SIMPLES 19" - 2 U  S X 390MM</t>
  </si>
  <si>
    <t>GUIA DE CABOS VERTICAL P/ RACK ABERTO 40 U  S</t>
  </si>
  <si>
    <t>GUIA DE CABOS VERTICAL P/ RACK ABERTO 44 U  S</t>
  </si>
  <si>
    <t xml:space="preserve">VALVULA DE ESCOAMENTO P/ PIA AMERICANA 1.1/2 X 3.3/4  </t>
  </si>
  <si>
    <t>VALVULA RETENCAO HORIZONTAL BRONZE - 15MM (1/2  )</t>
  </si>
  <si>
    <t>VALVULA RETENCAO HORIZONTAL BRONZE - 20MM (3/4  )</t>
  </si>
  <si>
    <t>VALVULA RETENCAO HORIZONTAL BRONZE - 25MM (1  )</t>
  </si>
  <si>
    <t>VALVULA RETENCAO HORIZONTAL BRONZE - 32MM (1 1/4  )</t>
  </si>
  <si>
    <t>VALVULA RETENCAO HORIZONTAL BRONZE - 40MM (1 1/2  )</t>
  </si>
  <si>
    <t>VALVULA RETENCAO HORIZONTAL BRONZE - 50MM (2  )</t>
  </si>
  <si>
    <t>VALVULA RETENCAO HORIZONTAL BRONZE - 65MM (2 1/2  )</t>
  </si>
  <si>
    <t>VALVULA RETENCAO HORIZONTAL BRONZE - 100MM (4  )</t>
  </si>
  <si>
    <t>VALVULA DE ESCOAMENTO P/ PIA AMERICANA 3.1/2   CROMADA</t>
  </si>
  <si>
    <t xml:space="preserve">TORNEIRA DE PRESSAO CROMADA DE USO GERAL 1/2  </t>
  </si>
  <si>
    <t>TORN.DE BOIA EM LATAO (BOIA PLAST) DN 25MM (1  )</t>
  </si>
  <si>
    <t>TORN.DE BOIA EM LATAO (BOIA PLAST)DN 32MM (1 1/4  )</t>
  </si>
  <si>
    <t>LIXA EM FOLHA D  ÁGUA GRANA Nº 240 - NORTON OU EQUIVALENTE</t>
  </si>
  <si>
    <t>EPI   S</t>
  </si>
  <si>
    <t>EPI    S DE SEGURANCA</t>
  </si>
  <si>
    <t>NOTA: BASE DE REFERÊNCIA_SINAPI_CUSTO DE COMPOSIÇÕES ANALÍTICO_202312_NÃO DESONERADO</t>
  </si>
  <si>
    <t>Tua Casa Ferragem.</t>
  </si>
  <si>
    <t>site</t>
  </si>
  <si>
    <t>23.240.420/0001-40</t>
  </si>
  <si>
    <t>Baratão Lupinho Materiais de Construção LTDA</t>
  </si>
  <si>
    <t>31.958.388/0001-61</t>
  </si>
  <si>
    <t xml:space="preserve">03.706.177/0001-04 </t>
  </si>
  <si>
    <t>AECWEB</t>
  </si>
  <si>
    <t>DEZ/23</t>
  </si>
  <si>
    <t>Impermeabilização de parede</t>
  </si>
  <si>
    <t>Impermeabilização de piso</t>
  </si>
  <si>
    <t>BAIXO GUANDU - ES, 12 DE MARÇO DE 2024.</t>
  </si>
  <si>
    <t>BAIXO GUANDU - ES, 12 DE MARÇO  DE 2024.</t>
  </si>
  <si>
    <t>5338382/70001-98</t>
  </si>
  <si>
    <t>FREE ART COMUNICAÇÃO VISUAL</t>
  </si>
  <si>
    <t>(27) 998661581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</si>
</sst>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quot;MÊS &quot;00"/>
    <numFmt numFmtId="170" formatCode="000&quot;.&quot;0000"/>
    <numFmt numFmtId="171" formatCode="0.000"/>
  </numFmts>
  <fonts count="58">
    <font>
      <sz val="11"/>
      <color theme="1"/>
      <name val="Liberation San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sz val="9"/>
      <color rgb="FF000000"/>
      <name val="Liberation Sans"/>
      <family val="2"/>
    </font>
    <font>
      <b/>
      <sz val="10"/>
      <color theme="1"/>
      <name val="Arial1"/>
    </font>
    <font>
      <sz val="10"/>
      <color theme="1"/>
      <name val="Arial1"/>
    </font>
    <font>
      <b/>
      <sz val="9"/>
      <color rgb="FF000000"/>
      <name val="Liberation Sans"/>
      <family val="2"/>
    </font>
    <font>
      <b/>
      <sz val="10"/>
      <color theme="1"/>
      <name val="Arial"/>
      <family val="2"/>
    </font>
    <font>
      <sz val="10"/>
      <color rgb="FF000000"/>
      <name val="Liberation Sans"/>
      <family val="2"/>
    </font>
    <font>
      <b/>
      <sz val="10"/>
      <color rgb="FFFF0000"/>
      <name val="Arial1"/>
    </font>
    <font>
      <b/>
      <sz val="8"/>
      <color theme="1"/>
      <name val="Courier New"/>
      <family val="3"/>
    </font>
    <font>
      <sz val="8"/>
      <color theme="1"/>
      <name val="Courier New"/>
      <family val="3"/>
    </font>
    <font>
      <sz val="10"/>
      <name val="Arial"/>
      <family val="2"/>
    </font>
    <font>
      <b/>
      <sz val="12"/>
      <color theme="1"/>
      <name val="Arial"/>
      <family val="2"/>
    </font>
    <font>
      <sz val="8"/>
      <name val="Liberation Sans"/>
      <family val="2"/>
    </font>
    <font>
      <sz val="10"/>
      <name val="Courier New"/>
      <family val="3"/>
    </font>
    <font>
      <b/>
      <sz val="10"/>
      <color rgb="FF000000"/>
      <name val="Arial"/>
      <family val="2"/>
    </font>
    <font>
      <sz val="10"/>
      <color rgb="FF000000"/>
      <name val="Arial"/>
      <family val="2"/>
    </font>
    <font>
      <b/>
      <sz val="10"/>
      <color rgb="FFFF0000"/>
      <name val="Arial"/>
      <family val="2"/>
    </font>
    <font>
      <sz val="10"/>
      <color theme="0"/>
      <name val="Arial"/>
      <family val="2"/>
    </font>
    <font>
      <sz val="10"/>
      <color theme="1"/>
      <name val="Liberation Sans"/>
      <family val="2"/>
    </font>
    <font>
      <i/>
      <sz val="10"/>
      <color theme="1"/>
      <name val="Arial"/>
      <family val="2"/>
    </font>
    <font>
      <u/>
      <sz val="10"/>
      <color theme="1"/>
      <name val="Arial"/>
      <family val="2"/>
    </font>
    <font>
      <b/>
      <i/>
      <sz val="10"/>
      <color theme="1"/>
      <name val="Arial"/>
      <family val="2"/>
    </font>
    <font>
      <b/>
      <sz val="10"/>
      <name val="Arial"/>
      <family val="2"/>
    </font>
    <font>
      <b/>
      <sz val="10"/>
      <name val="Arial1"/>
    </font>
    <font>
      <sz val="10"/>
      <name val="Liberation Sans"/>
      <family val="2"/>
    </font>
    <font>
      <b/>
      <sz val="14"/>
      <color theme="1"/>
      <name val="Arial"/>
      <family val="2"/>
    </font>
    <font>
      <b/>
      <sz val="14"/>
      <color rgb="FF000000"/>
      <name val="Arial"/>
      <family val="2"/>
    </font>
    <font>
      <b/>
      <sz val="11"/>
      <color theme="1"/>
      <name val="Calibri"/>
      <family val="2"/>
      <scheme val="minor"/>
    </font>
    <font>
      <i/>
      <sz val="10"/>
      <name val="Arial"/>
      <family val="2"/>
    </font>
    <font>
      <sz val="10"/>
      <name val="Calibri"/>
      <family val="2"/>
    </font>
    <font>
      <b/>
      <sz val="8"/>
      <color theme="1"/>
      <name val="Liberation Sans"/>
    </font>
    <font>
      <sz val="8"/>
      <color theme="1"/>
      <name val="Liberation Sans"/>
      <family val="2"/>
    </font>
    <font>
      <sz val="8"/>
      <color theme="1"/>
      <name val="Arial1"/>
    </font>
  </fonts>
  <fills count="3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D7"/>
        <bgColor rgb="FFFFFFD7"/>
      </patternFill>
    </fill>
    <fill>
      <patternFill patternType="solid">
        <fgColor rgb="FFCCCCCC"/>
        <bgColor rgb="FFCCCCCC"/>
      </patternFill>
    </fill>
    <fill>
      <patternFill patternType="solid">
        <fgColor rgb="FFB4C7DC"/>
        <bgColor rgb="FFB4C7DC"/>
      </patternFill>
    </fill>
    <fill>
      <patternFill patternType="solid">
        <fgColor rgb="FFDEE6EF"/>
        <bgColor rgb="FFDEE6EF"/>
      </patternFill>
    </fill>
    <fill>
      <patternFill patternType="solid">
        <fgColor rgb="FFFFFFCC"/>
        <bgColor rgb="FFFFFFD7"/>
      </patternFill>
    </fill>
    <fill>
      <patternFill patternType="solid">
        <fgColor rgb="FFFFFF00"/>
        <bgColor indexed="64"/>
      </patternFill>
    </fill>
    <fill>
      <patternFill patternType="solid">
        <fgColor theme="0" tint="-0.34998626667073579"/>
        <bgColor rgb="FFFFFFA6"/>
      </patternFill>
    </fill>
    <fill>
      <patternFill patternType="solid">
        <fgColor theme="0"/>
        <bgColor indexed="64"/>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249977111117893"/>
        <bgColor rgb="FF000000"/>
      </patternFill>
    </fill>
    <fill>
      <patternFill patternType="solid">
        <fgColor theme="7" tint="0.79998168889431442"/>
        <bgColor indexed="64"/>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tint="-4.9989318521683403E-2"/>
        <bgColor indexed="64"/>
      </patternFill>
    </fill>
    <fill>
      <patternFill patternType="solid">
        <fgColor theme="0"/>
        <bgColor rgb="FFDEE6EF"/>
      </patternFill>
    </fill>
    <fill>
      <patternFill patternType="solid">
        <fgColor theme="0"/>
        <bgColor rgb="FFFFFFFF"/>
      </patternFill>
    </fill>
    <fill>
      <patternFill patternType="solid">
        <fgColor theme="0" tint="-0.249977111117893"/>
        <bgColor rgb="FFFFFFD7"/>
      </patternFill>
    </fill>
    <fill>
      <patternFill patternType="solid">
        <fgColor theme="0" tint="-0.14999847407452621"/>
        <bgColor rgb="FFFFFFFF"/>
      </patternFill>
    </fill>
    <fill>
      <patternFill patternType="solid">
        <fgColor theme="0" tint="-0.249977111117893"/>
        <bgColor rgb="FFB4C7DC"/>
      </patternFill>
    </fill>
    <fill>
      <patternFill patternType="solid">
        <fgColor theme="0"/>
        <bgColor rgb="FFFFFFA6"/>
      </patternFill>
    </fill>
    <fill>
      <patternFill patternType="solid">
        <fgColor theme="0" tint="-0.14999847407452621"/>
        <bgColor rgb="FFFFFF6D"/>
      </patternFill>
    </fill>
    <fill>
      <patternFill patternType="solid">
        <fgColor rgb="FFCFCFCF"/>
        <bgColor indexed="64"/>
      </patternFill>
    </fill>
    <fill>
      <patternFill patternType="solid">
        <fgColor theme="2" tint="-9.9978637043366805E-2"/>
        <bgColor indexed="64"/>
      </patternFill>
    </fill>
  </fills>
  <borders count="27">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rgb="FF000000"/>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bottom style="dotted">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right style="dotted">
        <color indexed="64"/>
      </right>
      <top/>
      <bottom style="dotted">
        <color indexed="64"/>
      </bottom>
      <diagonal/>
    </border>
    <border>
      <left/>
      <right style="thin">
        <color indexed="64"/>
      </right>
      <top/>
      <bottom style="thin">
        <color indexed="64"/>
      </bottom>
      <diagonal/>
    </border>
    <border>
      <left/>
      <right/>
      <top style="hair">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dotted">
        <color indexed="64"/>
      </right>
      <top style="thin">
        <color indexed="64"/>
      </top>
      <bottom/>
      <diagonal/>
    </border>
  </borders>
  <cellStyleXfs count="36">
    <xf numFmtId="0" fontId="0" fillId="0" borderId="0"/>
    <xf numFmtId="44" fontId="10" fillId="0" borderId="0" applyFont="0" applyFill="0" applyBorder="0" applyAlignment="0" applyProtection="0"/>
    <xf numFmtId="0" fontId="12" fillId="0" borderId="0"/>
    <xf numFmtId="0" fontId="13" fillId="2" borderId="0"/>
    <xf numFmtId="0" fontId="13" fillId="3" borderId="0"/>
    <xf numFmtId="0" fontId="12" fillId="4" borderId="0"/>
    <xf numFmtId="0" fontId="14" fillId="5" borderId="0"/>
    <xf numFmtId="0" fontId="15" fillId="6" borderId="0"/>
    <xf numFmtId="166" fontId="11" fillId="0" borderId="0"/>
    <xf numFmtId="9" fontId="11" fillId="0" borderId="0"/>
    <xf numFmtId="0" fontId="16" fillId="0" borderId="0"/>
    <xf numFmtId="0" fontId="17" fillId="7" borderId="0"/>
    <xf numFmtId="0" fontId="18" fillId="0" borderId="0"/>
    <xf numFmtId="0" fontId="19" fillId="0" borderId="0"/>
    <xf numFmtId="0" fontId="20" fillId="0" borderId="0"/>
    <xf numFmtId="0" fontId="21" fillId="0" borderId="0"/>
    <xf numFmtId="0" fontId="22" fillId="8" borderId="0"/>
    <xf numFmtId="0" fontId="23" fillId="0" borderId="0"/>
    <xf numFmtId="0" fontId="24" fillId="8" borderId="1"/>
    <xf numFmtId="9" fontId="11" fillId="0" borderId="0"/>
    <xf numFmtId="0" fontId="11" fillId="9" borderId="0"/>
    <xf numFmtId="0" fontId="11" fillId="10" borderId="0"/>
    <xf numFmtId="0" fontId="25" fillId="0" borderId="0"/>
    <xf numFmtId="0" fontId="25" fillId="0" borderId="0"/>
    <xf numFmtId="0" fontId="11" fillId="0" borderId="0"/>
    <xf numFmtId="0" fontId="11" fillId="0" borderId="0"/>
    <xf numFmtId="0" fontId="14"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168" fontId="35" fillId="0" borderId="0" applyFont="0" applyFill="0" applyBorder="0" applyAlignment="0" applyProtection="0"/>
    <xf numFmtId="44"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cellStyleXfs>
  <cellXfs count="420">
    <xf numFmtId="0" fontId="0" fillId="0" borderId="0" xfId="0"/>
    <xf numFmtId="0" fontId="27" fillId="0" borderId="0" xfId="17" applyFont="1"/>
    <xf numFmtId="0" fontId="28" fillId="0" borderId="0" xfId="17" applyFont="1"/>
    <xf numFmtId="0" fontId="27" fillId="0" borderId="0" xfId="17" applyFont="1" applyAlignment="1">
      <alignment horizontal="right"/>
    </xf>
    <xf numFmtId="0" fontId="27" fillId="12" borderId="2" xfId="17" applyFont="1" applyFill="1" applyBorder="1" applyAlignment="1">
      <alignment horizontal="center" vertical="center" wrapText="1"/>
    </xf>
    <xf numFmtId="0" fontId="28" fillId="0" borderId="0" xfId="17" applyFont="1" applyAlignment="1">
      <alignment horizontal="center"/>
    </xf>
    <xf numFmtId="0" fontId="28" fillId="0" borderId="2" xfId="17" applyFont="1" applyBorder="1"/>
    <xf numFmtId="166" fontId="28" fillId="0" borderId="2" xfId="8" applyFont="1" applyBorder="1"/>
    <xf numFmtId="0" fontId="28" fillId="0" borderId="2" xfId="17" applyFont="1" applyBorder="1" applyAlignment="1">
      <alignment wrapText="1"/>
    </xf>
    <xf numFmtId="10" fontId="28" fillId="0" borderId="0" xfId="17" applyNumberFormat="1" applyFont="1"/>
    <xf numFmtId="0" fontId="28" fillId="0" borderId="0" xfId="17" applyFont="1" applyAlignment="1">
      <alignment horizontal="right"/>
    </xf>
    <xf numFmtId="0" fontId="28" fillId="0" borderId="2" xfId="17" applyFont="1" applyBorder="1" applyAlignment="1">
      <alignment horizontal="right"/>
    </xf>
    <xf numFmtId="0" fontId="34" fillId="0" borderId="0" xfId="0" applyFont="1"/>
    <xf numFmtId="49" fontId="34" fillId="19" borderId="0" xfId="0" applyNumberFormat="1" applyFont="1" applyFill="1"/>
    <xf numFmtId="49" fontId="34" fillId="0" borderId="0" xfId="0" applyNumberFormat="1" applyFont="1"/>
    <xf numFmtId="164" fontId="34" fillId="0" borderId="0" xfId="0" applyNumberFormat="1" applyFont="1" applyAlignment="1">
      <alignment horizontal="center"/>
    </xf>
    <xf numFmtId="49" fontId="34" fillId="0" borderId="0" xfId="0" applyNumberFormat="1" applyFont="1" applyAlignment="1">
      <alignment horizontal="center"/>
    </xf>
    <xf numFmtId="0" fontId="34" fillId="19" borderId="0" xfId="0" applyFont="1" applyFill="1"/>
    <xf numFmtId="17" fontId="34" fillId="19" borderId="0" xfId="0" applyNumberFormat="1" applyFont="1" applyFill="1"/>
    <xf numFmtId="164" fontId="34" fillId="0" borderId="0" xfId="0" applyNumberFormat="1" applyFont="1" applyAlignment="1">
      <alignment horizontal="center" vertical="center" wrapText="1"/>
    </xf>
    <xf numFmtId="49" fontId="34" fillId="0" borderId="0" xfId="0" applyNumberFormat="1" applyFont="1" applyAlignment="1">
      <alignment horizontal="left" vertical="center" wrapText="1"/>
    </xf>
    <xf numFmtId="49" fontId="34" fillId="0" borderId="0" xfId="0" applyNumberFormat="1" applyFont="1" applyAlignment="1">
      <alignment horizontal="center" vertical="center" wrapText="1"/>
    </xf>
    <xf numFmtId="49" fontId="34" fillId="0" borderId="0" xfId="0" applyNumberFormat="1" applyFont="1" applyAlignment="1">
      <alignment vertical="center" wrapText="1"/>
    </xf>
    <xf numFmtId="0" fontId="34" fillId="0" borderId="0" xfId="0" applyFont="1" applyAlignment="1">
      <alignment vertical="center" wrapText="1"/>
    </xf>
    <xf numFmtId="10" fontId="34" fillId="0" borderId="0" xfId="0" applyNumberFormat="1" applyFont="1"/>
    <xf numFmtId="1" fontId="34" fillId="0" borderId="0" xfId="0" applyNumberFormat="1" applyFont="1" applyAlignment="1">
      <alignment horizontal="center"/>
    </xf>
    <xf numFmtId="4" fontId="34" fillId="0" borderId="0" xfId="0" applyNumberFormat="1" applyFont="1"/>
    <xf numFmtId="43" fontId="34" fillId="0" borderId="0" xfId="27" applyFont="1" applyFill="1"/>
    <xf numFmtId="43" fontId="34" fillId="0" borderId="0" xfId="27" applyFont="1" applyFill="1" applyBorder="1" applyAlignment="1">
      <alignment horizontal="left" vertical="center" wrapText="1"/>
    </xf>
    <xf numFmtId="166" fontId="28" fillId="0" borderId="2" xfId="8" applyFont="1" applyBorder="1" applyAlignment="1">
      <alignment horizontal="center"/>
    </xf>
    <xf numFmtId="0" fontId="33" fillId="19" borderId="0" xfId="0" applyFont="1" applyFill="1" applyAlignment="1">
      <alignment vertical="top"/>
    </xf>
    <xf numFmtId="0" fontId="33" fillId="0" borderId="0" xfId="0" applyFont="1" applyAlignment="1">
      <alignment vertical="top"/>
    </xf>
    <xf numFmtId="0" fontId="33" fillId="0" borderId="0" xfId="0" applyFont="1" applyAlignment="1">
      <alignment horizontal="left" wrapText="1"/>
    </xf>
    <xf numFmtId="0" fontId="33" fillId="0" borderId="0" xfId="0" applyFont="1" applyAlignment="1">
      <alignment horizontal="center" wrapText="1"/>
    </xf>
    <xf numFmtId="17" fontId="33" fillId="19" borderId="0" xfId="0" quotePrefix="1" applyNumberFormat="1" applyFont="1" applyFill="1" applyAlignment="1">
      <alignment horizontal="center" vertical="top"/>
    </xf>
    <xf numFmtId="17" fontId="34" fillId="19" borderId="0" xfId="0" quotePrefix="1" applyNumberFormat="1" applyFont="1" applyFill="1" applyAlignment="1">
      <alignment horizontal="center"/>
    </xf>
    <xf numFmtId="167" fontId="34" fillId="19" borderId="0" xfId="0" quotePrefix="1" applyNumberFormat="1" applyFont="1" applyFill="1" applyAlignment="1">
      <alignment horizontal="center"/>
    </xf>
    <xf numFmtId="0" fontId="38" fillId="0" borderId="0" xfId="0" applyFont="1" applyAlignment="1">
      <alignment horizontal="left"/>
    </xf>
    <xf numFmtId="4" fontId="38" fillId="0" borderId="0" xfId="0" applyNumberFormat="1" applyFont="1" applyAlignment="1">
      <alignment horizontal="right"/>
    </xf>
    <xf numFmtId="0" fontId="23" fillId="0" borderId="0" xfId="0" applyFont="1" applyAlignment="1">
      <alignment vertical="center"/>
    </xf>
    <xf numFmtId="0" fontId="23" fillId="13" borderId="0" xfId="0" applyFont="1" applyFill="1" applyAlignment="1">
      <alignment vertical="center"/>
    </xf>
    <xf numFmtId="10" fontId="23" fillId="13" borderId="0" xfId="30" applyNumberFormat="1" applyFont="1" applyFill="1" applyAlignment="1">
      <alignment horizontal="center" vertical="center"/>
    </xf>
    <xf numFmtId="0" fontId="39" fillId="0" borderId="0" xfId="0" applyFont="1" applyAlignment="1">
      <alignment horizontal="center"/>
    </xf>
    <xf numFmtId="0" fontId="40" fillId="0" borderId="0" xfId="0" applyFont="1"/>
    <xf numFmtId="0" fontId="40" fillId="0" borderId="0" xfId="0" applyFont="1" applyAlignment="1">
      <alignment horizontal="left"/>
    </xf>
    <xf numFmtId="0" fontId="39" fillId="0" borderId="0" xfId="0" applyFont="1"/>
    <xf numFmtId="0" fontId="23" fillId="0" borderId="0" xfId="17"/>
    <xf numFmtId="0" fontId="23" fillId="0" borderId="0" xfId="17" applyAlignment="1">
      <alignment horizontal="center"/>
    </xf>
    <xf numFmtId="0" fontId="23" fillId="0" borderId="0" xfId="17" applyAlignment="1">
      <alignment horizontal="right"/>
    </xf>
    <xf numFmtId="0" fontId="40" fillId="0" borderId="0" xfId="17" applyFont="1" applyAlignment="1">
      <alignment horizontal="center" wrapText="1"/>
    </xf>
    <xf numFmtId="10" fontId="41" fillId="0" borderId="0" xfId="19" applyNumberFormat="1" applyFont="1" applyAlignment="1">
      <alignment horizontal="left" vertical="center" wrapText="1"/>
    </xf>
    <xf numFmtId="10" fontId="40" fillId="0" borderId="0" xfId="19" applyNumberFormat="1" applyFont="1"/>
    <xf numFmtId="0" fontId="23" fillId="0" borderId="0" xfId="0" applyFont="1"/>
    <xf numFmtId="0" fontId="30" fillId="8" borderId="6" xfId="0" applyFont="1" applyFill="1" applyBorder="1" applyAlignment="1" applyProtection="1">
      <alignment horizontal="center" vertical="center"/>
      <protection locked="0"/>
    </xf>
    <xf numFmtId="0" fontId="23" fillId="8" borderId="0" xfId="0" applyFont="1" applyFill="1" applyAlignment="1" applyProtection="1">
      <alignment horizontal="center" vertical="center"/>
      <protection locked="0"/>
    </xf>
    <xf numFmtId="0" fontId="30" fillId="13" borderId="7" xfId="0" applyFont="1" applyFill="1" applyBorder="1" applyAlignment="1">
      <alignment horizontal="right" vertical="center" readingOrder="1"/>
    </xf>
    <xf numFmtId="0" fontId="30" fillId="16" borderId="5" xfId="0" applyFont="1" applyFill="1" applyBorder="1" applyAlignment="1">
      <alignment horizontal="center" vertical="center"/>
    </xf>
    <xf numFmtId="4" fontId="30" fillId="16" borderId="5" xfId="0" applyNumberFormat="1" applyFont="1" applyFill="1" applyBorder="1" applyAlignment="1">
      <alignment horizontal="center" vertical="center"/>
    </xf>
    <xf numFmtId="0" fontId="23" fillId="17" borderId="5" xfId="0" applyFont="1" applyFill="1" applyBorder="1" applyAlignment="1">
      <alignment horizontal="center" vertical="center"/>
    </xf>
    <xf numFmtId="4" fontId="23" fillId="17" borderId="5" xfId="0" applyNumberFormat="1" applyFont="1" applyFill="1" applyBorder="1" applyAlignment="1">
      <alignment horizontal="center" vertical="center"/>
    </xf>
    <xf numFmtId="0" fontId="28" fillId="0" borderId="0" xfId="0" applyFont="1" applyAlignment="1">
      <alignment horizontal="center" vertical="center"/>
    </xf>
    <xf numFmtId="0" fontId="28" fillId="13" borderId="0" xfId="0" applyFont="1" applyFill="1" applyAlignment="1">
      <alignment horizontal="center" vertical="center" readingOrder="1"/>
    </xf>
    <xf numFmtId="0" fontId="28" fillId="13" borderId="0" xfId="0" applyFont="1" applyFill="1" applyAlignment="1">
      <alignment horizontal="left" vertical="center" wrapText="1" readingOrder="1"/>
    </xf>
    <xf numFmtId="4" fontId="28" fillId="13" borderId="0" xfId="0" applyNumberFormat="1" applyFont="1" applyFill="1" applyAlignment="1">
      <alignment horizontal="center" vertical="center" readingOrder="1"/>
    </xf>
    <xf numFmtId="0" fontId="43" fillId="0" borderId="0" xfId="0" applyFont="1" applyAlignment="1">
      <alignment vertical="center"/>
    </xf>
    <xf numFmtId="0" fontId="40" fillId="0" borderId="0" xfId="0" applyFont="1" applyAlignment="1">
      <alignment horizontal="right" vertical="center"/>
    </xf>
    <xf numFmtId="0" fontId="30" fillId="0" borderId="0" xfId="17" applyFont="1"/>
    <xf numFmtId="0" fontId="30" fillId="0" borderId="0" xfId="17" applyFont="1" applyAlignment="1">
      <alignment horizontal="center"/>
    </xf>
    <xf numFmtId="0" fontId="23" fillId="8" borderId="0" xfId="17" applyFill="1" applyProtection="1">
      <protection locked="0"/>
    </xf>
    <xf numFmtId="0" fontId="23" fillId="0" borderId="2" xfId="17" applyBorder="1" applyAlignment="1">
      <alignment horizontal="justify" vertical="top" wrapText="1"/>
    </xf>
    <xf numFmtId="2" fontId="23" fillId="8" borderId="3" xfId="17" applyNumberFormat="1" applyFill="1" applyBorder="1" applyAlignment="1" applyProtection="1">
      <alignment horizontal="center" vertical="top" wrapText="1"/>
      <protection locked="0"/>
    </xf>
    <xf numFmtId="0" fontId="23" fillId="0" borderId="4" xfId="17" applyBorder="1" applyAlignment="1">
      <alignment horizontal="center" vertical="top" wrapText="1"/>
    </xf>
    <xf numFmtId="0" fontId="44" fillId="0" borderId="5" xfId="17" applyFont="1" applyBorder="1" applyAlignment="1">
      <alignment horizontal="justify" vertical="top" wrapText="1"/>
    </xf>
    <xf numFmtId="2" fontId="23" fillId="0" borderId="5" xfId="17" applyNumberFormat="1" applyBorder="1" applyAlignment="1">
      <alignment horizontal="center" vertical="top" wrapText="1"/>
    </xf>
    <xf numFmtId="0" fontId="23" fillId="0" borderId="5" xfId="17" applyBorder="1" applyAlignment="1">
      <alignment horizontal="center" vertical="top" wrapText="1"/>
    </xf>
    <xf numFmtId="0" fontId="30" fillId="0" borderId="2" xfId="17" applyFont="1" applyBorder="1" applyAlignment="1">
      <alignment horizontal="justify"/>
    </xf>
    <xf numFmtId="2" fontId="30" fillId="0" borderId="3" xfId="17" applyNumberFormat="1" applyFont="1" applyBorder="1" applyAlignment="1">
      <alignment horizontal="center"/>
    </xf>
    <xf numFmtId="0" fontId="30" fillId="0" borderId="4" xfId="17" applyFont="1" applyBorder="1" applyAlignment="1">
      <alignment horizontal="center" vertical="top" wrapText="1"/>
    </xf>
    <xf numFmtId="0" fontId="44" fillId="0" borderId="2" xfId="17" applyFont="1" applyBorder="1" applyAlignment="1">
      <alignment horizontal="left" vertical="top" wrapText="1" indent="2"/>
    </xf>
    <xf numFmtId="2" fontId="23" fillId="0" borderId="3" xfId="17" applyNumberFormat="1" applyBorder="1" applyAlignment="1">
      <alignment horizontal="center" vertical="top" wrapText="1"/>
    </xf>
    <xf numFmtId="2" fontId="23" fillId="0" borderId="4" xfId="17" applyNumberFormat="1" applyBorder="1" applyAlignment="1">
      <alignment horizontal="center" vertical="top" wrapText="1"/>
    </xf>
    <xf numFmtId="165" fontId="40" fillId="0" borderId="0" xfId="19" applyNumberFormat="1" applyFont="1" applyAlignment="1">
      <alignment horizontal="center"/>
    </xf>
    <xf numFmtId="0" fontId="23" fillId="0" borderId="0" xfId="17" applyAlignment="1">
      <alignment horizontal="left"/>
    </xf>
    <xf numFmtId="4" fontId="23" fillId="13" borderId="0" xfId="0" applyNumberFormat="1" applyFont="1" applyFill="1" applyAlignment="1">
      <alignment vertical="center"/>
    </xf>
    <xf numFmtId="4" fontId="23" fillId="13" borderId="0" xfId="0" applyNumberFormat="1" applyFont="1" applyFill="1" applyAlignment="1">
      <alignment horizontal="center" vertical="center"/>
    </xf>
    <xf numFmtId="4" fontId="23" fillId="13" borderId="0" xfId="1" applyNumberFormat="1" applyFont="1" applyFill="1" applyAlignment="1">
      <alignment horizontal="center" vertical="center"/>
    </xf>
    <xf numFmtId="4" fontId="23" fillId="13" borderId="0" xfId="30" applyNumberFormat="1" applyFont="1" applyFill="1" applyAlignment="1">
      <alignment horizontal="center" vertical="center"/>
    </xf>
    <xf numFmtId="4" fontId="23" fillId="0" borderId="0" xfId="0" applyNumberFormat="1" applyFont="1" applyAlignment="1">
      <alignment vertical="center"/>
    </xf>
    <xf numFmtId="4" fontId="30" fillId="13" borderId="7" xfId="0" applyNumberFormat="1" applyFont="1" applyFill="1" applyBorder="1" applyAlignment="1">
      <alignment horizontal="right" vertical="center" readingOrder="1"/>
    </xf>
    <xf numFmtId="4" fontId="47" fillId="24" borderId="7" xfId="0" applyNumberFormat="1" applyFont="1" applyFill="1" applyBorder="1" applyAlignment="1">
      <alignment horizontal="center" vertical="center"/>
    </xf>
    <xf numFmtId="4" fontId="43" fillId="0" borderId="0" xfId="0" applyNumberFormat="1" applyFont="1" applyAlignment="1">
      <alignment vertical="center"/>
    </xf>
    <xf numFmtId="4" fontId="35" fillId="25" borderId="7" xfId="0" applyNumberFormat="1" applyFont="1" applyFill="1" applyBorder="1" applyAlignment="1">
      <alignment horizontal="center" vertical="center"/>
    </xf>
    <xf numFmtId="4" fontId="47" fillId="25" borderId="7" xfId="27" applyNumberFormat="1" applyFont="1" applyFill="1" applyBorder="1" applyAlignment="1">
      <alignment horizontal="center" vertical="center"/>
    </xf>
    <xf numFmtId="4" fontId="43" fillId="21" borderId="0" xfId="0" applyNumberFormat="1" applyFont="1" applyFill="1" applyAlignment="1">
      <alignment vertical="center"/>
    </xf>
    <xf numFmtId="4" fontId="47" fillId="23" borderId="7" xfId="0" applyNumberFormat="1" applyFont="1" applyFill="1" applyBorder="1" applyAlignment="1">
      <alignment horizontal="center" vertical="center"/>
    </xf>
    <xf numFmtId="4" fontId="47" fillId="23" borderId="7" xfId="0" applyNumberFormat="1" applyFont="1" applyFill="1" applyBorder="1" applyAlignment="1">
      <alignment horizontal="center" vertical="center" wrapText="1"/>
    </xf>
    <xf numFmtId="4" fontId="47" fillId="23" borderId="7" xfId="27" applyNumberFormat="1" applyFont="1" applyFill="1" applyBorder="1" applyAlignment="1">
      <alignment horizontal="center" vertical="center"/>
    </xf>
    <xf numFmtId="4" fontId="35" fillId="0" borderId="7" xfId="0" applyNumberFormat="1" applyFont="1" applyBorder="1" applyAlignment="1">
      <alignment horizontal="left" vertical="center"/>
    </xf>
    <xf numFmtId="4" fontId="35" fillId="0" borderId="7" xfId="27" applyNumberFormat="1" applyFont="1" applyFill="1" applyBorder="1" applyAlignment="1">
      <alignment horizontal="center" vertical="center"/>
    </xf>
    <xf numFmtId="4" fontId="43" fillId="0" borderId="8" xfId="0" applyNumberFormat="1" applyFont="1" applyBorder="1" applyAlignment="1">
      <alignment horizontal="center" vertical="center"/>
    </xf>
    <xf numFmtId="4" fontId="43" fillId="0" borderId="8" xfId="0" applyNumberFormat="1" applyFont="1" applyBorder="1" applyAlignment="1">
      <alignment horizontal="left" vertical="center"/>
    </xf>
    <xf numFmtId="4" fontId="43" fillId="0" borderId="8" xfId="0" applyNumberFormat="1" applyFont="1" applyBorder="1" applyAlignment="1">
      <alignment vertical="center"/>
    </xf>
    <xf numFmtId="4" fontId="43" fillId="0" borderId="8" xfId="27" applyNumberFormat="1" applyFont="1" applyBorder="1" applyAlignment="1">
      <alignment horizontal="center" vertical="center"/>
    </xf>
    <xf numFmtId="0" fontId="23" fillId="0" borderId="0" xfId="0" applyFont="1" applyAlignment="1">
      <alignment vertical="center" wrapText="1"/>
    </xf>
    <xf numFmtId="0" fontId="23" fillId="13" borderId="0" xfId="0" applyFont="1" applyFill="1" applyAlignment="1">
      <alignment vertical="center" wrapText="1"/>
    </xf>
    <xf numFmtId="4" fontId="23" fillId="13" borderId="0" xfId="0" applyNumberFormat="1" applyFont="1" applyFill="1" applyAlignment="1">
      <alignment horizontal="center" vertical="center" wrapText="1"/>
    </xf>
    <xf numFmtId="44" fontId="23" fillId="13" borderId="0" xfId="1" applyFont="1" applyFill="1" applyAlignment="1">
      <alignment horizontal="center" vertical="center" wrapText="1"/>
    </xf>
    <xf numFmtId="10" fontId="23" fillId="13" borderId="0" xfId="30" applyNumberFormat="1" applyFont="1" applyFill="1" applyAlignment="1">
      <alignment horizontal="center" vertical="center" wrapText="1"/>
    </xf>
    <xf numFmtId="2" fontId="48" fillId="34" borderId="7" xfId="0" applyNumberFormat="1" applyFont="1" applyFill="1" applyBorder="1" applyAlignment="1">
      <alignment horizontal="center" vertical="center" wrapText="1"/>
    </xf>
    <xf numFmtId="2" fontId="48" fillId="34" borderId="7" xfId="27" applyNumberFormat="1" applyFont="1" applyFill="1" applyBorder="1" applyAlignment="1">
      <alignment horizontal="center" vertical="center" wrapText="1"/>
    </xf>
    <xf numFmtId="0" fontId="49" fillId="21" borderId="0" xfId="0" applyFont="1" applyFill="1" applyAlignment="1">
      <alignment wrapText="1"/>
    </xf>
    <xf numFmtId="0" fontId="27" fillId="30" borderId="7" xfId="0" applyFont="1" applyFill="1" applyBorder="1" applyAlignment="1">
      <alignment horizontal="center" vertical="center" wrapText="1"/>
    </xf>
    <xf numFmtId="2" fontId="27" fillId="30" borderId="7" xfId="0" applyNumberFormat="1" applyFont="1" applyFill="1" applyBorder="1" applyAlignment="1">
      <alignment horizontal="center" vertical="center" wrapText="1"/>
    </xf>
    <xf numFmtId="0" fontId="43" fillId="0" borderId="0" xfId="0" applyFont="1" applyAlignment="1">
      <alignment wrapText="1"/>
    </xf>
    <xf numFmtId="0" fontId="27" fillId="20" borderId="7" xfId="0" applyFont="1" applyFill="1" applyBorder="1" applyAlignment="1">
      <alignment horizontal="center" vertical="center" wrapText="1"/>
    </xf>
    <xf numFmtId="2" fontId="27" fillId="20" borderId="7" xfId="0" applyNumberFormat="1" applyFont="1" applyFill="1" applyBorder="1" applyAlignment="1">
      <alignment horizontal="center" vertical="center" wrapText="1"/>
    </xf>
    <xf numFmtId="0" fontId="28" fillId="14" borderId="7" xfId="0" applyFont="1" applyFill="1" applyBorder="1" applyAlignment="1">
      <alignment horizontal="center" vertical="center" wrapText="1" readingOrder="1"/>
    </xf>
    <xf numFmtId="0" fontId="28" fillId="26" borderId="7" xfId="0" applyFont="1" applyFill="1" applyBorder="1" applyAlignment="1">
      <alignment horizontal="left" vertical="center" wrapText="1"/>
    </xf>
    <xf numFmtId="0" fontId="28" fillId="26" borderId="7" xfId="0" applyFont="1" applyFill="1" applyBorder="1" applyAlignment="1">
      <alignment horizontal="center" vertical="center" wrapText="1"/>
    </xf>
    <xf numFmtId="2" fontId="28" fillId="26" borderId="7" xfId="1" applyNumberFormat="1" applyFont="1" applyFill="1" applyBorder="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vertical="center" wrapText="1"/>
    </xf>
    <xf numFmtId="2" fontId="28" fillId="0" borderId="0" xfId="0" applyNumberFormat="1" applyFont="1" applyAlignment="1">
      <alignment horizontal="center" vertical="center" wrapText="1"/>
    </xf>
    <xf numFmtId="0" fontId="30" fillId="13" borderId="0" xfId="0" applyFont="1" applyFill="1" applyAlignment="1">
      <alignment vertical="center" readingOrder="1"/>
    </xf>
    <xf numFmtId="44" fontId="23" fillId="13" borderId="0" xfId="1" applyFont="1" applyFill="1" applyAlignment="1">
      <alignment horizontal="center" vertical="center"/>
    </xf>
    <xf numFmtId="0" fontId="23" fillId="18" borderId="15" xfId="0" applyFont="1" applyFill="1" applyBorder="1" applyAlignment="1">
      <alignment vertical="center" readingOrder="1"/>
    </xf>
    <xf numFmtId="0" fontId="30" fillId="18" borderId="9" xfId="0" applyFont="1" applyFill="1" applyBorder="1" applyAlignment="1">
      <alignment vertical="center" readingOrder="1"/>
    </xf>
    <xf numFmtId="0" fontId="30" fillId="27" borderId="7" xfId="0" applyFont="1" applyFill="1" applyBorder="1" applyAlignment="1">
      <alignment horizontal="center" vertical="center"/>
    </xf>
    <xf numFmtId="0" fontId="30" fillId="27" borderId="7" xfId="0" applyFont="1" applyFill="1" applyBorder="1" applyAlignment="1">
      <alignment horizontal="center" vertical="center" wrapText="1"/>
    </xf>
    <xf numFmtId="169" fontId="30" fillId="27" borderId="7" xfId="0" applyNumberFormat="1" applyFont="1" applyFill="1" applyBorder="1" applyAlignment="1">
      <alignment horizontal="center" vertical="center"/>
    </xf>
    <xf numFmtId="169" fontId="30" fillId="27" borderId="10" xfId="0" applyNumberFormat="1" applyFont="1" applyFill="1" applyBorder="1" applyAlignment="1">
      <alignment horizontal="center" vertical="center"/>
    </xf>
    <xf numFmtId="169" fontId="30" fillId="27" borderId="9" xfId="0" applyNumberFormat="1" applyFont="1" applyFill="1" applyBorder="1" applyAlignment="1">
      <alignment horizontal="center" vertical="center"/>
    </xf>
    <xf numFmtId="0" fontId="30" fillId="0" borderId="0" xfId="0" applyFont="1" applyAlignment="1">
      <alignment horizontal="center" vertical="center"/>
    </xf>
    <xf numFmtId="10" fontId="23" fillId="29" borderId="7" xfId="30" applyNumberFormat="1" applyFont="1" applyFill="1" applyBorder="1" applyAlignment="1">
      <alignment horizontal="center" vertical="center"/>
    </xf>
    <xf numFmtId="10" fontId="30" fillId="18" borderId="7" xfId="30" applyNumberFormat="1" applyFont="1" applyFill="1" applyBorder="1" applyAlignment="1">
      <alignment horizontal="center" vertical="center" readingOrder="1"/>
    </xf>
    <xf numFmtId="10" fontId="30" fillId="18" borderId="9" xfId="30" applyNumberFormat="1" applyFont="1" applyFill="1" applyBorder="1" applyAlignment="1">
      <alignment horizontal="center" vertical="center" readingOrder="1"/>
    </xf>
    <xf numFmtId="4" fontId="23" fillId="28" borderId="7" xfId="1" applyNumberFormat="1" applyFont="1" applyFill="1" applyBorder="1" applyAlignment="1">
      <alignment horizontal="center" vertical="center"/>
    </xf>
    <xf numFmtId="44" fontId="23" fillId="28" borderId="9" xfId="1" applyFont="1" applyFill="1" applyBorder="1" applyAlignment="1">
      <alignment horizontal="justify" vertical="center"/>
    </xf>
    <xf numFmtId="4" fontId="30" fillId="27" borderId="7" xfId="1" applyNumberFormat="1" applyFont="1" applyFill="1" applyBorder="1" applyAlignment="1">
      <alignment horizontal="center" vertical="center"/>
    </xf>
    <xf numFmtId="10" fontId="30" fillId="27" borderId="7" xfId="30" applyNumberFormat="1" applyFont="1" applyFill="1" applyBorder="1" applyAlignment="1">
      <alignment horizontal="center" vertical="center"/>
    </xf>
    <xf numFmtId="0" fontId="23" fillId="27" borderId="7" xfId="0" applyFont="1" applyFill="1" applyBorder="1" applyAlignment="1">
      <alignment horizontal="center" vertical="center"/>
    </xf>
    <xf numFmtId="10" fontId="30" fillId="27" borderId="7" xfId="0" applyNumberFormat="1" applyFont="1" applyFill="1" applyBorder="1" applyAlignment="1">
      <alignment horizontal="center" vertical="center"/>
    </xf>
    <xf numFmtId="10" fontId="23" fillId="27" borderId="9" xfId="0" applyNumberFormat="1" applyFont="1" applyFill="1" applyBorder="1" applyAlignment="1">
      <alignment horizontal="center" vertical="center"/>
    </xf>
    <xf numFmtId="10" fontId="30" fillId="21" borderId="9" xfId="0" applyNumberFormat="1" applyFont="1" applyFill="1" applyBorder="1" applyAlignment="1">
      <alignment horizontal="center" vertical="center"/>
    </xf>
    <xf numFmtId="0" fontId="42" fillId="0" borderId="0" xfId="0" applyFont="1" applyAlignment="1">
      <alignment vertical="center"/>
    </xf>
    <xf numFmtId="4" fontId="42" fillId="0" borderId="0" xfId="0" applyNumberFormat="1" applyFont="1" applyAlignment="1">
      <alignment horizontal="center" vertical="center"/>
    </xf>
    <xf numFmtId="4" fontId="23" fillId="17" borderId="5" xfId="1" applyNumberFormat="1" applyFont="1" applyFill="1" applyBorder="1" applyAlignment="1">
      <alignment horizontal="center" vertical="center"/>
    </xf>
    <xf numFmtId="4" fontId="23" fillId="0" borderId="0" xfId="0" applyNumberFormat="1" applyFont="1" applyAlignment="1">
      <alignment horizontal="center" vertical="center"/>
    </xf>
    <xf numFmtId="0" fontId="30" fillId="4" borderId="5" xfId="0" applyFont="1" applyFill="1" applyBorder="1" applyAlignment="1">
      <alignment horizontal="right" vertical="center"/>
    </xf>
    <xf numFmtId="4" fontId="23" fillId="4" borderId="5" xfId="0" applyNumberFormat="1" applyFont="1" applyFill="1" applyBorder="1" applyAlignment="1">
      <alignment horizontal="center" vertical="center"/>
    </xf>
    <xf numFmtId="43" fontId="33" fillId="0" borderId="0" xfId="27" applyFont="1" applyFill="1" applyBorder="1" applyAlignment="1">
      <alignment vertical="top"/>
    </xf>
    <xf numFmtId="43" fontId="34" fillId="0" borderId="0" xfId="27" applyFont="1" applyFill="1" applyBorder="1" applyAlignment="1"/>
    <xf numFmtId="43" fontId="33" fillId="0" borderId="0" xfId="27" applyFont="1" applyFill="1" applyBorder="1" applyAlignment="1">
      <alignment horizontal="center" wrapText="1"/>
    </xf>
    <xf numFmtId="43" fontId="34" fillId="0" borderId="0" xfId="27" applyFont="1" applyFill="1" applyBorder="1"/>
    <xf numFmtId="171" fontId="28" fillId="14" borderId="7" xfId="27" applyNumberFormat="1" applyFont="1" applyFill="1" applyBorder="1" applyAlignment="1">
      <alignment horizontal="center" vertical="center" wrapText="1" readingOrder="1"/>
    </xf>
    <xf numFmtId="171" fontId="27" fillId="20" borderId="7" xfId="27" applyNumberFormat="1" applyFont="1" applyFill="1" applyBorder="1" applyAlignment="1">
      <alignment horizontal="center" vertical="center" wrapText="1"/>
    </xf>
    <xf numFmtId="171" fontId="28" fillId="0" borderId="0" xfId="27" applyNumberFormat="1" applyFont="1" applyBorder="1" applyAlignment="1">
      <alignment horizontal="center" vertical="center" wrapText="1"/>
    </xf>
    <xf numFmtId="0" fontId="43" fillId="0" borderId="0" xfId="0" applyFont="1" applyAlignment="1">
      <alignment horizontal="center" vertical="center"/>
    </xf>
    <xf numFmtId="0" fontId="48" fillId="34" borderId="7" xfId="0" applyFont="1" applyFill="1" applyBorder="1" applyAlignment="1">
      <alignment horizontal="center" vertical="center" wrapText="1"/>
    </xf>
    <xf numFmtId="4" fontId="30" fillId="31" borderId="7" xfId="0" applyNumberFormat="1" applyFont="1" applyFill="1" applyBorder="1" applyAlignment="1">
      <alignment horizontal="center" vertical="center" readingOrder="1"/>
    </xf>
    <xf numFmtId="10" fontId="23" fillId="31" borderId="7" xfId="0" applyNumberFormat="1" applyFont="1" applyFill="1" applyBorder="1" applyAlignment="1">
      <alignment horizontal="center" vertical="center" wrapText="1" readingOrder="1"/>
    </xf>
    <xf numFmtId="4" fontId="27" fillId="13" borderId="0" xfId="0" applyNumberFormat="1" applyFont="1" applyFill="1" applyAlignment="1">
      <alignment horizontal="center" vertical="center" readingOrder="1"/>
    </xf>
    <xf numFmtId="4" fontId="28" fillId="13" borderId="0" xfId="1" applyNumberFormat="1" applyFont="1" applyFill="1" applyAlignment="1">
      <alignment horizontal="center" vertical="center" readingOrder="1"/>
    </xf>
    <xf numFmtId="0" fontId="27" fillId="22" borderId="7" xfId="0" applyFont="1" applyFill="1" applyBorder="1" applyAlignment="1">
      <alignment horizontal="center" vertical="center" readingOrder="1"/>
    </xf>
    <xf numFmtId="0" fontId="27" fillId="22" borderId="7" xfId="0" applyFont="1" applyFill="1" applyBorder="1" applyAlignment="1">
      <alignment horizontal="center" vertical="center" wrapText="1" readingOrder="1"/>
    </xf>
    <xf numFmtId="4" fontId="27" fillId="22" borderId="7" xfId="0" applyNumberFormat="1" applyFont="1" applyFill="1" applyBorder="1" applyAlignment="1">
      <alignment horizontal="center" vertical="center" wrapText="1" readingOrder="1"/>
    </xf>
    <xf numFmtId="4" fontId="27" fillId="22" borderId="7" xfId="1" applyNumberFormat="1" applyFont="1" applyFill="1" applyBorder="1" applyAlignment="1">
      <alignment horizontal="center" vertical="center" wrapText="1" readingOrder="1"/>
    </xf>
    <xf numFmtId="0" fontId="28" fillId="14" borderId="7" xfId="0" applyFont="1" applyFill="1" applyBorder="1" applyAlignment="1">
      <alignment horizontal="center" vertical="center"/>
    </xf>
    <xf numFmtId="0" fontId="28" fillId="13" borderId="7" xfId="0" applyFont="1" applyFill="1" applyBorder="1" applyAlignment="1">
      <alignment horizontal="center" vertical="center" readingOrder="1"/>
    </xf>
    <xf numFmtId="0" fontId="28" fillId="32" borderId="7" xfId="0" applyFont="1" applyFill="1" applyBorder="1" applyAlignment="1">
      <alignment horizontal="center" vertical="center" readingOrder="1"/>
    </xf>
    <xf numFmtId="0" fontId="27" fillId="33" borderId="7" xfId="0" applyFont="1" applyFill="1" applyBorder="1" applyAlignment="1">
      <alignment horizontal="left" vertical="center" wrapText="1" readingOrder="1"/>
    </xf>
    <xf numFmtId="0" fontId="28" fillId="13" borderId="7" xfId="0" applyFont="1" applyFill="1" applyBorder="1" applyAlignment="1">
      <alignment horizontal="center" vertical="center" wrapText="1" readingOrder="1"/>
    </xf>
    <xf numFmtId="4" fontId="28" fillId="13" borderId="7" xfId="0" applyNumberFormat="1" applyFont="1" applyFill="1" applyBorder="1" applyAlignment="1">
      <alignment horizontal="center" vertical="center" readingOrder="1"/>
    </xf>
    <xf numFmtId="4" fontId="28" fillId="13" borderId="7" xfId="1" applyNumberFormat="1" applyFont="1" applyFill="1" applyBorder="1" applyAlignment="1">
      <alignment horizontal="center" vertical="center" wrapText="1" readingOrder="1"/>
    </xf>
    <xf numFmtId="4" fontId="27" fillId="13" borderId="7" xfId="1" applyNumberFormat="1" applyFont="1" applyFill="1" applyBorder="1" applyAlignment="1">
      <alignment horizontal="center" vertical="center" readingOrder="1"/>
    </xf>
    <xf numFmtId="0" fontId="28" fillId="26" borderId="7" xfId="0" applyFont="1" applyFill="1" applyBorder="1" applyAlignment="1">
      <alignment horizontal="center" vertical="center"/>
    </xf>
    <xf numFmtId="0" fontId="28" fillId="26" borderId="7" xfId="0" applyFont="1" applyFill="1" applyBorder="1" applyAlignment="1">
      <alignment horizontal="center" vertical="center" readingOrder="1"/>
    </xf>
    <xf numFmtId="0" fontId="28" fillId="26" borderId="7" xfId="0" applyFont="1" applyFill="1" applyBorder="1" applyAlignment="1">
      <alignment horizontal="center" vertical="center" wrapText="1" readingOrder="1"/>
    </xf>
    <xf numFmtId="0" fontId="28" fillId="13" borderId="7" xfId="0" applyFont="1" applyFill="1" applyBorder="1" applyAlignment="1">
      <alignment horizontal="left" vertical="center" wrapText="1" readingOrder="1"/>
    </xf>
    <xf numFmtId="4" fontId="28" fillId="26" borderId="7" xfId="0" applyNumberFormat="1" applyFont="1" applyFill="1" applyBorder="1" applyAlignment="1">
      <alignment horizontal="center" vertical="center" readingOrder="1"/>
    </xf>
    <xf numFmtId="4" fontId="28" fillId="13" borderId="7" xfId="1" applyNumberFormat="1" applyFont="1" applyFill="1" applyBorder="1" applyAlignment="1">
      <alignment horizontal="center" vertical="center" readingOrder="1"/>
    </xf>
    <xf numFmtId="4" fontId="27" fillId="15" borderId="7" xfId="1" applyNumberFormat="1" applyFont="1" applyFill="1" applyBorder="1" applyAlignment="1">
      <alignment horizontal="center" vertical="center" readingOrder="1"/>
    </xf>
    <xf numFmtId="4" fontId="27" fillId="35" borderId="7" xfId="1" applyNumberFormat="1" applyFont="1" applyFill="1" applyBorder="1" applyAlignment="1">
      <alignment horizontal="center" vertical="center" wrapText="1"/>
    </xf>
    <xf numFmtId="0" fontId="0" fillId="0" borderId="0" xfId="0" applyAlignment="1">
      <alignment horizontal="right"/>
    </xf>
    <xf numFmtId="4" fontId="0" fillId="0" borderId="0" xfId="0" applyNumberFormat="1" applyAlignment="1">
      <alignment horizontal="right"/>
    </xf>
    <xf numFmtId="4" fontId="30" fillId="31" borderId="7" xfId="0" applyNumberFormat="1" applyFont="1" applyFill="1" applyBorder="1" applyAlignment="1">
      <alignment horizontal="center" vertical="center" wrapText="1" readingOrder="1"/>
    </xf>
    <xf numFmtId="4" fontId="28" fillId="13" borderId="0" xfId="1" applyNumberFormat="1" applyFont="1" applyFill="1" applyAlignment="1">
      <alignment horizontal="left" vertical="center" readingOrder="1"/>
    </xf>
    <xf numFmtId="0" fontId="30" fillId="36" borderId="5" xfId="0" applyFont="1" applyFill="1" applyBorder="1" applyAlignment="1">
      <alignment horizontal="center" vertical="center"/>
    </xf>
    <xf numFmtId="4" fontId="30" fillId="36" borderId="5" xfId="0" applyNumberFormat="1" applyFont="1" applyFill="1" applyBorder="1" applyAlignment="1">
      <alignment horizontal="center" vertical="center"/>
    </xf>
    <xf numFmtId="0" fontId="23" fillId="26" borderId="5" xfId="0" applyFont="1" applyFill="1" applyBorder="1" applyAlignment="1">
      <alignment horizontal="center" vertical="center" wrapText="1"/>
    </xf>
    <xf numFmtId="2" fontId="23" fillId="26" borderId="5" xfId="0" applyNumberFormat="1" applyFont="1" applyFill="1" applyBorder="1" applyAlignment="1">
      <alignment horizontal="center" vertical="center"/>
    </xf>
    <xf numFmtId="4" fontId="23" fillId="26" borderId="5" xfId="0" applyNumberFormat="1" applyFont="1" applyFill="1" applyBorder="1" applyAlignment="1">
      <alignment horizontal="center" vertical="center"/>
    </xf>
    <xf numFmtId="49" fontId="23" fillId="26" borderId="7" xfId="0" quotePrefix="1" applyNumberFormat="1" applyFont="1" applyFill="1" applyBorder="1" applyAlignment="1">
      <alignment horizontal="center" vertical="center" wrapText="1" readingOrder="1"/>
    </xf>
    <xf numFmtId="10" fontId="27" fillId="13" borderId="7" xfId="30" applyNumberFormat="1" applyFont="1" applyFill="1" applyBorder="1" applyAlignment="1">
      <alignment horizontal="center" vertical="center" readingOrder="1"/>
    </xf>
    <xf numFmtId="10" fontId="43" fillId="0" borderId="7" xfId="30" applyNumberFormat="1" applyFont="1" applyBorder="1" applyAlignment="1">
      <alignment horizontal="center" vertical="center"/>
    </xf>
    <xf numFmtId="0" fontId="52" fillId="0" borderId="2" xfId="0" applyFont="1"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2" xfId="0" applyBorder="1" applyAlignment="1">
      <alignment horizontal="left" vertical="top" wrapText="1"/>
    </xf>
    <xf numFmtId="4" fontId="0" fillId="0" borderId="2" xfId="0" applyNumberFormat="1" applyBorder="1" applyAlignment="1">
      <alignment horizontal="right" vertical="top" wrapText="1"/>
    </xf>
    <xf numFmtId="0" fontId="52" fillId="0" borderId="2" xfId="0" applyFont="1" applyBorder="1" applyAlignment="1">
      <alignment vertical="top" wrapText="1"/>
    </xf>
    <xf numFmtId="0" fontId="0" fillId="0" borderId="2" xfId="0" applyBorder="1" applyAlignment="1">
      <alignment vertical="top" wrapText="1"/>
    </xf>
    <xf numFmtId="0" fontId="52" fillId="37" borderId="2" xfId="0" applyFont="1" applyFill="1" applyBorder="1" applyAlignment="1">
      <alignment horizontal="left" wrapText="1"/>
    </xf>
    <xf numFmtId="0" fontId="52" fillId="37" borderId="2" xfId="0" applyFont="1" applyFill="1" applyBorder="1" applyAlignment="1">
      <alignment horizontal="center" wrapText="1"/>
    </xf>
    <xf numFmtId="4" fontId="35" fillId="0" borderId="7" xfId="0" applyNumberFormat="1" applyFont="1" applyBorder="1" applyAlignment="1">
      <alignment horizontal="left" vertical="center" wrapText="1"/>
    </xf>
    <xf numFmtId="4" fontId="35" fillId="0" borderId="7" xfId="27" applyNumberFormat="1" applyFont="1" applyFill="1" applyBorder="1" applyAlignment="1">
      <alignment horizontal="left" vertical="center"/>
    </xf>
    <xf numFmtId="4" fontId="35" fillId="0" borderId="7" xfId="27" applyNumberFormat="1" applyFont="1" applyFill="1" applyBorder="1" applyAlignment="1">
      <alignment horizontal="center" vertical="center" wrapText="1"/>
    </xf>
    <xf numFmtId="0" fontId="43" fillId="0" borderId="0" xfId="0" applyFont="1" applyAlignment="1">
      <alignment horizontal="left" vertical="center"/>
    </xf>
    <xf numFmtId="0" fontId="49" fillId="21" borderId="0" xfId="0" applyFont="1" applyFill="1" applyAlignment="1">
      <alignment horizontal="center" wrapText="1"/>
    </xf>
    <xf numFmtId="0" fontId="43" fillId="0" borderId="0" xfId="0" applyFont="1" applyAlignment="1">
      <alignment horizontal="center" wrapText="1"/>
    </xf>
    <xf numFmtId="44" fontId="23" fillId="13" borderId="0" xfId="1" applyFont="1" applyFill="1" applyAlignment="1">
      <alignment horizontal="center" wrapText="1"/>
    </xf>
    <xf numFmtId="2" fontId="43" fillId="0" borderId="0" xfId="0" applyNumberFormat="1" applyFont="1" applyAlignment="1">
      <alignment wrapText="1"/>
    </xf>
    <xf numFmtId="2" fontId="43" fillId="0" borderId="0" xfId="0" applyNumberFormat="1" applyFont="1" applyAlignment="1">
      <alignment horizontal="center" wrapText="1"/>
    </xf>
    <xf numFmtId="171" fontId="43" fillId="0" borderId="0" xfId="0" applyNumberFormat="1" applyFont="1" applyAlignment="1">
      <alignment horizontal="center" wrapText="1"/>
    </xf>
    <xf numFmtId="4" fontId="28" fillId="26" borderId="7" xfId="1" applyNumberFormat="1" applyFont="1" applyFill="1" applyBorder="1" applyAlignment="1">
      <alignment horizontal="center" vertical="center" wrapText="1"/>
    </xf>
    <xf numFmtId="0" fontId="23" fillId="18" borderId="19" xfId="0" applyFont="1" applyFill="1" applyBorder="1" applyAlignment="1">
      <alignment vertical="center" readingOrder="1"/>
    </xf>
    <xf numFmtId="10" fontId="23" fillId="0" borderId="0" xfId="0" applyNumberFormat="1" applyFont="1" applyAlignment="1">
      <alignment vertical="center"/>
    </xf>
    <xf numFmtId="49" fontId="30" fillId="23" borderId="7" xfId="0" applyNumberFormat="1" applyFont="1" applyFill="1" applyBorder="1" applyAlignment="1">
      <alignment horizontal="center" vertical="center"/>
    </xf>
    <xf numFmtId="0" fontId="23" fillId="21" borderId="0" xfId="0" applyFont="1" applyFill="1" applyAlignment="1">
      <alignment vertical="center"/>
    </xf>
    <xf numFmtId="49" fontId="23" fillId="21" borderId="7" xfId="0" applyNumberFormat="1" applyFont="1" applyFill="1" applyBorder="1" applyAlignment="1">
      <alignment horizontal="center" vertical="center"/>
    </xf>
    <xf numFmtId="0" fontId="23" fillId="21" borderId="7" xfId="0" applyFont="1" applyFill="1" applyBorder="1" applyAlignment="1">
      <alignment vertical="center"/>
    </xf>
    <xf numFmtId="0" fontId="23" fillId="21" borderId="7" xfId="0" applyFont="1" applyFill="1" applyBorder="1" applyAlignment="1">
      <alignment vertical="center" wrapText="1"/>
    </xf>
    <xf numFmtId="49" fontId="23" fillId="21" borderId="0" xfId="0" applyNumberFormat="1" applyFont="1" applyFill="1" applyAlignment="1">
      <alignment horizontal="center" vertical="center"/>
    </xf>
    <xf numFmtId="0" fontId="27" fillId="0" borderId="0" xfId="0" applyFont="1" applyAlignment="1">
      <alignment horizontal="left" vertical="center"/>
    </xf>
    <xf numFmtId="4" fontId="35" fillId="0" borderId="7" xfId="0" applyNumberFormat="1" applyFont="1" applyBorder="1" applyAlignment="1">
      <alignment horizontal="center" vertical="center"/>
    </xf>
    <xf numFmtId="4" fontId="47" fillId="0" borderId="7" xfId="27" applyNumberFormat="1" applyFont="1" applyFill="1" applyBorder="1" applyAlignment="1">
      <alignment horizontal="left" vertical="center"/>
    </xf>
    <xf numFmtId="4" fontId="47" fillId="24" borderId="7" xfId="0" applyNumberFormat="1" applyFont="1" applyFill="1" applyBorder="1" applyAlignment="1">
      <alignment horizontal="left" vertical="center"/>
    </xf>
    <xf numFmtId="4" fontId="53" fillId="0" borderId="7" xfId="27" applyNumberFormat="1" applyFont="1" applyFill="1" applyBorder="1" applyAlignment="1">
      <alignment horizontal="left" vertical="center"/>
    </xf>
    <xf numFmtId="4" fontId="53" fillId="0" borderId="7" xfId="27" applyNumberFormat="1" applyFont="1" applyFill="1" applyBorder="1" applyAlignment="1">
      <alignment horizontal="center" vertical="center"/>
    </xf>
    <xf numFmtId="4" fontId="47" fillId="21" borderId="7" xfId="0" applyNumberFormat="1" applyFont="1" applyFill="1" applyBorder="1" applyAlignment="1">
      <alignment horizontal="center" vertical="center"/>
    </xf>
    <xf numFmtId="4" fontId="47" fillId="21" borderId="7" xfId="0" applyNumberFormat="1" applyFont="1" applyFill="1" applyBorder="1" applyAlignment="1">
      <alignment horizontal="center" vertical="center" wrapText="1"/>
    </xf>
    <xf numFmtId="4" fontId="47" fillId="21" borderId="7" xfId="27" applyNumberFormat="1" applyFont="1" applyFill="1" applyBorder="1" applyAlignment="1">
      <alignment horizontal="center" vertical="center"/>
    </xf>
    <xf numFmtId="4" fontId="47" fillId="21" borderId="7" xfId="0" applyNumberFormat="1" applyFont="1" applyFill="1" applyBorder="1" applyAlignment="1">
      <alignment horizontal="left" vertical="center"/>
    </xf>
    <xf numFmtId="4" fontId="47" fillId="23" borderId="7" xfId="0" applyNumberFormat="1" applyFont="1" applyFill="1" applyBorder="1" applyAlignment="1">
      <alignment horizontal="left" vertical="center"/>
    </xf>
    <xf numFmtId="4" fontId="47" fillId="23" borderId="7" xfId="0" applyNumberFormat="1" applyFont="1" applyFill="1" applyBorder="1" applyAlignment="1">
      <alignment horizontal="left" vertical="center" wrapText="1"/>
    </xf>
    <xf numFmtId="0" fontId="27" fillId="33" borderId="7" xfId="0" applyFont="1" applyFill="1" applyBorder="1" applyAlignment="1">
      <alignment horizontal="left" vertical="center" readingOrder="1"/>
    </xf>
    <xf numFmtId="4" fontId="35" fillId="0" borderId="12" xfId="27" applyNumberFormat="1" applyFont="1" applyFill="1" applyBorder="1" applyAlignment="1">
      <alignment horizontal="center" vertical="center"/>
    </xf>
    <xf numFmtId="4" fontId="35" fillId="0" borderId="17" xfId="27" applyNumberFormat="1" applyFont="1" applyFill="1" applyBorder="1" applyAlignment="1">
      <alignment horizontal="center" vertical="center"/>
    </xf>
    <xf numFmtId="4" fontId="35" fillId="0" borderId="14" xfId="27" applyNumberFormat="1" applyFont="1" applyFill="1" applyBorder="1" applyAlignment="1">
      <alignment horizontal="center" vertical="center"/>
    </xf>
    <xf numFmtId="49" fontId="30" fillId="19" borderId="0" xfId="0" applyNumberFormat="1" applyFont="1" applyFill="1" applyAlignment="1">
      <alignment vertical="center"/>
    </xf>
    <xf numFmtId="17" fontId="30" fillId="19" borderId="0" xfId="0" quotePrefix="1" applyNumberFormat="1" applyFont="1" applyFill="1" applyAlignment="1">
      <alignment horizontal="center" vertical="center"/>
    </xf>
    <xf numFmtId="49" fontId="30" fillId="0" borderId="0" xfId="0" applyNumberFormat="1" applyFont="1" applyAlignment="1">
      <alignment vertical="center"/>
    </xf>
    <xf numFmtId="4" fontId="30" fillId="0" borderId="0" xfId="1" applyNumberFormat="1" applyFont="1" applyBorder="1" applyAlignment="1">
      <alignment vertical="center"/>
    </xf>
    <xf numFmtId="0" fontId="30" fillId="0" borderId="0" xfId="0" applyFont="1"/>
    <xf numFmtId="2" fontId="30" fillId="0" borderId="0" xfId="27" applyNumberFormat="1" applyFont="1" applyBorder="1" applyAlignment="1">
      <alignment horizontal="center" vertical="center"/>
    </xf>
    <xf numFmtId="4" fontId="30" fillId="0" borderId="0" xfId="27" applyNumberFormat="1" applyFont="1" applyBorder="1" applyAlignment="1">
      <alignment horizontal="center" vertical="center"/>
    </xf>
    <xf numFmtId="0" fontId="23" fillId="0" borderId="2" xfId="0" applyFont="1" applyBorder="1" applyAlignment="1">
      <alignment vertical="center" wrapText="1"/>
    </xf>
    <xf numFmtId="4" fontId="23" fillId="0" borderId="2" xfId="0" applyNumberFormat="1" applyFont="1" applyBorder="1" applyAlignment="1">
      <alignment vertical="center" wrapText="1"/>
    </xf>
    <xf numFmtId="0" fontId="23" fillId="0" borderId="2" xfId="0" applyFont="1" applyBorder="1" applyAlignment="1">
      <alignment horizontal="center" vertical="center"/>
    </xf>
    <xf numFmtId="0" fontId="23" fillId="0" borderId="2" xfId="0" applyFont="1" applyBorder="1" applyAlignment="1">
      <alignment horizontal="left" vertical="center" wrapText="1"/>
    </xf>
    <xf numFmtId="4" fontId="23" fillId="0" borderId="2" xfId="0" applyNumberFormat="1" applyFont="1" applyBorder="1" applyAlignment="1">
      <alignment horizontal="center" vertical="center"/>
    </xf>
    <xf numFmtId="0" fontId="23" fillId="0" borderId="5" xfId="0" applyFont="1" applyBorder="1" applyAlignment="1">
      <alignment vertical="center"/>
    </xf>
    <xf numFmtId="4" fontId="23" fillId="0" borderId="4" xfId="0" applyNumberFormat="1" applyFont="1" applyBorder="1" applyAlignment="1">
      <alignment vertical="center"/>
    </xf>
    <xf numFmtId="0" fontId="23" fillId="0" borderId="5" xfId="0" applyFont="1" applyBorder="1" applyAlignment="1">
      <alignment wrapText="1"/>
    </xf>
    <xf numFmtId="4" fontId="23" fillId="0" borderId="4" xfId="0" applyNumberFormat="1" applyFont="1" applyBorder="1" applyAlignment="1">
      <alignment wrapText="1"/>
    </xf>
    <xf numFmtId="0" fontId="23" fillId="0" borderId="5" xfId="0" applyFont="1" applyBorder="1"/>
    <xf numFmtId="4" fontId="23" fillId="0" borderId="4" xfId="0" applyNumberFormat="1" applyFont="1" applyBorder="1"/>
    <xf numFmtId="0" fontId="23" fillId="0" borderId="5" xfId="0" applyFont="1" applyBorder="1" applyAlignment="1">
      <alignment vertical="center" wrapText="1"/>
    </xf>
    <xf numFmtId="4" fontId="23" fillId="0" borderId="4" xfId="0" applyNumberFormat="1" applyFont="1" applyBorder="1" applyAlignment="1">
      <alignment vertical="center" wrapText="1"/>
    </xf>
    <xf numFmtId="4" fontId="23" fillId="0" borderId="0" xfId="1" applyNumberFormat="1" applyFont="1" applyBorder="1" applyAlignment="1"/>
    <xf numFmtId="0" fontId="23" fillId="21" borderId="0" xfId="0" applyFont="1" applyFill="1" applyAlignment="1">
      <alignment horizontal="center" vertical="center"/>
    </xf>
    <xf numFmtId="0" fontId="23" fillId="21" borderId="7" xfId="0" applyFont="1" applyFill="1" applyBorder="1" applyAlignment="1">
      <alignment horizontal="left" vertical="center"/>
    </xf>
    <xf numFmtId="2" fontId="23" fillId="21" borderId="7" xfId="0" applyNumberFormat="1" applyFont="1" applyFill="1" applyBorder="1" applyAlignment="1">
      <alignment horizontal="center" vertical="center"/>
    </xf>
    <xf numFmtId="10" fontId="23" fillId="21" borderId="7" xfId="30" applyNumberFormat="1" applyFont="1" applyFill="1" applyBorder="1" applyAlignment="1">
      <alignment horizontal="center" vertical="center"/>
    </xf>
    <xf numFmtId="0" fontId="23" fillId="21" borderId="0" xfId="0" applyFont="1" applyFill="1" applyAlignment="1">
      <alignment horizontal="left" vertical="center"/>
    </xf>
    <xf numFmtId="4" fontId="23" fillId="21" borderId="7" xfId="0" applyNumberFormat="1" applyFont="1" applyFill="1" applyBorder="1" applyAlignment="1">
      <alignment horizontal="center" vertical="center"/>
    </xf>
    <xf numFmtId="4" fontId="23" fillId="21" borderId="0" xfId="0" applyNumberFormat="1" applyFont="1" applyFill="1" applyAlignment="1">
      <alignment wrapText="1"/>
    </xf>
    <xf numFmtId="4" fontId="23" fillId="21" borderId="7" xfId="0" applyNumberFormat="1" applyFont="1" applyFill="1" applyBorder="1" applyAlignment="1">
      <alignment horizontal="center" vertical="center" wrapText="1"/>
    </xf>
    <xf numFmtId="4" fontId="30" fillId="21" borderId="7" xfId="0" applyNumberFormat="1" applyFont="1" applyFill="1" applyBorder="1" applyAlignment="1">
      <alignment horizontal="center" vertical="center" wrapText="1"/>
    </xf>
    <xf numFmtId="4" fontId="23" fillId="21" borderId="0" xfId="0" applyNumberFormat="1" applyFont="1" applyFill="1" applyAlignment="1">
      <alignment horizontal="center" vertical="center" wrapText="1"/>
    </xf>
    <xf numFmtId="3" fontId="23" fillId="21" borderId="7" xfId="0" applyNumberFormat="1" applyFont="1" applyFill="1" applyBorder="1" applyAlignment="1">
      <alignment horizontal="center" vertical="center" wrapText="1"/>
    </xf>
    <xf numFmtId="4" fontId="47" fillId="21" borderId="12" xfId="0" applyNumberFormat="1" applyFont="1" applyFill="1" applyBorder="1" applyAlignment="1">
      <alignment horizontal="center" vertical="center" wrapText="1"/>
    </xf>
    <xf numFmtId="4" fontId="47" fillId="21" borderId="14" xfId="0" applyNumberFormat="1" applyFont="1" applyFill="1" applyBorder="1" applyAlignment="1">
      <alignment horizontal="center" vertical="center" wrapText="1"/>
    </xf>
    <xf numFmtId="4" fontId="45" fillId="21" borderId="0" xfId="0" applyNumberFormat="1" applyFont="1" applyFill="1" applyAlignment="1">
      <alignment horizontal="center" vertical="center" wrapText="1"/>
    </xf>
    <xf numFmtId="0" fontId="8" fillId="0" borderId="0" xfId="0" applyFont="1" applyAlignment="1">
      <alignment horizontal="center" vertical="center"/>
    </xf>
    <xf numFmtId="0" fontId="52" fillId="23" borderId="7" xfId="0" applyFont="1" applyFill="1" applyBorder="1" applyAlignment="1">
      <alignment horizontal="center" vertical="center"/>
    </xf>
    <xf numFmtId="0" fontId="52" fillId="23" borderId="7" xfId="0" applyFont="1" applyFill="1" applyBorder="1" applyAlignment="1">
      <alignment horizontal="center" vertical="center" wrapText="1"/>
    </xf>
    <xf numFmtId="0" fontId="8" fillId="0" borderId="7" xfId="0" applyFont="1" applyBorder="1" applyAlignment="1">
      <alignment horizontal="center" vertical="center"/>
    </xf>
    <xf numFmtId="0" fontId="8" fillId="0" borderId="7" xfId="0" applyFont="1" applyBorder="1" applyAlignment="1">
      <alignment horizontal="left" vertical="center" wrapText="1"/>
    </xf>
    <xf numFmtId="0" fontId="8" fillId="0" borderId="7" xfId="0" applyFont="1" applyBorder="1" applyAlignment="1">
      <alignment horizontal="left" vertical="center"/>
    </xf>
    <xf numFmtId="0" fontId="8" fillId="0" borderId="12" xfId="0" applyFont="1" applyBorder="1" applyAlignment="1">
      <alignment horizontal="left" vertical="center"/>
    </xf>
    <xf numFmtId="0" fontId="8" fillId="21" borderId="7" xfId="0" applyFont="1" applyFill="1" applyBorder="1" applyAlignment="1">
      <alignment horizontal="center" vertical="center"/>
    </xf>
    <xf numFmtId="0" fontId="8" fillId="21" borderId="7" xfId="0" applyFont="1" applyFill="1" applyBorder="1" applyAlignment="1">
      <alignment horizontal="left" vertical="center"/>
    </xf>
    <xf numFmtId="0" fontId="8" fillId="21" borderId="7" xfId="0" applyFont="1" applyFill="1" applyBorder="1" applyAlignment="1">
      <alignment horizontal="left" vertical="center" wrapText="1"/>
    </xf>
    <xf numFmtId="4" fontId="47" fillId="0" borderId="7" xfId="0" applyNumberFormat="1" applyFont="1" applyBorder="1" applyAlignment="1">
      <alignment horizontal="left" vertical="center"/>
    </xf>
    <xf numFmtId="4" fontId="43" fillId="0" borderId="7" xfId="0" applyNumberFormat="1" applyFont="1" applyBorder="1" applyAlignment="1">
      <alignment horizontal="center" vertical="center"/>
    </xf>
    <xf numFmtId="0" fontId="6" fillId="0" borderId="7" xfId="0" applyFont="1" applyBorder="1" applyAlignment="1">
      <alignment horizontal="center" vertical="center"/>
    </xf>
    <xf numFmtId="0" fontId="5" fillId="0" borderId="7" xfId="0" applyFont="1" applyBorder="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horizontal="left" vertical="center" wrapText="1"/>
    </xf>
    <xf numFmtId="0" fontId="4" fillId="0" borderId="7" xfId="0" applyFont="1" applyBorder="1" applyAlignment="1">
      <alignment horizontal="center" vertical="center"/>
    </xf>
    <xf numFmtId="0" fontId="8" fillId="21" borderId="0" xfId="0" applyFont="1" applyFill="1" applyAlignment="1">
      <alignment horizontal="center" vertical="center"/>
    </xf>
    <xf numFmtId="0" fontId="7" fillId="21" borderId="7" xfId="0" applyFont="1" applyFill="1" applyBorder="1" applyAlignment="1">
      <alignment horizontal="center" vertical="center"/>
    </xf>
    <xf numFmtId="0" fontId="3" fillId="21" borderId="7" xfId="0" applyFont="1" applyFill="1" applyBorder="1" applyAlignment="1">
      <alignment horizontal="center" vertical="center"/>
    </xf>
    <xf numFmtId="0" fontId="2" fillId="21" borderId="0" xfId="0" applyFont="1" applyFill="1" applyAlignment="1">
      <alignment horizontal="left" vertical="center"/>
    </xf>
    <xf numFmtId="0" fontId="2" fillId="0" borderId="7" xfId="0" applyFont="1" applyBorder="1" applyAlignment="1">
      <alignment horizontal="center" vertical="center"/>
    </xf>
    <xf numFmtId="0" fontId="2" fillId="21" borderId="7" xfId="0" applyFont="1" applyFill="1" applyBorder="1" applyAlignment="1">
      <alignment horizontal="left" vertical="center"/>
    </xf>
    <xf numFmtId="0" fontId="2" fillId="21" borderId="7" xfId="0" applyFont="1" applyFill="1" applyBorder="1" applyAlignment="1">
      <alignment horizontal="center" vertical="center"/>
    </xf>
    <xf numFmtId="0" fontId="30" fillId="23" borderId="7" xfId="0" applyFont="1" applyFill="1" applyBorder="1" applyAlignment="1">
      <alignment horizontal="center" vertical="center"/>
    </xf>
    <xf numFmtId="0" fontId="1" fillId="21" borderId="7" xfId="0" applyFont="1" applyFill="1" applyBorder="1" applyAlignment="1">
      <alignment horizontal="center" vertical="center"/>
    </xf>
    <xf numFmtId="0" fontId="1" fillId="21" borderId="0" xfId="0" applyFont="1" applyFill="1" applyAlignment="1">
      <alignment horizontal="left" vertical="center"/>
    </xf>
    <xf numFmtId="4" fontId="35" fillId="0" borderId="7" xfId="0" applyNumberFormat="1" applyFont="1" applyBorder="1" applyAlignment="1">
      <alignment horizontal="center" vertical="center" wrapText="1"/>
    </xf>
    <xf numFmtId="4" fontId="43" fillId="0" borderId="0" xfId="0" applyNumberFormat="1" applyFont="1" applyAlignment="1">
      <alignment vertical="center" wrapText="1"/>
    </xf>
    <xf numFmtId="4" fontId="35" fillId="0" borderId="12" xfId="27" applyNumberFormat="1" applyFont="1" applyFill="1" applyBorder="1" applyAlignment="1">
      <alignment horizontal="center" vertical="center" wrapText="1"/>
    </xf>
    <xf numFmtId="4" fontId="35" fillId="0" borderId="17" xfId="27" applyNumberFormat="1" applyFont="1" applyFill="1" applyBorder="1" applyAlignment="1">
      <alignment horizontal="center" vertical="center" wrapText="1"/>
    </xf>
    <xf numFmtId="4" fontId="35" fillId="21" borderId="7" xfId="0" applyNumberFormat="1" applyFont="1" applyFill="1" applyBorder="1" applyAlignment="1">
      <alignment horizontal="left" vertical="center"/>
    </xf>
    <xf numFmtId="4" fontId="47" fillId="0" borderId="7" xfId="0" applyNumberFormat="1" applyFont="1" applyBorder="1" applyAlignment="1">
      <alignment horizontal="left" vertical="center" wrapText="1"/>
    </xf>
    <xf numFmtId="4" fontId="35" fillId="0" borderId="17" xfId="0" applyNumberFormat="1" applyFont="1" applyBorder="1" applyAlignment="1">
      <alignment horizontal="center" vertical="center"/>
    </xf>
    <xf numFmtId="4" fontId="23" fillId="21" borderId="12" xfId="0" applyNumberFormat="1" applyFont="1" applyFill="1" applyBorder="1" applyAlignment="1">
      <alignment horizontal="center" vertical="center" wrapText="1" readingOrder="1"/>
    </xf>
    <xf numFmtId="4" fontId="23" fillId="21" borderId="14" xfId="0" applyNumberFormat="1" applyFont="1" applyFill="1" applyBorder="1" applyAlignment="1">
      <alignment vertical="center" wrapText="1" readingOrder="1"/>
    </xf>
    <xf numFmtId="0" fontId="23" fillId="0" borderId="21" xfId="0" applyFont="1" applyBorder="1" applyAlignment="1" applyProtection="1">
      <alignment horizontal="left" vertical="center"/>
      <protection hidden="1"/>
    </xf>
    <xf numFmtId="43" fontId="23" fillId="0" borderId="21" xfId="27" applyFont="1" applyBorder="1" applyAlignment="1" applyProtection="1">
      <alignment horizontal="center" vertical="center"/>
      <protection hidden="1"/>
    </xf>
    <xf numFmtId="43" fontId="23" fillId="0" borderId="21" xfId="0" applyNumberFormat="1" applyFont="1" applyBorder="1" applyAlignment="1" applyProtection="1">
      <alignment horizontal="left" vertical="center"/>
      <protection hidden="1"/>
    </xf>
    <xf numFmtId="0" fontId="55" fillId="0" borderId="0" xfId="0" applyFont="1" applyAlignment="1" applyProtection="1">
      <alignment horizontal="right" vertical="center"/>
      <protection hidden="1"/>
    </xf>
    <xf numFmtId="0" fontId="56" fillId="0" borderId="0" xfId="0" applyFont="1" applyAlignment="1" applyProtection="1">
      <alignment vertical="center"/>
      <protection hidden="1"/>
    </xf>
    <xf numFmtId="0" fontId="23" fillId="13" borderId="22" xfId="0" applyFont="1" applyFill="1" applyBorder="1" applyAlignment="1" applyProtection="1">
      <alignment horizontal="center" vertical="center" readingOrder="1"/>
      <protection hidden="1"/>
    </xf>
    <xf numFmtId="0" fontId="23" fillId="0" borderId="0" xfId="0" applyFont="1" applyAlignment="1" applyProtection="1">
      <alignment vertical="center"/>
      <protection hidden="1"/>
    </xf>
    <xf numFmtId="0" fontId="23" fillId="13" borderId="0" xfId="0" applyFont="1" applyFill="1" applyAlignment="1" applyProtection="1">
      <alignment horizontal="left" vertical="center" wrapText="1" readingOrder="1"/>
      <protection hidden="1"/>
    </xf>
    <xf numFmtId="0" fontId="56" fillId="0" borderId="23" xfId="0" applyFont="1" applyBorder="1" applyAlignment="1" applyProtection="1">
      <alignment horizontal="center" vertical="center"/>
      <protection hidden="1"/>
    </xf>
    <xf numFmtId="44" fontId="23" fillId="13" borderId="0" xfId="0" applyNumberFormat="1" applyFont="1" applyFill="1" applyAlignment="1" applyProtection="1">
      <alignment horizontal="left" vertical="center" wrapText="1" readingOrder="1"/>
      <protection hidden="1"/>
    </xf>
    <xf numFmtId="0" fontId="56" fillId="0" borderId="0" xfId="0" applyFont="1" applyAlignment="1" applyProtection="1">
      <alignment horizontal="center" vertical="center"/>
      <protection hidden="1"/>
    </xf>
    <xf numFmtId="0" fontId="23" fillId="27" borderId="7" xfId="0" applyFont="1" applyFill="1" applyBorder="1" applyAlignment="1">
      <alignment vertical="center"/>
    </xf>
    <xf numFmtId="0" fontId="55" fillId="0" borderId="0" xfId="0" applyFont="1" applyAlignment="1" applyProtection="1">
      <alignment horizontal="right" vertical="center" wrapText="1"/>
      <protection hidden="1"/>
    </xf>
    <xf numFmtId="0" fontId="55" fillId="0" borderId="0" xfId="0" applyFont="1" applyAlignment="1" applyProtection="1">
      <alignment vertical="center" wrapText="1"/>
      <protection hidden="1"/>
    </xf>
    <xf numFmtId="0" fontId="23" fillId="13" borderId="0" xfId="0" applyFont="1" applyFill="1" applyAlignment="1" applyProtection="1">
      <alignment vertical="center" readingOrder="1"/>
      <protection hidden="1"/>
    </xf>
    <xf numFmtId="44" fontId="23" fillId="13" borderId="0" xfId="0" applyNumberFormat="1" applyFont="1" applyFill="1" applyAlignment="1" applyProtection="1">
      <alignment horizontal="center" vertical="center" wrapText="1" readingOrder="1"/>
      <protection hidden="1"/>
    </xf>
    <xf numFmtId="0" fontId="38" fillId="0" borderId="0" xfId="0" applyFont="1" applyAlignment="1">
      <alignment horizontal="right"/>
    </xf>
    <xf numFmtId="0" fontId="28" fillId="31" borderId="7" xfId="0" applyFont="1" applyFill="1" applyBorder="1" applyAlignment="1">
      <alignment horizontal="left" vertical="center" wrapText="1" readingOrder="1"/>
    </xf>
    <xf numFmtId="0" fontId="28" fillId="31" borderId="7" xfId="0" applyFont="1" applyFill="1" applyBorder="1" applyAlignment="1">
      <alignment horizontal="center" vertical="center" wrapText="1" readingOrder="1"/>
    </xf>
    <xf numFmtId="4" fontId="28" fillId="31" borderId="7" xfId="1" applyNumberFormat="1" applyFont="1" applyFill="1" applyBorder="1" applyAlignment="1">
      <alignment horizontal="center" vertical="center" wrapText="1" readingOrder="1"/>
    </xf>
    <xf numFmtId="4" fontId="28" fillId="31" borderId="7" xfId="1" applyNumberFormat="1" applyFont="1" applyFill="1" applyBorder="1" applyAlignment="1">
      <alignment horizontal="center" vertical="center" readingOrder="1"/>
    </xf>
    <xf numFmtId="10" fontId="43" fillId="21" borderId="7" xfId="30" applyNumberFormat="1" applyFont="1" applyFill="1" applyBorder="1" applyAlignment="1">
      <alignment horizontal="center" vertical="center"/>
    </xf>
    <xf numFmtId="0" fontId="43" fillId="21" borderId="0" xfId="0" applyFont="1" applyFill="1" applyAlignment="1">
      <alignment vertical="center"/>
    </xf>
    <xf numFmtId="0" fontId="52" fillId="0" borderId="3" xfId="0" applyFont="1" applyBorder="1" applyAlignment="1">
      <alignment vertical="top" wrapText="1"/>
    </xf>
    <xf numFmtId="0" fontId="52"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30" fillId="0" borderId="0" xfId="17" applyFont="1"/>
    <xf numFmtId="10" fontId="46" fillId="11" borderId="2" xfId="9" applyNumberFormat="1" applyFont="1" applyFill="1" applyBorder="1" applyAlignment="1">
      <alignment horizontal="center" vertical="center" wrapText="1"/>
    </xf>
    <xf numFmtId="0" fontId="51" fillId="0" borderId="0" xfId="0" applyFont="1" applyAlignment="1">
      <alignment horizontal="center" vertical="center"/>
    </xf>
    <xf numFmtId="10" fontId="39" fillId="8" borderId="0" xfId="0" applyNumberFormat="1" applyFont="1" applyFill="1" applyAlignment="1" applyProtection="1">
      <alignment vertical="center" wrapText="1"/>
      <protection locked="0"/>
    </xf>
    <xf numFmtId="10" fontId="40" fillId="8" borderId="0" xfId="0" applyNumberFormat="1" applyFont="1" applyFill="1" applyAlignment="1" applyProtection="1">
      <alignment vertical="center" wrapText="1"/>
      <protection locked="0"/>
    </xf>
    <xf numFmtId="0" fontId="40" fillId="8" borderId="0" xfId="27" applyNumberFormat="1" applyFont="1" applyFill="1" applyBorder="1" applyAlignment="1" applyProtection="1">
      <alignment horizontal="left" vertical="center" wrapText="1"/>
      <protection locked="0"/>
    </xf>
    <xf numFmtId="0" fontId="23" fillId="0" borderId="0" xfId="17" applyAlignment="1">
      <alignment horizontal="left"/>
    </xf>
    <xf numFmtId="0" fontId="23" fillId="0" borderId="0" xfId="0" applyFont="1" applyAlignment="1">
      <alignment horizontal="left" vertical="center" wrapText="1"/>
    </xf>
    <xf numFmtId="0" fontId="23" fillId="0" borderId="0" xfId="0" applyFont="1" applyAlignment="1">
      <alignment horizontal="left" vertical="center"/>
    </xf>
    <xf numFmtId="10" fontId="41" fillId="0" borderId="11" xfId="19" applyNumberFormat="1" applyFont="1" applyBorder="1" applyAlignment="1">
      <alignment horizontal="center" vertical="center" wrapText="1"/>
    </xf>
    <xf numFmtId="10" fontId="32" fillId="0" borderId="2" xfId="19" applyNumberFormat="1" applyFont="1" applyBorder="1" applyAlignment="1">
      <alignment horizontal="center" vertical="center" wrapText="1"/>
    </xf>
    <xf numFmtId="0" fontId="27" fillId="12" borderId="2" xfId="17" applyFont="1" applyFill="1" applyBorder="1" applyAlignment="1">
      <alignment horizontal="center" vertical="center" wrapText="1"/>
    </xf>
    <xf numFmtId="166" fontId="27" fillId="12" borderId="2" xfId="8" applyFont="1" applyFill="1" applyBorder="1" applyAlignment="1">
      <alignment horizontal="center" vertical="center" wrapText="1"/>
    </xf>
    <xf numFmtId="0" fontId="56" fillId="0" borderId="0" xfId="0" applyFont="1" applyAlignment="1" applyProtection="1">
      <alignment horizontal="center" vertical="center"/>
      <protection hidden="1"/>
    </xf>
    <xf numFmtId="0" fontId="27" fillId="38" borderId="7" xfId="0" applyFont="1" applyFill="1" applyBorder="1" applyAlignment="1">
      <alignment horizontal="center" vertical="center" wrapText="1"/>
    </xf>
    <xf numFmtId="0" fontId="23" fillId="13" borderId="0" xfId="0" applyFont="1" applyFill="1" applyAlignment="1" applyProtection="1">
      <alignment horizontal="center" vertical="center" readingOrder="1"/>
      <protection hidden="1"/>
    </xf>
    <xf numFmtId="0" fontId="23" fillId="13" borderId="22" xfId="0" applyFont="1" applyFill="1" applyBorder="1" applyAlignment="1" applyProtection="1">
      <alignment horizontal="center" vertical="center" readingOrder="1"/>
      <protection hidden="1"/>
    </xf>
    <xf numFmtId="0" fontId="56" fillId="0" borderId="23" xfId="0" applyFont="1" applyBorder="1" applyAlignment="1" applyProtection="1">
      <alignment horizontal="center" vertical="center"/>
      <protection hidden="1"/>
    </xf>
    <xf numFmtId="0" fontId="50" fillId="13" borderId="18" xfId="0" applyFont="1" applyFill="1" applyBorder="1" applyAlignment="1">
      <alignment horizontal="center" vertical="center" readingOrder="1"/>
    </xf>
    <xf numFmtId="4" fontId="28" fillId="15" borderId="12" xfId="0" applyNumberFormat="1" applyFont="1" applyFill="1" applyBorder="1" applyAlignment="1">
      <alignment horizontal="right" vertical="center"/>
    </xf>
    <xf numFmtId="4" fontId="28" fillId="15" borderId="17" xfId="0" applyNumberFormat="1" applyFont="1" applyFill="1" applyBorder="1" applyAlignment="1">
      <alignment horizontal="right" vertical="center"/>
    </xf>
    <xf numFmtId="4" fontId="28" fillId="15" borderId="14" xfId="0" applyNumberFormat="1" applyFont="1" applyFill="1" applyBorder="1" applyAlignment="1">
      <alignment horizontal="right" vertical="center"/>
    </xf>
    <xf numFmtId="4" fontId="30" fillId="31" borderId="12" xfId="0" applyNumberFormat="1" applyFont="1" applyFill="1" applyBorder="1" applyAlignment="1">
      <alignment horizontal="center" vertical="center" wrapText="1" readingOrder="1"/>
    </xf>
    <xf numFmtId="4" fontId="30" fillId="31" borderId="14" xfId="0" applyNumberFormat="1" applyFont="1" applyFill="1" applyBorder="1" applyAlignment="1">
      <alignment horizontal="center" vertical="center" wrapText="1" readingOrder="1"/>
    </xf>
    <xf numFmtId="0" fontId="30" fillId="13" borderId="7" xfId="0" applyFont="1" applyFill="1" applyBorder="1" applyAlignment="1">
      <alignment horizontal="center" vertical="center" readingOrder="1"/>
    </xf>
    <xf numFmtId="0" fontId="23" fillId="26" borderId="7" xfId="0" applyFont="1" applyFill="1" applyBorder="1" applyAlignment="1">
      <alignment horizontal="left" vertical="center" wrapText="1" readingOrder="1"/>
    </xf>
    <xf numFmtId="0" fontId="23" fillId="26" borderId="7" xfId="0" applyFont="1" applyFill="1" applyBorder="1" applyAlignment="1">
      <alignment horizontal="left" vertical="center" readingOrder="1"/>
    </xf>
    <xf numFmtId="4" fontId="35" fillId="25" borderId="12" xfId="0" applyNumberFormat="1" applyFont="1" applyFill="1" applyBorder="1" applyAlignment="1">
      <alignment horizontal="left" vertical="center" wrapText="1"/>
    </xf>
    <xf numFmtId="4" fontId="35" fillId="25" borderId="17" xfId="0" applyNumberFormat="1" applyFont="1" applyFill="1" applyBorder="1" applyAlignment="1">
      <alignment horizontal="left" vertical="center" wrapText="1"/>
    </xf>
    <xf numFmtId="4" fontId="35" fillId="25" borderId="14" xfId="0" applyNumberFormat="1" applyFont="1" applyFill="1" applyBorder="1" applyAlignment="1">
      <alignment horizontal="left" vertical="center" wrapText="1"/>
    </xf>
    <xf numFmtId="4" fontId="47" fillId="24" borderId="7" xfId="0" applyNumberFormat="1" applyFont="1" applyFill="1" applyBorder="1" applyAlignment="1">
      <alignment horizontal="left" vertical="center"/>
    </xf>
    <xf numFmtId="4" fontId="47" fillId="23" borderId="12" xfId="0" applyNumberFormat="1" applyFont="1" applyFill="1" applyBorder="1" applyAlignment="1">
      <alignment horizontal="center" vertical="center" wrapText="1"/>
    </xf>
    <xf numFmtId="4" fontId="47" fillId="23" borderId="14" xfId="0" applyNumberFormat="1" applyFont="1" applyFill="1" applyBorder="1" applyAlignment="1">
      <alignment horizontal="center" vertical="center" wrapText="1"/>
    </xf>
    <xf numFmtId="4" fontId="35" fillId="0" borderId="12" xfId="0" applyNumberFormat="1" applyFont="1" applyBorder="1" applyAlignment="1">
      <alignment horizontal="center" vertical="center"/>
    </xf>
    <xf numFmtId="4" fontId="35" fillId="0" borderId="17" xfId="0" applyNumberFormat="1" applyFont="1" applyBorder="1" applyAlignment="1">
      <alignment horizontal="center" vertical="center"/>
    </xf>
    <xf numFmtId="4" fontId="35" fillId="0" borderId="14" xfId="0" applyNumberFormat="1" applyFont="1" applyBorder="1" applyAlignment="1">
      <alignment horizontal="center" vertical="center"/>
    </xf>
    <xf numFmtId="4" fontId="36" fillId="13" borderId="0" xfId="0" applyNumberFormat="1" applyFont="1" applyFill="1" applyAlignment="1">
      <alignment horizontal="center" vertical="center" readingOrder="1"/>
    </xf>
    <xf numFmtId="4" fontId="23" fillId="18" borderId="7" xfId="0" applyNumberFormat="1" applyFont="1" applyFill="1" applyBorder="1" applyAlignment="1">
      <alignment horizontal="left" vertical="center" readingOrder="1"/>
    </xf>
    <xf numFmtId="170" fontId="23" fillId="18" borderId="7" xfId="0" applyNumberFormat="1" applyFont="1" applyFill="1" applyBorder="1" applyAlignment="1">
      <alignment horizontal="left" vertical="center" readingOrder="1"/>
    </xf>
    <xf numFmtId="4" fontId="35" fillId="0" borderId="12" xfId="0" applyNumberFormat="1" applyFont="1" applyBorder="1" applyAlignment="1">
      <alignment horizontal="left" vertical="center" wrapText="1"/>
    </xf>
    <xf numFmtId="4" fontId="35" fillId="0" borderId="17" xfId="0" applyNumberFormat="1" applyFont="1" applyBorder="1" applyAlignment="1">
      <alignment horizontal="left" vertical="center" wrapText="1"/>
    </xf>
    <xf numFmtId="4" fontId="35" fillId="0" borderId="14" xfId="0" applyNumberFormat="1" applyFont="1" applyBorder="1" applyAlignment="1">
      <alignment horizontal="left" vertical="center" wrapText="1"/>
    </xf>
    <xf numFmtId="4" fontId="35" fillId="0" borderId="17" xfId="0" applyNumberFormat="1" applyFont="1" applyBorder="1" applyAlignment="1">
      <alignment horizontal="left" vertical="center"/>
    </xf>
    <xf numFmtId="4" fontId="35" fillId="0" borderId="14" xfId="0" applyNumberFormat="1" applyFont="1" applyBorder="1" applyAlignment="1">
      <alignment horizontal="left" vertical="center"/>
    </xf>
    <xf numFmtId="4" fontId="35" fillId="0" borderId="12" xfId="0" applyNumberFormat="1" applyFont="1" applyBorder="1" applyAlignment="1">
      <alignment horizontal="left" vertical="center"/>
    </xf>
    <xf numFmtId="0" fontId="48" fillId="34" borderId="12" xfId="0" applyFont="1" applyFill="1" applyBorder="1" applyAlignment="1">
      <alignment horizontal="center" vertical="center" wrapText="1"/>
    </xf>
    <xf numFmtId="0" fontId="48" fillId="34" borderId="17" xfId="0" applyFont="1" applyFill="1" applyBorder="1" applyAlignment="1">
      <alignment horizontal="center" vertical="center" wrapText="1"/>
    </xf>
    <xf numFmtId="0" fontId="48" fillId="34" borderId="14" xfId="0" applyFont="1" applyFill="1" applyBorder="1" applyAlignment="1">
      <alignment horizontal="center" vertical="center" wrapText="1"/>
    </xf>
    <xf numFmtId="0" fontId="27" fillId="30" borderId="12" xfId="0" applyFont="1" applyFill="1" applyBorder="1" applyAlignment="1">
      <alignment horizontal="left" vertical="center" wrapText="1"/>
    </xf>
    <xf numFmtId="0" fontId="27" fillId="30" borderId="17" xfId="0" applyFont="1" applyFill="1" applyBorder="1" applyAlignment="1">
      <alignment horizontal="left" vertical="center" wrapText="1"/>
    </xf>
    <xf numFmtId="0" fontId="27" fillId="30" borderId="14" xfId="0" applyFont="1" applyFill="1" applyBorder="1" applyAlignment="1">
      <alignment horizontal="left" vertical="center" wrapText="1"/>
    </xf>
    <xf numFmtId="0" fontId="36" fillId="13" borderId="18" xfId="0" applyFont="1" applyFill="1" applyBorder="1" applyAlignment="1">
      <alignment horizontal="center" vertical="center" wrapText="1" readingOrder="1"/>
    </xf>
    <xf numFmtId="170" fontId="23" fillId="26" borderId="12" xfId="0" applyNumberFormat="1" applyFont="1" applyFill="1" applyBorder="1" applyAlignment="1">
      <alignment horizontal="left" vertical="center" wrapText="1" readingOrder="1"/>
    </xf>
    <xf numFmtId="170" fontId="23" fillId="26" borderId="17" xfId="0" applyNumberFormat="1" applyFont="1" applyFill="1" applyBorder="1" applyAlignment="1">
      <alignment horizontal="left" vertical="center" wrapText="1" readingOrder="1"/>
    </xf>
    <xf numFmtId="170" fontId="23" fillId="26" borderId="14" xfId="0" applyNumberFormat="1" applyFont="1" applyFill="1" applyBorder="1" applyAlignment="1">
      <alignment horizontal="left" vertical="center" wrapText="1" readingOrder="1"/>
    </xf>
    <xf numFmtId="0" fontId="30" fillId="13" borderId="7" xfId="0" applyFont="1" applyFill="1" applyBorder="1" applyAlignment="1">
      <alignment horizontal="center" vertical="center" wrapText="1" readingOrder="1"/>
    </xf>
    <xf numFmtId="0" fontId="30" fillId="13" borderId="12" xfId="0" applyFont="1" applyFill="1" applyBorder="1" applyAlignment="1">
      <alignment horizontal="center" vertical="center" wrapText="1" readingOrder="1"/>
    </xf>
    <xf numFmtId="0" fontId="30" fillId="13" borderId="14" xfId="0" applyFont="1" applyFill="1" applyBorder="1" applyAlignment="1">
      <alignment horizontal="center" vertical="center" wrapText="1" readingOrder="1"/>
    </xf>
    <xf numFmtId="0" fontId="27" fillId="0" borderId="0" xfId="0" applyFont="1" applyAlignment="1">
      <alignment horizontal="left" vertical="center" wrapText="1"/>
    </xf>
    <xf numFmtId="0" fontId="55" fillId="0" borderId="0" xfId="0" applyFont="1" applyAlignment="1" applyProtection="1">
      <alignment horizontal="center" vertical="center" wrapText="1"/>
      <protection hidden="1"/>
    </xf>
    <xf numFmtId="0" fontId="57" fillId="13" borderId="0" xfId="0" applyFont="1" applyFill="1" applyAlignment="1">
      <alignment horizontal="left" vertical="center" readingOrder="1"/>
    </xf>
    <xf numFmtId="0" fontId="30" fillId="27" borderId="7" xfId="0" applyFont="1" applyFill="1" applyBorder="1" applyAlignment="1">
      <alignment horizontal="center" vertical="center"/>
    </xf>
    <xf numFmtId="0" fontId="30" fillId="23" borderId="16" xfId="0" applyFont="1" applyFill="1" applyBorder="1" applyAlignment="1">
      <alignment horizontal="center" vertical="center"/>
    </xf>
    <xf numFmtId="0" fontId="30" fillId="23" borderId="13" xfId="0" applyFont="1" applyFill="1" applyBorder="1" applyAlignment="1">
      <alignment horizontal="center" vertical="center"/>
    </xf>
    <xf numFmtId="0" fontId="30" fillId="23" borderId="16" xfId="0" applyFont="1" applyFill="1" applyBorder="1" applyAlignment="1">
      <alignment horizontal="left" vertical="center" wrapText="1"/>
    </xf>
    <xf numFmtId="0" fontId="30" fillId="23" borderId="13" xfId="0" applyFont="1" applyFill="1" applyBorder="1" applyAlignment="1">
      <alignment horizontal="left" vertical="center" wrapText="1"/>
    </xf>
    <xf numFmtId="0" fontId="30" fillId="13" borderId="7" xfId="0" applyFont="1" applyFill="1" applyBorder="1" applyAlignment="1">
      <alignment horizontal="left" vertical="center" readingOrder="1"/>
    </xf>
    <xf numFmtId="0" fontId="36" fillId="13" borderId="0" xfId="0" applyFont="1" applyFill="1" applyAlignment="1">
      <alignment horizontal="center" vertical="center" readingOrder="1"/>
    </xf>
    <xf numFmtId="0" fontId="30" fillId="23" borderId="7" xfId="0" applyFont="1" applyFill="1" applyBorder="1" applyAlignment="1">
      <alignment horizontal="center" vertical="center"/>
    </xf>
    <xf numFmtId="0" fontId="23" fillId="23" borderId="7" xfId="0" applyFont="1" applyFill="1" applyBorder="1" applyAlignment="1">
      <alignment horizontal="center" vertical="center"/>
    </xf>
    <xf numFmtId="0" fontId="23" fillId="18" borderId="7" xfId="0" applyFont="1" applyFill="1" applyBorder="1" applyAlignment="1">
      <alignment horizontal="left" vertical="center" readingOrder="1"/>
    </xf>
    <xf numFmtId="170" fontId="23" fillId="18" borderId="24" xfId="0" applyNumberFormat="1" applyFont="1" applyFill="1" applyBorder="1" applyAlignment="1">
      <alignment horizontal="left" vertical="center" readingOrder="1"/>
    </xf>
    <xf numFmtId="170" fontId="23" fillId="18" borderId="25" xfId="0" applyNumberFormat="1" applyFont="1" applyFill="1" applyBorder="1" applyAlignment="1">
      <alignment horizontal="left" vertical="center" readingOrder="1"/>
    </xf>
    <xf numFmtId="170" fontId="23" fillId="18" borderId="26" xfId="0" applyNumberFormat="1" applyFont="1" applyFill="1" applyBorder="1" applyAlignment="1">
      <alignment horizontal="left" vertical="center" readingOrder="1"/>
    </xf>
    <xf numFmtId="170" fontId="23" fillId="18" borderId="12" xfId="0" applyNumberFormat="1" applyFont="1" applyFill="1" applyBorder="1" applyAlignment="1">
      <alignment horizontal="left" vertical="center" readingOrder="1"/>
    </xf>
    <xf numFmtId="170" fontId="23" fillId="18" borderId="17" xfId="0" applyNumberFormat="1" applyFont="1" applyFill="1" applyBorder="1" applyAlignment="1">
      <alignment horizontal="left" vertical="center" readingOrder="1"/>
    </xf>
    <xf numFmtId="170" fontId="23" fillId="18" borderId="14" xfId="0" applyNumberFormat="1" applyFont="1" applyFill="1" applyBorder="1" applyAlignment="1">
      <alignment horizontal="left" vertical="center" readingOrder="1"/>
    </xf>
    <xf numFmtId="0" fontId="23" fillId="17" borderId="5" xfId="0" applyFont="1" applyFill="1" applyBorder="1" applyAlignment="1">
      <alignment horizontal="left" vertical="center" wrapText="1"/>
    </xf>
    <xf numFmtId="49" fontId="30" fillId="23" borderId="7" xfId="0" applyNumberFormat="1" applyFont="1" applyFill="1" applyBorder="1" applyAlignment="1">
      <alignment horizontal="center" vertical="center"/>
    </xf>
    <xf numFmtId="49" fontId="30" fillId="23" borderId="18" xfId="0" applyNumberFormat="1" applyFont="1" applyFill="1" applyBorder="1" applyAlignment="1">
      <alignment horizontal="center" vertical="center"/>
    </xf>
    <xf numFmtId="49" fontId="30" fillId="23" borderId="20" xfId="0" applyNumberFormat="1" applyFont="1" applyFill="1" applyBorder="1" applyAlignment="1">
      <alignment horizontal="center" vertical="center"/>
    </xf>
    <xf numFmtId="4" fontId="30" fillId="23" borderId="7" xfId="0" applyNumberFormat="1" applyFont="1" applyFill="1" applyBorder="1" applyAlignment="1">
      <alignment horizontal="center" vertical="center" wrapText="1"/>
    </xf>
    <xf numFmtId="0" fontId="52" fillId="23" borderId="7" xfId="0" applyFont="1" applyFill="1" applyBorder="1" applyAlignment="1">
      <alignment horizontal="center" vertical="center"/>
    </xf>
  </cellXfs>
  <cellStyles count="36">
    <cellStyle name="Accent" xfId="2" xr:uid="{00000000-0005-0000-0000-000000000000}"/>
    <cellStyle name="Accent 1" xfId="3" xr:uid="{00000000-0005-0000-0000-000001000000}"/>
    <cellStyle name="Accent 2" xfId="4" xr:uid="{00000000-0005-0000-0000-000002000000}"/>
    <cellStyle name="Accent 3" xfId="5" xr:uid="{00000000-0005-0000-0000-000003000000}"/>
    <cellStyle name="Bad" xfId="6" xr:uid="{00000000-0005-0000-0000-000004000000}"/>
    <cellStyle name="Error" xfId="7" xr:uid="{00000000-0005-0000-0000-000005000000}"/>
    <cellStyle name="Excel_BuiltIn_Comma" xfId="8" xr:uid="{00000000-0005-0000-0000-000006000000}"/>
    <cellStyle name="Excel_BuiltIn_Percent" xfId="9" xr:uid="{00000000-0005-0000-0000-000007000000}"/>
    <cellStyle name="Footnote" xfId="10" xr:uid="{00000000-0005-0000-0000-000008000000}"/>
    <cellStyle name="Good" xfId="11" xr:uid="{00000000-0005-0000-0000-000009000000}"/>
    <cellStyle name="Heading (user)" xfId="12" xr:uid="{00000000-0005-0000-0000-00000A000000}"/>
    <cellStyle name="Heading 1" xfId="13" xr:uid="{00000000-0005-0000-0000-00000B000000}"/>
    <cellStyle name="Heading 2" xfId="14" xr:uid="{00000000-0005-0000-0000-00000C000000}"/>
    <cellStyle name="Hyperlink" xfId="15" xr:uid="{00000000-0005-0000-0000-00000D000000}"/>
    <cellStyle name="Moeda" xfId="1" builtinId="4"/>
    <cellStyle name="Moeda 2" xfId="29" xr:uid="{00000000-0005-0000-0000-00000F000000}"/>
    <cellStyle name="Moeda 2 2" xfId="35" xr:uid="{00000000-0005-0000-0000-000010000000}"/>
    <cellStyle name="Moeda 3" xfId="32" xr:uid="{00000000-0005-0000-0000-000011000000}"/>
    <cellStyle name="Neutral" xfId="16" xr:uid="{00000000-0005-0000-0000-000012000000}"/>
    <cellStyle name="Normal" xfId="0" builtinId="0" customBuiltin="1"/>
    <cellStyle name="Normal 2" xfId="17" xr:uid="{00000000-0005-0000-0000-000014000000}"/>
    <cellStyle name="Note" xfId="18" xr:uid="{00000000-0005-0000-0000-000015000000}"/>
    <cellStyle name="Porcentagem" xfId="30" builtinId="5"/>
    <cellStyle name="Porcentagem 2" xfId="19" xr:uid="{00000000-0005-0000-0000-000017000000}"/>
    <cellStyle name="Sem título1" xfId="20" xr:uid="{00000000-0005-0000-0000-000018000000}"/>
    <cellStyle name="Sem título2" xfId="21" xr:uid="{00000000-0005-0000-0000-000019000000}"/>
    <cellStyle name="Sem título3" xfId="22" xr:uid="{00000000-0005-0000-0000-00001A000000}"/>
    <cellStyle name="Sem título4" xfId="23" xr:uid="{00000000-0005-0000-0000-00001B000000}"/>
    <cellStyle name="Status" xfId="24" xr:uid="{00000000-0005-0000-0000-00001C000000}"/>
    <cellStyle name="Text" xfId="25" xr:uid="{00000000-0005-0000-0000-00001D000000}"/>
    <cellStyle name="Vírgula" xfId="27" builtinId="3"/>
    <cellStyle name="Vírgula 2" xfId="28" xr:uid="{00000000-0005-0000-0000-00001F000000}"/>
    <cellStyle name="Vírgula 2 2" xfId="34" xr:uid="{00000000-0005-0000-0000-000020000000}"/>
    <cellStyle name="Vírgula 3" xfId="33" xr:uid="{00000000-0005-0000-0000-000021000000}"/>
    <cellStyle name="Vírgula 4 2" xfId="31" xr:uid="{00000000-0005-0000-0000-000022000000}"/>
    <cellStyle name="Warning" xfId="26" xr:uid="{00000000-0005-0000-0000-000023000000}"/>
  </cellStyles>
  <dxfs count="1285">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rgb="FFFF0000"/>
      </font>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rgb="FFFF0000"/>
      </font>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color theme="8" tint="-0.24994659260841701"/>
      </font>
    </dxf>
    <dxf>
      <font>
        <b/>
        <i val="0"/>
        <color auto="1"/>
      </font>
      <fill>
        <patternFill>
          <bgColor theme="0" tint="-0.24994659260841701"/>
        </patternFill>
      </fill>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theme="8" tint="-0.24994659260841701"/>
      </font>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theme="8" tint="-0.24994659260841701"/>
      </font>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color theme="8" tint="-0.24994659260841701"/>
      </font>
    </dxf>
    <dxf>
      <font>
        <b/>
        <i val="0"/>
        <color auto="1"/>
      </font>
      <fill>
        <patternFill>
          <bgColor theme="0" tint="-0.24994659260841701"/>
        </patternFill>
      </fill>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theme="8" tint="-0.24994659260841701"/>
      </font>
    </dxf>
    <dxf>
      <font>
        <b/>
        <i val="0"/>
        <color theme="8" tint="-0.24994659260841701"/>
      </font>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color theme="8" tint="-0.24994659260841701"/>
      </font>
    </dxf>
    <dxf>
      <font>
        <b/>
        <i val="0"/>
        <color theme="8" tint="-0.24994659260841701"/>
      </font>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color theme="8" tint="-0.24994659260841701"/>
      </font>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color theme="8" tint="-0.24994659260841701"/>
      </font>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color auto="1"/>
      </font>
      <fill>
        <patternFill>
          <bgColor theme="0" tint="-0.24994659260841701"/>
        </patternFill>
      </fill>
    </dxf>
    <dxf>
      <font>
        <b/>
        <i val="0"/>
        <color auto="1"/>
      </font>
      <fill>
        <patternFill>
          <bgColor theme="0" tint="-0.24994659260841701"/>
        </patternFill>
      </fill>
    </dxf>
    <dxf>
      <font>
        <b/>
        <i val="0"/>
      </font>
      <fill>
        <patternFill>
          <bgColor theme="0" tint="-0.14996795556505021"/>
        </patternFill>
      </fill>
    </dxf>
    <dxf>
      <font>
        <color rgb="FF0000FF"/>
      </font>
    </dxf>
    <dxf>
      <font>
        <color rgb="FF0000FF"/>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LX7557"/>
  <sheetViews>
    <sheetView workbookViewId="0">
      <selection activeCell="G31" sqref="G31"/>
    </sheetView>
  </sheetViews>
  <sheetFormatPr defaultRowHeight="11.25"/>
  <cols>
    <col min="1" max="1" width="9.625" style="15" bestFit="1" customWidth="1"/>
    <col min="2" max="2" width="55.375" style="14" customWidth="1"/>
    <col min="3" max="3" width="14.125" style="16" customWidth="1"/>
    <col min="4" max="4" width="13.375" style="27" customWidth="1"/>
    <col min="5" max="1012" width="8.375" style="14" customWidth="1"/>
    <col min="1013" max="1013" width="8.375" style="12" customWidth="1"/>
    <col min="1014" max="16384" width="9" style="12"/>
  </cols>
  <sheetData>
    <row r="1" spans="1:1012">
      <c r="A1" s="13" t="s">
        <v>1944</v>
      </c>
      <c r="B1" s="36">
        <v>45261</v>
      </c>
    </row>
    <row r="2" spans="1:1012">
      <c r="A2" s="15">
        <v>1</v>
      </c>
      <c r="B2" s="14" t="s">
        <v>0</v>
      </c>
      <c r="C2" s="16" t="s">
        <v>1</v>
      </c>
      <c r="D2" s="27" t="s">
        <v>2</v>
      </c>
    </row>
    <row r="3" spans="1:1012" s="23" customFormat="1" ht="22.5">
      <c r="A3" s="19" t="s">
        <v>3</v>
      </c>
      <c r="B3" s="20" t="s">
        <v>4</v>
      </c>
      <c r="C3" s="21" t="s">
        <v>13887</v>
      </c>
      <c r="D3" s="28" t="s">
        <v>7312</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c r="QJ3" s="22"/>
      <c r="QK3" s="22"/>
      <c r="QL3" s="22"/>
      <c r="QM3" s="22"/>
      <c r="QN3" s="22"/>
      <c r="QO3" s="22"/>
      <c r="QP3" s="22"/>
      <c r="QQ3" s="22"/>
      <c r="QR3" s="22"/>
      <c r="QS3" s="22"/>
      <c r="QT3" s="22"/>
      <c r="QU3" s="22"/>
      <c r="QV3" s="22"/>
      <c r="QW3" s="22"/>
      <c r="QX3" s="22"/>
      <c r="QY3" s="22"/>
      <c r="QZ3" s="22"/>
      <c r="RA3" s="22"/>
      <c r="RB3" s="22"/>
      <c r="RC3" s="22"/>
      <c r="RD3" s="22"/>
      <c r="RE3" s="22"/>
      <c r="RF3" s="22"/>
      <c r="RG3" s="22"/>
      <c r="RH3" s="22"/>
      <c r="RI3" s="22"/>
      <c r="RJ3" s="22"/>
      <c r="RK3" s="22"/>
      <c r="RL3" s="22"/>
      <c r="RM3" s="22"/>
      <c r="RN3" s="22"/>
      <c r="RO3" s="22"/>
      <c r="RP3" s="22"/>
      <c r="RQ3" s="22"/>
      <c r="RR3" s="22"/>
      <c r="RS3" s="22"/>
      <c r="RT3" s="22"/>
      <c r="RU3" s="22"/>
      <c r="RV3" s="22"/>
      <c r="RW3" s="22"/>
      <c r="RX3" s="22"/>
      <c r="RY3" s="22"/>
      <c r="RZ3" s="22"/>
      <c r="SA3" s="22"/>
      <c r="SB3" s="22"/>
      <c r="SC3" s="22"/>
      <c r="SD3" s="22"/>
      <c r="SE3" s="22"/>
      <c r="SF3" s="22"/>
      <c r="SG3" s="22"/>
      <c r="SH3" s="22"/>
      <c r="SI3" s="22"/>
      <c r="SJ3" s="22"/>
      <c r="SK3" s="22"/>
      <c r="SL3" s="22"/>
      <c r="SM3" s="22"/>
      <c r="SN3" s="22"/>
      <c r="SO3" s="22"/>
      <c r="SP3" s="22"/>
      <c r="SQ3" s="22"/>
      <c r="SR3" s="22"/>
      <c r="SS3" s="22"/>
      <c r="ST3" s="22"/>
      <c r="SU3" s="22"/>
      <c r="SV3" s="22"/>
      <c r="SW3" s="22"/>
      <c r="SX3" s="22"/>
      <c r="SY3" s="22"/>
      <c r="SZ3" s="22"/>
      <c r="TA3" s="22"/>
      <c r="TB3" s="22"/>
      <c r="TC3" s="22"/>
      <c r="TD3" s="22"/>
      <c r="TE3" s="22"/>
      <c r="TF3" s="22"/>
      <c r="TG3" s="22"/>
      <c r="TH3" s="22"/>
      <c r="TI3" s="22"/>
      <c r="TJ3" s="22"/>
      <c r="TK3" s="22"/>
      <c r="TL3" s="22"/>
      <c r="TM3" s="22"/>
      <c r="TN3" s="22"/>
      <c r="TO3" s="22"/>
      <c r="TP3" s="22"/>
      <c r="TQ3" s="22"/>
      <c r="TR3" s="22"/>
      <c r="TS3" s="22"/>
      <c r="TT3" s="22"/>
      <c r="TU3" s="22"/>
      <c r="TV3" s="22"/>
      <c r="TW3" s="22"/>
      <c r="TX3" s="22"/>
      <c r="TY3" s="22"/>
      <c r="TZ3" s="22"/>
      <c r="UA3" s="22"/>
      <c r="UB3" s="22"/>
      <c r="UC3" s="22"/>
      <c r="UD3" s="22"/>
      <c r="UE3" s="22"/>
      <c r="UF3" s="22"/>
      <c r="UG3" s="22"/>
      <c r="UH3" s="22"/>
      <c r="UI3" s="22"/>
      <c r="UJ3" s="22"/>
      <c r="UK3" s="22"/>
      <c r="UL3" s="22"/>
      <c r="UM3" s="22"/>
      <c r="UN3" s="22"/>
      <c r="UO3" s="22"/>
      <c r="UP3" s="22"/>
      <c r="UQ3" s="22"/>
      <c r="UR3" s="22"/>
      <c r="US3" s="22"/>
      <c r="UT3" s="22"/>
      <c r="UU3" s="22"/>
      <c r="UV3" s="22"/>
      <c r="UW3" s="22"/>
      <c r="UX3" s="22"/>
      <c r="UY3" s="22"/>
      <c r="UZ3" s="22"/>
      <c r="VA3" s="22"/>
      <c r="VB3" s="22"/>
      <c r="VC3" s="22"/>
      <c r="VD3" s="22"/>
      <c r="VE3" s="22"/>
      <c r="VF3" s="22"/>
      <c r="VG3" s="22"/>
      <c r="VH3" s="22"/>
      <c r="VI3" s="22"/>
      <c r="VJ3" s="22"/>
      <c r="VK3" s="22"/>
      <c r="VL3" s="22"/>
      <c r="VM3" s="22"/>
      <c r="VN3" s="22"/>
      <c r="VO3" s="22"/>
      <c r="VP3" s="22"/>
      <c r="VQ3" s="22"/>
      <c r="VR3" s="22"/>
      <c r="VS3" s="22"/>
      <c r="VT3" s="22"/>
      <c r="VU3" s="22"/>
      <c r="VV3" s="22"/>
      <c r="VW3" s="22"/>
      <c r="VX3" s="22"/>
      <c r="VY3" s="22"/>
      <c r="VZ3" s="22"/>
      <c r="WA3" s="22"/>
      <c r="WB3" s="22"/>
      <c r="WC3" s="22"/>
      <c r="WD3" s="22"/>
      <c r="WE3" s="22"/>
      <c r="WF3" s="22"/>
      <c r="WG3" s="22"/>
      <c r="WH3" s="22"/>
      <c r="WI3" s="22"/>
      <c r="WJ3" s="22"/>
      <c r="WK3" s="22"/>
      <c r="WL3" s="22"/>
      <c r="WM3" s="22"/>
      <c r="WN3" s="22"/>
      <c r="WO3" s="22"/>
      <c r="WP3" s="22"/>
      <c r="WQ3" s="22"/>
      <c r="WR3" s="22"/>
      <c r="WS3" s="22"/>
      <c r="WT3" s="22"/>
      <c r="WU3" s="22"/>
      <c r="WV3" s="22"/>
      <c r="WW3" s="22"/>
      <c r="WX3" s="22"/>
      <c r="WY3" s="22"/>
      <c r="WZ3" s="22"/>
      <c r="XA3" s="22"/>
      <c r="XB3" s="22"/>
      <c r="XC3" s="22"/>
      <c r="XD3" s="22"/>
      <c r="XE3" s="22"/>
      <c r="XF3" s="22"/>
      <c r="XG3" s="22"/>
      <c r="XH3" s="22"/>
      <c r="XI3" s="22"/>
      <c r="XJ3" s="22"/>
      <c r="XK3" s="22"/>
      <c r="XL3" s="22"/>
      <c r="XM3" s="22"/>
      <c r="XN3" s="22"/>
      <c r="XO3" s="22"/>
      <c r="XP3" s="22"/>
      <c r="XQ3" s="22"/>
      <c r="XR3" s="22"/>
      <c r="XS3" s="22"/>
      <c r="XT3" s="22"/>
      <c r="XU3" s="22"/>
      <c r="XV3" s="22"/>
      <c r="XW3" s="22"/>
      <c r="XX3" s="22"/>
      <c r="XY3" s="22"/>
      <c r="XZ3" s="22"/>
      <c r="YA3" s="22"/>
      <c r="YB3" s="22"/>
      <c r="YC3" s="22"/>
      <c r="YD3" s="22"/>
      <c r="YE3" s="22"/>
      <c r="YF3" s="22"/>
      <c r="YG3" s="22"/>
      <c r="YH3" s="22"/>
      <c r="YI3" s="22"/>
      <c r="YJ3" s="22"/>
      <c r="YK3" s="22"/>
      <c r="YL3" s="22"/>
      <c r="YM3" s="22"/>
      <c r="YN3" s="22"/>
      <c r="YO3" s="22"/>
      <c r="YP3" s="22"/>
      <c r="YQ3" s="22"/>
      <c r="YR3" s="22"/>
      <c r="YS3" s="22"/>
      <c r="YT3" s="22"/>
      <c r="YU3" s="22"/>
      <c r="YV3" s="22"/>
      <c r="YW3" s="22"/>
      <c r="YX3" s="22"/>
      <c r="YY3" s="22"/>
      <c r="YZ3" s="22"/>
      <c r="ZA3" s="22"/>
      <c r="ZB3" s="22"/>
      <c r="ZC3" s="22"/>
      <c r="ZD3" s="22"/>
      <c r="ZE3" s="22"/>
      <c r="ZF3" s="22"/>
      <c r="ZG3" s="22"/>
      <c r="ZH3" s="22"/>
      <c r="ZI3" s="22"/>
      <c r="ZJ3" s="22"/>
      <c r="ZK3" s="22"/>
      <c r="ZL3" s="22"/>
      <c r="ZM3" s="22"/>
      <c r="ZN3" s="22"/>
      <c r="ZO3" s="22"/>
      <c r="ZP3" s="22"/>
      <c r="ZQ3" s="22"/>
      <c r="ZR3" s="22"/>
      <c r="ZS3" s="22"/>
      <c r="ZT3" s="22"/>
      <c r="ZU3" s="22"/>
      <c r="ZV3" s="22"/>
      <c r="ZW3" s="22"/>
      <c r="ZX3" s="22"/>
      <c r="ZY3" s="22"/>
      <c r="ZZ3" s="22"/>
      <c r="AAA3" s="22"/>
      <c r="AAB3" s="22"/>
      <c r="AAC3" s="22"/>
      <c r="AAD3" s="22"/>
      <c r="AAE3" s="22"/>
      <c r="AAF3" s="22"/>
      <c r="AAG3" s="22"/>
      <c r="AAH3" s="22"/>
      <c r="AAI3" s="22"/>
      <c r="AAJ3" s="22"/>
      <c r="AAK3" s="22"/>
      <c r="AAL3" s="22"/>
      <c r="AAM3" s="22"/>
      <c r="AAN3" s="22"/>
      <c r="AAO3" s="22"/>
      <c r="AAP3" s="22"/>
      <c r="AAQ3" s="22"/>
      <c r="AAR3" s="22"/>
      <c r="AAS3" s="22"/>
      <c r="AAT3" s="22"/>
      <c r="AAU3" s="22"/>
      <c r="AAV3" s="22"/>
      <c r="AAW3" s="22"/>
      <c r="AAX3" s="22"/>
      <c r="AAY3" s="22"/>
      <c r="AAZ3" s="22"/>
      <c r="ABA3" s="22"/>
      <c r="ABB3" s="22"/>
      <c r="ABC3" s="22"/>
      <c r="ABD3" s="22"/>
      <c r="ABE3" s="22"/>
      <c r="ABF3" s="22"/>
      <c r="ABG3" s="22"/>
      <c r="ABH3" s="22"/>
      <c r="ABI3" s="22"/>
      <c r="ABJ3" s="22"/>
      <c r="ABK3" s="22"/>
      <c r="ABL3" s="22"/>
      <c r="ABM3" s="22"/>
      <c r="ABN3" s="22"/>
      <c r="ABO3" s="22"/>
      <c r="ABP3" s="22"/>
      <c r="ABQ3" s="22"/>
      <c r="ABR3" s="22"/>
      <c r="ABS3" s="22"/>
      <c r="ABT3" s="22"/>
      <c r="ABU3" s="22"/>
      <c r="ABV3" s="22"/>
      <c r="ABW3" s="22"/>
      <c r="ABX3" s="22"/>
      <c r="ABY3" s="22"/>
      <c r="ABZ3" s="22"/>
      <c r="ACA3" s="22"/>
      <c r="ACB3" s="22"/>
      <c r="ACC3" s="22"/>
      <c r="ACD3" s="22"/>
      <c r="ACE3" s="22"/>
      <c r="ACF3" s="22"/>
      <c r="ACG3" s="22"/>
      <c r="ACH3" s="22"/>
      <c r="ACI3" s="22"/>
      <c r="ACJ3" s="22"/>
      <c r="ACK3" s="22"/>
      <c r="ACL3" s="22"/>
      <c r="ACM3" s="22"/>
      <c r="ACN3" s="22"/>
      <c r="ACO3" s="22"/>
      <c r="ACP3" s="22"/>
      <c r="ACQ3" s="22"/>
      <c r="ACR3" s="22"/>
      <c r="ACS3" s="22"/>
      <c r="ACT3" s="22"/>
      <c r="ACU3" s="22"/>
      <c r="ACV3" s="22"/>
      <c r="ACW3" s="22"/>
      <c r="ACX3" s="22"/>
      <c r="ACY3" s="22"/>
      <c r="ACZ3" s="22"/>
      <c r="ADA3" s="22"/>
      <c r="ADB3" s="22"/>
      <c r="ADC3" s="22"/>
      <c r="ADD3" s="22"/>
      <c r="ADE3" s="22"/>
      <c r="ADF3" s="22"/>
      <c r="ADG3" s="22"/>
      <c r="ADH3" s="22"/>
      <c r="ADI3" s="22"/>
      <c r="ADJ3" s="22"/>
      <c r="ADK3" s="22"/>
      <c r="ADL3" s="22"/>
      <c r="ADM3" s="22"/>
      <c r="ADN3" s="22"/>
      <c r="ADO3" s="22"/>
      <c r="ADP3" s="22"/>
      <c r="ADQ3" s="22"/>
      <c r="ADR3" s="22"/>
      <c r="ADS3" s="22"/>
      <c r="ADT3" s="22"/>
      <c r="ADU3" s="22"/>
      <c r="ADV3" s="22"/>
      <c r="ADW3" s="22"/>
      <c r="ADX3" s="22"/>
      <c r="ADY3" s="22"/>
      <c r="ADZ3" s="22"/>
      <c r="AEA3" s="22"/>
      <c r="AEB3" s="22"/>
      <c r="AEC3" s="22"/>
      <c r="AED3" s="22"/>
      <c r="AEE3" s="22"/>
      <c r="AEF3" s="22"/>
      <c r="AEG3" s="22"/>
      <c r="AEH3" s="22"/>
      <c r="AEI3" s="22"/>
      <c r="AEJ3" s="22"/>
      <c r="AEK3" s="22"/>
      <c r="AEL3" s="22"/>
      <c r="AEM3" s="22"/>
      <c r="AEN3" s="22"/>
      <c r="AEO3" s="22"/>
      <c r="AEP3" s="22"/>
      <c r="AEQ3" s="22"/>
      <c r="AER3" s="22"/>
      <c r="AES3" s="22"/>
      <c r="AET3" s="22"/>
      <c r="AEU3" s="22"/>
      <c r="AEV3" s="22"/>
      <c r="AEW3" s="22"/>
      <c r="AEX3" s="22"/>
      <c r="AEY3" s="22"/>
      <c r="AEZ3" s="22"/>
      <c r="AFA3" s="22"/>
      <c r="AFB3" s="22"/>
      <c r="AFC3" s="22"/>
      <c r="AFD3" s="22"/>
      <c r="AFE3" s="22"/>
      <c r="AFF3" s="22"/>
      <c r="AFG3" s="22"/>
      <c r="AFH3" s="22"/>
      <c r="AFI3" s="22"/>
      <c r="AFJ3" s="22"/>
      <c r="AFK3" s="22"/>
      <c r="AFL3" s="22"/>
      <c r="AFM3" s="22"/>
      <c r="AFN3" s="22"/>
      <c r="AFO3" s="22"/>
      <c r="AFP3" s="22"/>
      <c r="AFQ3" s="22"/>
      <c r="AFR3" s="22"/>
      <c r="AFS3" s="22"/>
      <c r="AFT3" s="22"/>
      <c r="AFU3" s="22"/>
      <c r="AFV3" s="22"/>
      <c r="AFW3" s="22"/>
      <c r="AFX3" s="22"/>
      <c r="AFY3" s="22"/>
      <c r="AFZ3" s="22"/>
      <c r="AGA3" s="22"/>
      <c r="AGB3" s="22"/>
      <c r="AGC3" s="22"/>
      <c r="AGD3" s="22"/>
      <c r="AGE3" s="22"/>
      <c r="AGF3" s="22"/>
      <c r="AGG3" s="22"/>
      <c r="AGH3" s="22"/>
      <c r="AGI3" s="22"/>
      <c r="AGJ3" s="22"/>
      <c r="AGK3" s="22"/>
      <c r="AGL3" s="22"/>
      <c r="AGM3" s="22"/>
      <c r="AGN3" s="22"/>
      <c r="AGO3" s="22"/>
      <c r="AGP3" s="22"/>
      <c r="AGQ3" s="22"/>
      <c r="AGR3" s="22"/>
      <c r="AGS3" s="22"/>
      <c r="AGT3" s="22"/>
      <c r="AGU3" s="22"/>
      <c r="AGV3" s="22"/>
      <c r="AGW3" s="22"/>
      <c r="AGX3" s="22"/>
      <c r="AGY3" s="22"/>
      <c r="AGZ3" s="22"/>
      <c r="AHA3" s="22"/>
      <c r="AHB3" s="22"/>
      <c r="AHC3" s="22"/>
      <c r="AHD3" s="22"/>
      <c r="AHE3" s="22"/>
      <c r="AHF3" s="22"/>
      <c r="AHG3" s="22"/>
      <c r="AHH3" s="22"/>
      <c r="AHI3" s="22"/>
      <c r="AHJ3" s="22"/>
      <c r="AHK3" s="22"/>
      <c r="AHL3" s="22"/>
      <c r="AHM3" s="22"/>
      <c r="AHN3" s="22"/>
      <c r="AHO3" s="22"/>
      <c r="AHP3" s="22"/>
      <c r="AHQ3" s="22"/>
      <c r="AHR3" s="22"/>
      <c r="AHS3" s="22"/>
      <c r="AHT3" s="22"/>
      <c r="AHU3" s="22"/>
      <c r="AHV3" s="22"/>
      <c r="AHW3" s="22"/>
      <c r="AHX3" s="22"/>
      <c r="AHY3" s="22"/>
      <c r="AHZ3" s="22"/>
      <c r="AIA3" s="22"/>
      <c r="AIB3" s="22"/>
      <c r="AIC3" s="22"/>
      <c r="AID3" s="22"/>
      <c r="AIE3" s="22"/>
      <c r="AIF3" s="22"/>
      <c r="AIG3" s="22"/>
      <c r="AIH3" s="22"/>
      <c r="AII3" s="22"/>
      <c r="AIJ3" s="22"/>
      <c r="AIK3" s="22"/>
      <c r="AIL3" s="22"/>
      <c r="AIM3" s="22"/>
      <c r="AIN3" s="22"/>
      <c r="AIO3" s="22"/>
      <c r="AIP3" s="22"/>
      <c r="AIQ3" s="22"/>
      <c r="AIR3" s="22"/>
      <c r="AIS3" s="22"/>
      <c r="AIT3" s="22"/>
      <c r="AIU3" s="22"/>
      <c r="AIV3" s="22"/>
      <c r="AIW3" s="22"/>
      <c r="AIX3" s="22"/>
      <c r="AIY3" s="22"/>
      <c r="AIZ3" s="22"/>
      <c r="AJA3" s="22"/>
      <c r="AJB3" s="22"/>
      <c r="AJC3" s="22"/>
      <c r="AJD3" s="22"/>
      <c r="AJE3" s="22"/>
      <c r="AJF3" s="22"/>
      <c r="AJG3" s="22"/>
      <c r="AJH3" s="22"/>
      <c r="AJI3" s="22"/>
      <c r="AJJ3" s="22"/>
      <c r="AJK3" s="22"/>
      <c r="AJL3" s="22"/>
      <c r="AJM3" s="22"/>
      <c r="AJN3" s="22"/>
      <c r="AJO3" s="22"/>
      <c r="AJP3" s="22"/>
      <c r="AJQ3" s="22"/>
      <c r="AJR3" s="22"/>
      <c r="AJS3" s="22"/>
      <c r="AJT3" s="22"/>
      <c r="AJU3" s="22"/>
      <c r="AJV3" s="22"/>
      <c r="AJW3" s="22"/>
      <c r="AJX3" s="22"/>
      <c r="AJY3" s="22"/>
      <c r="AJZ3" s="22"/>
      <c r="AKA3" s="22"/>
      <c r="AKB3" s="22"/>
      <c r="AKC3" s="22"/>
      <c r="AKD3" s="22"/>
      <c r="AKE3" s="22"/>
      <c r="AKF3" s="22"/>
      <c r="AKG3" s="22"/>
      <c r="AKH3" s="22"/>
      <c r="AKI3" s="22"/>
      <c r="AKJ3" s="22"/>
      <c r="AKK3" s="22"/>
      <c r="AKL3" s="22"/>
      <c r="AKM3" s="22"/>
      <c r="AKN3" s="22"/>
      <c r="AKO3" s="22"/>
      <c r="AKP3" s="22"/>
      <c r="AKQ3" s="22"/>
      <c r="AKR3" s="22"/>
      <c r="AKS3" s="22"/>
      <c r="AKT3" s="22"/>
      <c r="AKU3" s="22"/>
      <c r="AKV3" s="22"/>
      <c r="AKW3" s="22"/>
      <c r="AKX3" s="22"/>
      <c r="AKY3" s="22"/>
      <c r="AKZ3" s="22"/>
      <c r="ALA3" s="22"/>
      <c r="ALB3" s="22"/>
      <c r="ALC3" s="22"/>
      <c r="ALD3" s="22"/>
      <c r="ALE3" s="22"/>
      <c r="ALF3" s="22"/>
      <c r="ALG3" s="22"/>
      <c r="ALH3" s="22"/>
      <c r="ALI3" s="22"/>
      <c r="ALJ3" s="22"/>
      <c r="ALK3" s="22"/>
      <c r="ALL3" s="22"/>
      <c r="ALM3" s="22"/>
      <c r="ALN3" s="22"/>
      <c r="ALO3" s="22"/>
      <c r="ALP3" s="22"/>
      <c r="ALQ3" s="22"/>
      <c r="ALR3" s="22"/>
      <c r="ALS3" s="22"/>
      <c r="ALT3" s="22"/>
      <c r="ALU3" s="22"/>
      <c r="ALV3" s="22"/>
      <c r="ALW3" s="22"/>
      <c r="ALX3" s="22"/>
    </row>
    <row r="4" spans="1:1012" ht="13.5">
      <c r="A4" s="37">
        <v>97141</v>
      </c>
      <c r="B4" s="37" t="s">
        <v>2303</v>
      </c>
      <c r="C4" s="37" t="s">
        <v>6</v>
      </c>
      <c r="D4" s="326">
        <v>8.43</v>
      </c>
    </row>
    <row r="5" spans="1:1012" ht="13.5">
      <c r="A5" s="37">
        <v>97142</v>
      </c>
      <c r="B5" s="37" t="s">
        <v>2304</v>
      </c>
      <c r="C5" s="37" t="s">
        <v>6</v>
      </c>
      <c r="D5" s="326">
        <v>9.34</v>
      </c>
    </row>
    <row r="6" spans="1:1012" ht="13.5">
      <c r="A6" s="37">
        <v>97143</v>
      </c>
      <c r="B6" s="37" t="s">
        <v>2306</v>
      </c>
      <c r="C6" s="37" t="s">
        <v>6</v>
      </c>
      <c r="D6" s="326">
        <v>11.65</v>
      </c>
    </row>
    <row r="7" spans="1:1012" ht="13.5">
      <c r="A7" s="37">
        <v>97144</v>
      </c>
      <c r="B7" s="37" t="s">
        <v>2307</v>
      </c>
      <c r="C7" s="37" t="s">
        <v>6</v>
      </c>
      <c r="D7" s="326">
        <v>13.95</v>
      </c>
    </row>
    <row r="8" spans="1:1012" ht="13.5">
      <c r="A8" s="37">
        <v>97145</v>
      </c>
      <c r="B8" s="37" t="s">
        <v>2308</v>
      </c>
      <c r="C8" s="37" t="s">
        <v>6</v>
      </c>
      <c r="D8" s="326">
        <v>16.27</v>
      </c>
    </row>
    <row r="9" spans="1:1012" ht="13.5">
      <c r="A9" s="37">
        <v>97146</v>
      </c>
      <c r="B9" s="37" t="s">
        <v>2309</v>
      </c>
      <c r="C9" s="37" t="s">
        <v>6</v>
      </c>
      <c r="D9" s="326">
        <v>18.59</v>
      </c>
    </row>
    <row r="10" spans="1:1012" ht="13.5">
      <c r="A10" s="37">
        <v>97147</v>
      </c>
      <c r="B10" s="37" t="s">
        <v>2310</v>
      </c>
      <c r="C10" s="37" t="s">
        <v>6</v>
      </c>
      <c r="D10" s="326">
        <v>20.92</v>
      </c>
    </row>
    <row r="11" spans="1:1012" ht="13.5">
      <c r="A11" s="37">
        <v>97148</v>
      </c>
      <c r="B11" s="37" t="s">
        <v>2312</v>
      </c>
      <c r="C11" s="37" t="s">
        <v>6</v>
      </c>
      <c r="D11" s="326">
        <v>23.24</v>
      </c>
    </row>
    <row r="12" spans="1:1012" ht="13.5">
      <c r="A12" s="37">
        <v>97149</v>
      </c>
      <c r="B12" s="37" t="s">
        <v>2313</v>
      </c>
      <c r="C12" s="37" t="s">
        <v>6</v>
      </c>
      <c r="D12" s="326">
        <v>25.6</v>
      </c>
    </row>
    <row r="13" spans="1:1012" ht="13.5">
      <c r="A13" s="37">
        <v>97150</v>
      </c>
      <c r="B13" s="37" t="s">
        <v>2314</v>
      </c>
      <c r="C13" s="37" t="s">
        <v>6</v>
      </c>
      <c r="D13" s="326">
        <v>32.229999999999997</v>
      </c>
    </row>
    <row r="14" spans="1:1012" ht="13.5">
      <c r="A14" s="37">
        <v>97151</v>
      </c>
      <c r="B14" s="37" t="s">
        <v>2315</v>
      </c>
      <c r="C14" s="37" t="s">
        <v>6</v>
      </c>
      <c r="D14" s="326">
        <v>37.54</v>
      </c>
    </row>
    <row r="15" spans="1:1012" ht="13.5">
      <c r="A15" s="37">
        <v>97152</v>
      </c>
      <c r="B15" s="37" t="s">
        <v>2316</v>
      </c>
      <c r="C15" s="37" t="s">
        <v>6</v>
      </c>
      <c r="D15" s="326">
        <v>42.58</v>
      </c>
    </row>
    <row r="16" spans="1:1012" ht="13.5">
      <c r="A16" s="37">
        <v>97153</v>
      </c>
      <c r="B16" s="37" t="s">
        <v>2317</v>
      </c>
      <c r="C16" s="37" t="s">
        <v>6</v>
      </c>
      <c r="D16" s="326">
        <v>47.79</v>
      </c>
    </row>
    <row r="17" spans="1:4" ht="13.5">
      <c r="A17" s="37">
        <v>97154</v>
      </c>
      <c r="B17" s="37" t="s">
        <v>2318</v>
      </c>
      <c r="C17" s="37" t="s">
        <v>6</v>
      </c>
      <c r="D17" s="326">
        <v>53.03</v>
      </c>
    </row>
    <row r="18" spans="1:4" ht="13.5">
      <c r="A18" s="37">
        <v>97155</v>
      </c>
      <c r="B18" s="37" t="s">
        <v>2319</v>
      </c>
      <c r="C18" s="37" t="s">
        <v>6</v>
      </c>
      <c r="D18" s="326">
        <v>58.27</v>
      </c>
    </row>
    <row r="19" spans="1:4" ht="13.5">
      <c r="A19" s="37">
        <v>97156</v>
      </c>
      <c r="B19" s="37" t="s">
        <v>2320</v>
      </c>
      <c r="C19" s="37" t="s">
        <v>6</v>
      </c>
      <c r="D19" s="326">
        <v>69.17</v>
      </c>
    </row>
    <row r="20" spans="1:4" ht="13.5">
      <c r="A20" s="37">
        <v>97157</v>
      </c>
      <c r="B20" s="37" t="s">
        <v>2321</v>
      </c>
      <c r="C20" s="37" t="s">
        <v>6</v>
      </c>
      <c r="D20" s="326">
        <v>5.08</v>
      </c>
    </row>
    <row r="21" spans="1:4" ht="13.5">
      <c r="A21" s="37">
        <v>97158</v>
      </c>
      <c r="B21" s="37" t="s">
        <v>2322</v>
      </c>
      <c r="C21" s="37" t="s">
        <v>6</v>
      </c>
      <c r="D21" s="326">
        <v>5.64</v>
      </c>
    </row>
    <row r="22" spans="1:4" ht="13.5">
      <c r="A22" s="37">
        <v>97159</v>
      </c>
      <c r="B22" s="37" t="s">
        <v>2323</v>
      </c>
      <c r="C22" s="37" t="s">
        <v>6</v>
      </c>
      <c r="D22" s="326">
        <v>7.05</v>
      </c>
    </row>
    <row r="23" spans="1:4" ht="13.5">
      <c r="A23" s="37">
        <v>97160</v>
      </c>
      <c r="B23" s="37" t="s">
        <v>2324</v>
      </c>
      <c r="C23" s="37" t="s">
        <v>6</v>
      </c>
      <c r="D23" s="326">
        <v>8.44</v>
      </c>
    </row>
    <row r="24" spans="1:4" ht="13.5">
      <c r="A24" s="37">
        <v>97161</v>
      </c>
      <c r="B24" s="37" t="s">
        <v>2325</v>
      </c>
      <c r="C24" s="37" t="s">
        <v>6</v>
      </c>
      <c r="D24" s="326">
        <v>9.8800000000000008</v>
      </c>
    </row>
    <row r="25" spans="1:4" ht="13.5">
      <c r="A25" s="37">
        <v>97162</v>
      </c>
      <c r="B25" s="37" t="s">
        <v>2326</v>
      </c>
      <c r="C25" s="37" t="s">
        <v>6</v>
      </c>
      <c r="D25" s="326">
        <v>11.29</v>
      </c>
    </row>
    <row r="26" spans="1:4" ht="13.5">
      <c r="A26" s="37">
        <v>97163</v>
      </c>
      <c r="B26" s="37" t="s">
        <v>2327</v>
      </c>
      <c r="C26" s="37" t="s">
        <v>6</v>
      </c>
      <c r="D26" s="326">
        <v>12.73</v>
      </c>
    </row>
    <row r="27" spans="1:4" ht="13.5">
      <c r="A27" s="37">
        <v>97164</v>
      </c>
      <c r="B27" s="37" t="s">
        <v>2328</v>
      </c>
      <c r="C27" s="37" t="s">
        <v>6</v>
      </c>
      <c r="D27" s="326">
        <v>14.15</v>
      </c>
    </row>
    <row r="28" spans="1:4" ht="13.5">
      <c r="A28" s="37">
        <v>97165</v>
      </c>
      <c r="B28" s="37" t="s">
        <v>2329</v>
      </c>
      <c r="C28" s="37" t="s">
        <v>6</v>
      </c>
      <c r="D28" s="326">
        <v>15.6</v>
      </c>
    </row>
    <row r="29" spans="1:4" ht="13.5">
      <c r="A29" s="37">
        <v>97166</v>
      </c>
      <c r="B29" s="37" t="s">
        <v>2330</v>
      </c>
      <c r="C29" s="37" t="s">
        <v>6</v>
      </c>
      <c r="D29" s="326">
        <v>19.63</v>
      </c>
    </row>
    <row r="30" spans="1:4" ht="13.5">
      <c r="A30" s="37">
        <v>97167</v>
      </c>
      <c r="B30" s="37" t="s">
        <v>2331</v>
      </c>
      <c r="C30" s="37" t="s">
        <v>6</v>
      </c>
      <c r="D30" s="326">
        <v>22.9</v>
      </c>
    </row>
    <row r="31" spans="1:4" ht="13.5">
      <c r="A31" s="37">
        <v>97168</v>
      </c>
      <c r="B31" s="37" t="s">
        <v>2332</v>
      </c>
      <c r="C31" s="37" t="s">
        <v>6</v>
      </c>
      <c r="D31" s="326">
        <v>25.9</v>
      </c>
    </row>
    <row r="32" spans="1:4" ht="13.5">
      <c r="A32" s="37">
        <v>97169</v>
      </c>
      <c r="B32" s="37" t="s">
        <v>2333</v>
      </c>
      <c r="C32" s="37" t="s">
        <v>6</v>
      </c>
      <c r="D32" s="326">
        <v>29.06</v>
      </c>
    </row>
    <row r="33" spans="1:4" ht="13.5">
      <c r="A33" s="37">
        <v>97170</v>
      </c>
      <c r="B33" s="37" t="s">
        <v>2334</v>
      </c>
      <c r="C33" s="37" t="s">
        <v>6</v>
      </c>
      <c r="D33" s="326">
        <v>32.26</v>
      </c>
    </row>
    <row r="34" spans="1:4" ht="13.5">
      <c r="A34" s="37">
        <v>97171</v>
      </c>
      <c r="B34" s="37" t="s">
        <v>2335</v>
      </c>
      <c r="C34" s="37" t="s">
        <v>6</v>
      </c>
      <c r="D34" s="326">
        <v>35.479999999999997</v>
      </c>
    </row>
    <row r="35" spans="1:4" ht="13.5">
      <c r="A35" s="37">
        <v>97172</v>
      </c>
      <c r="B35" s="37" t="s">
        <v>2336</v>
      </c>
      <c r="C35" s="37" t="s">
        <v>6</v>
      </c>
      <c r="D35" s="326">
        <v>42.3</v>
      </c>
    </row>
    <row r="36" spans="1:4" ht="13.5">
      <c r="A36" s="37">
        <v>97173</v>
      </c>
      <c r="B36" s="37" t="s">
        <v>2337</v>
      </c>
      <c r="C36" s="37" t="s">
        <v>6</v>
      </c>
      <c r="D36" s="326">
        <v>37.15</v>
      </c>
    </row>
    <row r="37" spans="1:4" ht="13.5">
      <c r="A37" s="37">
        <v>97174</v>
      </c>
      <c r="B37" s="37" t="s">
        <v>2338</v>
      </c>
      <c r="C37" s="37" t="s">
        <v>6</v>
      </c>
      <c r="D37" s="326">
        <v>43.03</v>
      </c>
    </row>
    <row r="38" spans="1:4" ht="13.5">
      <c r="A38" s="37">
        <v>97175</v>
      </c>
      <c r="B38" s="37" t="s">
        <v>2339</v>
      </c>
      <c r="C38" s="37" t="s">
        <v>6</v>
      </c>
      <c r="D38" s="326">
        <v>48.91</v>
      </c>
    </row>
    <row r="39" spans="1:4" ht="13.5">
      <c r="A39" s="37">
        <v>97176</v>
      </c>
      <c r="B39" s="37" t="s">
        <v>2340</v>
      </c>
      <c r="C39" s="37" t="s">
        <v>6</v>
      </c>
      <c r="D39" s="326">
        <v>54.78</v>
      </c>
    </row>
    <row r="40" spans="1:4" ht="13.5">
      <c r="A40" s="37">
        <v>97177</v>
      </c>
      <c r="B40" s="37" t="s">
        <v>2341</v>
      </c>
      <c r="C40" s="37" t="s">
        <v>6</v>
      </c>
      <c r="D40" s="326">
        <v>66.53</v>
      </c>
    </row>
    <row r="41" spans="1:4" ht="13.5">
      <c r="A41" s="37">
        <v>97178</v>
      </c>
      <c r="B41" s="37" t="s">
        <v>2342</v>
      </c>
      <c r="C41" s="37" t="s">
        <v>6</v>
      </c>
      <c r="D41" s="326">
        <v>78.319999999999993</v>
      </c>
    </row>
    <row r="42" spans="1:4" ht="13.5">
      <c r="A42" s="37">
        <v>97179</v>
      </c>
      <c r="B42" s="37" t="s">
        <v>2343</v>
      </c>
      <c r="C42" s="37" t="s">
        <v>6</v>
      </c>
      <c r="D42" s="326">
        <v>90.07</v>
      </c>
    </row>
    <row r="43" spans="1:4" ht="13.5">
      <c r="A43" s="37">
        <v>97180</v>
      </c>
      <c r="B43" s="37" t="s">
        <v>2344</v>
      </c>
      <c r="C43" s="37" t="s">
        <v>6</v>
      </c>
      <c r="D43" s="326">
        <v>101.82</v>
      </c>
    </row>
    <row r="44" spans="1:4" ht="13.5">
      <c r="A44" s="37">
        <v>97181</v>
      </c>
      <c r="B44" s="37" t="s">
        <v>2345</v>
      </c>
      <c r="C44" s="37" t="s">
        <v>6</v>
      </c>
      <c r="D44" s="326">
        <v>118.22</v>
      </c>
    </row>
    <row r="45" spans="1:4" ht="13.5">
      <c r="A45" s="37">
        <v>97182</v>
      </c>
      <c r="B45" s="37" t="s">
        <v>2346</v>
      </c>
      <c r="C45" s="37" t="s">
        <v>6</v>
      </c>
      <c r="D45" s="326">
        <v>130.46</v>
      </c>
    </row>
    <row r="46" spans="1:4" ht="13.5">
      <c r="A46" s="37">
        <v>97183</v>
      </c>
      <c r="B46" s="37" t="s">
        <v>2347</v>
      </c>
      <c r="C46" s="37" t="s">
        <v>6</v>
      </c>
      <c r="D46" s="326">
        <v>29.97</v>
      </c>
    </row>
    <row r="47" spans="1:4" ht="13.5">
      <c r="A47" s="37">
        <v>97184</v>
      </c>
      <c r="B47" s="37" t="s">
        <v>2348</v>
      </c>
      <c r="C47" s="37" t="s">
        <v>6</v>
      </c>
      <c r="D47" s="326">
        <v>34.770000000000003</v>
      </c>
    </row>
    <row r="48" spans="1:4" ht="13.5">
      <c r="A48" s="37">
        <v>97185</v>
      </c>
      <c r="B48" s="37" t="s">
        <v>2350</v>
      </c>
      <c r="C48" s="37" t="s">
        <v>6</v>
      </c>
      <c r="D48" s="326">
        <v>39.58</v>
      </c>
    </row>
    <row r="49" spans="1:4" ht="13.5">
      <c r="A49" s="37">
        <v>97186</v>
      </c>
      <c r="B49" s="37" t="s">
        <v>2351</v>
      </c>
      <c r="C49" s="37" t="s">
        <v>6</v>
      </c>
      <c r="D49" s="326">
        <v>44.39</v>
      </c>
    </row>
    <row r="50" spans="1:4" ht="13.5">
      <c r="A50" s="37">
        <v>97187</v>
      </c>
      <c r="B50" s="37" t="s">
        <v>2352</v>
      </c>
      <c r="C50" s="37" t="s">
        <v>6</v>
      </c>
      <c r="D50" s="326">
        <v>54</v>
      </c>
    </row>
    <row r="51" spans="1:4" ht="13.5">
      <c r="A51" s="37">
        <v>97188</v>
      </c>
      <c r="B51" s="37" t="s">
        <v>2353</v>
      </c>
      <c r="C51" s="37" t="s">
        <v>6</v>
      </c>
      <c r="D51" s="326">
        <v>63.64</v>
      </c>
    </row>
    <row r="52" spans="1:4" ht="13.5">
      <c r="A52" s="37">
        <v>97189</v>
      </c>
      <c r="B52" s="37" t="s">
        <v>2354</v>
      </c>
      <c r="C52" s="37" t="s">
        <v>6</v>
      </c>
      <c r="D52" s="326">
        <v>73.239999999999995</v>
      </c>
    </row>
    <row r="53" spans="1:4" ht="13.5">
      <c r="A53" s="37">
        <v>97190</v>
      </c>
      <c r="B53" s="37" t="s">
        <v>2355</v>
      </c>
      <c r="C53" s="37" t="s">
        <v>6</v>
      </c>
      <c r="D53" s="326">
        <v>82.86</v>
      </c>
    </row>
    <row r="54" spans="1:4" ht="13.5">
      <c r="A54" s="37">
        <v>97191</v>
      </c>
      <c r="B54" s="37" t="s">
        <v>2356</v>
      </c>
      <c r="C54" s="37" t="s">
        <v>6</v>
      </c>
      <c r="D54" s="326">
        <v>95.86</v>
      </c>
    </row>
    <row r="55" spans="1:4" ht="13.5">
      <c r="A55" s="37">
        <v>97192</v>
      </c>
      <c r="B55" s="37" t="s">
        <v>2357</v>
      </c>
      <c r="C55" s="37" t="s">
        <v>6</v>
      </c>
      <c r="D55" s="326">
        <v>105.82</v>
      </c>
    </row>
    <row r="56" spans="1:4" ht="13.5">
      <c r="A56" s="37">
        <v>90694</v>
      </c>
      <c r="B56" s="37" t="s">
        <v>7321</v>
      </c>
      <c r="C56" s="37" t="s">
        <v>6</v>
      </c>
      <c r="D56" s="326">
        <v>55.23</v>
      </c>
    </row>
    <row r="57" spans="1:4" ht="13.5">
      <c r="A57" s="37">
        <v>90695</v>
      </c>
      <c r="B57" s="37" t="s">
        <v>7322</v>
      </c>
      <c r="C57" s="37" t="s">
        <v>6</v>
      </c>
      <c r="D57" s="326">
        <v>105.76</v>
      </c>
    </row>
    <row r="58" spans="1:4" ht="13.5">
      <c r="A58" s="37">
        <v>90696</v>
      </c>
      <c r="B58" s="37" t="s">
        <v>7323</v>
      </c>
      <c r="C58" s="37" t="s">
        <v>6</v>
      </c>
      <c r="D58" s="326">
        <v>177.41</v>
      </c>
    </row>
    <row r="59" spans="1:4" ht="13.5">
      <c r="A59" s="37">
        <v>90697</v>
      </c>
      <c r="B59" s="37" t="s">
        <v>7324</v>
      </c>
      <c r="C59" s="37" t="s">
        <v>6</v>
      </c>
      <c r="D59" s="326">
        <v>275.92</v>
      </c>
    </row>
    <row r="60" spans="1:4" ht="13.5">
      <c r="A60" s="37">
        <v>90698</v>
      </c>
      <c r="B60" s="37" t="s">
        <v>7325</v>
      </c>
      <c r="C60" s="37" t="s">
        <v>6</v>
      </c>
      <c r="D60" s="326">
        <v>422.45</v>
      </c>
    </row>
    <row r="61" spans="1:4" ht="13.5">
      <c r="A61" s="37">
        <v>90699</v>
      </c>
      <c r="B61" s="37" t="s">
        <v>7326</v>
      </c>
      <c r="C61" s="37" t="s">
        <v>6</v>
      </c>
      <c r="D61" s="326">
        <v>595.24</v>
      </c>
    </row>
    <row r="62" spans="1:4" ht="13.5">
      <c r="A62" s="37">
        <v>90700</v>
      </c>
      <c r="B62" s="37" t="s">
        <v>7327</v>
      </c>
      <c r="C62" s="37" t="s">
        <v>6</v>
      </c>
      <c r="D62" s="326">
        <v>695.25</v>
      </c>
    </row>
    <row r="63" spans="1:4" ht="13.5">
      <c r="A63" s="37">
        <v>90701</v>
      </c>
      <c r="B63" s="37" t="s">
        <v>7328</v>
      </c>
      <c r="C63" s="37" t="s">
        <v>6</v>
      </c>
      <c r="D63" s="326">
        <v>82.55</v>
      </c>
    </row>
    <row r="64" spans="1:4" ht="13.5">
      <c r="A64" s="37">
        <v>90702</v>
      </c>
      <c r="B64" s="37" t="s">
        <v>7329</v>
      </c>
      <c r="C64" s="37" t="s">
        <v>6</v>
      </c>
      <c r="D64" s="326">
        <v>137.47999999999999</v>
      </c>
    </row>
    <row r="65" spans="1:4" ht="13.5">
      <c r="A65" s="37">
        <v>90703</v>
      </c>
      <c r="B65" s="37" t="s">
        <v>7330</v>
      </c>
      <c r="C65" s="37" t="s">
        <v>6</v>
      </c>
      <c r="D65" s="326">
        <v>215.99</v>
      </c>
    </row>
    <row r="66" spans="1:4" ht="13.5">
      <c r="A66" s="37">
        <v>90704</v>
      </c>
      <c r="B66" s="37" t="s">
        <v>7331</v>
      </c>
      <c r="C66" s="37" t="s">
        <v>6</v>
      </c>
      <c r="D66" s="326">
        <v>321.52999999999997</v>
      </c>
    </row>
    <row r="67" spans="1:4" ht="13.5">
      <c r="A67" s="37">
        <v>90705</v>
      </c>
      <c r="B67" s="37" t="s">
        <v>7332</v>
      </c>
      <c r="C67" s="37" t="s">
        <v>6</v>
      </c>
      <c r="D67" s="326">
        <v>421.09</v>
      </c>
    </row>
    <row r="68" spans="1:4" ht="13.5">
      <c r="A68" s="37">
        <v>90706</v>
      </c>
      <c r="B68" s="37" t="s">
        <v>7333</v>
      </c>
      <c r="C68" s="37" t="s">
        <v>6</v>
      </c>
      <c r="D68" s="326">
        <v>558.45000000000005</v>
      </c>
    </row>
    <row r="69" spans="1:4" ht="13.5">
      <c r="A69" s="37">
        <v>90708</v>
      </c>
      <c r="B69" s="37" t="s">
        <v>7334</v>
      </c>
      <c r="C69" s="37" t="s">
        <v>6</v>
      </c>
      <c r="D69" s="326">
        <v>855.44</v>
      </c>
    </row>
    <row r="70" spans="1:4" ht="13.5">
      <c r="A70" s="37">
        <v>90724</v>
      </c>
      <c r="B70" s="37" t="s">
        <v>7335</v>
      </c>
      <c r="C70" s="37" t="s">
        <v>7</v>
      </c>
      <c r="D70" s="326">
        <v>22</v>
      </c>
    </row>
    <row r="71" spans="1:4" ht="13.5">
      <c r="A71" s="37">
        <v>90725</v>
      </c>
      <c r="B71" s="37" t="s">
        <v>7336</v>
      </c>
      <c r="C71" s="37" t="s">
        <v>7</v>
      </c>
      <c r="D71" s="326">
        <v>27.08</v>
      </c>
    </row>
    <row r="72" spans="1:4" ht="13.5">
      <c r="A72" s="37">
        <v>90726</v>
      </c>
      <c r="B72" s="37" t="s">
        <v>7337</v>
      </c>
      <c r="C72" s="37" t="s">
        <v>7</v>
      </c>
      <c r="D72" s="326">
        <v>32.22</v>
      </c>
    </row>
    <row r="73" spans="1:4" ht="13.5">
      <c r="A73" s="37">
        <v>90727</v>
      </c>
      <c r="B73" s="37" t="s">
        <v>7338</v>
      </c>
      <c r="C73" s="37" t="s">
        <v>7</v>
      </c>
      <c r="D73" s="326">
        <v>37.29</v>
      </c>
    </row>
    <row r="74" spans="1:4" ht="13.5">
      <c r="A74" s="37">
        <v>90728</v>
      </c>
      <c r="B74" s="37" t="s">
        <v>7339</v>
      </c>
      <c r="C74" s="37" t="s">
        <v>7</v>
      </c>
      <c r="D74" s="326">
        <v>42.36</v>
      </c>
    </row>
    <row r="75" spans="1:4" ht="13.5">
      <c r="A75" s="37">
        <v>90729</v>
      </c>
      <c r="B75" s="37" t="s">
        <v>7340</v>
      </c>
      <c r="C75" s="37" t="s">
        <v>7</v>
      </c>
      <c r="D75" s="326">
        <v>47.43</v>
      </c>
    </row>
    <row r="76" spans="1:4" ht="13.5">
      <c r="A76" s="37">
        <v>90730</v>
      </c>
      <c r="B76" s="37" t="s">
        <v>7341</v>
      </c>
      <c r="C76" s="37" t="s">
        <v>7</v>
      </c>
      <c r="D76" s="326">
        <v>52.51</v>
      </c>
    </row>
    <row r="77" spans="1:4" ht="13.5">
      <c r="A77" s="37">
        <v>90731</v>
      </c>
      <c r="B77" s="37" t="s">
        <v>7342</v>
      </c>
      <c r="C77" s="37" t="s">
        <v>7</v>
      </c>
      <c r="D77" s="326">
        <v>57.59</v>
      </c>
    </row>
    <row r="78" spans="1:4" ht="13.5">
      <c r="A78" s="37">
        <v>90732</v>
      </c>
      <c r="B78" s="37" t="s">
        <v>7343</v>
      </c>
      <c r="C78" s="37" t="s">
        <v>7</v>
      </c>
      <c r="D78" s="326">
        <v>72.81</v>
      </c>
    </row>
    <row r="79" spans="1:4" ht="13.5">
      <c r="A79" s="37">
        <v>90733</v>
      </c>
      <c r="B79" s="37" t="s">
        <v>7344</v>
      </c>
      <c r="C79" s="37" t="s">
        <v>6</v>
      </c>
      <c r="D79" s="326">
        <v>3.1</v>
      </c>
    </row>
    <row r="80" spans="1:4" ht="13.5">
      <c r="A80" s="37">
        <v>90734</v>
      </c>
      <c r="B80" s="37" t="s">
        <v>7345</v>
      </c>
      <c r="C80" s="37" t="s">
        <v>6</v>
      </c>
      <c r="D80" s="326">
        <v>3.66</v>
      </c>
    </row>
    <row r="81" spans="1:4" ht="13.5">
      <c r="A81" s="37">
        <v>90735</v>
      </c>
      <c r="B81" s="37" t="s">
        <v>7346</v>
      </c>
      <c r="C81" s="37" t="s">
        <v>6</v>
      </c>
      <c r="D81" s="326">
        <v>4.2300000000000004</v>
      </c>
    </row>
    <row r="82" spans="1:4" ht="13.5">
      <c r="A82" s="37">
        <v>90736</v>
      </c>
      <c r="B82" s="37" t="s">
        <v>7347</v>
      </c>
      <c r="C82" s="37" t="s">
        <v>6</v>
      </c>
      <c r="D82" s="326">
        <v>4.8099999999999996</v>
      </c>
    </row>
    <row r="83" spans="1:4" ht="13.5">
      <c r="A83" s="37">
        <v>90737</v>
      </c>
      <c r="B83" s="37" t="s">
        <v>7348</v>
      </c>
      <c r="C83" s="37" t="s">
        <v>6</v>
      </c>
      <c r="D83" s="326">
        <v>5.37</v>
      </c>
    </row>
    <row r="84" spans="1:4" ht="13.5">
      <c r="A84" s="37">
        <v>90738</v>
      </c>
      <c r="B84" s="37" t="s">
        <v>7349</v>
      </c>
      <c r="C84" s="37" t="s">
        <v>6</v>
      </c>
      <c r="D84" s="326">
        <v>5.95</v>
      </c>
    </row>
    <row r="85" spans="1:4" ht="13.5">
      <c r="A85" s="37">
        <v>90739</v>
      </c>
      <c r="B85" s="37" t="s">
        <v>7350</v>
      </c>
      <c r="C85" s="37" t="s">
        <v>6</v>
      </c>
      <c r="D85" s="326">
        <v>8.9700000000000006</v>
      </c>
    </row>
    <row r="86" spans="1:4" ht="13.5">
      <c r="A86" s="37">
        <v>90740</v>
      </c>
      <c r="B86" s="37" t="s">
        <v>7351</v>
      </c>
      <c r="C86" s="37" t="s">
        <v>6</v>
      </c>
      <c r="D86" s="326">
        <v>4.08</v>
      </c>
    </row>
    <row r="87" spans="1:4" ht="13.5">
      <c r="A87" s="37">
        <v>90741</v>
      </c>
      <c r="B87" s="37" t="s">
        <v>7352</v>
      </c>
      <c r="C87" s="37" t="s">
        <v>6</v>
      </c>
      <c r="D87" s="326">
        <v>4.66</v>
      </c>
    </row>
    <row r="88" spans="1:4" ht="13.5">
      <c r="A88" s="37">
        <v>90742</v>
      </c>
      <c r="B88" s="37" t="s">
        <v>7353</v>
      </c>
      <c r="C88" s="37" t="s">
        <v>6</v>
      </c>
      <c r="D88" s="326">
        <v>5.22</v>
      </c>
    </row>
    <row r="89" spans="1:4" ht="13.5">
      <c r="A89" s="37">
        <v>90743</v>
      </c>
      <c r="B89" s="37" t="s">
        <v>7354</v>
      </c>
      <c r="C89" s="37" t="s">
        <v>6</v>
      </c>
      <c r="D89" s="326">
        <v>5.8</v>
      </c>
    </row>
    <row r="90" spans="1:4" ht="13.5">
      <c r="A90" s="37">
        <v>90744</v>
      </c>
      <c r="B90" s="37" t="s">
        <v>7355</v>
      </c>
      <c r="C90" s="37" t="s">
        <v>6</v>
      </c>
      <c r="D90" s="326">
        <v>6.37</v>
      </c>
    </row>
    <row r="91" spans="1:4" ht="13.5">
      <c r="A91" s="37">
        <v>90745</v>
      </c>
      <c r="B91" s="37" t="s">
        <v>7356</v>
      </c>
      <c r="C91" s="37" t="s">
        <v>6</v>
      </c>
      <c r="D91" s="326">
        <v>10</v>
      </c>
    </row>
    <row r="92" spans="1:4" ht="13.5">
      <c r="A92" s="37">
        <v>90746</v>
      </c>
      <c r="B92" s="37" t="s">
        <v>7357</v>
      </c>
      <c r="C92" s="37" t="s">
        <v>6</v>
      </c>
      <c r="D92" s="326">
        <v>3.34</v>
      </c>
    </row>
    <row r="93" spans="1:4" ht="13.5">
      <c r="A93" s="37">
        <v>90747</v>
      </c>
      <c r="B93" s="37" t="s">
        <v>7358</v>
      </c>
      <c r="C93" s="37" t="s">
        <v>6</v>
      </c>
      <c r="D93" s="326">
        <v>16.57</v>
      </c>
    </row>
    <row r="94" spans="1:4" ht="13.5">
      <c r="A94" s="37">
        <v>94869</v>
      </c>
      <c r="B94" s="37" t="s">
        <v>7359</v>
      </c>
      <c r="C94" s="37" t="s">
        <v>6</v>
      </c>
      <c r="D94" s="326">
        <v>150.97999999999999</v>
      </c>
    </row>
    <row r="95" spans="1:4" ht="13.5">
      <c r="A95" s="37">
        <v>94870</v>
      </c>
      <c r="B95" s="37" t="s">
        <v>7360</v>
      </c>
      <c r="C95" s="37" t="s">
        <v>6</v>
      </c>
      <c r="D95" s="326">
        <v>1.84</v>
      </c>
    </row>
    <row r="96" spans="1:4" ht="13.5">
      <c r="A96" s="37">
        <v>94871</v>
      </c>
      <c r="B96" s="37" t="s">
        <v>7361</v>
      </c>
      <c r="C96" s="37" t="s">
        <v>6</v>
      </c>
      <c r="D96" s="326">
        <v>236.21</v>
      </c>
    </row>
    <row r="97" spans="1:4" ht="13.5">
      <c r="A97" s="37">
        <v>94872</v>
      </c>
      <c r="B97" s="37" t="s">
        <v>7362</v>
      </c>
      <c r="C97" s="37" t="s">
        <v>6</v>
      </c>
      <c r="D97" s="326">
        <v>2.56</v>
      </c>
    </row>
    <row r="98" spans="1:4" ht="13.5">
      <c r="A98" s="37">
        <v>94875</v>
      </c>
      <c r="B98" s="37" t="s">
        <v>7363</v>
      </c>
      <c r="C98" s="37" t="s">
        <v>6</v>
      </c>
      <c r="D98" s="38">
        <v>1389.3</v>
      </c>
    </row>
    <row r="99" spans="1:4" ht="13.5">
      <c r="A99" s="37">
        <v>94876</v>
      </c>
      <c r="B99" s="37" t="s">
        <v>7364</v>
      </c>
      <c r="C99" s="37" t="s">
        <v>6</v>
      </c>
      <c r="D99" s="326">
        <v>27.91</v>
      </c>
    </row>
    <row r="100" spans="1:4" ht="13.5">
      <c r="A100" s="37">
        <v>94878</v>
      </c>
      <c r="B100" s="37" t="s">
        <v>7365</v>
      </c>
      <c r="C100" s="37" t="s">
        <v>6</v>
      </c>
      <c r="D100" s="326">
        <v>32.270000000000003</v>
      </c>
    </row>
    <row r="101" spans="1:4" ht="13.5">
      <c r="A101" s="37">
        <v>94879</v>
      </c>
      <c r="B101" s="37" t="s">
        <v>7366</v>
      </c>
      <c r="C101" s="37" t="s">
        <v>6</v>
      </c>
      <c r="D101" s="38">
        <v>2138.9</v>
      </c>
    </row>
    <row r="102" spans="1:4" ht="13.5">
      <c r="A102" s="37">
        <v>94880</v>
      </c>
      <c r="B102" s="37" t="s">
        <v>7367</v>
      </c>
      <c r="C102" s="37" t="s">
        <v>6</v>
      </c>
      <c r="D102" s="326">
        <v>41.7</v>
      </c>
    </row>
    <row r="103" spans="1:4" ht="13.5">
      <c r="A103" s="37">
        <v>94881</v>
      </c>
      <c r="B103" s="37" t="s">
        <v>7368</v>
      </c>
      <c r="C103" s="37" t="s">
        <v>6</v>
      </c>
      <c r="D103" s="38">
        <v>2946.88</v>
      </c>
    </row>
    <row r="104" spans="1:4" ht="13.5">
      <c r="A104" s="37">
        <v>94882</v>
      </c>
      <c r="B104" s="37" t="s">
        <v>7369</v>
      </c>
      <c r="C104" s="37" t="s">
        <v>6</v>
      </c>
      <c r="D104" s="326">
        <v>48.41</v>
      </c>
    </row>
    <row r="105" spans="1:4" ht="13.5">
      <c r="A105" s="37">
        <v>94884</v>
      </c>
      <c r="B105" s="37" t="s">
        <v>7370</v>
      </c>
      <c r="C105" s="37" t="s">
        <v>6</v>
      </c>
      <c r="D105" s="326">
        <v>62.04</v>
      </c>
    </row>
    <row r="106" spans="1:4" ht="13.5">
      <c r="A106" s="37">
        <v>97121</v>
      </c>
      <c r="B106" s="37" t="s">
        <v>2361</v>
      </c>
      <c r="C106" s="37" t="s">
        <v>6</v>
      </c>
      <c r="D106" s="326">
        <v>1.86</v>
      </c>
    </row>
    <row r="107" spans="1:4" ht="13.5">
      <c r="A107" s="37">
        <v>97122</v>
      </c>
      <c r="B107" s="37" t="s">
        <v>2362</v>
      </c>
      <c r="C107" s="37" t="s">
        <v>6</v>
      </c>
      <c r="D107" s="326">
        <v>2.59</v>
      </c>
    </row>
    <row r="108" spans="1:4" ht="13.5">
      <c r="A108" s="37">
        <v>97123</v>
      </c>
      <c r="B108" s="37" t="s">
        <v>2363</v>
      </c>
      <c r="C108" s="37" t="s">
        <v>6</v>
      </c>
      <c r="D108" s="326">
        <v>3.28</v>
      </c>
    </row>
    <row r="109" spans="1:4" ht="13.5">
      <c r="A109" s="37">
        <v>97124</v>
      </c>
      <c r="B109" s="37" t="s">
        <v>2364</v>
      </c>
      <c r="C109" s="37" t="s">
        <v>6</v>
      </c>
      <c r="D109" s="326">
        <v>0.82</v>
      </c>
    </row>
    <row r="110" spans="1:4" ht="13.5">
      <c r="A110" s="37">
        <v>97125</v>
      </c>
      <c r="B110" s="37" t="s">
        <v>2365</v>
      </c>
      <c r="C110" s="37" t="s">
        <v>6</v>
      </c>
      <c r="D110" s="326">
        <v>1.18</v>
      </c>
    </row>
    <row r="111" spans="1:4" ht="13.5">
      <c r="A111" s="37">
        <v>97126</v>
      </c>
      <c r="B111" s="37" t="s">
        <v>2366</v>
      </c>
      <c r="C111" s="37" t="s">
        <v>6</v>
      </c>
      <c r="D111" s="326">
        <v>1.5</v>
      </c>
    </row>
    <row r="112" spans="1:4" ht="13.5">
      <c r="A112" s="37">
        <v>102264</v>
      </c>
      <c r="B112" s="37" t="s">
        <v>7371</v>
      </c>
      <c r="C112" s="37" t="s">
        <v>6</v>
      </c>
      <c r="D112" s="326">
        <v>23.25</v>
      </c>
    </row>
    <row r="113" spans="1:4" ht="13.5">
      <c r="A113" s="37">
        <v>102265</v>
      </c>
      <c r="B113" s="37" t="s">
        <v>7372</v>
      </c>
      <c r="C113" s="37" t="s">
        <v>7</v>
      </c>
      <c r="D113" s="326">
        <v>93.11</v>
      </c>
    </row>
    <row r="114" spans="1:4" ht="13.5">
      <c r="A114" s="37">
        <v>102266</v>
      </c>
      <c r="B114" s="37" t="s">
        <v>7373</v>
      </c>
      <c r="C114" s="37" t="s">
        <v>7</v>
      </c>
      <c r="D114" s="326">
        <v>103.25</v>
      </c>
    </row>
    <row r="115" spans="1:4" ht="13.5">
      <c r="A115" s="37">
        <v>102267</v>
      </c>
      <c r="B115" s="37" t="s">
        <v>7374</v>
      </c>
      <c r="C115" s="37" t="s">
        <v>7</v>
      </c>
      <c r="D115" s="326">
        <v>118.54</v>
      </c>
    </row>
    <row r="116" spans="1:4" ht="13.5">
      <c r="A116" s="37">
        <v>102268</v>
      </c>
      <c r="B116" s="37" t="s">
        <v>7375</v>
      </c>
      <c r="C116" s="37" t="s">
        <v>7</v>
      </c>
      <c r="D116" s="326">
        <v>133.76</v>
      </c>
    </row>
    <row r="117" spans="1:4" ht="13.5">
      <c r="A117" s="37">
        <v>102269</v>
      </c>
      <c r="B117" s="37" t="s">
        <v>7376</v>
      </c>
      <c r="C117" s="37" t="s">
        <v>7</v>
      </c>
      <c r="D117" s="326">
        <v>164.21</v>
      </c>
    </row>
    <row r="118" spans="1:4" ht="13.5">
      <c r="A118" s="37">
        <v>92833</v>
      </c>
      <c r="B118" s="37" t="s">
        <v>2367</v>
      </c>
      <c r="C118" s="37" t="s">
        <v>6</v>
      </c>
      <c r="D118" s="326">
        <v>191</v>
      </c>
    </row>
    <row r="119" spans="1:4" ht="13.5">
      <c r="A119" s="37">
        <v>92834</v>
      </c>
      <c r="B119" s="37" t="s">
        <v>2368</v>
      </c>
      <c r="C119" s="37" t="s">
        <v>6</v>
      </c>
      <c r="D119" s="326">
        <v>8.91</v>
      </c>
    </row>
    <row r="120" spans="1:4" ht="13.5">
      <c r="A120" s="37">
        <v>92835</v>
      </c>
      <c r="B120" s="37" t="s">
        <v>2369</v>
      </c>
      <c r="C120" s="37" t="s">
        <v>6</v>
      </c>
      <c r="D120" s="326">
        <v>200.29</v>
      </c>
    </row>
    <row r="121" spans="1:4" ht="13.5">
      <c r="A121" s="37">
        <v>92836</v>
      </c>
      <c r="B121" s="37" t="s">
        <v>2370</v>
      </c>
      <c r="C121" s="37" t="s">
        <v>6</v>
      </c>
      <c r="D121" s="326">
        <v>11.4</v>
      </c>
    </row>
    <row r="122" spans="1:4" ht="13.5">
      <c r="A122" s="37">
        <v>92837</v>
      </c>
      <c r="B122" s="37" t="s">
        <v>2371</v>
      </c>
      <c r="C122" s="37" t="s">
        <v>6</v>
      </c>
      <c r="D122" s="326">
        <v>353.19</v>
      </c>
    </row>
    <row r="123" spans="1:4" ht="13.5">
      <c r="A123" s="37">
        <v>92838</v>
      </c>
      <c r="B123" s="37" t="s">
        <v>2372</v>
      </c>
      <c r="C123" s="37" t="s">
        <v>6</v>
      </c>
      <c r="D123" s="326">
        <v>13.67</v>
      </c>
    </row>
    <row r="124" spans="1:4" ht="13.5">
      <c r="A124" s="37">
        <v>92839</v>
      </c>
      <c r="B124" s="37" t="s">
        <v>2373</v>
      </c>
      <c r="C124" s="37" t="s">
        <v>6</v>
      </c>
      <c r="D124" s="326">
        <v>432.06</v>
      </c>
    </row>
    <row r="125" spans="1:4" ht="13.5">
      <c r="A125" s="37">
        <v>92840</v>
      </c>
      <c r="B125" s="37" t="s">
        <v>2374</v>
      </c>
      <c r="C125" s="37" t="s">
        <v>6</v>
      </c>
      <c r="D125" s="326">
        <v>16.2</v>
      </c>
    </row>
    <row r="126" spans="1:4" ht="13.5">
      <c r="A126" s="37">
        <v>92841</v>
      </c>
      <c r="B126" s="37" t="s">
        <v>2375</v>
      </c>
      <c r="C126" s="37" t="s">
        <v>6</v>
      </c>
      <c r="D126" s="326">
        <v>562.89</v>
      </c>
    </row>
    <row r="127" spans="1:4" ht="13.5">
      <c r="A127" s="37">
        <v>92842</v>
      </c>
      <c r="B127" s="37" t="s">
        <v>2376</v>
      </c>
      <c r="C127" s="37" t="s">
        <v>6</v>
      </c>
      <c r="D127" s="326">
        <v>18.489999999999998</v>
      </c>
    </row>
    <row r="128" spans="1:4" ht="13.5">
      <c r="A128" s="37">
        <v>92843</v>
      </c>
      <c r="B128" s="37" t="s">
        <v>7377</v>
      </c>
      <c r="C128" s="37" t="s">
        <v>6</v>
      </c>
      <c r="D128" s="326">
        <v>583.57000000000005</v>
      </c>
    </row>
    <row r="129" spans="1:4" ht="13.5">
      <c r="A129" s="37">
        <v>92844</v>
      </c>
      <c r="B129" s="37" t="s">
        <v>2377</v>
      </c>
      <c r="C129" s="37" t="s">
        <v>6</v>
      </c>
      <c r="D129" s="326">
        <v>21.03</v>
      </c>
    </row>
    <row r="130" spans="1:4" ht="13.5">
      <c r="A130" s="37">
        <v>92845</v>
      </c>
      <c r="B130" s="37" t="s">
        <v>7378</v>
      </c>
      <c r="C130" s="37" t="s">
        <v>6</v>
      </c>
      <c r="D130" s="326">
        <v>863.48</v>
      </c>
    </row>
    <row r="131" spans="1:4" ht="13.5">
      <c r="A131" s="37">
        <v>92846</v>
      </c>
      <c r="B131" s="37" t="s">
        <v>2378</v>
      </c>
      <c r="C131" s="37" t="s">
        <v>6</v>
      </c>
      <c r="D131" s="326">
        <v>23.3</v>
      </c>
    </row>
    <row r="132" spans="1:4" ht="13.5">
      <c r="A132" s="37">
        <v>92847</v>
      </c>
      <c r="B132" s="37" t="s">
        <v>2379</v>
      </c>
      <c r="C132" s="37" t="s">
        <v>6</v>
      </c>
      <c r="D132" s="326">
        <v>888</v>
      </c>
    </row>
    <row r="133" spans="1:4" ht="13.5">
      <c r="A133" s="37">
        <v>92848</v>
      </c>
      <c r="B133" s="37" t="s">
        <v>2380</v>
      </c>
      <c r="C133" s="37" t="s">
        <v>6</v>
      </c>
      <c r="D133" s="326">
        <v>25.85</v>
      </c>
    </row>
    <row r="134" spans="1:4" ht="13.5">
      <c r="A134" s="37">
        <v>92849</v>
      </c>
      <c r="B134" s="37" t="s">
        <v>2382</v>
      </c>
      <c r="C134" s="37" t="s">
        <v>6</v>
      </c>
      <c r="D134" s="326">
        <v>198.96</v>
      </c>
    </row>
    <row r="135" spans="1:4" ht="13.5">
      <c r="A135" s="37">
        <v>92850</v>
      </c>
      <c r="B135" s="37" t="s">
        <v>2383</v>
      </c>
      <c r="C135" s="37" t="s">
        <v>6</v>
      </c>
      <c r="D135" s="326">
        <v>16.87</v>
      </c>
    </row>
    <row r="136" spans="1:4" ht="13.5">
      <c r="A136" s="37">
        <v>92851</v>
      </c>
      <c r="B136" s="37" t="s">
        <v>2384</v>
      </c>
      <c r="C136" s="37" t="s">
        <v>6</v>
      </c>
      <c r="D136" s="326">
        <v>210.2</v>
      </c>
    </row>
    <row r="137" spans="1:4" ht="13.5">
      <c r="A137" s="37">
        <v>92852</v>
      </c>
      <c r="B137" s="37" t="s">
        <v>2385</v>
      </c>
      <c r="C137" s="37" t="s">
        <v>6</v>
      </c>
      <c r="D137" s="326">
        <v>21.31</v>
      </c>
    </row>
    <row r="138" spans="1:4" ht="13.5">
      <c r="A138" s="37">
        <v>92853</v>
      </c>
      <c r="B138" s="37" t="s">
        <v>2386</v>
      </c>
      <c r="C138" s="37" t="s">
        <v>6</v>
      </c>
      <c r="D138" s="326">
        <v>365.45</v>
      </c>
    </row>
    <row r="139" spans="1:4" ht="13.5">
      <c r="A139" s="37">
        <v>92854</v>
      </c>
      <c r="B139" s="37" t="s">
        <v>2387</v>
      </c>
      <c r="C139" s="37" t="s">
        <v>6</v>
      </c>
      <c r="D139" s="326">
        <v>25.93</v>
      </c>
    </row>
    <row r="140" spans="1:4" ht="13.5">
      <c r="A140" s="37">
        <v>92855</v>
      </c>
      <c r="B140" s="37" t="s">
        <v>2388</v>
      </c>
      <c r="C140" s="37" t="s">
        <v>6</v>
      </c>
      <c r="D140" s="326">
        <v>446.43</v>
      </c>
    </row>
    <row r="141" spans="1:4" ht="13.5">
      <c r="A141" s="37">
        <v>92856</v>
      </c>
      <c r="B141" s="37" t="s">
        <v>2389</v>
      </c>
      <c r="C141" s="37" t="s">
        <v>6</v>
      </c>
      <c r="D141" s="326">
        <v>30.57</v>
      </c>
    </row>
    <row r="142" spans="1:4" ht="13.5">
      <c r="A142" s="37">
        <v>92857</v>
      </c>
      <c r="B142" s="37" t="s">
        <v>2390</v>
      </c>
      <c r="C142" s="37" t="s">
        <v>6</v>
      </c>
      <c r="D142" s="326">
        <v>579.38</v>
      </c>
    </row>
    <row r="143" spans="1:4" ht="13.5">
      <c r="A143" s="37">
        <v>92858</v>
      </c>
      <c r="B143" s="37" t="s">
        <v>2391</v>
      </c>
      <c r="C143" s="37" t="s">
        <v>6</v>
      </c>
      <c r="D143" s="326">
        <v>34.979999999999997</v>
      </c>
    </row>
    <row r="144" spans="1:4" ht="13.5">
      <c r="A144" s="37">
        <v>92859</v>
      </c>
      <c r="B144" s="37" t="s">
        <v>7379</v>
      </c>
      <c r="C144" s="37" t="s">
        <v>6</v>
      </c>
      <c r="D144" s="326">
        <v>602.27</v>
      </c>
    </row>
    <row r="145" spans="1:4" ht="13.5">
      <c r="A145" s="37">
        <v>92860</v>
      </c>
      <c r="B145" s="37" t="s">
        <v>2393</v>
      </c>
      <c r="C145" s="37" t="s">
        <v>6</v>
      </c>
      <c r="D145" s="326">
        <v>39.729999999999997</v>
      </c>
    </row>
    <row r="146" spans="1:4" ht="13.5">
      <c r="A146" s="37">
        <v>92861</v>
      </c>
      <c r="B146" s="37" t="s">
        <v>7380</v>
      </c>
      <c r="C146" s="37" t="s">
        <v>6</v>
      </c>
      <c r="D146" s="326">
        <v>884.51</v>
      </c>
    </row>
    <row r="147" spans="1:4" ht="13.5">
      <c r="A147" s="37">
        <v>92862</v>
      </c>
      <c r="B147" s="37" t="s">
        <v>2394</v>
      </c>
      <c r="C147" s="37" t="s">
        <v>6</v>
      </c>
      <c r="D147" s="326">
        <v>44.33</v>
      </c>
    </row>
    <row r="148" spans="1:4" ht="13.5">
      <c r="A148" s="37">
        <v>92863</v>
      </c>
      <c r="B148" s="37" t="s">
        <v>2395</v>
      </c>
      <c r="C148" s="37" t="s">
        <v>6</v>
      </c>
      <c r="D148" s="326">
        <v>911.14</v>
      </c>
    </row>
    <row r="149" spans="1:4" ht="13.5">
      <c r="A149" s="37">
        <v>92864</v>
      </c>
      <c r="B149" s="37" t="s">
        <v>2396</v>
      </c>
      <c r="C149" s="37" t="s">
        <v>6</v>
      </c>
      <c r="D149" s="326">
        <v>48.99</v>
      </c>
    </row>
    <row r="150" spans="1:4" ht="13.5">
      <c r="A150" s="37">
        <v>92210</v>
      </c>
      <c r="B150" s="37" t="s">
        <v>2397</v>
      </c>
      <c r="C150" s="37" t="s">
        <v>6</v>
      </c>
      <c r="D150" s="326">
        <v>158.35</v>
      </c>
    </row>
    <row r="151" spans="1:4" ht="13.5">
      <c r="A151" s="37">
        <v>92211</v>
      </c>
      <c r="B151" s="37" t="s">
        <v>2398</v>
      </c>
      <c r="C151" s="37" t="s">
        <v>6</v>
      </c>
      <c r="D151" s="326">
        <v>190.37</v>
      </c>
    </row>
    <row r="152" spans="1:4" ht="13.5">
      <c r="A152" s="37">
        <v>92212</v>
      </c>
      <c r="B152" s="37" t="s">
        <v>2399</v>
      </c>
      <c r="C152" s="37" t="s">
        <v>6</v>
      </c>
      <c r="D152" s="326">
        <v>281.39</v>
      </c>
    </row>
    <row r="153" spans="1:4" ht="13.5">
      <c r="A153" s="37">
        <v>92213</v>
      </c>
      <c r="B153" s="37" t="s">
        <v>2400</v>
      </c>
      <c r="C153" s="37" t="s">
        <v>6</v>
      </c>
      <c r="D153" s="326">
        <v>368.22</v>
      </c>
    </row>
    <row r="154" spans="1:4" ht="13.5">
      <c r="A154" s="37">
        <v>92214</v>
      </c>
      <c r="B154" s="37" t="s">
        <v>2401</v>
      </c>
      <c r="C154" s="37" t="s">
        <v>6</v>
      </c>
      <c r="D154" s="326">
        <v>444.14</v>
      </c>
    </row>
    <row r="155" spans="1:4" ht="13.5">
      <c r="A155" s="37">
        <v>92215</v>
      </c>
      <c r="B155" s="37" t="s">
        <v>2402</v>
      </c>
      <c r="C155" s="37" t="s">
        <v>6</v>
      </c>
      <c r="D155" s="326">
        <v>509.73</v>
      </c>
    </row>
    <row r="156" spans="1:4" ht="13.5">
      <c r="A156" s="37">
        <v>92216</v>
      </c>
      <c r="B156" s="37" t="s">
        <v>2403</v>
      </c>
      <c r="C156" s="37" t="s">
        <v>6</v>
      </c>
      <c r="D156" s="326">
        <v>533.95000000000005</v>
      </c>
    </row>
    <row r="157" spans="1:4" ht="13.5">
      <c r="A157" s="37">
        <v>92219</v>
      </c>
      <c r="B157" s="37" t="s">
        <v>2404</v>
      </c>
      <c r="C157" s="37" t="s">
        <v>6</v>
      </c>
      <c r="D157" s="326">
        <v>168.26</v>
      </c>
    </row>
    <row r="158" spans="1:4" ht="13.5">
      <c r="A158" s="37">
        <v>92220</v>
      </c>
      <c r="B158" s="37" t="s">
        <v>2405</v>
      </c>
      <c r="C158" s="37" t="s">
        <v>6</v>
      </c>
      <c r="D158" s="326">
        <v>202.66</v>
      </c>
    </row>
    <row r="159" spans="1:4" ht="13.5">
      <c r="A159" s="37">
        <v>92221</v>
      </c>
      <c r="B159" s="37" t="s">
        <v>2406</v>
      </c>
      <c r="C159" s="37" t="s">
        <v>6</v>
      </c>
      <c r="D159" s="326">
        <v>295.76</v>
      </c>
    </row>
    <row r="160" spans="1:4" ht="13.5">
      <c r="A160" s="37">
        <v>92222</v>
      </c>
      <c r="B160" s="37" t="s">
        <v>2407</v>
      </c>
      <c r="C160" s="37" t="s">
        <v>6</v>
      </c>
      <c r="D160" s="326">
        <v>384.94</v>
      </c>
    </row>
    <row r="161" spans="1:4" ht="13.5">
      <c r="A161" s="37">
        <v>92223</v>
      </c>
      <c r="B161" s="37" t="s">
        <v>2408</v>
      </c>
      <c r="C161" s="37" t="s">
        <v>6</v>
      </c>
      <c r="D161" s="326">
        <v>462.84</v>
      </c>
    </row>
    <row r="162" spans="1:4" ht="13.5">
      <c r="A162" s="37">
        <v>92224</v>
      </c>
      <c r="B162" s="37" t="s">
        <v>2409</v>
      </c>
      <c r="C162" s="37" t="s">
        <v>6</v>
      </c>
      <c r="D162" s="326">
        <v>530.49</v>
      </c>
    </row>
    <row r="163" spans="1:4" ht="13.5">
      <c r="A163" s="37">
        <v>92226</v>
      </c>
      <c r="B163" s="37" t="s">
        <v>2410</v>
      </c>
      <c r="C163" s="37" t="s">
        <v>6</v>
      </c>
      <c r="D163" s="326">
        <v>557.17999999999995</v>
      </c>
    </row>
    <row r="164" spans="1:4" ht="13.5">
      <c r="A164" s="37">
        <v>92808</v>
      </c>
      <c r="B164" s="37" t="s">
        <v>2411</v>
      </c>
      <c r="C164" s="37" t="s">
        <v>6</v>
      </c>
      <c r="D164" s="326">
        <v>40.15</v>
      </c>
    </row>
    <row r="165" spans="1:4" ht="13.5">
      <c r="A165" s="37">
        <v>92809</v>
      </c>
      <c r="B165" s="37" t="s">
        <v>2412</v>
      </c>
      <c r="C165" s="37" t="s">
        <v>6</v>
      </c>
      <c r="D165" s="326">
        <v>51.48</v>
      </c>
    </row>
    <row r="166" spans="1:4" ht="13.5">
      <c r="A166" s="37">
        <v>92810</v>
      </c>
      <c r="B166" s="37" t="s">
        <v>2413</v>
      </c>
      <c r="C166" s="37" t="s">
        <v>6</v>
      </c>
      <c r="D166" s="326">
        <v>62.64</v>
      </c>
    </row>
    <row r="167" spans="1:4" ht="13.5">
      <c r="A167" s="37">
        <v>92811</v>
      </c>
      <c r="B167" s="37" t="s">
        <v>2415</v>
      </c>
      <c r="C167" s="37" t="s">
        <v>6</v>
      </c>
      <c r="D167" s="326">
        <v>74.58</v>
      </c>
    </row>
    <row r="168" spans="1:4" ht="13.5">
      <c r="A168" s="37">
        <v>92812</v>
      </c>
      <c r="B168" s="37" t="s">
        <v>2416</v>
      </c>
      <c r="C168" s="37" t="s">
        <v>6</v>
      </c>
      <c r="D168" s="326">
        <v>86.33</v>
      </c>
    </row>
    <row r="169" spans="1:4" ht="13.5">
      <c r="A169" s="37">
        <v>92813</v>
      </c>
      <c r="B169" s="37" t="s">
        <v>2417</v>
      </c>
      <c r="C169" s="37" t="s">
        <v>6</v>
      </c>
      <c r="D169" s="326">
        <v>100.04</v>
      </c>
    </row>
    <row r="170" spans="1:4" ht="13.5">
      <c r="A170" s="37">
        <v>92814</v>
      </c>
      <c r="B170" s="37" t="s">
        <v>2419</v>
      </c>
      <c r="C170" s="37" t="s">
        <v>6</v>
      </c>
      <c r="D170" s="326">
        <v>114.36</v>
      </c>
    </row>
    <row r="171" spans="1:4" ht="13.5">
      <c r="A171" s="37">
        <v>92815</v>
      </c>
      <c r="B171" s="37" t="s">
        <v>2420</v>
      </c>
      <c r="C171" s="37" t="s">
        <v>6</v>
      </c>
      <c r="D171" s="326">
        <v>130.76</v>
      </c>
    </row>
    <row r="172" spans="1:4" ht="13.5">
      <c r="A172" s="37">
        <v>92816</v>
      </c>
      <c r="B172" s="37" t="s">
        <v>2421</v>
      </c>
      <c r="C172" s="37" t="s">
        <v>6</v>
      </c>
      <c r="D172" s="326">
        <v>765.79</v>
      </c>
    </row>
    <row r="173" spans="1:4" ht="13.5">
      <c r="A173" s="37">
        <v>92817</v>
      </c>
      <c r="B173" s="37" t="s">
        <v>2422</v>
      </c>
      <c r="C173" s="37" t="s">
        <v>6</v>
      </c>
      <c r="D173" s="326">
        <v>163.61000000000001</v>
      </c>
    </row>
    <row r="174" spans="1:4" ht="13.5">
      <c r="A174" s="37">
        <v>92818</v>
      </c>
      <c r="B174" s="37" t="s">
        <v>2423</v>
      </c>
      <c r="C174" s="37" t="s">
        <v>6</v>
      </c>
      <c r="D174" s="38">
        <v>1092.69</v>
      </c>
    </row>
    <row r="175" spans="1:4" ht="13.5">
      <c r="A175" s="37">
        <v>92819</v>
      </c>
      <c r="B175" s="37" t="s">
        <v>2424</v>
      </c>
      <c r="C175" s="37" t="s">
        <v>6</v>
      </c>
      <c r="D175" s="326">
        <v>220.25</v>
      </c>
    </row>
    <row r="176" spans="1:4" ht="13.5">
      <c r="A176" s="37">
        <v>92820</v>
      </c>
      <c r="B176" s="37" t="s">
        <v>2425</v>
      </c>
      <c r="C176" s="37" t="s">
        <v>6</v>
      </c>
      <c r="D176" s="326">
        <v>47.9</v>
      </c>
    </row>
    <row r="177" spans="1:4" ht="13.5">
      <c r="A177" s="37">
        <v>92821</v>
      </c>
      <c r="B177" s="37" t="s">
        <v>2426</v>
      </c>
      <c r="C177" s="37" t="s">
        <v>6</v>
      </c>
      <c r="D177" s="326">
        <v>61.39</v>
      </c>
    </row>
    <row r="178" spans="1:4" ht="13.5">
      <c r="A178" s="37">
        <v>92822</v>
      </c>
      <c r="B178" s="37" t="s">
        <v>2427</v>
      </c>
      <c r="C178" s="37" t="s">
        <v>6</v>
      </c>
      <c r="D178" s="326">
        <v>74.930000000000007</v>
      </c>
    </row>
    <row r="179" spans="1:4" ht="13.5">
      <c r="A179" s="37">
        <v>92824</v>
      </c>
      <c r="B179" s="37" t="s">
        <v>2428</v>
      </c>
      <c r="C179" s="37" t="s">
        <v>6</v>
      </c>
      <c r="D179" s="326">
        <v>88.95</v>
      </c>
    </row>
    <row r="180" spans="1:4" ht="13.5">
      <c r="A180" s="37">
        <v>92825</v>
      </c>
      <c r="B180" s="37" t="s">
        <v>2429</v>
      </c>
      <c r="C180" s="37" t="s">
        <v>6</v>
      </c>
      <c r="D180" s="326">
        <v>103.05</v>
      </c>
    </row>
    <row r="181" spans="1:4" ht="13.5">
      <c r="A181" s="37">
        <v>92826</v>
      </c>
      <c r="B181" s="37" t="s">
        <v>2430</v>
      </c>
      <c r="C181" s="37" t="s">
        <v>6</v>
      </c>
      <c r="D181" s="326">
        <v>118.74</v>
      </c>
    </row>
    <row r="182" spans="1:4" ht="13.5">
      <c r="A182" s="37">
        <v>92827</v>
      </c>
      <c r="B182" s="37" t="s">
        <v>2431</v>
      </c>
      <c r="C182" s="37" t="s">
        <v>6</v>
      </c>
      <c r="D182" s="326">
        <v>135.12</v>
      </c>
    </row>
    <row r="183" spans="1:4" ht="13.5">
      <c r="A183" s="37">
        <v>92828</v>
      </c>
      <c r="B183" s="37" t="s">
        <v>2432</v>
      </c>
      <c r="C183" s="37" t="s">
        <v>6</v>
      </c>
      <c r="D183" s="326">
        <v>153.99</v>
      </c>
    </row>
    <row r="184" spans="1:4" ht="13.5">
      <c r="A184" s="37">
        <v>92829</v>
      </c>
      <c r="B184" s="37" t="s">
        <v>2433</v>
      </c>
      <c r="C184" s="37" t="s">
        <v>6</v>
      </c>
      <c r="D184" s="326">
        <v>793.22</v>
      </c>
    </row>
    <row r="185" spans="1:4" ht="13.5">
      <c r="A185" s="37">
        <v>92830</v>
      </c>
      <c r="B185" s="37" t="s">
        <v>2434</v>
      </c>
      <c r="C185" s="37" t="s">
        <v>6</v>
      </c>
      <c r="D185" s="326">
        <v>191.04</v>
      </c>
    </row>
    <row r="186" spans="1:4" ht="13.5">
      <c r="A186" s="37">
        <v>92831</v>
      </c>
      <c r="B186" s="37" t="s">
        <v>2435</v>
      </c>
      <c r="C186" s="37" t="s">
        <v>6</v>
      </c>
      <c r="D186" s="38">
        <v>1126.3900000000001</v>
      </c>
    </row>
    <row r="187" spans="1:4" ht="13.5">
      <c r="A187" s="37">
        <v>92832</v>
      </c>
      <c r="B187" s="37" t="s">
        <v>2436</v>
      </c>
      <c r="C187" s="37" t="s">
        <v>6</v>
      </c>
      <c r="D187" s="326">
        <v>253.95</v>
      </c>
    </row>
    <row r="188" spans="1:4" ht="13.5">
      <c r="A188" s="37">
        <v>95565</v>
      </c>
      <c r="B188" s="37" t="s">
        <v>2437</v>
      </c>
      <c r="C188" s="37" t="s">
        <v>6</v>
      </c>
      <c r="D188" s="326">
        <v>134.85</v>
      </c>
    </row>
    <row r="189" spans="1:4" ht="13.5">
      <c r="A189" s="37">
        <v>95566</v>
      </c>
      <c r="B189" s="37" t="s">
        <v>2438</v>
      </c>
      <c r="C189" s="37" t="s">
        <v>6</v>
      </c>
      <c r="D189" s="326">
        <v>142.6</v>
      </c>
    </row>
    <row r="190" spans="1:4" ht="13.5">
      <c r="A190" s="37">
        <v>95567</v>
      </c>
      <c r="B190" s="37" t="s">
        <v>2439</v>
      </c>
      <c r="C190" s="37" t="s">
        <v>6</v>
      </c>
      <c r="D190" s="326">
        <v>104.01</v>
      </c>
    </row>
    <row r="191" spans="1:4" ht="13.5">
      <c r="A191" s="37">
        <v>95568</v>
      </c>
      <c r="B191" s="37" t="s">
        <v>2440</v>
      </c>
      <c r="C191" s="37" t="s">
        <v>6</v>
      </c>
      <c r="D191" s="326">
        <v>126.93</v>
      </c>
    </row>
    <row r="192" spans="1:4" ht="13.5">
      <c r="A192" s="37">
        <v>95569</v>
      </c>
      <c r="B192" s="37" t="s">
        <v>2441</v>
      </c>
      <c r="C192" s="37" t="s">
        <v>6</v>
      </c>
      <c r="D192" s="326">
        <v>174.95</v>
      </c>
    </row>
    <row r="193" spans="1:4" ht="13.5">
      <c r="A193" s="37">
        <v>95570</v>
      </c>
      <c r="B193" s="37" t="s">
        <v>2442</v>
      </c>
      <c r="C193" s="37" t="s">
        <v>6</v>
      </c>
      <c r="D193" s="326">
        <v>111.76</v>
      </c>
    </row>
    <row r="194" spans="1:4" ht="13.5">
      <c r="A194" s="37">
        <v>95571</v>
      </c>
      <c r="B194" s="37" t="s">
        <v>2443</v>
      </c>
      <c r="C194" s="37" t="s">
        <v>6</v>
      </c>
      <c r="D194" s="326">
        <v>136.84</v>
      </c>
    </row>
    <row r="195" spans="1:4" ht="13.5">
      <c r="A195" s="37">
        <v>95572</v>
      </c>
      <c r="B195" s="37" t="s">
        <v>2444</v>
      </c>
      <c r="C195" s="37" t="s">
        <v>6</v>
      </c>
      <c r="D195" s="326">
        <v>187.24</v>
      </c>
    </row>
    <row r="196" spans="1:4" ht="13.5">
      <c r="A196" s="37">
        <v>97127</v>
      </c>
      <c r="B196" s="37" t="s">
        <v>2445</v>
      </c>
      <c r="C196" s="37" t="s">
        <v>6</v>
      </c>
      <c r="D196" s="326">
        <v>4.71</v>
      </c>
    </row>
    <row r="197" spans="1:4" ht="13.5">
      <c r="A197" s="37">
        <v>97128</v>
      </c>
      <c r="B197" s="37" t="s">
        <v>2446</v>
      </c>
      <c r="C197" s="37" t="s">
        <v>6</v>
      </c>
      <c r="D197" s="326">
        <v>10.1</v>
      </c>
    </row>
    <row r="198" spans="1:4" ht="13.5">
      <c r="A198" s="37">
        <v>97129</v>
      </c>
      <c r="B198" s="37" t="s">
        <v>2447</v>
      </c>
      <c r="C198" s="37" t="s">
        <v>6</v>
      </c>
      <c r="D198" s="326">
        <v>12.42</v>
      </c>
    </row>
    <row r="199" spans="1:4" ht="13.5">
      <c r="A199" s="37">
        <v>97130</v>
      </c>
      <c r="B199" s="37" t="s">
        <v>2448</v>
      </c>
      <c r="C199" s="37" t="s">
        <v>6</v>
      </c>
      <c r="D199" s="326">
        <v>14.74</v>
      </c>
    </row>
    <row r="200" spans="1:4" ht="13.5">
      <c r="A200" s="37">
        <v>97131</v>
      </c>
      <c r="B200" s="37" t="s">
        <v>2449</v>
      </c>
      <c r="C200" s="37" t="s">
        <v>6</v>
      </c>
      <c r="D200" s="326">
        <v>17.05</v>
      </c>
    </row>
    <row r="201" spans="1:4" ht="13.5">
      <c r="A201" s="37">
        <v>97132</v>
      </c>
      <c r="B201" s="37" t="s">
        <v>2450</v>
      </c>
      <c r="C201" s="37" t="s">
        <v>6</v>
      </c>
      <c r="D201" s="326">
        <v>19.36</v>
      </c>
    </row>
    <row r="202" spans="1:4" ht="13.5">
      <c r="A202" s="37">
        <v>97133</v>
      </c>
      <c r="B202" s="37" t="s">
        <v>2451</v>
      </c>
      <c r="C202" s="37" t="s">
        <v>6</v>
      </c>
      <c r="D202" s="326">
        <v>24</v>
      </c>
    </row>
    <row r="203" spans="1:4" ht="13.5">
      <c r="A203" s="37">
        <v>97134</v>
      </c>
      <c r="B203" s="37" t="s">
        <v>2452</v>
      </c>
      <c r="C203" s="37" t="s">
        <v>6</v>
      </c>
      <c r="D203" s="326">
        <v>2.1800000000000002</v>
      </c>
    </row>
    <row r="204" spans="1:4" ht="13.5">
      <c r="A204" s="37">
        <v>97135</v>
      </c>
      <c r="B204" s="37" t="s">
        <v>2453</v>
      </c>
      <c r="C204" s="37" t="s">
        <v>6</v>
      </c>
      <c r="D204" s="326">
        <v>5.19</v>
      </c>
    </row>
    <row r="205" spans="1:4" ht="13.5">
      <c r="A205" s="37">
        <v>97136</v>
      </c>
      <c r="B205" s="37" t="s">
        <v>2454</v>
      </c>
      <c r="C205" s="37" t="s">
        <v>6</v>
      </c>
      <c r="D205" s="326">
        <v>6.38</v>
      </c>
    </row>
    <row r="206" spans="1:4" ht="13.5">
      <c r="A206" s="37">
        <v>97137</v>
      </c>
      <c r="B206" s="37" t="s">
        <v>2455</v>
      </c>
      <c r="C206" s="37" t="s">
        <v>6</v>
      </c>
      <c r="D206" s="326">
        <v>7.58</v>
      </c>
    </row>
    <row r="207" spans="1:4" ht="13.5">
      <c r="A207" s="37">
        <v>97138</v>
      </c>
      <c r="B207" s="37" t="s">
        <v>2456</v>
      </c>
      <c r="C207" s="37" t="s">
        <v>6</v>
      </c>
      <c r="D207" s="326">
        <v>8.77</v>
      </c>
    </row>
    <row r="208" spans="1:4" ht="13.5">
      <c r="A208" s="37">
        <v>97139</v>
      </c>
      <c r="B208" s="37" t="s">
        <v>2457</v>
      </c>
      <c r="C208" s="37" t="s">
        <v>6</v>
      </c>
      <c r="D208" s="326">
        <v>9.9600000000000009</v>
      </c>
    </row>
    <row r="209" spans="1:4" ht="13.5">
      <c r="A209" s="37">
        <v>97140</v>
      </c>
      <c r="B209" s="37" t="s">
        <v>2458</v>
      </c>
      <c r="C209" s="37" t="s">
        <v>6</v>
      </c>
      <c r="D209" s="326">
        <v>12.35</v>
      </c>
    </row>
    <row r="210" spans="1:4" ht="13.5">
      <c r="A210" s="37">
        <v>103089</v>
      </c>
      <c r="B210" s="37" t="s">
        <v>12238</v>
      </c>
      <c r="C210" s="37" t="s">
        <v>6</v>
      </c>
      <c r="D210" s="326">
        <v>10.77</v>
      </c>
    </row>
    <row r="211" spans="1:4" ht="13.5">
      <c r="A211" s="37">
        <v>103090</v>
      </c>
      <c r="B211" s="37" t="s">
        <v>12239</v>
      </c>
      <c r="C211" s="37" t="s">
        <v>6</v>
      </c>
      <c r="D211" s="326">
        <v>12.85</v>
      </c>
    </row>
    <row r="212" spans="1:4" ht="13.5">
      <c r="A212" s="37">
        <v>103091</v>
      </c>
      <c r="B212" s="37" t="s">
        <v>12240</v>
      </c>
      <c r="C212" s="37" t="s">
        <v>6</v>
      </c>
      <c r="D212" s="326">
        <v>18.059999999999999</v>
      </c>
    </row>
    <row r="213" spans="1:4" ht="13.5">
      <c r="A213" s="37">
        <v>103092</v>
      </c>
      <c r="B213" s="37" t="s">
        <v>12241</v>
      </c>
      <c r="C213" s="37" t="s">
        <v>6</v>
      </c>
      <c r="D213" s="326">
        <v>23.25</v>
      </c>
    </row>
    <row r="214" spans="1:4" ht="13.5">
      <c r="A214" s="37">
        <v>103093</v>
      </c>
      <c r="B214" s="37" t="s">
        <v>12242</v>
      </c>
      <c r="C214" s="37" t="s">
        <v>6</v>
      </c>
      <c r="D214" s="326">
        <v>35.549999999999997</v>
      </c>
    </row>
    <row r="215" spans="1:4" ht="13.5">
      <c r="A215" s="37">
        <v>103094</v>
      </c>
      <c r="B215" s="37" t="s">
        <v>12243</v>
      </c>
      <c r="C215" s="37" t="s">
        <v>6</v>
      </c>
      <c r="D215" s="326">
        <v>40.78</v>
      </c>
    </row>
    <row r="216" spans="1:4" ht="13.5">
      <c r="A216" s="37">
        <v>103095</v>
      </c>
      <c r="B216" s="37" t="s">
        <v>12244</v>
      </c>
      <c r="C216" s="37" t="s">
        <v>6</v>
      </c>
      <c r="D216" s="326">
        <v>53.05</v>
      </c>
    </row>
    <row r="217" spans="1:4" ht="13.5">
      <c r="A217" s="37">
        <v>103096</v>
      </c>
      <c r="B217" s="37" t="s">
        <v>12245</v>
      </c>
      <c r="C217" s="37" t="s">
        <v>6</v>
      </c>
      <c r="D217" s="326">
        <v>58.28</v>
      </c>
    </row>
    <row r="218" spans="1:4" ht="13.5">
      <c r="A218" s="37">
        <v>103097</v>
      </c>
      <c r="B218" s="37" t="s">
        <v>12246</v>
      </c>
      <c r="C218" s="37" t="s">
        <v>6</v>
      </c>
      <c r="D218" s="326">
        <v>70.56</v>
      </c>
    </row>
    <row r="219" spans="1:4" ht="13.5">
      <c r="A219" s="37">
        <v>103098</v>
      </c>
      <c r="B219" s="37" t="s">
        <v>12247</v>
      </c>
      <c r="C219" s="37" t="s">
        <v>6</v>
      </c>
      <c r="D219" s="326">
        <v>75.78</v>
      </c>
    </row>
    <row r="220" spans="1:4" ht="13.5">
      <c r="A220" s="37">
        <v>103099</v>
      </c>
      <c r="B220" s="37" t="s">
        <v>12248</v>
      </c>
      <c r="C220" s="37" t="s">
        <v>6</v>
      </c>
      <c r="D220" s="326">
        <v>86.2</v>
      </c>
    </row>
    <row r="221" spans="1:4" ht="13.5">
      <c r="A221" s="37">
        <v>103100</v>
      </c>
      <c r="B221" s="37" t="s">
        <v>12249</v>
      </c>
      <c r="C221" s="37" t="s">
        <v>6</v>
      </c>
      <c r="D221" s="326">
        <v>91.95</v>
      </c>
    </row>
    <row r="222" spans="1:4" ht="13.5">
      <c r="A222" s="37">
        <v>103101</v>
      </c>
      <c r="B222" s="37" t="s">
        <v>12250</v>
      </c>
      <c r="C222" s="37" t="s">
        <v>6</v>
      </c>
      <c r="D222" s="326">
        <v>101.26</v>
      </c>
    </row>
    <row r="223" spans="1:4" ht="13.5">
      <c r="A223" s="37">
        <v>103102</v>
      </c>
      <c r="B223" s="37" t="s">
        <v>12251</v>
      </c>
      <c r="C223" s="37" t="s">
        <v>6</v>
      </c>
      <c r="D223" s="326">
        <v>116.61</v>
      </c>
    </row>
    <row r="224" spans="1:4" ht="13.5">
      <c r="A224" s="37">
        <v>103103</v>
      </c>
      <c r="B224" s="37" t="s">
        <v>12252</v>
      </c>
      <c r="C224" s="37" t="s">
        <v>6</v>
      </c>
      <c r="D224" s="326">
        <v>125.92</v>
      </c>
    </row>
    <row r="225" spans="1:4" ht="13.5">
      <c r="A225" s="37">
        <v>103104</v>
      </c>
      <c r="B225" s="37" t="s">
        <v>12253</v>
      </c>
      <c r="C225" s="37" t="s">
        <v>6</v>
      </c>
      <c r="D225" s="326">
        <v>150.6</v>
      </c>
    </row>
    <row r="226" spans="1:4" ht="13.5">
      <c r="A226" s="37">
        <v>103105</v>
      </c>
      <c r="B226" s="37" t="s">
        <v>12254</v>
      </c>
      <c r="C226" s="37" t="s">
        <v>7</v>
      </c>
      <c r="D226" s="326">
        <v>45.72</v>
      </c>
    </row>
    <row r="227" spans="1:4" ht="13.5">
      <c r="A227" s="37">
        <v>103106</v>
      </c>
      <c r="B227" s="37" t="s">
        <v>12255</v>
      </c>
      <c r="C227" s="37" t="s">
        <v>7</v>
      </c>
      <c r="D227" s="326">
        <v>54.46</v>
      </c>
    </row>
    <row r="228" spans="1:4" ht="13.5">
      <c r="A228" s="37">
        <v>103107</v>
      </c>
      <c r="B228" s="37" t="s">
        <v>12256</v>
      </c>
      <c r="C228" s="37" t="s">
        <v>7</v>
      </c>
      <c r="D228" s="326">
        <v>76.34</v>
      </c>
    </row>
    <row r="229" spans="1:4" ht="13.5">
      <c r="A229" s="37">
        <v>103108</v>
      </c>
      <c r="B229" s="37" t="s">
        <v>12257</v>
      </c>
      <c r="C229" s="37" t="s">
        <v>7</v>
      </c>
      <c r="D229" s="326">
        <v>98.2</v>
      </c>
    </row>
    <row r="230" spans="1:4" ht="13.5">
      <c r="A230" s="37">
        <v>103109</v>
      </c>
      <c r="B230" s="37" t="s">
        <v>12258</v>
      </c>
      <c r="C230" s="37" t="s">
        <v>7</v>
      </c>
      <c r="D230" s="326">
        <v>161.15</v>
      </c>
    </row>
    <row r="231" spans="1:4" ht="13.5">
      <c r="A231" s="37">
        <v>103110</v>
      </c>
      <c r="B231" s="37" t="s">
        <v>12259</v>
      </c>
      <c r="C231" s="37" t="s">
        <v>7</v>
      </c>
      <c r="D231" s="326">
        <v>183.02</v>
      </c>
    </row>
    <row r="232" spans="1:4" ht="13.5">
      <c r="A232" s="37">
        <v>103111</v>
      </c>
      <c r="B232" s="37" t="s">
        <v>12260</v>
      </c>
      <c r="C232" s="37" t="s">
        <v>7</v>
      </c>
      <c r="D232" s="326">
        <v>245.98</v>
      </c>
    </row>
    <row r="233" spans="1:4" ht="13.5">
      <c r="A233" s="37">
        <v>103112</v>
      </c>
      <c r="B233" s="37" t="s">
        <v>12261</v>
      </c>
      <c r="C233" s="37" t="s">
        <v>7</v>
      </c>
      <c r="D233" s="326">
        <v>267.85000000000002</v>
      </c>
    </row>
    <row r="234" spans="1:4" ht="13.5">
      <c r="A234" s="37">
        <v>103113</v>
      </c>
      <c r="B234" s="37" t="s">
        <v>12262</v>
      </c>
      <c r="C234" s="37" t="s">
        <v>7</v>
      </c>
      <c r="D234" s="326">
        <v>330.79</v>
      </c>
    </row>
    <row r="235" spans="1:4" ht="13.5">
      <c r="A235" s="37">
        <v>103114</v>
      </c>
      <c r="B235" s="37" t="s">
        <v>12263</v>
      </c>
      <c r="C235" s="37" t="s">
        <v>7</v>
      </c>
      <c r="D235" s="326">
        <v>352.65</v>
      </c>
    </row>
    <row r="236" spans="1:4" ht="13.5">
      <c r="A236" s="37">
        <v>103115</v>
      </c>
      <c r="B236" s="37" t="s">
        <v>12264</v>
      </c>
      <c r="C236" s="37" t="s">
        <v>7</v>
      </c>
      <c r="D236" s="326">
        <v>396.4</v>
      </c>
    </row>
    <row r="237" spans="1:4" ht="13.5">
      <c r="A237" s="37">
        <v>103116</v>
      </c>
      <c r="B237" s="37" t="s">
        <v>12265</v>
      </c>
      <c r="C237" s="37" t="s">
        <v>7</v>
      </c>
      <c r="D237" s="326">
        <v>481.21</v>
      </c>
    </row>
    <row r="238" spans="1:4" ht="13.5">
      <c r="A238" s="37">
        <v>103117</v>
      </c>
      <c r="B238" s="37" t="s">
        <v>12266</v>
      </c>
      <c r="C238" s="37" t="s">
        <v>7</v>
      </c>
      <c r="D238" s="326">
        <v>524.94000000000005</v>
      </c>
    </row>
    <row r="239" spans="1:4" ht="13.5">
      <c r="A239" s="37">
        <v>103118</v>
      </c>
      <c r="B239" s="37" t="s">
        <v>12267</v>
      </c>
      <c r="C239" s="37" t="s">
        <v>7</v>
      </c>
      <c r="D239" s="326">
        <v>609.77</v>
      </c>
    </row>
    <row r="240" spans="1:4" ht="13.5">
      <c r="A240" s="37">
        <v>103119</v>
      </c>
      <c r="B240" s="37" t="s">
        <v>12268</v>
      </c>
      <c r="C240" s="37" t="s">
        <v>7</v>
      </c>
      <c r="D240" s="326">
        <v>653.5</v>
      </c>
    </row>
    <row r="241" spans="1:4" ht="13.5">
      <c r="A241" s="37">
        <v>103120</v>
      </c>
      <c r="B241" s="37" t="s">
        <v>12269</v>
      </c>
      <c r="C241" s="37" t="s">
        <v>7</v>
      </c>
      <c r="D241" s="326">
        <v>782.05</v>
      </c>
    </row>
    <row r="242" spans="1:4" ht="13.5">
      <c r="A242" s="37">
        <v>103121</v>
      </c>
      <c r="B242" s="37" t="s">
        <v>12270</v>
      </c>
      <c r="C242" s="37" t="s">
        <v>7</v>
      </c>
      <c r="D242" s="326">
        <v>59.89</v>
      </c>
    </row>
    <row r="243" spans="1:4" ht="13.5">
      <c r="A243" s="37">
        <v>103122</v>
      </c>
      <c r="B243" s="37" t="s">
        <v>12271</v>
      </c>
      <c r="C243" s="37" t="s">
        <v>7</v>
      </c>
      <c r="D243" s="326">
        <v>73</v>
      </c>
    </row>
    <row r="244" spans="1:4" ht="13.5">
      <c r="A244" s="37">
        <v>103123</v>
      </c>
      <c r="B244" s="37" t="s">
        <v>12272</v>
      </c>
      <c r="C244" s="37" t="s">
        <v>7</v>
      </c>
      <c r="D244" s="326">
        <v>105.82</v>
      </c>
    </row>
    <row r="245" spans="1:4" ht="13.5">
      <c r="A245" s="37">
        <v>103124</v>
      </c>
      <c r="B245" s="37" t="s">
        <v>12273</v>
      </c>
      <c r="C245" s="37" t="s">
        <v>7</v>
      </c>
      <c r="D245" s="326">
        <v>138.59</v>
      </c>
    </row>
    <row r="246" spans="1:4" ht="13.5">
      <c r="A246" s="37">
        <v>103125</v>
      </c>
      <c r="B246" s="37" t="s">
        <v>12274</v>
      </c>
      <c r="C246" s="37" t="s">
        <v>7</v>
      </c>
      <c r="D246" s="326">
        <v>233.05</v>
      </c>
    </row>
    <row r="247" spans="1:4" ht="13.5">
      <c r="A247" s="37">
        <v>103126</v>
      </c>
      <c r="B247" s="37" t="s">
        <v>12275</v>
      </c>
      <c r="C247" s="37" t="s">
        <v>7</v>
      </c>
      <c r="D247" s="326">
        <v>265.82</v>
      </c>
    </row>
    <row r="248" spans="1:4" ht="13.5">
      <c r="A248" s="37">
        <v>103127</v>
      </c>
      <c r="B248" s="37" t="s">
        <v>12276</v>
      </c>
      <c r="C248" s="37" t="s">
        <v>7</v>
      </c>
      <c r="D248" s="326">
        <v>360.27</v>
      </c>
    </row>
    <row r="249" spans="1:4" ht="13.5">
      <c r="A249" s="37">
        <v>103128</v>
      </c>
      <c r="B249" s="37" t="s">
        <v>12277</v>
      </c>
      <c r="C249" s="37" t="s">
        <v>7</v>
      </c>
      <c r="D249" s="326">
        <v>393.07</v>
      </c>
    </row>
    <row r="250" spans="1:4" ht="13.5">
      <c r="A250" s="37">
        <v>103129</v>
      </c>
      <c r="B250" s="37" t="s">
        <v>12278</v>
      </c>
      <c r="C250" s="37" t="s">
        <v>7</v>
      </c>
      <c r="D250" s="326">
        <v>487.5</v>
      </c>
    </row>
    <row r="251" spans="1:4" ht="13.5">
      <c r="A251" s="37">
        <v>103130</v>
      </c>
      <c r="B251" s="37" t="s">
        <v>12279</v>
      </c>
      <c r="C251" s="37" t="s">
        <v>7</v>
      </c>
      <c r="D251" s="326">
        <v>520.29</v>
      </c>
    </row>
    <row r="252" spans="1:4" ht="13.5">
      <c r="A252" s="37">
        <v>103131</v>
      </c>
      <c r="B252" s="37" t="s">
        <v>12280</v>
      </c>
      <c r="C252" s="37" t="s">
        <v>7</v>
      </c>
      <c r="D252" s="326">
        <v>585.88</v>
      </c>
    </row>
    <row r="253" spans="1:4" ht="13.5">
      <c r="A253" s="37">
        <v>103132</v>
      </c>
      <c r="B253" s="37" t="s">
        <v>12281</v>
      </c>
      <c r="C253" s="37" t="s">
        <v>7</v>
      </c>
      <c r="D253" s="326">
        <v>713.11</v>
      </c>
    </row>
    <row r="254" spans="1:4" ht="13.5">
      <c r="A254" s="37">
        <v>103133</v>
      </c>
      <c r="B254" s="37" t="s">
        <v>12282</v>
      </c>
      <c r="C254" s="37" t="s">
        <v>7</v>
      </c>
      <c r="D254" s="326">
        <v>778.71</v>
      </c>
    </row>
    <row r="255" spans="1:4" ht="13.5">
      <c r="A255" s="37">
        <v>103134</v>
      </c>
      <c r="B255" s="37" t="s">
        <v>12283</v>
      </c>
      <c r="C255" s="37" t="s">
        <v>7</v>
      </c>
      <c r="D255" s="326">
        <v>905.94</v>
      </c>
    </row>
    <row r="256" spans="1:4" ht="13.5">
      <c r="A256" s="37">
        <v>103135</v>
      </c>
      <c r="B256" s="37" t="s">
        <v>12284</v>
      </c>
      <c r="C256" s="37" t="s">
        <v>7</v>
      </c>
      <c r="D256" s="326">
        <v>971.54</v>
      </c>
    </row>
    <row r="257" spans="1:4" ht="13.5">
      <c r="A257" s="37">
        <v>103136</v>
      </c>
      <c r="B257" s="37" t="s">
        <v>12285</v>
      </c>
      <c r="C257" s="37" t="s">
        <v>7</v>
      </c>
      <c r="D257" s="38">
        <v>1164.3699999999999</v>
      </c>
    </row>
    <row r="258" spans="1:4" ht="13.5">
      <c r="A258" s="37">
        <v>103137</v>
      </c>
      <c r="B258" s="37" t="s">
        <v>12286</v>
      </c>
      <c r="C258" s="37" t="s">
        <v>7</v>
      </c>
      <c r="D258" s="326">
        <v>31.57</v>
      </c>
    </row>
    <row r="259" spans="1:4" ht="13.5">
      <c r="A259" s="37">
        <v>103138</v>
      </c>
      <c r="B259" s="37" t="s">
        <v>12287</v>
      </c>
      <c r="C259" s="37" t="s">
        <v>7</v>
      </c>
      <c r="D259" s="326">
        <v>35.94</v>
      </c>
    </row>
    <row r="260" spans="1:4" ht="13.5">
      <c r="A260" s="37">
        <v>103139</v>
      </c>
      <c r="B260" s="37" t="s">
        <v>12288</v>
      </c>
      <c r="C260" s="37" t="s">
        <v>7</v>
      </c>
      <c r="D260" s="326">
        <v>46.9</v>
      </c>
    </row>
    <row r="261" spans="1:4" ht="13.5">
      <c r="A261" s="37">
        <v>103140</v>
      </c>
      <c r="B261" s="37" t="s">
        <v>12289</v>
      </c>
      <c r="C261" s="37" t="s">
        <v>7</v>
      </c>
      <c r="D261" s="326">
        <v>57.81</v>
      </c>
    </row>
    <row r="262" spans="1:4" ht="13.5">
      <c r="A262" s="37">
        <v>103141</v>
      </c>
      <c r="B262" s="37" t="s">
        <v>12290</v>
      </c>
      <c r="C262" s="37" t="s">
        <v>7</v>
      </c>
      <c r="D262" s="326">
        <v>89.29</v>
      </c>
    </row>
    <row r="263" spans="1:4" ht="13.5">
      <c r="A263" s="37">
        <v>103142</v>
      </c>
      <c r="B263" s="37" t="s">
        <v>12291</v>
      </c>
      <c r="C263" s="37" t="s">
        <v>7</v>
      </c>
      <c r="D263" s="326">
        <v>100.22</v>
      </c>
    </row>
    <row r="264" spans="1:4" ht="13.5">
      <c r="A264" s="37">
        <v>103143</v>
      </c>
      <c r="B264" s="37" t="s">
        <v>12292</v>
      </c>
      <c r="C264" s="37" t="s">
        <v>7</v>
      </c>
      <c r="D264" s="326">
        <v>131.71</v>
      </c>
    </row>
    <row r="265" spans="1:4" ht="13.5">
      <c r="A265" s="37">
        <v>103144</v>
      </c>
      <c r="B265" s="37" t="s">
        <v>12293</v>
      </c>
      <c r="C265" s="37" t="s">
        <v>7</v>
      </c>
      <c r="D265" s="326">
        <v>142.63</v>
      </c>
    </row>
    <row r="266" spans="1:4" ht="13.5">
      <c r="A266" s="37">
        <v>103145</v>
      </c>
      <c r="B266" s="37" t="s">
        <v>12294</v>
      </c>
      <c r="C266" s="37" t="s">
        <v>7</v>
      </c>
      <c r="D266" s="326">
        <v>174.12</v>
      </c>
    </row>
    <row r="267" spans="1:4" ht="13.5">
      <c r="A267" s="37">
        <v>103146</v>
      </c>
      <c r="B267" s="37" t="s">
        <v>12295</v>
      </c>
      <c r="C267" s="37" t="s">
        <v>7</v>
      </c>
      <c r="D267" s="326">
        <v>185.03</v>
      </c>
    </row>
    <row r="268" spans="1:4" ht="13.5">
      <c r="A268" s="37">
        <v>103147</v>
      </c>
      <c r="B268" s="37" t="s">
        <v>12296</v>
      </c>
      <c r="C268" s="37" t="s">
        <v>7</v>
      </c>
      <c r="D268" s="326">
        <v>206.91</v>
      </c>
    </row>
    <row r="269" spans="1:4" ht="13.5">
      <c r="A269" s="37">
        <v>103148</v>
      </c>
      <c r="B269" s="37" t="s">
        <v>12297</v>
      </c>
      <c r="C269" s="37" t="s">
        <v>7</v>
      </c>
      <c r="D269" s="326">
        <v>249.31</v>
      </c>
    </row>
    <row r="270" spans="1:4" ht="13.5">
      <c r="A270" s="37">
        <v>103149</v>
      </c>
      <c r="B270" s="37" t="s">
        <v>12298</v>
      </c>
      <c r="C270" s="37" t="s">
        <v>7</v>
      </c>
      <c r="D270" s="326">
        <v>271.17</v>
      </c>
    </row>
    <row r="271" spans="1:4" ht="13.5">
      <c r="A271" s="37">
        <v>103150</v>
      </c>
      <c r="B271" s="37" t="s">
        <v>12299</v>
      </c>
      <c r="C271" s="37" t="s">
        <v>7</v>
      </c>
      <c r="D271" s="326">
        <v>313.55</v>
      </c>
    </row>
    <row r="272" spans="1:4" ht="13.5">
      <c r="A272" s="37">
        <v>103151</v>
      </c>
      <c r="B272" s="37" t="s">
        <v>12300</v>
      </c>
      <c r="C272" s="37" t="s">
        <v>7</v>
      </c>
      <c r="D272" s="326">
        <v>335.46</v>
      </c>
    </row>
    <row r="273" spans="1:4" ht="13.5">
      <c r="A273" s="37">
        <v>103152</v>
      </c>
      <c r="B273" s="37" t="s">
        <v>12301</v>
      </c>
      <c r="C273" s="37" t="s">
        <v>7</v>
      </c>
      <c r="D273" s="326">
        <v>399.73</v>
      </c>
    </row>
    <row r="274" spans="1:4" ht="13.5">
      <c r="A274" s="37">
        <v>103372</v>
      </c>
      <c r="B274" s="37" t="s">
        <v>13719</v>
      </c>
      <c r="C274" s="37" t="s">
        <v>6</v>
      </c>
      <c r="D274" s="326">
        <v>5.4</v>
      </c>
    </row>
    <row r="275" spans="1:4" ht="13.5">
      <c r="A275" s="37">
        <v>103373</v>
      </c>
      <c r="B275" s="37" t="s">
        <v>13720</v>
      </c>
      <c r="C275" s="37" t="s">
        <v>6</v>
      </c>
      <c r="D275" s="326">
        <v>10.58</v>
      </c>
    </row>
    <row r="276" spans="1:4" ht="13.5">
      <c r="A276" s="37">
        <v>103376</v>
      </c>
      <c r="B276" s="37" t="s">
        <v>13721</v>
      </c>
      <c r="C276" s="37" t="s">
        <v>6</v>
      </c>
      <c r="D276" s="326">
        <v>126.34</v>
      </c>
    </row>
    <row r="277" spans="1:4" ht="13.5">
      <c r="A277" s="37">
        <v>103377</v>
      </c>
      <c r="B277" s="37" t="s">
        <v>13722</v>
      </c>
      <c r="C277" s="37" t="s">
        <v>6</v>
      </c>
      <c r="D277" s="326">
        <v>270.45</v>
      </c>
    </row>
    <row r="278" spans="1:4" ht="13.5">
      <c r="A278" s="37">
        <v>103379</v>
      </c>
      <c r="B278" s="37" t="s">
        <v>13723</v>
      </c>
      <c r="C278" s="37" t="s">
        <v>6</v>
      </c>
      <c r="D278" s="326">
        <v>421.09</v>
      </c>
    </row>
    <row r="279" spans="1:4" ht="13.5">
      <c r="A279" s="37">
        <v>103383</v>
      </c>
      <c r="B279" s="37" t="s">
        <v>13724</v>
      </c>
      <c r="C279" s="37" t="s">
        <v>6</v>
      </c>
      <c r="D279" s="38">
        <v>1032.5999999999999</v>
      </c>
    </row>
    <row r="280" spans="1:4" ht="13.5">
      <c r="A280" s="37">
        <v>103385</v>
      </c>
      <c r="B280" s="37" t="s">
        <v>13725</v>
      </c>
      <c r="C280" s="37" t="s">
        <v>6</v>
      </c>
      <c r="D280" s="38">
        <v>1664.9</v>
      </c>
    </row>
    <row r="281" spans="1:4" ht="13.5">
      <c r="A281" s="37">
        <v>103387</v>
      </c>
      <c r="B281" s="37" t="s">
        <v>13726</v>
      </c>
      <c r="C281" s="37" t="s">
        <v>6</v>
      </c>
      <c r="D281" s="38">
        <v>2920.81</v>
      </c>
    </row>
    <row r="282" spans="1:4" ht="13.5">
      <c r="A282" s="37">
        <v>103389</v>
      </c>
      <c r="B282" s="37" t="s">
        <v>13727</v>
      </c>
      <c r="C282" s="37" t="s">
        <v>6</v>
      </c>
      <c r="D282" s="38">
        <v>4343.72</v>
      </c>
    </row>
    <row r="283" spans="1:4" ht="13.5">
      <c r="A283" s="37">
        <v>103391</v>
      </c>
      <c r="B283" s="37" t="s">
        <v>13728</v>
      </c>
      <c r="C283" s="37" t="s">
        <v>6</v>
      </c>
      <c r="D283" s="38">
        <v>2861.33</v>
      </c>
    </row>
    <row r="284" spans="1:4" ht="13.5">
      <c r="A284" s="37">
        <v>103392</v>
      </c>
      <c r="B284" s="37" t="s">
        <v>13729</v>
      </c>
      <c r="C284" s="37" t="s">
        <v>6</v>
      </c>
      <c r="D284" s="38">
        <v>4676.95</v>
      </c>
    </row>
    <row r="285" spans="1:4" ht="13.5">
      <c r="A285" s="37">
        <v>103393</v>
      </c>
      <c r="B285" s="37" t="s">
        <v>13730</v>
      </c>
      <c r="C285" s="37" t="s">
        <v>6</v>
      </c>
      <c r="D285" s="38">
        <v>5158.4399999999996</v>
      </c>
    </row>
    <row r="286" spans="1:4" ht="13.5">
      <c r="A286" s="37">
        <v>103397</v>
      </c>
      <c r="B286" s="37" t="s">
        <v>13731</v>
      </c>
      <c r="C286" s="37" t="s">
        <v>7</v>
      </c>
      <c r="D286" s="326">
        <v>3.48</v>
      </c>
    </row>
    <row r="287" spans="1:4" ht="13.5">
      <c r="A287" s="37">
        <v>103398</v>
      </c>
      <c r="B287" s="37" t="s">
        <v>13732</v>
      </c>
      <c r="C287" s="37" t="s">
        <v>7</v>
      </c>
      <c r="D287" s="326">
        <v>5.57</v>
      </c>
    </row>
    <row r="288" spans="1:4" ht="13.5">
      <c r="A288" s="37">
        <v>103399</v>
      </c>
      <c r="B288" s="37" t="s">
        <v>13733</v>
      </c>
      <c r="C288" s="37" t="s">
        <v>7</v>
      </c>
      <c r="D288" s="326">
        <v>10.98</v>
      </c>
    </row>
    <row r="289" spans="1:4" ht="13.5">
      <c r="A289" s="37">
        <v>103400</v>
      </c>
      <c r="B289" s="37" t="s">
        <v>13734</v>
      </c>
      <c r="C289" s="37" t="s">
        <v>7</v>
      </c>
      <c r="D289" s="326">
        <v>15.69</v>
      </c>
    </row>
    <row r="290" spans="1:4" ht="13.5">
      <c r="A290" s="37">
        <v>103401</v>
      </c>
      <c r="B290" s="37" t="s">
        <v>13735</v>
      </c>
      <c r="C290" s="37" t="s">
        <v>7</v>
      </c>
      <c r="D290" s="326">
        <v>19.190000000000001</v>
      </c>
    </row>
    <row r="291" spans="1:4" ht="13.5">
      <c r="A291" s="37">
        <v>103402</v>
      </c>
      <c r="B291" s="37" t="s">
        <v>13736</v>
      </c>
      <c r="C291" s="37" t="s">
        <v>7</v>
      </c>
      <c r="D291" s="326">
        <v>27.91</v>
      </c>
    </row>
    <row r="292" spans="1:4" ht="13.5">
      <c r="A292" s="37">
        <v>103403</v>
      </c>
      <c r="B292" s="37" t="s">
        <v>13737</v>
      </c>
      <c r="C292" s="37" t="s">
        <v>7</v>
      </c>
      <c r="D292" s="326">
        <v>31.4</v>
      </c>
    </row>
    <row r="293" spans="1:4" ht="13.5">
      <c r="A293" s="37">
        <v>103404</v>
      </c>
      <c r="B293" s="37" t="s">
        <v>13738</v>
      </c>
      <c r="C293" s="37" t="s">
        <v>7</v>
      </c>
      <c r="D293" s="326">
        <v>34.89</v>
      </c>
    </row>
    <row r="294" spans="1:4" ht="13.5">
      <c r="A294" s="37">
        <v>103405</v>
      </c>
      <c r="B294" s="37" t="s">
        <v>13739</v>
      </c>
      <c r="C294" s="37" t="s">
        <v>7</v>
      </c>
      <c r="D294" s="326">
        <v>39.26</v>
      </c>
    </row>
    <row r="295" spans="1:4" ht="13.5">
      <c r="A295" s="37">
        <v>103406</v>
      </c>
      <c r="B295" s="37" t="s">
        <v>13740</v>
      </c>
      <c r="C295" s="37" t="s">
        <v>7</v>
      </c>
      <c r="D295" s="326">
        <v>43.61</v>
      </c>
    </row>
    <row r="296" spans="1:4" ht="13.5">
      <c r="A296" s="37">
        <v>103407</v>
      </c>
      <c r="B296" s="37" t="s">
        <v>13741</v>
      </c>
      <c r="C296" s="37" t="s">
        <v>7</v>
      </c>
      <c r="D296" s="326">
        <v>48.85</v>
      </c>
    </row>
    <row r="297" spans="1:4" ht="13.5">
      <c r="A297" s="37">
        <v>103408</v>
      </c>
      <c r="B297" s="37" t="s">
        <v>13742</v>
      </c>
      <c r="C297" s="37" t="s">
        <v>7</v>
      </c>
      <c r="D297" s="326">
        <v>54.96</v>
      </c>
    </row>
    <row r="298" spans="1:4" ht="13.5">
      <c r="A298" s="37">
        <v>103409</v>
      </c>
      <c r="B298" s="37" t="s">
        <v>13743</v>
      </c>
      <c r="C298" s="37" t="s">
        <v>7</v>
      </c>
      <c r="D298" s="326">
        <v>61.94</v>
      </c>
    </row>
    <row r="299" spans="1:4" ht="13.5">
      <c r="A299" s="37">
        <v>103410</v>
      </c>
      <c r="B299" s="37" t="s">
        <v>13744</v>
      </c>
      <c r="C299" s="37" t="s">
        <v>7</v>
      </c>
      <c r="D299" s="326">
        <v>69.8</v>
      </c>
    </row>
    <row r="300" spans="1:4" ht="13.5">
      <c r="A300" s="37">
        <v>103411</v>
      </c>
      <c r="B300" s="37" t="s">
        <v>13745</v>
      </c>
      <c r="C300" s="37" t="s">
        <v>7</v>
      </c>
      <c r="D300" s="326">
        <v>6.97</v>
      </c>
    </row>
    <row r="301" spans="1:4" ht="13.5">
      <c r="A301" s="37">
        <v>103412</v>
      </c>
      <c r="B301" s="37" t="s">
        <v>13746</v>
      </c>
      <c r="C301" s="37" t="s">
        <v>7</v>
      </c>
      <c r="D301" s="326">
        <v>11.16</v>
      </c>
    </row>
    <row r="302" spans="1:4" ht="13.5">
      <c r="A302" s="37">
        <v>103413</v>
      </c>
      <c r="B302" s="37" t="s">
        <v>13747</v>
      </c>
      <c r="C302" s="37" t="s">
        <v>7</v>
      </c>
      <c r="D302" s="326">
        <v>21.98</v>
      </c>
    </row>
    <row r="303" spans="1:4" ht="13.5">
      <c r="A303" s="37">
        <v>103414</v>
      </c>
      <c r="B303" s="37" t="s">
        <v>13748</v>
      </c>
      <c r="C303" s="37" t="s">
        <v>7</v>
      </c>
      <c r="D303" s="326">
        <v>31.4</v>
      </c>
    </row>
    <row r="304" spans="1:4" ht="13.5">
      <c r="A304" s="37">
        <v>103415</v>
      </c>
      <c r="B304" s="37" t="s">
        <v>13749</v>
      </c>
      <c r="C304" s="37" t="s">
        <v>7</v>
      </c>
      <c r="D304" s="326">
        <v>38.380000000000003</v>
      </c>
    </row>
    <row r="305" spans="1:4" ht="13.5">
      <c r="A305" s="37">
        <v>103416</v>
      </c>
      <c r="B305" s="37" t="s">
        <v>13750</v>
      </c>
      <c r="C305" s="37" t="s">
        <v>7</v>
      </c>
      <c r="D305" s="326">
        <v>55.83</v>
      </c>
    </row>
    <row r="306" spans="1:4" ht="13.5">
      <c r="A306" s="37">
        <v>103417</v>
      </c>
      <c r="B306" s="37" t="s">
        <v>13751</v>
      </c>
      <c r="C306" s="37" t="s">
        <v>7</v>
      </c>
      <c r="D306" s="326">
        <v>62.82</v>
      </c>
    </row>
    <row r="307" spans="1:4" ht="13.5">
      <c r="A307" s="37">
        <v>103418</v>
      </c>
      <c r="B307" s="37" t="s">
        <v>13752</v>
      </c>
      <c r="C307" s="37" t="s">
        <v>7</v>
      </c>
      <c r="D307" s="326">
        <v>69.8</v>
      </c>
    </row>
    <row r="308" spans="1:4" ht="13.5">
      <c r="A308" s="37">
        <v>103419</v>
      </c>
      <c r="B308" s="37" t="s">
        <v>13753</v>
      </c>
      <c r="C308" s="37" t="s">
        <v>7</v>
      </c>
      <c r="D308" s="326">
        <v>78.52</v>
      </c>
    </row>
    <row r="309" spans="1:4" ht="13.5">
      <c r="A309" s="37">
        <v>103420</v>
      </c>
      <c r="B309" s="37" t="s">
        <v>13754</v>
      </c>
      <c r="C309" s="37" t="s">
        <v>7</v>
      </c>
      <c r="D309" s="326">
        <v>87.24</v>
      </c>
    </row>
    <row r="310" spans="1:4" ht="13.5">
      <c r="A310" s="37">
        <v>103421</v>
      </c>
      <c r="B310" s="37" t="s">
        <v>13755</v>
      </c>
      <c r="C310" s="37" t="s">
        <v>7</v>
      </c>
      <c r="D310" s="326">
        <v>97.72</v>
      </c>
    </row>
    <row r="311" spans="1:4" ht="13.5">
      <c r="A311" s="37">
        <v>103422</v>
      </c>
      <c r="B311" s="37" t="s">
        <v>13756</v>
      </c>
      <c r="C311" s="37" t="s">
        <v>7</v>
      </c>
      <c r="D311" s="326">
        <v>109.93</v>
      </c>
    </row>
    <row r="312" spans="1:4" ht="13.5">
      <c r="A312" s="37">
        <v>103423</v>
      </c>
      <c r="B312" s="37" t="s">
        <v>13757</v>
      </c>
      <c r="C312" s="37" t="s">
        <v>7</v>
      </c>
      <c r="D312" s="326">
        <v>123.89</v>
      </c>
    </row>
    <row r="313" spans="1:4" ht="13.5">
      <c r="A313" s="37">
        <v>103424</v>
      </c>
      <c r="B313" s="37" t="s">
        <v>13758</v>
      </c>
      <c r="C313" s="37" t="s">
        <v>7</v>
      </c>
      <c r="D313" s="326">
        <v>139.6</v>
      </c>
    </row>
    <row r="314" spans="1:4" ht="13.5">
      <c r="A314" s="37">
        <v>103425</v>
      </c>
      <c r="B314" s="37" t="s">
        <v>13759</v>
      </c>
      <c r="C314" s="37" t="s">
        <v>7</v>
      </c>
      <c r="D314" s="326">
        <v>15.26</v>
      </c>
    </row>
    <row r="315" spans="1:4" ht="13.5">
      <c r="A315" s="37">
        <v>103426</v>
      </c>
      <c r="B315" s="37" t="s">
        <v>13760</v>
      </c>
      <c r="C315" s="37" t="s">
        <v>7</v>
      </c>
      <c r="D315" s="326">
        <v>18.27</v>
      </c>
    </row>
    <row r="316" spans="1:4" ht="13.5">
      <c r="A316" s="37">
        <v>103427</v>
      </c>
      <c r="B316" s="37" t="s">
        <v>13761</v>
      </c>
      <c r="C316" s="37" t="s">
        <v>7</v>
      </c>
      <c r="D316" s="326">
        <v>36.619999999999997</v>
      </c>
    </row>
    <row r="317" spans="1:4" ht="13.5">
      <c r="A317" s="37">
        <v>103428</v>
      </c>
      <c r="B317" s="37" t="s">
        <v>13762</v>
      </c>
      <c r="C317" s="37" t="s">
        <v>7</v>
      </c>
      <c r="D317" s="326">
        <v>245.71</v>
      </c>
    </row>
    <row r="318" spans="1:4" ht="13.5">
      <c r="A318" s="37">
        <v>103429</v>
      </c>
      <c r="B318" s="37" t="s">
        <v>13763</v>
      </c>
      <c r="C318" s="37" t="s">
        <v>7</v>
      </c>
      <c r="D318" s="38">
        <v>2735.76</v>
      </c>
    </row>
    <row r="319" spans="1:4" ht="13.5">
      <c r="A319" s="37">
        <v>103430</v>
      </c>
      <c r="B319" s="37" t="s">
        <v>13764</v>
      </c>
      <c r="C319" s="37" t="s">
        <v>7</v>
      </c>
      <c r="D319" s="326">
        <v>32.86</v>
      </c>
    </row>
    <row r="320" spans="1:4" ht="13.5">
      <c r="A320" s="37">
        <v>103431</v>
      </c>
      <c r="B320" s="37" t="s">
        <v>13765</v>
      </c>
      <c r="C320" s="37" t="s">
        <v>7</v>
      </c>
      <c r="D320" s="326">
        <v>57.56</v>
      </c>
    </row>
    <row r="321" spans="1:4" ht="13.5">
      <c r="A321" s="37">
        <v>103432</v>
      </c>
      <c r="B321" s="37" t="s">
        <v>13766</v>
      </c>
      <c r="C321" s="37" t="s">
        <v>7</v>
      </c>
      <c r="D321" s="38">
        <v>1553.21</v>
      </c>
    </row>
    <row r="322" spans="1:4" ht="13.5">
      <c r="A322" s="37">
        <v>103433</v>
      </c>
      <c r="B322" s="37" t="s">
        <v>13767</v>
      </c>
      <c r="C322" s="37" t="s">
        <v>7</v>
      </c>
      <c r="D322" s="326">
        <v>32.58</v>
      </c>
    </row>
    <row r="323" spans="1:4" ht="13.5">
      <c r="A323" s="37">
        <v>103434</v>
      </c>
      <c r="B323" s="37" t="s">
        <v>13768</v>
      </c>
      <c r="C323" s="37" t="s">
        <v>7</v>
      </c>
      <c r="D323" s="326">
        <v>45.05</v>
      </c>
    </row>
    <row r="324" spans="1:4" ht="13.5">
      <c r="A324" s="37">
        <v>103435</v>
      </c>
      <c r="B324" s="37" t="s">
        <v>13769</v>
      </c>
      <c r="C324" s="37" t="s">
        <v>7</v>
      </c>
      <c r="D324" s="326">
        <v>83.8</v>
      </c>
    </row>
    <row r="325" spans="1:4" ht="13.5">
      <c r="A325" s="37">
        <v>103436</v>
      </c>
      <c r="B325" s="37" t="s">
        <v>13770</v>
      </c>
      <c r="C325" s="37" t="s">
        <v>7</v>
      </c>
      <c r="D325" s="38">
        <v>2200.23</v>
      </c>
    </row>
    <row r="326" spans="1:4" ht="13.5">
      <c r="A326" s="37">
        <v>103437</v>
      </c>
      <c r="B326" s="37" t="s">
        <v>13771</v>
      </c>
      <c r="C326" s="37" t="s">
        <v>7</v>
      </c>
      <c r="D326" s="326">
        <v>173.9</v>
      </c>
    </row>
    <row r="327" spans="1:4" ht="13.5">
      <c r="A327" s="37">
        <v>103438</v>
      </c>
      <c r="B327" s="37" t="s">
        <v>13772</v>
      </c>
      <c r="C327" s="37" t="s">
        <v>7</v>
      </c>
      <c r="D327" s="326">
        <v>173.9</v>
      </c>
    </row>
    <row r="328" spans="1:4" ht="13.5">
      <c r="A328" s="37">
        <v>103439</v>
      </c>
      <c r="B328" s="37" t="s">
        <v>13773</v>
      </c>
      <c r="C328" s="37" t="s">
        <v>7</v>
      </c>
      <c r="D328" s="326">
        <v>204.96</v>
      </c>
    </row>
    <row r="329" spans="1:4" ht="13.5">
      <c r="A329" s="37">
        <v>103440</v>
      </c>
      <c r="B329" s="37" t="s">
        <v>13774</v>
      </c>
      <c r="C329" s="37" t="s">
        <v>7</v>
      </c>
      <c r="D329" s="326">
        <v>391.44</v>
      </c>
    </row>
    <row r="330" spans="1:4" ht="13.5">
      <c r="A330" s="37">
        <v>103441</v>
      </c>
      <c r="B330" s="37" t="s">
        <v>13775</v>
      </c>
      <c r="C330" s="37" t="s">
        <v>7</v>
      </c>
      <c r="D330" s="326">
        <v>396.48</v>
      </c>
    </row>
    <row r="331" spans="1:4" ht="13.5">
      <c r="A331" s="37">
        <v>103442</v>
      </c>
      <c r="B331" s="37" t="s">
        <v>13776</v>
      </c>
      <c r="C331" s="37" t="s">
        <v>7</v>
      </c>
      <c r="D331" s="326">
        <v>517.89</v>
      </c>
    </row>
    <row r="332" spans="1:4" ht="13.5">
      <c r="A332" s="37">
        <v>93206</v>
      </c>
      <c r="B332" s="37" t="s">
        <v>2459</v>
      </c>
      <c r="C332" s="37" t="s">
        <v>9</v>
      </c>
      <c r="D332" s="38">
        <v>1121.0999999999999</v>
      </c>
    </row>
    <row r="333" spans="1:4" ht="13.5">
      <c r="A333" s="37">
        <v>93207</v>
      </c>
      <c r="B333" s="37" t="s">
        <v>2460</v>
      </c>
      <c r="C333" s="37" t="s">
        <v>9</v>
      </c>
      <c r="D333" s="38">
        <v>1137.67</v>
      </c>
    </row>
    <row r="334" spans="1:4" ht="13.5">
      <c r="A334" s="37">
        <v>93208</v>
      </c>
      <c r="B334" s="37" t="s">
        <v>2461</v>
      </c>
      <c r="C334" s="37" t="s">
        <v>9</v>
      </c>
      <c r="D334" s="326">
        <v>891.03</v>
      </c>
    </row>
    <row r="335" spans="1:4" ht="13.5">
      <c r="A335" s="37">
        <v>93209</v>
      </c>
      <c r="B335" s="37" t="s">
        <v>2462</v>
      </c>
      <c r="C335" s="37" t="s">
        <v>9</v>
      </c>
      <c r="D335" s="326">
        <v>894.36</v>
      </c>
    </row>
    <row r="336" spans="1:4" ht="13.5">
      <c r="A336" s="37">
        <v>93210</v>
      </c>
      <c r="B336" s="37" t="s">
        <v>2463</v>
      </c>
      <c r="C336" s="37" t="s">
        <v>9</v>
      </c>
      <c r="D336" s="326">
        <v>583.02</v>
      </c>
    </row>
    <row r="337" spans="1:4" ht="13.5">
      <c r="A337" s="37">
        <v>93211</v>
      </c>
      <c r="B337" s="37" t="s">
        <v>2464</v>
      </c>
      <c r="C337" s="37" t="s">
        <v>9</v>
      </c>
      <c r="D337" s="326">
        <v>567.77</v>
      </c>
    </row>
    <row r="338" spans="1:4" ht="13.5">
      <c r="A338" s="37">
        <v>93212</v>
      </c>
      <c r="B338" s="37" t="s">
        <v>2465</v>
      </c>
      <c r="C338" s="37" t="s">
        <v>9</v>
      </c>
      <c r="D338" s="326">
        <v>978.97</v>
      </c>
    </row>
    <row r="339" spans="1:4" ht="13.5">
      <c r="A339" s="37">
        <v>93213</v>
      </c>
      <c r="B339" s="37" t="s">
        <v>2466</v>
      </c>
      <c r="C339" s="37" t="s">
        <v>9</v>
      </c>
      <c r="D339" s="326">
        <v>981.45</v>
      </c>
    </row>
    <row r="340" spans="1:4" ht="13.5">
      <c r="A340" s="37">
        <v>93214</v>
      </c>
      <c r="B340" s="37" t="s">
        <v>16618</v>
      </c>
      <c r="C340" s="37" t="s">
        <v>7</v>
      </c>
      <c r="D340" s="38">
        <v>6181.47</v>
      </c>
    </row>
    <row r="341" spans="1:4" ht="13.5">
      <c r="A341" s="37">
        <v>93243</v>
      </c>
      <c r="B341" s="37" t="s">
        <v>16619</v>
      </c>
      <c r="C341" s="37" t="s">
        <v>7</v>
      </c>
      <c r="D341" s="38">
        <v>9681.18</v>
      </c>
    </row>
    <row r="342" spans="1:4" ht="13.5">
      <c r="A342" s="37">
        <v>93582</v>
      </c>
      <c r="B342" s="37" t="s">
        <v>2467</v>
      </c>
      <c r="C342" s="37" t="s">
        <v>9</v>
      </c>
      <c r="D342" s="326">
        <v>281.12</v>
      </c>
    </row>
    <row r="343" spans="1:4" ht="13.5">
      <c r="A343" s="37">
        <v>93583</v>
      </c>
      <c r="B343" s="37" t="s">
        <v>2468</v>
      </c>
      <c r="C343" s="37" t="s">
        <v>9</v>
      </c>
      <c r="D343" s="326">
        <v>455.95</v>
      </c>
    </row>
    <row r="344" spans="1:4" ht="13.5">
      <c r="A344" s="37">
        <v>93584</v>
      </c>
      <c r="B344" s="37" t="s">
        <v>2469</v>
      </c>
      <c r="C344" s="37" t="s">
        <v>9</v>
      </c>
      <c r="D344" s="326">
        <v>897.1</v>
      </c>
    </row>
    <row r="345" spans="1:4" ht="13.5">
      <c r="A345" s="37">
        <v>93585</v>
      </c>
      <c r="B345" s="37" t="s">
        <v>2470</v>
      </c>
      <c r="C345" s="37" t="s">
        <v>9</v>
      </c>
      <c r="D345" s="38">
        <v>1265.6600000000001</v>
      </c>
    </row>
    <row r="346" spans="1:4" ht="13.5">
      <c r="A346" s="37">
        <v>98441</v>
      </c>
      <c r="B346" s="37" t="s">
        <v>2471</v>
      </c>
      <c r="C346" s="37" t="s">
        <v>9</v>
      </c>
      <c r="D346" s="326">
        <v>150.69999999999999</v>
      </c>
    </row>
    <row r="347" spans="1:4" ht="13.5">
      <c r="A347" s="37">
        <v>98442</v>
      </c>
      <c r="B347" s="37" t="s">
        <v>2472</v>
      </c>
      <c r="C347" s="37" t="s">
        <v>9</v>
      </c>
      <c r="D347" s="326">
        <v>154.04</v>
      </c>
    </row>
    <row r="348" spans="1:4" ht="13.5">
      <c r="A348" s="37">
        <v>98443</v>
      </c>
      <c r="B348" s="37" t="s">
        <v>2473</v>
      </c>
      <c r="C348" s="37" t="s">
        <v>9</v>
      </c>
      <c r="D348" s="326">
        <v>131.63</v>
      </c>
    </row>
    <row r="349" spans="1:4" ht="13.5">
      <c r="A349" s="37">
        <v>98444</v>
      </c>
      <c r="B349" s="37" t="s">
        <v>2474</v>
      </c>
      <c r="C349" s="37" t="s">
        <v>9</v>
      </c>
      <c r="D349" s="326">
        <v>134</v>
      </c>
    </row>
    <row r="350" spans="1:4" ht="13.5">
      <c r="A350" s="37">
        <v>98445</v>
      </c>
      <c r="B350" s="37" t="s">
        <v>2475</v>
      </c>
      <c r="C350" s="37" t="s">
        <v>9</v>
      </c>
      <c r="D350" s="326">
        <v>181.69</v>
      </c>
    </row>
    <row r="351" spans="1:4" ht="13.5">
      <c r="A351" s="37">
        <v>98446</v>
      </c>
      <c r="B351" s="37" t="s">
        <v>2476</v>
      </c>
      <c r="C351" s="37" t="s">
        <v>9</v>
      </c>
      <c r="D351" s="326">
        <v>233.6</v>
      </c>
    </row>
    <row r="352" spans="1:4" ht="13.5">
      <c r="A352" s="37">
        <v>98447</v>
      </c>
      <c r="B352" s="37" t="s">
        <v>2477</v>
      </c>
      <c r="C352" s="37" t="s">
        <v>9</v>
      </c>
      <c r="D352" s="326">
        <v>155.15</v>
      </c>
    </row>
    <row r="353" spans="1:4" ht="13.5">
      <c r="A353" s="37">
        <v>98448</v>
      </c>
      <c r="B353" s="37" t="s">
        <v>2478</v>
      </c>
      <c r="C353" s="37" t="s">
        <v>9</v>
      </c>
      <c r="D353" s="326">
        <v>195.43</v>
      </c>
    </row>
    <row r="354" spans="1:4" ht="13.5">
      <c r="A354" s="37">
        <v>98449</v>
      </c>
      <c r="B354" s="37" t="s">
        <v>2479</v>
      </c>
      <c r="C354" s="37" t="s">
        <v>9</v>
      </c>
      <c r="D354" s="326">
        <v>194.97</v>
      </c>
    </row>
    <row r="355" spans="1:4" ht="13.5">
      <c r="A355" s="37">
        <v>98450</v>
      </c>
      <c r="B355" s="37" t="s">
        <v>2480</v>
      </c>
      <c r="C355" s="37" t="s">
        <v>9</v>
      </c>
      <c r="D355" s="326">
        <v>199.84</v>
      </c>
    </row>
    <row r="356" spans="1:4" ht="13.5">
      <c r="A356" s="37">
        <v>98451</v>
      </c>
      <c r="B356" s="37" t="s">
        <v>2481</v>
      </c>
      <c r="C356" s="37" t="s">
        <v>9</v>
      </c>
      <c r="D356" s="326">
        <v>173.01</v>
      </c>
    </row>
    <row r="357" spans="1:4" ht="13.5">
      <c r="A357" s="37">
        <v>98452</v>
      </c>
      <c r="B357" s="37" t="s">
        <v>2482</v>
      </c>
      <c r="C357" s="37" t="s">
        <v>9</v>
      </c>
      <c r="D357" s="326">
        <v>175.95</v>
      </c>
    </row>
    <row r="358" spans="1:4" ht="13.5">
      <c r="A358" s="37">
        <v>98453</v>
      </c>
      <c r="B358" s="37" t="s">
        <v>2483</v>
      </c>
      <c r="C358" s="37" t="s">
        <v>9</v>
      </c>
      <c r="D358" s="326">
        <v>231.78</v>
      </c>
    </row>
    <row r="359" spans="1:4" ht="13.5">
      <c r="A359" s="37">
        <v>98454</v>
      </c>
      <c r="B359" s="37" t="s">
        <v>2484</v>
      </c>
      <c r="C359" s="37" t="s">
        <v>9</v>
      </c>
      <c r="D359" s="326">
        <v>297.79000000000002</v>
      </c>
    </row>
    <row r="360" spans="1:4" ht="13.5">
      <c r="A360" s="37">
        <v>98455</v>
      </c>
      <c r="B360" s="37" t="s">
        <v>2485</v>
      </c>
      <c r="C360" s="37" t="s">
        <v>9</v>
      </c>
      <c r="D360" s="326">
        <v>202.34</v>
      </c>
    </row>
    <row r="361" spans="1:4" ht="13.5">
      <c r="A361" s="37">
        <v>98456</v>
      </c>
      <c r="B361" s="37" t="s">
        <v>2486</v>
      </c>
      <c r="C361" s="37" t="s">
        <v>9</v>
      </c>
      <c r="D361" s="326">
        <v>255.77</v>
      </c>
    </row>
    <row r="362" spans="1:4" ht="13.5">
      <c r="A362" s="37">
        <v>98458</v>
      </c>
      <c r="B362" s="37" t="s">
        <v>2487</v>
      </c>
      <c r="C362" s="37" t="s">
        <v>9</v>
      </c>
      <c r="D362" s="326">
        <v>144.88</v>
      </c>
    </row>
    <row r="363" spans="1:4" ht="13.5">
      <c r="A363" s="37">
        <v>98459</v>
      </c>
      <c r="B363" s="37" t="s">
        <v>2488</v>
      </c>
      <c r="C363" s="37" t="s">
        <v>9</v>
      </c>
      <c r="D363" s="326">
        <v>111.57</v>
      </c>
    </row>
    <row r="364" spans="1:4" ht="13.5">
      <c r="A364" s="37">
        <v>98460</v>
      </c>
      <c r="B364" s="37" t="s">
        <v>2489</v>
      </c>
      <c r="C364" s="37" t="s">
        <v>9</v>
      </c>
      <c r="D364" s="326">
        <v>179.57</v>
      </c>
    </row>
    <row r="365" spans="1:4" ht="13.5">
      <c r="A365" s="37">
        <v>98461</v>
      </c>
      <c r="B365" s="37" t="s">
        <v>16620</v>
      </c>
      <c r="C365" s="37" t="s">
        <v>7</v>
      </c>
      <c r="D365" s="38">
        <v>5325.59</v>
      </c>
    </row>
    <row r="366" spans="1:4" ht="13.5">
      <c r="A366" s="37">
        <v>98462</v>
      </c>
      <c r="B366" s="37" t="s">
        <v>16621</v>
      </c>
      <c r="C366" s="37" t="s">
        <v>7</v>
      </c>
      <c r="D366" s="38">
        <v>8060.48</v>
      </c>
    </row>
    <row r="367" spans="1:4" ht="13.5">
      <c r="A367" s="37">
        <v>5631</v>
      </c>
      <c r="B367" s="37" t="s">
        <v>2490</v>
      </c>
      <c r="C367" s="37" t="s">
        <v>2491</v>
      </c>
      <c r="D367" s="326">
        <v>210.75</v>
      </c>
    </row>
    <row r="368" spans="1:4" ht="13.5">
      <c r="A368" s="37">
        <v>5678</v>
      </c>
      <c r="B368" s="37" t="s">
        <v>2492</v>
      </c>
      <c r="C368" s="37" t="s">
        <v>2491</v>
      </c>
      <c r="D368" s="326">
        <v>149.91</v>
      </c>
    </row>
    <row r="369" spans="1:4" ht="13.5">
      <c r="A369" s="37">
        <v>5680</v>
      </c>
      <c r="B369" s="37" t="s">
        <v>2493</v>
      </c>
      <c r="C369" s="37" t="s">
        <v>2491</v>
      </c>
      <c r="D369" s="326">
        <v>137.19999999999999</v>
      </c>
    </row>
    <row r="370" spans="1:4" ht="13.5">
      <c r="A370" s="37">
        <v>5684</v>
      </c>
      <c r="B370" s="37" t="s">
        <v>2494</v>
      </c>
      <c r="C370" s="37" t="s">
        <v>2491</v>
      </c>
      <c r="D370" s="326">
        <v>161.85</v>
      </c>
    </row>
    <row r="371" spans="1:4" ht="13.5">
      <c r="A371" s="37">
        <v>5689</v>
      </c>
      <c r="B371" s="37" t="s">
        <v>2495</v>
      </c>
      <c r="C371" s="37" t="s">
        <v>2491</v>
      </c>
      <c r="D371" s="326">
        <v>6.69</v>
      </c>
    </row>
    <row r="372" spans="1:4" ht="13.5">
      <c r="A372" s="37">
        <v>5795</v>
      </c>
      <c r="B372" s="37" t="s">
        <v>2496</v>
      </c>
      <c r="C372" s="37" t="s">
        <v>2491</v>
      </c>
      <c r="D372" s="326">
        <v>25.99</v>
      </c>
    </row>
    <row r="373" spans="1:4" ht="13.5">
      <c r="A373" s="37">
        <v>5811</v>
      </c>
      <c r="B373" s="37" t="s">
        <v>2497</v>
      </c>
      <c r="C373" s="37" t="s">
        <v>2491</v>
      </c>
      <c r="D373" s="326">
        <v>197.37</v>
      </c>
    </row>
    <row r="374" spans="1:4" ht="13.5">
      <c r="A374" s="37">
        <v>5823</v>
      </c>
      <c r="B374" s="37" t="s">
        <v>2498</v>
      </c>
      <c r="C374" s="37" t="s">
        <v>2491</v>
      </c>
      <c r="D374" s="326">
        <v>212.53</v>
      </c>
    </row>
    <row r="375" spans="1:4" ht="13.5">
      <c r="A375" s="37">
        <v>5824</v>
      </c>
      <c r="B375" s="37" t="s">
        <v>2499</v>
      </c>
      <c r="C375" s="37" t="s">
        <v>2491</v>
      </c>
      <c r="D375" s="326">
        <v>209.6</v>
      </c>
    </row>
    <row r="376" spans="1:4" ht="13.5">
      <c r="A376" s="37">
        <v>5835</v>
      </c>
      <c r="B376" s="37" t="s">
        <v>2500</v>
      </c>
      <c r="C376" s="37" t="s">
        <v>2491</v>
      </c>
      <c r="D376" s="326">
        <v>343.25</v>
      </c>
    </row>
    <row r="377" spans="1:4" ht="13.5">
      <c r="A377" s="37">
        <v>5839</v>
      </c>
      <c r="B377" s="37" t="s">
        <v>2501</v>
      </c>
      <c r="C377" s="37" t="s">
        <v>2491</v>
      </c>
      <c r="D377" s="326">
        <v>9.89</v>
      </c>
    </row>
    <row r="378" spans="1:4" ht="13.5">
      <c r="A378" s="37">
        <v>5843</v>
      </c>
      <c r="B378" s="37" t="s">
        <v>2502</v>
      </c>
      <c r="C378" s="37" t="s">
        <v>2491</v>
      </c>
      <c r="D378" s="326">
        <v>172.87</v>
      </c>
    </row>
    <row r="379" spans="1:4" ht="13.5">
      <c r="A379" s="37">
        <v>5847</v>
      </c>
      <c r="B379" s="37" t="s">
        <v>2503</v>
      </c>
      <c r="C379" s="37" t="s">
        <v>2491</v>
      </c>
      <c r="D379" s="326">
        <v>262.02999999999997</v>
      </c>
    </row>
    <row r="380" spans="1:4" ht="13.5">
      <c r="A380" s="37">
        <v>5851</v>
      </c>
      <c r="B380" s="37" t="s">
        <v>2504</v>
      </c>
      <c r="C380" s="37" t="s">
        <v>2491</v>
      </c>
      <c r="D380" s="326">
        <v>250.31</v>
      </c>
    </row>
    <row r="381" spans="1:4" ht="13.5">
      <c r="A381" s="37">
        <v>5855</v>
      </c>
      <c r="B381" s="37" t="s">
        <v>2505</v>
      </c>
      <c r="C381" s="37" t="s">
        <v>2491</v>
      </c>
      <c r="D381" s="326">
        <v>656.42</v>
      </c>
    </row>
    <row r="382" spans="1:4" ht="13.5">
      <c r="A382" s="37">
        <v>5863</v>
      </c>
      <c r="B382" s="37" t="s">
        <v>2506</v>
      </c>
      <c r="C382" s="37" t="s">
        <v>2491</v>
      </c>
      <c r="D382" s="326">
        <v>24.36</v>
      </c>
    </row>
    <row r="383" spans="1:4" ht="13.5">
      <c r="A383" s="37">
        <v>5867</v>
      </c>
      <c r="B383" s="37" t="s">
        <v>2507</v>
      </c>
      <c r="C383" s="37" t="s">
        <v>2491</v>
      </c>
      <c r="D383" s="326">
        <v>164.03</v>
      </c>
    </row>
    <row r="384" spans="1:4" ht="13.5">
      <c r="A384" s="37">
        <v>5875</v>
      </c>
      <c r="B384" s="37" t="s">
        <v>2508</v>
      </c>
      <c r="C384" s="37" t="s">
        <v>2491</v>
      </c>
      <c r="D384" s="326">
        <v>138.27000000000001</v>
      </c>
    </row>
    <row r="385" spans="1:4" ht="13.5">
      <c r="A385" s="37">
        <v>5879</v>
      </c>
      <c r="B385" s="37" t="s">
        <v>2509</v>
      </c>
      <c r="C385" s="37" t="s">
        <v>2491</v>
      </c>
      <c r="D385" s="326">
        <v>146.38</v>
      </c>
    </row>
    <row r="386" spans="1:4" ht="13.5">
      <c r="A386" s="37">
        <v>5882</v>
      </c>
      <c r="B386" s="37" t="s">
        <v>2510</v>
      </c>
      <c r="C386" s="37" t="s">
        <v>2491</v>
      </c>
      <c r="D386" s="326">
        <v>121.76</v>
      </c>
    </row>
    <row r="387" spans="1:4" ht="13.5">
      <c r="A387" s="37">
        <v>5890</v>
      </c>
      <c r="B387" s="37" t="s">
        <v>2511</v>
      </c>
      <c r="C387" s="37" t="s">
        <v>2491</v>
      </c>
      <c r="D387" s="326">
        <v>197.36</v>
      </c>
    </row>
    <row r="388" spans="1:4" ht="13.5">
      <c r="A388" s="37">
        <v>5894</v>
      </c>
      <c r="B388" s="37" t="s">
        <v>2512</v>
      </c>
      <c r="C388" s="37" t="s">
        <v>2491</v>
      </c>
      <c r="D388" s="326">
        <v>205.59</v>
      </c>
    </row>
    <row r="389" spans="1:4" ht="13.5">
      <c r="A389" s="37">
        <v>5901</v>
      </c>
      <c r="B389" s="37" t="s">
        <v>2513</v>
      </c>
      <c r="C389" s="37" t="s">
        <v>2491</v>
      </c>
      <c r="D389" s="326">
        <v>310.18</v>
      </c>
    </row>
    <row r="390" spans="1:4" ht="13.5">
      <c r="A390" s="37">
        <v>5909</v>
      </c>
      <c r="B390" s="37" t="s">
        <v>2514</v>
      </c>
      <c r="C390" s="37" t="s">
        <v>2491</v>
      </c>
      <c r="D390" s="326">
        <v>31.86</v>
      </c>
    </row>
    <row r="391" spans="1:4" ht="13.5">
      <c r="A391" s="37">
        <v>5921</v>
      </c>
      <c r="B391" s="37" t="s">
        <v>2515</v>
      </c>
      <c r="C391" s="37" t="s">
        <v>2491</v>
      </c>
      <c r="D391" s="326">
        <v>5.25</v>
      </c>
    </row>
    <row r="392" spans="1:4" ht="13.5">
      <c r="A392" s="37">
        <v>5928</v>
      </c>
      <c r="B392" s="37" t="s">
        <v>2516</v>
      </c>
      <c r="C392" s="37" t="s">
        <v>2491</v>
      </c>
      <c r="D392" s="326">
        <v>269.3</v>
      </c>
    </row>
    <row r="393" spans="1:4" ht="13.5">
      <c r="A393" s="37">
        <v>5932</v>
      </c>
      <c r="B393" s="37" t="s">
        <v>2517</v>
      </c>
      <c r="C393" s="37" t="s">
        <v>2491</v>
      </c>
      <c r="D393" s="326">
        <v>258.06</v>
      </c>
    </row>
    <row r="394" spans="1:4" ht="13.5">
      <c r="A394" s="37">
        <v>5940</v>
      </c>
      <c r="B394" s="37" t="s">
        <v>2518</v>
      </c>
      <c r="C394" s="37" t="s">
        <v>2491</v>
      </c>
      <c r="D394" s="326">
        <v>207.46</v>
      </c>
    </row>
    <row r="395" spans="1:4" ht="13.5">
      <c r="A395" s="37">
        <v>5944</v>
      </c>
      <c r="B395" s="37" t="s">
        <v>2519</v>
      </c>
      <c r="C395" s="37" t="s">
        <v>2491</v>
      </c>
      <c r="D395" s="326">
        <v>251.1</v>
      </c>
    </row>
    <row r="396" spans="1:4" ht="13.5">
      <c r="A396" s="37">
        <v>5953</v>
      </c>
      <c r="B396" s="37" t="s">
        <v>2520</v>
      </c>
      <c r="C396" s="37" t="s">
        <v>2491</v>
      </c>
      <c r="D396" s="326">
        <v>59.84</v>
      </c>
    </row>
    <row r="397" spans="1:4" ht="13.5">
      <c r="A397" s="37">
        <v>6259</v>
      </c>
      <c r="B397" s="37" t="s">
        <v>2521</v>
      </c>
      <c r="C397" s="37" t="s">
        <v>2491</v>
      </c>
      <c r="D397" s="326">
        <v>249.38</v>
      </c>
    </row>
    <row r="398" spans="1:4" ht="13.5">
      <c r="A398" s="37">
        <v>6879</v>
      </c>
      <c r="B398" s="37" t="s">
        <v>2522</v>
      </c>
      <c r="C398" s="37" t="s">
        <v>2491</v>
      </c>
      <c r="D398" s="326">
        <v>214.6</v>
      </c>
    </row>
    <row r="399" spans="1:4" ht="13.5">
      <c r="A399" s="37">
        <v>7030</v>
      </c>
      <c r="B399" s="37" t="s">
        <v>16622</v>
      </c>
      <c r="C399" s="37" t="s">
        <v>2491</v>
      </c>
      <c r="D399" s="326">
        <v>267.37</v>
      </c>
    </row>
    <row r="400" spans="1:4" ht="13.5">
      <c r="A400" s="37">
        <v>7042</v>
      </c>
      <c r="B400" s="37" t="s">
        <v>2523</v>
      </c>
      <c r="C400" s="37" t="s">
        <v>2491</v>
      </c>
      <c r="D400" s="326">
        <v>23.65</v>
      </c>
    </row>
    <row r="401" spans="1:4" ht="13.5">
      <c r="A401" s="37">
        <v>7049</v>
      </c>
      <c r="B401" s="37" t="s">
        <v>2524</v>
      </c>
      <c r="C401" s="37" t="s">
        <v>2491</v>
      </c>
      <c r="D401" s="326">
        <v>225.19</v>
      </c>
    </row>
    <row r="402" spans="1:4" ht="13.5">
      <c r="A402" s="37">
        <v>67826</v>
      </c>
      <c r="B402" s="37" t="s">
        <v>2525</v>
      </c>
      <c r="C402" s="37" t="s">
        <v>2491</v>
      </c>
      <c r="D402" s="326">
        <v>180.15</v>
      </c>
    </row>
    <row r="403" spans="1:4" ht="13.5">
      <c r="A403" s="37">
        <v>73417</v>
      </c>
      <c r="B403" s="37" t="s">
        <v>2526</v>
      </c>
      <c r="C403" s="37" t="s">
        <v>2491</v>
      </c>
      <c r="D403" s="326">
        <v>191.25</v>
      </c>
    </row>
    <row r="404" spans="1:4" ht="13.5">
      <c r="A404" s="37">
        <v>73436</v>
      </c>
      <c r="B404" s="37" t="s">
        <v>2527</v>
      </c>
      <c r="C404" s="37" t="s">
        <v>2491</v>
      </c>
      <c r="D404" s="326">
        <v>165.13</v>
      </c>
    </row>
    <row r="405" spans="1:4" ht="13.5">
      <c r="A405" s="37">
        <v>73467</v>
      </c>
      <c r="B405" s="37" t="s">
        <v>2528</v>
      </c>
      <c r="C405" s="37" t="s">
        <v>2491</v>
      </c>
      <c r="D405" s="326">
        <v>241.76</v>
      </c>
    </row>
    <row r="406" spans="1:4" ht="13.5">
      <c r="A406" s="37">
        <v>73536</v>
      </c>
      <c r="B406" s="37" t="s">
        <v>2529</v>
      </c>
      <c r="C406" s="37" t="s">
        <v>2491</v>
      </c>
      <c r="D406" s="326">
        <v>20.010000000000002</v>
      </c>
    </row>
    <row r="407" spans="1:4" ht="13.5">
      <c r="A407" s="37">
        <v>83362</v>
      </c>
      <c r="B407" s="37" t="s">
        <v>16623</v>
      </c>
      <c r="C407" s="37" t="s">
        <v>2491</v>
      </c>
      <c r="D407" s="326">
        <v>268.73</v>
      </c>
    </row>
    <row r="408" spans="1:4" ht="13.5">
      <c r="A408" s="37">
        <v>83765</v>
      </c>
      <c r="B408" s="37" t="s">
        <v>2530</v>
      </c>
      <c r="C408" s="37" t="s">
        <v>2491</v>
      </c>
      <c r="D408" s="326">
        <v>100.1</v>
      </c>
    </row>
    <row r="409" spans="1:4" ht="13.5">
      <c r="A409" s="37">
        <v>87445</v>
      </c>
      <c r="B409" s="37" t="s">
        <v>16624</v>
      </c>
      <c r="C409" s="37" t="s">
        <v>2491</v>
      </c>
      <c r="D409" s="326">
        <v>5.23</v>
      </c>
    </row>
    <row r="410" spans="1:4" ht="13.5">
      <c r="A410" s="37">
        <v>88386</v>
      </c>
      <c r="B410" s="37" t="s">
        <v>16625</v>
      </c>
      <c r="C410" s="37" t="s">
        <v>2491</v>
      </c>
      <c r="D410" s="326">
        <v>4.51</v>
      </c>
    </row>
    <row r="411" spans="1:4" ht="13.5">
      <c r="A411" s="37">
        <v>88393</v>
      </c>
      <c r="B411" s="37" t="s">
        <v>16626</v>
      </c>
      <c r="C411" s="37" t="s">
        <v>2491</v>
      </c>
      <c r="D411" s="326">
        <v>6.18</v>
      </c>
    </row>
    <row r="412" spans="1:4" ht="13.5">
      <c r="A412" s="37">
        <v>88399</v>
      </c>
      <c r="B412" s="37" t="s">
        <v>16627</v>
      </c>
      <c r="C412" s="37" t="s">
        <v>2491</v>
      </c>
      <c r="D412" s="326">
        <v>3.34</v>
      </c>
    </row>
    <row r="413" spans="1:4" ht="13.5">
      <c r="A413" s="37">
        <v>88418</v>
      </c>
      <c r="B413" s="37" t="s">
        <v>2531</v>
      </c>
      <c r="C413" s="37" t="s">
        <v>2491</v>
      </c>
      <c r="D413" s="326">
        <v>13.46</v>
      </c>
    </row>
    <row r="414" spans="1:4" ht="13.5">
      <c r="A414" s="37">
        <v>88433</v>
      </c>
      <c r="B414" s="37" t="s">
        <v>2532</v>
      </c>
      <c r="C414" s="37" t="s">
        <v>2491</v>
      </c>
      <c r="D414" s="326">
        <v>17.55</v>
      </c>
    </row>
    <row r="415" spans="1:4" ht="13.5">
      <c r="A415" s="37">
        <v>88830</v>
      </c>
      <c r="B415" s="37" t="s">
        <v>16628</v>
      </c>
      <c r="C415" s="37" t="s">
        <v>2491</v>
      </c>
      <c r="D415" s="326">
        <v>1.75</v>
      </c>
    </row>
    <row r="416" spans="1:4" ht="13.5">
      <c r="A416" s="37">
        <v>88843</v>
      </c>
      <c r="B416" s="37" t="s">
        <v>2533</v>
      </c>
      <c r="C416" s="37" t="s">
        <v>2491</v>
      </c>
      <c r="D416" s="326">
        <v>210.75</v>
      </c>
    </row>
    <row r="417" spans="1:4" ht="13.5">
      <c r="A417" s="37">
        <v>88907</v>
      </c>
      <c r="B417" s="37" t="s">
        <v>2534</v>
      </c>
      <c r="C417" s="37" t="s">
        <v>2491</v>
      </c>
      <c r="D417" s="326">
        <v>249.15</v>
      </c>
    </row>
    <row r="418" spans="1:4" ht="13.5">
      <c r="A418" s="37">
        <v>89021</v>
      </c>
      <c r="B418" s="37" t="s">
        <v>2535</v>
      </c>
      <c r="C418" s="37" t="s">
        <v>2491</v>
      </c>
      <c r="D418" s="326">
        <v>2.35</v>
      </c>
    </row>
    <row r="419" spans="1:4" ht="13.5">
      <c r="A419" s="37">
        <v>89028</v>
      </c>
      <c r="B419" s="37" t="s">
        <v>16629</v>
      </c>
      <c r="C419" s="37" t="s">
        <v>2491</v>
      </c>
      <c r="D419" s="326">
        <v>179.94</v>
      </c>
    </row>
    <row r="420" spans="1:4" ht="13.5">
      <c r="A420" s="37">
        <v>89032</v>
      </c>
      <c r="B420" s="37" t="s">
        <v>2536</v>
      </c>
      <c r="C420" s="37" t="s">
        <v>2491</v>
      </c>
      <c r="D420" s="326">
        <v>190.63</v>
      </c>
    </row>
    <row r="421" spans="1:4" ht="13.5">
      <c r="A421" s="37">
        <v>89035</v>
      </c>
      <c r="B421" s="37" t="s">
        <v>2537</v>
      </c>
      <c r="C421" s="37" t="s">
        <v>2491</v>
      </c>
      <c r="D421" s="326">
        <v>131.79</v>
      </c>
    </row>
    <row r="422" spans="1:4" ht="13.5">
      <c r="A422" s="37">
        <v>89225</v>
      </c>
      <c r="B422" s="37" t="s">
        <v>16630</v>
      </c>
      <c r="C422" s="37" t="s">
        <v>2491</v>
      </c>
      <c r="D422" s="326">
        <v>4.97</v>
      </c>
    </row>
    <row r="423" spans="1:4" ht="13.5">
      <c r="A423" s="37">
        <v>89234</v>
      </c>
      <c r="B423" s="37" t="s">
        <v>2538</v>
      </c>
      <c r="C423" s="37" t="s">
        <v>2491</v>
      </c>
      <c r="D423" s="326">
        <v>524.15</v>
      </c>
    </row>
    <row r="424" spans="1:4" ht="13.5">
      <c r="A424" s="37">
        <v>89242</v>
      </c>
      <c r="B424" s="37" t="s">
        <v>2539</v>
      </c>
      <c r="C424" s="37" t="s">
        <v>2491</v>
      </c>
      <c r="D424" s="38">
        <v>1237.6099999999999</v>
      </c>
    </row>
    <row r="425" spans="1:4" ht="13.5">
      <c r="A425" s="37">
        <v>89250</v>
      </c>
      <c r="B425" s="37" t="s">
        <v>2540</v>
      </c>
      <c r="C425" s="37" t="s">
        <v>2491</v>
      </c>
      <c r="D425" s="38">
        <v>1071.8800000000001</v>
      </c>
    </row>
    <row r="426" spans="1:4" ht="13.5">
      <c r="A426" s="37">
        <v>89257</v>
      </c>
      <c r="B426" s="37" t="s">
        <v>2541</v>
      </c>
      <c r="C426" s="37" t="s">
        <v>2491</v>
      </c>
      <c r="D426" s="326">
        <v>298.24</v>
      </c>
    </row>
    <row r="427" spans="1:4" ht="13.5">
      <c r="A427" s="37">
        <v>89272</v>
      </c>
      <c r="B427" s="37" t="s">
        <v>2542</v>
      </c>
      <c r="C427" s="37" t="s">
        <v>2491</v>
      </c>
      <c r="D427" s="326">
        <v>225.6</v>
      </c>
    </row>
    <row r="428" spans="1:4" ht="13.5">
      <c r="A428" s="37">
        <v>89278</v>
      </c>
      <c r="B428" s="37" t="s">
        <v>16631</v>
      </c>
      <c r="C428" s="37" t="s">
        <v>2491</v>
      </c>
      <c r="D428" s="326">
        <v>12.15</v>
      </c>
    </row>
    <row r="429" spans="1:4" ht="13.5">
      <c r="A429" s="37">
        <v>89843</v>
      </c>
      <c r="B429" s="37" t="s">
        <v>2544</v>
      </c>
      <c r="C429" s="37" t="s">
        <v>2491</v>
      </c>
      <c r="D429" s="326">
        <v>218.44</v>
      </c>
    </row>
    <row r="430" spans="1:4" ht="13.5">
      <c r="A430" s="37">
        <v>89876</v>
      </c>
      <c r="B430" s="37" t="s">
        <v>2545</v>
      </c>
      <c r="C430" s="37" t="s">
        <v>2491</v>
      </c>
      <c r="D430" s="326">
        <v>323.82</v>
      </c>
    </row>
    <row r="431" spans="1:4" ht="13.5">
      <c r="A431" s="37">
        <v>89883</v>
      </c>
      <c r="B431" s="37" t="s">
        <v>2546</v>
      </c>
      <c r="C431" s="37" t="s">
        <v>2491</v>
      </c>
      <c r="D431" s="326">
        <v>357.95</v>
      </c>
    </row>
    <row r="432" spans="1:4" ht="13.5">
      <c r="A432" s="37">
        <v>90586</v>
      </c>
      <c r="B432" s="37" t="s">
        <v>2547</v>
      </c>
      <c r="C432" s="37" t="s">
        <v>2491</v>
      </c>
      <c r="D432" s="326">
        <v>1.1499999999999999</v>
      </c>
    </row>
    <row r="433" spans="1:4" ht="13.5">
      <c r="A433" s="37">
        <v>90625</v>
      </c>
      <c r="B433" s="37" t="s">
        <v>2549</v>
      </c>
      <c r="C433" s="37" t="s">
        <v>2491</v>
      </c>
      <c r="D433" s="326">
        <v>7.55</v>
      </c>
    </row>
    <row r="434" spans="1:4" ht="13.5">
      <c r="A434" s="37">
        <v>90631</v>
      </c>
      <c r="B434" s="37" t="s">
        <v>2550</v>
      </c>
      <c r="C434" s="37" t="s">
        <v>2491</v>
      </c>
      <c r="D434" s="326">
        <v>151.19</v>
      </c>
    </row>
    <row r="435" spans="1:4" ht="13.5">
      <c r="A435" s="37">
        <v>90637</v>
      </c>
      <c r="B435" s="37" t="s">
        <v>2551</v>
      </c>
      <c r="C435" s="37" t="s">
        <v>2491</v>
      </c>
      <c r="D435" s="326">
        <v>14.37</v>
      </c>
    </row>
    <row r="436" spans="1:4" ht="13.5">
      <c r="A436" s="37">
        <v>90643</v>
      </c>
      <c r="B436" s="37" t="s">
        <v>2552</v>
      </c>
      <c r="C436" s="37" t="s">
        <v>2491</v>
      </c>
      <c r="D436" s="326">
        <v>26.04</v>
      </c>
    </row>
    <row r="437" spans="1:4" ht="13.5">
      <c r="A437" s="37">
        <v>90650</v>
      </c>
      <c r="B437" s="37" t="s">
        <v>2553</v>
      </c>
      <c r="C437" s="37" t="s">
        <v>2491</v>
      </c>
      <c r="D437" s="326">
        <v>10.08</v>
      </c>
    </row>
    <row r="438" spans="1:4" ht="13.5">
      <c r="A438" s="37">
        <v>90656</v>
      </c>
      <c r="B438" s="37" t="s">
        <v>2554</v>
      </c>
      <c r="C438" s="37" t="s">
        <v>2491</v>
      </c>
      <c r="D438" s="326">
        <v>14.23</v>
      </c>
    </row>
    <row r="439" spans="1:4" ht="13.5">
      <c r="A439" s="37">
        <v>90662</v>
      </c>
      <c r="B439" s="37" t="s">
        <v>2555</v>
      </c>
      <c r="C439" s="37" t="s">
        <v>2491</v>
      </c>
      <c r="D439" s="326">
        <v>14.85</v>
      </c>
    </row>
    <row r="440" spans="1:4" ht="13.5">
      <c r="A440" s="37">
        <v>90668</v>
      </c>
      <c r="B440" s="37" t="s">
        <v>16632</v>
      </c>
      <c r="C440" s="37" t="s">
        <v>2491</v>
      </c>
      <c r="D440" s="326">
        <v>32.53</v>
      </c>
    </row>
    <row r="441" spans="1:4" ht="13.5">
      <c r="A441" s="37">
        <v>90674</v>
      </c>
      <c r="B441" s="37" t="s">
        <v>2557</v>
      </c>
      <c r="C441" s="37" t="s">
        <v>2491</v>
      </c>
      <c r="D441" s="326">
        <v>691.6</v>
      </c>
    </row>
    <row r="442" spans="1:4" ht="13.5">
      <c r="A442" s="37">
        <v>90680</v>
      </c>
      <c r="B442" s="37" t="s">
        <v>2558</v>
      </c>
      <c r="C442" s="37" t="s">
        <v>2491</v>
      </c>
      <c r="D442" s="326">
        <v>415.59</v>
      </c>
    </row>
    <row r="443" spans="1:4" ht="13.5">
      <c r="A443" s="37">
        <v>90686</v>
      </c>
      <c r="B443" s="37" t="s">
        <v>16633</v>
      </c>
      <c r="C443" s="37" t="s">
        <v>2491</v>
      </c>
      <c r="D443" s="326">
        <v>159.97999999999999</v>
      </c>
    </row>
    <row r="444" spans="1:4" ht="13.5">
      <c r="A444" s="37">
        <v>90692</v>
      </c>
      <c r="B444" s="37" t="s">
        <v>2559</v>
      </c>
      <c r="C444" s="37" t="s">
        <v>2491</v>
      </c>
      <c r="D444" s="326">
        <v>131.04</v>
      </c>
    </row>
    <row r="445" spans="1:4" ht="13.5">
      <c r="A445" s="37">
        <v>90964</v>
      </c>
      <c r="B445" s="37" t="s">
        <v>2560</v>
      </c>
      <c r="C445" s="37" t="s">
        <v>2491</v>
      </c>
      <c r="D445" s="326">
        <v>32.01</v>
      </c>
    </row>
    <row r="446" spans="1:4" ht="13.5">
      <c r="A446" s="37">
        <v>90972</v>
      </c>
      <c r="B446" s="37" t="s">
        <v>2561</v>
      </c>
      <c r="C446" s="37" t="s">
        <v>2491</v>
      </c>
      <c r="D446" s="326">
        <v>77.599999999999994</v>
      </c>
    </row>
    <row r="447" spans="1:4" ht="13.5">
      <c r="A447" s="37">
        <v>90979</v>
      </c>
      <c r="B447" s="37" t="s">
        <v>2562</v>
      </c>
      <c r="C447" s="37" t="s">
        <v>2491</v>
      </c>
      <c r="D447" s="326">
        <v>200.42</v>
      </c>
    </row>
    <row r="448" spans="1:4" ht="13.5">
      <c r="A448" s="37">
        <v>90991</v>
      </c>
      <c r="B448" s="37" t="s">
        <v>2563</v>
      </c>
      <c r="C448" s="37" t="s">
        <v>2491</v>
      </c>
      <c r="D448" s="326">
        <v>204.86</v>
      </c>
    </row>
    <row r="449" spans="1:4" ht="13.5">
      <c r="A449" s="37">
        <v>90999</v>
      </c>
      <c r="B449" s="37" t="s">
        <v>2564</v>
      </c>
      <c r="C449" s="37" t="s">
        <v>2491</v>
      </c>
      <c r="D449" s="326">
        <v>102.47</v>
      </c>
    </row>
    <row r="450" spans="1:4" ht="13.5">
      <c r="A450" s="37">
        <v>91031</v>
      </c>
      <c r="B450" s="37" t="s">
        <v>2565</v>
      </c>
      <c r="C450" s="37" t="s">
        <v>2491</v>
      </c>
      <c r="D450" s="326">
        <v>252.15</v>
      </c>
    </row>
    <row r="451" spans="1:4" ht="13.5">
      <c r="A451" s="37">
        <v>91277</v>
      </c>
      <c r="B451" s="37" t="s">
        <v>2566</v>
      </c>
      <c r="C451" s="37" t="s">
        <v>2491</v>
      </c>
      <c r="D451" s="326">
        <v>9.3800000000000008</v>
      </c>
    </row>
    <row r="452" spans="1:4" ht="13.5">
      <c r="A452" s="37">
        <v>91283</v>
      </c>
      <c r="B452" s="37" t="s">
        <v>2567</v>
      </c>
      <c r="C452" s="37" t="s">
        <v>2491</v>
      </c>
      <c r="D452" s="326">
        <v>10.220000000000001</v>
      </c>
    </row>
    <row r="453" spans="1:4" ht="13.5">
      <c r="A453" s="37">
        <v>91386</v>
      </c>
      <c r="B453" s="37" t="s">
        <v>2568</v>
      </c>
      <c r="C453" s="37" t="s">
        <v>2491</v>
      </c>
      <c r="D453" s="326">
        <v>260.08</v>
      </c>
    </row>
    <row r="454" spans="1:4" ht="13.5">
      <c r="A454" s="37">
        <v>91533</v>
      </c>
      <c r="B454" s="37" t="s">
        <v>2569</v>
      </c>
      <c r="C454" s="37" t="s">
        <v>2491</v>
      </c>
      <c r="D454" s="326">
        <v>39.94</v>
      </c>
    </row>
    <row r="455" spans="1:4" ht="13.5">
      <c r="A455" s="37">
        <v>91634</v>
      </c>
      <c r="B455" s="37" t="s">
        <v>2570</v>
      </c>
      <c r="C455" s="37" t="s">
        <v>2491</v>
      </c>
      <c r="D455" s="326">
        <v>227.89</v>
      </c>
    </row>
    <row r="456" spans="1:4" ht="13.5">
      <c r="A456" s="37">
        <v>91645</v>
      </c>
      <c r="B456" s="37" t="s">
        <v>2571</v>
      </c>
      <c r="C456" s="37" t="s">
        <v>2491</v>
      </c>
      <c r="D456" s="326">
        <v>467.54</v>
      </c>
    </row>
    <row r="457" spans="1:4" ht="13.5">
      <c r="A457" s="37">
        <v>91692</v>
      </c>
      <c r="B457" s="37" t="s">
        <v>2572</v>
      </c>
      <c r="C457" s="37" t="s">
        <v>2491</v>
      </c>
      <c r="D457" s="326">
        <v>33.6</v>
      </c>
    </row>
    <row r="458" spans="1:4" ht="13.5">
      <c r="A458" s="37">
        <v>92043</v>
      </c>
      <c r="B458" s="37" t="s">
        <v>2573</v>
      </c>
      <c r="C458" s="37" t="s">
        <v>2491</v>
      </c>
      <c r="D458" s="326">
        <v>13.19</v>
      </c>
    </row>
    <row r="459" spans="1:4" ht="13.5">
      <c r="A459" s="37">
        <v>92106</v>
      </c>
      <c r="B459" s="37" t="s">
        <v>16634</v>
      </c>
      <c r="C459" s="37" t="s">
        <v>2491</v>
      </c>
      <c r="D459" s="326">
        <v>331.14</v>
      </c>
    </row>
    <row r="460" spans="1:4" ht="13.5">
      <c r="A460" s="37">
        <v>92112</v>
      </c>
      <c r="B460" s="37" t="s">
        <v>16635</v>
      </c>
      <c r="C460" s="37" t="s">
        <v>2491</v>
      </c>
      <c r="D460" s="326">
        <v>3.25</v>
      </c>
    </row>
    <row r="461" spans="1:4" ht="13.5">
      <c r="A461" s="37">
        <v>92118</v>
      </c>
      <c r="B461" s="37" t="s">
        <v>16636</v>
      </c>
      <c r="C461" s="37" t="s">
        <v>2491</v>
      </c>
      <c r="D461" s="326">
        <v>0.42</v>
      </c>
    </row>
    <row r="462" spans="1:4" ht="13.5">
      <c r="A462" s="37">
        <v>92138</v>
      </c>
      <c r="B462" s="37" t="s">
        <v>2574</v>
      </c>
      <c r="C462" s="37" t="s">
        <v>2491</v>
      </c>
      <c r="D462" s="326">
        <v>91.31</v>
      </c>
    </row>
    <row r="463" spans="1:4" ht="13.5">
      <c r="A463" s="37">
        <v>92145</v>
      </c>
      <c r="B463" s="37" t="s">
        <v>2575</v>
      </c>
      <c r="C463" s="37" t="s">
        <v>2491</v>
      </c>
      <c r="D463" s="326">
        <v>71.819999999999993</v>
      </c>
    </row>
    <row r="464" spans="1:4" ht="13.5">
      <c r="A464" s="37">
        <v>92242</v>
      </c>
      <c r="B464" s="37" t="s">
        <v>2577</v>
      </c>
      <c r="C464" s="37" t="s">
        <v>2491</v>
      </c>
      <c r="D464" s="326">
        <v>404.89</v>
      </c>
    </row>
    <row r="465" spans="1:4" ht="13.5">
      <c r="A465" s="37">
        <v>92716</v>
      </c>
      <c r="B465" s="37" t="s">
        <v>16637</v>
      </c>
      <c r="C465" s="37" t="s">
        <v>2491</v>
      </c>
      <c r="D465" s="326">
        <v>93.18</v>
      </c>
    </row>
    <row r="466" spans="1:4" ht="13.5">
      <c r="A466" s="37">
        <v>92960</v>
      </c>
      <c r="B466" s="37" t="s">
        <v>2578</v>
      </c>
      <c r="C466" s="37" t="s">
        <v>2491</v>
      </c>
      <c r="D466" s="326">
        <v>19.25</v>
      </c>
    </row>
    <row r="467" spans="1:4" ht="13.5">
      <c r="A467" s="37">
        <v>92966</v>
      </c>
      <c r="B467" s="37" t="s">
        <v>2579</v>
      </c>
      <c r="C467" s="37" t="s">
        <v>2491</v>
      </c>
      <c r="D467" s="326">
        <v>26.09</v>
      </c>
    </row>
    <row r="468" spans="1:4" ht="13.5">
      <c r="A468" s="37">
        <v>93224</v>
      </c>
      <c r="B468" s="37" t="s">
        <v>2580</v>
      </c>
      <c r="C468" s="37" t="s">
        <v>2491</v>
      </c>
      <c r="D468" s="38">
        <v>1027.8</v>
      </c>
    </row>
    <row r="469" spans="1:4" ht="13.5">
      <c r="A469" s="37">
        <v>93233</v>
      </c>
      <c r="B469" s="37" t="s">
        <v>2581</v>
      </c>
      <c r="C469" s="37" t="s">
        <v>2491</v>
      </c>
      <c r="D469" s="326">
        <v>5.3</v>
      </c>
    </row>
    <row r="470" spans="1:4" ht="13.5">
      <c r="A470" s="37">
        <v>93272</v>
      </c>
      <c r="B470" s="37" t="s">
        <v>16638</v>
      </c>
      <c r="C470" s="37" t="s">
        <v>2491</v>
      </c>
      <c r="D470" s="326">
        <v>115.73</v>
      </c>
    </row>
    <row r="471" spans="1:4" ht="13.5">
      <c r="A471" s="37">
        <v>93281</v>
      </c>
      <c r="B471" s="37" t="s">
        <v>2582</v>
      </c>
      <c r="C471" s="37" t="s">
        <v>2491</v>
      </c>
      <c r="D471" s="326">
        <v>25.92</v>
      </c>
    </row>
    <row r="472" spans="1:4" ht="13.5">
      <c r="A472" s="37">
        <v>93287</v>
      </c>
      <c r="B472" s="37" t="s">
        <v>2583</v>
      </c>
      <c r="C472" s="37" t="s">
        <v>2491</v>
      </c>
      <c r="D472" s="326">
        <v>351.82</v>
      </c>
    </row>
    <row r="473" spans="1:4" ht="13.5">
      <c r="A473" s="37">
        <v>93402</v>
      </c>
      <c r="B473" s="37" t="s">
        <v>2584</v>
      </c>
      <c r="C473" s="37" t="s">
        <v>2491</v>
      </c>
      <c r="D473" s="326">
        <v>263.45999999999998</v>
      </c>
    </row>
    <row r="474" spans="1:4" ht="13.5">
      <c r="A474" s="37">
        <v>93408</v>
      </c>
      <c r="B474" s="37" t="s">
        <v>16639</v>
      </c>
      <c r="C474" s="37" t="s">
        <v>2491</v>
      </c>
      <c r="D474" s="326">
        <v>85.21</v>
      </c>
    </row>
    <row r="475" spans="1:4" ht="13.5">
      <c r="A475" s="37">
        <v>93415</v>
      </c>
      <c r="B475" s="37" t="s">
        <v>2585</v>
      </c>
      <c r="C475" s="37" t="s">
        <v>2491</v>
      </c>
      <c r="D475" s="326">
        <v>14.87</v>
      </c>
    </row>
    <row r="476" spans="1:4" ht="13.5">
      <c r="A476" s="37">
        <v>93421</v>
      </c>
      <c r="B476" s="37" t="s">
        <v>2586</v>
      </c>
      <c r="C476" s="37" t="s">
        <v>2491</v>
      </c>
      <c r="D476" s="326">
        <v>77</v>
      </c>
    </row>
    <row r="477" spans="1:4" ht="13.5">
      <c r="A477" s="37">
        <v>93427</v>
      </c>
      <c r="B477" s="37" t="s">
        <v>2587</v>
      </c>
      <c r="C477" s="37" t="s">
        <v>2491</v>
      </c>
      <c r="D477" s="326">
        <v>174.21</v>
      </c>
    </row>
    <row r="478" spans="1:4" ht="13.5">
      <c r="A478" s="37">
        <v>93433</v>
      </c>
      <c r="B478" s="37" t="s">
        <v>16640</v>
      </c>
      <c r="C478" s="37" t="s">
        <v>2491</v>
      </c>
      <c r="D478" s="38">
        <v>2552.63</v>
      </c>
    </row>
    <row r="479" spans="1:4" ht="13.5">
      <c r="A479" s="37">
        <v>93439</v>
      </c>
      <c r="B479" s="37" t="s">
        <v>16641</v>
      </c>
      <c r="C479" s="37" t="s">
        <v>2491</v>
      </c>
      <c r="D479" s="326">
        <v>242.7</v>
      </c>
    </row>
    <row r="480" spans="1:4" ht="13.5">
      <c r="A480" s="37">
        <v>95121</v>
      </c>
      <c r="B480" s="37" t="s">
        <v>2588</v>
      </c>
      <c r="C480" s="37" t="s">
        <v>2491</v>
      </c>
      <c r="D480" s="326">
        <v>298.52999999999997</v>
      </c>
    </row>
    <row r="481" spans="1:4" ht="13.5">
      <c r="A481" s="37">
        <v>95127</v>
      </c>
      <c r="B481" s="37" t="s">
        <v>2589</v>
      </c>
      <c r="C481" s="37" t="s">
        <v>2491</v>
      </c>
      <c r="D481" s="326">
        <v>222.15</v>
      </c>
    </row>
    <row r="482" spans="1:4" ht="13.5">
      <c r="A482" s="37">
        <v>95133</v>
      </c>
      <c r="B482" s="37" t="s">
        <v>2590</v>
      </c>
      <c r="C482" s="37" t="s">
        <v>2491</v>
      </c>
      <c r="D482" s="326">
        <v>182.44</v>
      </c>
    </row>
    <row r="483" spans="1:4" ht="13.5">
      <c r="A483" s="37">
        <v>95139</v>
      </c>
      <c r="B483" s="37" t="s">
        <v>2591</v>
      </c>
      <c r="C483" s="37" t="s">
        <v>2491</v>
      </c>
      <c r="D483" s="326">
        <v>0.06</v>
      </c>
    </row>
    <row r="484" spans="1:4" ht="13.5">
      <c r="A484" s="37">
        <v>95212</v>
      </c>
      <c r="B484" s="37" t="s">
        <v>16642</v>
      </c>
      <c r="C484" s="37" t="s">
        <v>2491</v>
      </c>
      <c r="D484" s="326">
        <v>125.72</v>
      </c>
    </row>
    <row r="485" spans="1:4" ht="13.5">
      <c r="A485" s="37">
        <v>95258</v>
      </c>
      <c r="B485" s="37" t="s">
        <v>2592</v>
      </c>
      <c r="C485" s="37" t="s">
        <v>2491</v>
      </c>
      <c r="D485" s="326">
        <v>25.57</v>
      </c>
    </row>
    <row r="486" spans="1:4" ht="13.5">
      <c r="A486" s="37">
        <v>95264</v>
      </c>
      <c r="B486" s="37" t="s">
        <v>2593</v>
      </c>
      <c r="C486" s="37" t="s">
        <v>2491</v>
      </c>
      <c r="D486" s="326">
        <v>6.66</v>
      </c>
    </row>
    <row r="487" spans="1:4" ht="13.5">
      <c r="A487" s="37">
        <v>95270</v>
      </c>
      <c r="B487" s="37" t="s">
        <v>2594</v>
      </c>
      <c r="C487" s="37" t="s">
        <v>2491</v>
      </c>
      <c r="D487" s="326">
        <v>9.1199999999999992</v>
      </c>
    </row>
    <row r="488" spans="1:4" ht="13.5">
      <c r="A488" s="37">
        <v>95276</v>
      </c>
      <c r="B488" s="37" t="s">
        <v>16643</v>
      </c>
      <c r="C488" s="37" t="s">
        <v>2491</v>
      </c>
      <c r="D488" s="326">
        <v>2.98</v>
      </c>
    </row>
    <row r="489" spans="1:4" ht="13.5">
      <c r="A489" s="37">
        <v>95282</v>
      </c>
      <c r="B489" s="37" t="s">
        <v>16644</v>
      </c>
      <c r="C489" s="37" t="s">
        <v>2491</v>
      </c>
      <c r="D489" s="326">
        <v>9.26</v>
      </c>
    </row>
    <row r="490" spans="1:4" ht="13.5">
      <c r="A490" s="37">
        <v>95620</v>
      </c>
      <c r="B490" s="37" t="s">
        <v>2595</v>
      </c>
      <c r="C490" s="37" t="s">
        <v>2491</v>
      </c>
      <c r="D490" s="326">
        <v>25</v>
      </c>
    </row>
    <row r="491" spans="1:4" ht="13.5">
      <c r="A491" s="37">
        <v>95631</v>
      </c>
      <c r="B491" s="37" t="s">
        <v>2596</v>
      </c>
      <c r="C491" s="37" t="s">
        <v>2491</v>
      </c>
      <c r="D491" s="326">
        <v>233.97</v>
      </c>
    </row>
    <row r="492" spans="1:4" ht="13.5">
      <c r="A492" s="37">
        <v>95702</v>
      </c>
      <c r="B492" s="37" t="s">
        <v>2597</v>
      </c>
      <c r="C492" s="37" t="s">
        <v>2491</v>
      </c>
      <c r="D492" s="326">
        <v>45.82</v>
      </c>
    </row>
    <row r="493" spans="1:4" ht="13.5">
      <c r="A493" s="37">
        <v>95708</v>
      </c>
      <c r="B493" s="37" t="s">
        <v>2598</v>
      </c>
      <c r="C493" s="37" t="s">
        <v>2491</v>
      </c>
      <c r="D493" s="326">
        <v>148.52000000000001</v>
      </c>
    </row>
    <row r="494" spans="1:4" ht="13.5">
      <c r="A494" s="37">
        <v>95714</v>
      </c>
      <c r="B494" s="37" t="s">
        <v>2599</v>
      </c>
      <c r="C494" s="37" t="s">
        <v>2491</v>
      </c>
      <c r="D494" s="326">
        <v>256.08999999999997</v>
      </c>
    </row>
    <row r="495" spans="1:4" ht="13.5">
      <c r="A495" s="37">
        <v>95720</v>
      </c>
      <c r="B495" s="37" t="s">
        <v>2600</v>
      </c>
      <c r="C495" s="37" t="s">
        <v>2491</v>
      </c>
      <c r="D495" s="326">
        <v>251.04</v>
      </c>
    </row>
    <row r="496" spans="1:4" ht="13.5">
      <c r="A496" s="37">
        <v>95872</v>
      </c>
      <c r="B496" s="37" t="s">
        <v>2601</v>
      </c>
      <c r="C496" s="37" t="s">
        <v>2491</v>
      </c>
      <c r="D496" s="326">
        <v>295.3</v>
      </c>
    </row>
    <row r="497" spans="1:4" ht="13.5">
      <c r="A497" s="37">
        <v>96013</v>
      </c>
      <c r="B497" s="37" t="s">
        <v>2602</v>
      </c>
      <c r="C497" s="37" t="s">
        <v>2491</v>
      </c>
      <c r="D497" s="326">
        <v>181.66</v>
      </c>
    </row>
    <row r="498" spans="1:4" ht="13.5">
      <c r="A498" s="37">
        <v>96020</v>
      </c>
      <c r="B498" s="37" t="s">
        <v>2603</v>
      </c>
      <c r="C498" s="37" t="s">
        <v>2491</v>
      </c>
      <c r="D498" s="326">
        <v>181.16</v>
      </c>
    </row>
    <row r="499" spans="1:4" ht="13.5">
      <c r="A499" s="37">
        <v>96028</v>
      </c>
      <c r="B499" s="37" t="s">
        <v>2604</v>
      </c>
      <c r="C499" s="37" t="s">
        <v>2491</v>
      </c>
      <c r="D499" s="326">
        <v>140.12</v>
      </c>
    </row>
    <row r="500" spans="1:4" ht="13.5">
      <c r="A500" s="37">
        <v>96035</v>
      </c>
      <c r="B500" s="37" t="s">
        <v>2605</v>
      </c>
      <c r="C500" s="37" t="s">
        <v>2491</v>
      </c>
      <c r="D500" s="326">
        <v>270.52</v>
      </c>
    </row>
    <row r="501" spans="1:4" ht="13.5">
      <c r="A501" s="37">
        <v>96157</v>
      </c>
      <c r="B501" s="37" t="s">
        <v>2606</v>
      </c>
      <c r="C501" s="37" t="s">
        <v>2491</v>
      </c>
      <c r="D501" s="326">
        <v>140.62</v>
      </c>
    </row>
    <row r="502" spans="1:4" ht="13.5">
      <c r="A502" s="37">
        <v>96158</v>
      </c>
      <c r="B502" s="37" t="s">
        <v>2608</v>
      </c>
      <c r="C502" s="37" t="s">
        <v>2491</v>
      </c>
      <c r="D502" s="326">
        <v>144.72999999999999</v>
      </c>
    </row>
    <row r="503" spans="1:4" ht="13.5">
      <c r="A503" s="37">
        <v>96245</v>
      </c>
      <c r="B503" s="37" t="s">
        <v>2609</v>
      </c>
      <c r="C503" s="37" t="s">
        <v>2491</v>
      </c>
      <c r="D503" s="326">
        <v>116.88</v>
      </c>
    </row>
    <row r="504" spans="1:4" ht="13.5">
      <c r="A504" s="37">
        <v>96463</v>
      </c>
      <c r="B504" s="37" t="s">
        <v>2610</v>
      </c>
      <c r="C504" s="37" t="s">
        <v>2491</v>
      </c>
      <c r="D504" s="326">
        <v>221.76</v>
      </c>
    </row>
    <row r="505" spans="1:4" ht="13.5">
      <c r="A505" s="37">
        <v>98764</v>
      </c>
      <c r="B505" s="37" t="s">
        <v>2611</v>
      </c>
      <c r="C505" s="37" t="s">
        <v>2491</v>
      </c>
      <c r="D505" s="326">
        <v>4.03</v>
      </c>
    </row>
    <row r="506" spans="1:4" ht="13.5">
      <c r="A506" s="37">
        <v>99833</v>
      </c>
      <c r="B506" s="37" t="s">
        <v>16645</v>
      </c>
      <c r="C506" s="37" t="s">
        <v>2491</v>
      </c>
      <c r="D506" s="326">
        <v>1.89</v>
      </c>
    </row>
    <row r="507" spans="1:4" ht="13.5">
      <c r="A507" s="37">
        <v>100641</v>
      </c>
      <c r="B507" s="37" t="s">
        <v>2612</v>
      </c>
      <c r="C507" s="37" t="s">
        <v>2491</v>
      </c>
      <c r="D507" s="38">
        <v>4706.9399999999996</v>
      </c>
    </row>
    <row r="508" spans="1:4" ht="13.5">
      <c r="A508" s="37">
        <v>100647</v>
      </c>
      <c r="B508" s="37" t="s">
        <v>2613</v>
      </c>
      <c r="C508" s="37" t="s">
        <v>2491</v>
      </c>
      <c r="D508" s="38">
        <v>6290.76</v>
      </c>
    </row>
    <row r="509" spans="1:4" ht="13.5">
      <c r="A509" s="37">
        <v>102275</v>
      </c>
      <c r="B509" s="37" t="s">
        <v>7381</v>
      </c>
      <c r="C509" s="37" t="s">
        <v>2491</v>
      </c>
      <c r="D509" s="326">
        <v>25.37</v>
      </c>
    </row>
    <row r="510" spans="1:4" ht="13.5">
      <c r="A510" s="37">
        <v>104091</v>
      </c>
      <c r="B510" s="37" t="s">
        <v>15320</v>
      </c>
      <c r="C510" s="37" t="s">
        <v>2491</v>
      </c>
      <c r="D510" s="326">
        <v>0.71</v>
      </c>
    </row>
    <row r="511" spans="1:4" ht="13.5">
      <c r="A511" s="37">
        <v>104097</v>
      </c>
      <c r="B511" s="37" t="s">
        <v>15321</v>
      </c>
      <c r="C511" s="37" t="s">
        <v>2491</v>
      </c>
      <c r="D511" s="326">
        <v>1</v>
      </c>
    </row>
    <row r="512" spans="1:4" ht="13.5">
      <c r="A512" s="37">
        <v>5632</v>
      </c>
      <c r="B512" s="37" t="s">
        <v>2614</v>
      </c>
      <c r="C512" s="37" t="s">
        <v>2615</v>
      </c>
      <c r="D512" s="326">
        <v>89.12</v>
      </c>
    </row>
    <row r="513" spans="1:4" ht="13.5">
      <c r="A513" s="37">
        <v>5679</v>
      </c>
      <c r="B513" s="37" t="s">
        <v>2616</v>
      </c>
      <c r="C513" s="37" t="s">
        <v>2615</v>
      </c>
      <c r="D513" s="326">
        <v>65.25</v>
      </c>
    </row>
    <row r="514" spans="1:4" ht="13.5">
      <c r="A514" s="37">
        <v>5681</v>
      </c>
      <c r="B514" s="37" t="s">
        <v>2617</v>
      </c>
      <c r="C514" s="37" t="s">
        <v>2615</v>
      </c>
      <c r="D514" s="326">
        <v>61.47</v>
      </c>
    </row>
    <row r="515" spans="1:4" ht="13.5">
      <c r="A515" s="37">
        <v>5685</v>
      </c>
      <c r="B515" s="37" t="s">
        <v>2618</v>
      </c>
      <c r="C515" s="37" t="s">
        <v>2615</v>
      </c>
      <c r="D515" s="326">
        <v>64.73</v>
      </c>
    </row>
    <row r="516" spans="1:4" ht="13.5">
      <c r="A516" s="37">
        <v>5690</v>
      </c>
      <c r="B516" s="37" t="s">
        <v>2619</v>
      </c>
      <c r="C516" s="37" t="s">
        <v>2615</v>
      </c>
      <c r="D516" s="326">
        <v>4.33</v>
      </c>
    </row>
    <row r="517" spans="1:4" ht="13.5">
      <c r="A517" s="37">
        <v>5806</v>
      </c>
      <c r="B517" s="37" t="s">
        <v>2620</v>
      </c>
      <c r="C517" s="37" t="s">
        <v>2615</v>
      </c>
      <c r="D517" s="326">
        <v>0.27</v>
      </c>
    </row>
    <row r="518" spans="1:4" ht="13.5">
      <c r="A518" s="37">
        <v>5826</v>
      </c>
      <c r="B518" s="37" t="s">
        <v>2621</v>
      </c>
      <c r="C518" s="37" t="s">
        <v>2615</v>
      </c>
      <c r="D518" s="326">
        <v>56.24</v>
      </c>
    </row>
    <row r="519" spans="1:4" ht="13.5">
      <c r="A519" s="37">
        <v>5829</v>
      </c>
      <c r="B519" s="37" t="s">
        <v>2622</v>
      </c>
      <c r="C519" s="37" t="s">
        <v>2615</v>
      </c>
      <c r="D519" s="326">
        <v>156.68</v>
      </c>
    </row>
    <row r="520" spans="1:4" ht="13.5">
      <c r="A520" s="37">
        <v>5837</v>
      </c>
      <c r="B520" s="37" t="s">
        <v>2623</v>
      </c>
      <c r="C520" s="37" t="s">
        <v>2615</v>
      </c>
      <c r="D520" s="326">
        <v>131.80000000000001</v>
      </c>
    </row>
    <row r="521" spans="1:4" ht="13.5">
      <c r="A521" s="37">
        <v>5841</v>
      </c>
      <c r="B521" s="37" t="s">
        <v>2624</v>
      </c>
      <c r="C521" s="37" t="s">
        <v>2615</v>
      </c>
      <c r="D521" s="326">
        <v>4.97</v>
      </c>
    </row>
    <row r="522" spans="1:4" ht="13.5">
      <c r="A522" s="37">
        <v>5845</v>
      </c>
      <c r="B522" s="37" t="s">
        <v>2625</v>
      </c>
      <c r="C522" s="37" t="s">
        <v>2615</v>
      </c>
      <c r="D522" s="326">
        <v>55.99</v>
      </c>
    </row>
    <row r="523" spans="1:4" ht="13.5">
      <c r="A523" s="37">
        <v>5849</v>
      </c>
      <c r="B523" s="37" t="s">
        <v>2626</v>
      </c>
      <c r="C523" s="37" t="s">
        <v>2615</v>
      </c>
      <c r="D523" s="326">
        <v>87.49</v>
      </c>
    </row>
    <row r="524" spans="1:4" ht="13.5">
      <c r="A524" s="37">
        <v>5853</v>
      </c>
      <c r="B524" s="37" t="s">
        <v>2627</v>
      </c>
      <c r="C524" s="37" t="s">
        <v>2615</v>
      </c>
      <c r="D524" s="326">
        <v>87.83</v>
      </c>
    </row>
    <row r="525" spans="1:4" ht="13.5">
      <c r="A525" s="37">
        <v>5857</v>
      </c>
      <c r="B525" s="37" t="s">
        <v>2628</v>
      </c>
      <c r="C525" s="37" t="s">
        <v>2615</v>
      </c>
      <c r="D525" s="326">
        <v>214.24</v>
      </c>
    </row>
    <row r="526" spans="1:4" ht="13.5">
      <c r="A526" s="37">
        <v>5865</v>
      </c>
      <c r="B526" s="37" t="s">
        <v>2629</v>
      </c>
      <c r="C526" s="37" t="s">
        <v>2615</v>
      </c>
      <c r="D526" s="326">
        <v>12.26</v>
      </c>
    </row>
    <row r="527" spans="1:4" ht="13.5">
      <c r="A527" s="37">
        <v>5869</v>
      </c>
      <c r="B527" s="37" t="s">
        <v>2630</v>
      </c>
      <c r="C527" s="37" t="s">
        <v>2615</v>
      </c>
      <c r="D527" s="326">
        <v>74</v>
      </c>
    </row>
    <row r="528" spans="1:4" ht="13.5">
      <c r="A528" s="37">
        <v>5877</v>
      </c>
      <c r="B528" s="37" t="s">
        <v>2631</v>
      </c>
      <c r="C528" s="37" t="s">
        <v>2615</v>
      </c>
      <c r="D528" s="326">
        <v>64.05</v>
      </c>
    </row>
    <row r="529" spans="1:4" ht="13.5">
      <c r="A529" s="37">
        <v>5881</v>
      </c>
      <c r="B529" s="37" t="s">
        <v>2632</v>
      </c>
      <c r="C529" s="37" t="s">
        <v>2615</v>
      </c>
      <c r="D529" s="326">
        <v>79.63</v>
      </c>
    </row>
    <row r="530" spans="1:4" ht="13.5">
      <c r="A530" s="37">
        <v>5884</v>
      </c>
      <c r="B530" s="37" t="s">
        <v>2633</v>
      </c>
      <c r="C530" s="37" t="s">
        <v>2615</v>
      </c>
      <c r="D530" s="326">
        <v>51.46</v>
      </c>
    </row>
    <row r="531" spans="1:4" ht="13.5">
      <c r="A531" s="37">
        <v>5892</v>
      </c>
      <c r="B531" s="37" t="s">
        <v>2634</v>
      </c>
      <c r="C531" s="37" t="s">
        <v>2615</v>
      </c>
      <c r="D531" s="326">
        <v>51.51</v>
      </c>
    </row>
    <row r="532" spans="1:4" ht="13.5">
      <c r="A532" s="37">
        <v>5896</v>
      </c>
      <c r="B532" s="37" t="s">
        <v>2635</v>
      </c>
      <c r="C532" s="37" t="s">
        <v>2615</v>
      </c>
      <c r="D532" s="326">
        <v>54.15</v>
      </c>
    </row>
    <row r="533" spans="1:4" ht="13.5">
      <c r="A533" s="37">
        <v>5903</v>
      </c>
      <c r="B533" s="37" t="s">
        <v>2636</v>
      </c>
      <c r="C533" s="37" t="s">
        <v>2615</v>
      </c>
      <c r="D533" s="326">
        <v>68.099999999999994</v>
      </c>
    </row>
    <row r="534" spans="1:4" ht="13.5">
      <c r="A534" s="37">
        <v>5911</v>
      </c>
      <c r="B534" s="37" t="s">
        <v>2637</v>
      </c>
      <c r="C534" s="37" t="s">
        <v>2615</v>
      </c>
      <c r="D534" s="326">
        <v>24.5</v>
      </c>
    </row>
    <row r="535" spans="1:4" ht="13.5">
      <c r="A535" s="37">
        <v>5923</v>
      </c>
      <c r="B535" s="37" t="s">
        <v>2638</v>
      </c>
      <c r="C535" s="37" t="s">
        <v>2615</v>
      </c>
      <c r="D535" s="326">
        <v>3.4</v>
      </c>
    </row>
    <row r="536" spans="1:4" ht="13.5">
      <c r="A536" s="37">
        <v>5930</v>
      </c>
      <c r="B536" s="37" t="s">
        <v>2639</v>
      </c>
      <c r="C536" s="37" t="s">
        <v>2615</v>
      </c>
      <c r="D536" s="326">
        <v>66.69</v>
      </c>
    </row>
    <row r="537" spans="1:4" ht="13.5">
      <c r="A537" s="37">
        <v>5934</v>
      </c>
      <c r="B537" s="37" t="s">
        <v>2640</v>
      </c>
      <c r="C537" s="37" t="s">
        <v>2615</v>
      </c>
      <c r="D537" s="326">
        <v>99.87</v>
      </c>
    </row>
    <row r="538" spans="1:4" ht="13.5">
      <c r="A538" s="37">
        <v>5942</v>
      </c>
      <c r="B538" s="37" t="s">
        <v>2641</v>
      </c>
      <c r="C538" s="37" t="s">
        <v>2615</v>
      </c>
      <c r="D538" s="326">
        <v>83.85</v>
      </c>
    </row>
    <row r="539" spans="1:4" ht="13.5">
      <c r="A539" s="37">
        <v>5946</v>
      </c>
      <c r="B539" s="37" t="s">
        <v>2642</v>
      </c>
      <c r="C539" s="37" t="s">
        <v>2615</v>
      </c>
      <c r="D539" s="326">
        <v>105.19</v>
      </c>
    </row>
    <row r="540" spans="1:4" ht="13.5">
      <c r="A540" s="37">
        <v>5952</v>
      </c>
      <c r="B540" s="37" t="s">
        <v>2643</v>
      </c>
      <c r="C540" s="37" t="s">
        <v>2615</v>
      </c>
      <c r="D540" s="326">
        <v>24.14</v>
      </c>
    </row>
    <row r="541" spans="1:4" ht="13.5">
      <c r="A541" s="37">
        <v>5954</v>
      </c>
      <c r="B541" s="37" t="s">
        <v>2644</v>
      </c>
      <c r="C541" s="37" t="s">
        <v>2615</v>
      </c>
      <c r="D541" s="326">
        <v>6.44</v>
      </c>
    </row>
    <row r="542" spans="1:4" ht="13.5">
      <c r="A542" s="37">
        <v>5961</v>
      </c>
      <c r="B542" s="37" t="s">
        <v>2645</v>
      </c>
      <c r="C542" s="37" t="s">
        <v>2615</v>
      </c>
      <c r="D542" s="326">
        <v>57.99</v>
      </c>
    </row>
    <row r="543" spans="1:4" ht="13.5">
      <c r="A543" s="37">
        <v>6260</v>
      </c>
      <c r="B543" s="37" t="s">
        <v>2646</v>
      </c>
      <c r="C543" s="37" t="s">
        <v>2615</v>
      </c>
      <c r="D543" s="326">
        <v>55.82</v>
      </c>
    </row>
    <row r="544" spans="1:4" ht="13.5">
      <c r="A544" s="37">
        <v>6880</v>
      </c>
      <c r="B544" s="37" t="s">
        <v>2647</v>
      </c>
      <c r="C544" s="37" t="s">
        <v>2615</v>
      </c>
      <c r="D544" s="326">
        <v>87.62</v>
      </c>
    </row>
    <row r="545" spans="1:4" ht="13.5">
      <c r="A545" s="37">
        <v>7031</v>
      </c>
      <c r="B545" s="37" t="s">
        <v>16646</v>
      </c>
      <c r="C545" s="37" t="s">
        <v>2615</v>
      </c>
      <c r="D545" s="326">
        <v>5.82</v>
      </c>
    </row>
    <row r="546" spans="1:4" ht="13.5">
      <c r="A546" s="37">
        <v>7043</v>
      </c>
      <c r="B546" s="37" t="s">
        <v>2648</v>
      </c>
      <c r="C546" s="37" t="s">
        <v>2615</v>
      </c>
      <c r="D546" s="326">
        <v>0.33</v>
      </c>
    </row>
    <row r="547" spans="1:4" ht="13.5">
      <c r="A547" s="37">
        <v>7050</v>
      </c>
      <c r="B547" s="37" t="s">
        <v>2649</v>
      </c>
      <c r="C547" s="37" t="s">
        <v>2615</v>
      </c>
      <c r="D547" s="326">
        <v>80.510000000000005</v>
      </c>
    </row>
    <row r="548" spans="1:4" ht="13.5">
      <c r="A548" s="37">
        <v>67827</v>
      </c>
      <c r="B548" s="37" t="s">
        <v>2650</v>
      </c>
      <c r="C548" s="37" t="s">
        <v>2615</v>
      </c>
      <c r="D548" s="326">
        <v>59.18</v>
      </c>
    </row>
    <row r="549" spans="1:4" ht="13.5">
      <c r="A549" s="37">
        <v>73395</v>
      </c>
      <c r="B549" s="37" t="s">
        <v>2651</v>
      </c>
      <c r="C549" s="37" t="s">
        <v>2615</v>
      </c>
      <c r="D549" s="326">
        <v>9.67</v>
      </c>
    </row>
    <row r="550" spans="1:4" ht="13.5">
      <c r="A550" s="37">
        <v>83766</v>
      </c>
      <c r="B550" s="37" t="s">
        <v>2652</v>
      </c>
      <c r="C550" s="37" t="s">
        <v>2615</v>
      </c>
      <c r="D550" s="326">
        <v>41.52</v>
      </c>
    </row>
    <row r="551" spans="1:4" ht="13.5">
      <c r="A551" s="37">
        <v>84013</v>
      </c>
      <c r="B551" s="37" t="s">
        <v>2653</v>
      </c>
      <c r="C551" s="37" t="s">
        <v>2615</v>
      </c>
      <c r="D551" s="326">
        <v>86.46</v>
      </c>
    </row>
    <row r="552" spans="1:4" ht="13.5">
      <c r="A552" s="37">
        <v>87446</v>
      </c>
      <c r="B552" s="37" t="s">
        <v>16647</v>
      </c>
      <c r="C552" s="37" t="s">
        <v>2615</v>
      </c>
      <c r="D552" s="326">
        <v>0.48</v>
      </c>
    </row>
    <row r="553" spans="1:4" ht="13.5">
      <c r="A553" s="37">
        <v>88392</v>
      </c>
      <c r="B553" s="37" t="s">
        <v>16648</v>
      </c>
      <c r="C553" s="37" t="s">
        <v>2615</v>
      </c>
      <c r="D553" s="326">
        <v>0.96</v>
      </c>
    </row>
    <row r="554" spans="1:4" ht="13.5">
      <c r="A554" s="37">
        <v>88398</v>
      </c>
      <c r="B554" s="37" t="s">
        <v>16649</v>
      </c>
      <c r="C554" s="37" t="s">
        <v>2615</v>
      </c>
      <c r="D554" s="326">
        <v>1.1299999999999999</v>
      </c>
    </row>
    <row r="555" spans="1:4" ht="13.5">
      <c r="A555" s="37">
        <v>88404</v>
      </c>
      <c r="B555" s="37" t="s">
        <v>16650</v>
      </c>
      <c r="C555" s="37" t="s">
        <v>2615</v>
      </c>
      <c r="D555" s="326">
        <v>0.9</v>
      </c>
    </row>
    <row r="556" spans="1:4" ht="13.5">
      <c r="A556" s="37">
        <v>88430</v>
      </c>
      <c r="B556" s="37" t="s">
        <v>2654</v>
      </c>
      <c r="C556" s="37" t="s">
        <v>2615</v>
      </c>
      <c r="D556" s="326">
        <v>6.23</v>
      </c>
    </row>
    <row r="557" spans="1:4" ht="13.5">
      <c r="A557" s="37">
        <v>88438</v>
      </c>
      <c r="B557" s="37" t="s">
        <v>2655</v>
      </c>
      <c r="C557" s="37" t="s">
        <v>2615</v>
      </c>
      <c r="D557" s="326">
        <v>8.26</v>
      </c>
    </row>
    <row r="558" spans="1:4" ht="13.5">
      <c r="A558" s="37">
        <v>88831</v>
      </c>
      <c r="B558" s="37" t="s">
        <v>16651</v>
      </c>
      <c r="C558" s="37" t="s">
        <v>2615</v>
      </c>
      <c r="D558" s="326">
        <v>0.36</v>
      </c>
    </row>
    <row r="559" spans="1:4" ht="13.5">
      <c r="A559" s="37">
        <v>88844</v>
      </c>
      <c r="B559" s="37" t="s">
        <v>2656</v>
      </c>
      <c r="C559" s="37" t="s">
        <v>2615</v>
      </c>
      <c r="D559" s="326">
        <v>77.13</v>
      </c>
    </row>
    <row r="560" spans="1:4" ht="13.5">
      <c r="A560" s="37">
        <v>88908</v>
      </c>
      <c r="B560" s="37" t="s">
        <v>2657</v>
      </c>
      <c r="C560" s="37" t="s">
        <v>2615</v>
      </c>
      <c r="D560" s="326">
        <v>95.64</v>
      </c>
    </row>
    <row r="561" spans="1:4" ht="13.5">
      <c r="A561" s="37">
        <v>89022</v>
      </c>
      <c r="B561" s="37" t="s">
        <v>2658</v>
      </c>
      <c r="C561" s="37" t="s">
        <v>2615</v>
      </c>
      <c r="D561" s="326">
        <v>0.38</v>
      </c>
    </row>
    <row r="562" spans="1:4" ht="13.5">
      <c r="A562" s="37">
        <v>89027</v>
      </c>
      <c r="B562" s="37" t="s">
        <v>16652</v>
      </c>
      <c r="C562" s="37" t="s">
        <v>2615</v>
      </c>
      <c r="D562" s="326">
        <v>4.74</v>
      </c>
    </row>
    <row r="563" spans="1:4" ht="13.5">
      <c r="A563" s="37">
        <v>89031</v>
      </c>
      <c r="B563" s="37" t="s">
        <v>2659</v>
      </c>
      <c r="C563" s="37" t="s">
        <v>2615</v>
      </c>
      <c r="D563" s="326">
        <v>75.13</v>
      </c>
    </row>
    <row r="564" spans="1:4" ht="13.5">
      <c r="A564" s="37">
        <v>89036</v>
      </c>
      <c r="B564" s="37" t="s">
        <v>2660</v>
      </c>
      <c r="C564" s="37" t="s">
        <v>2615</v>
      </c>
      <c r="D564" s="326">
        <v>49.62</v>
      </c>
    </row>
    <row r="565" spans="1:4" ht="13.5">
      <c r="A565" s="37">
        <v>89218</v>
      </c>
      <c r="B565" s="37" t="s">
        <v>2661</v>
      </c>
      <c r="C565" s="37" t="s">
        <v>2615</v>
      </c>
      <c r="D565" s="326">
        <v>98.65</v>
      </c>
    </row>
    <row r="566" spans="1:4" ht="13.5">
      <c r="A566" s="37">
        <v>89226</v>
      </c>
      <c r="B566" s="37" t="s">
        <v>16653</v>
      </c>
      <c r="C566" s="37" t="s">
        <v>2615</v>
      </c>
      <c r="D566" s="326">
        <v>1.47</v>
      </c>
    </row>
    <row r="567" spans="1:4" ht="13.5">
      <c r="A567" s="37">
        <v>89235</v>
      </c>
      <c r="B567" s="37" t="s">
        <v>2662</v>
      </c>
      <c r="C567" s="37" t="s">
        <v>2615</v>
      </c>
      <c r="D567" s="326">
        <v>167.61</v>
      </c>
    </row>
    <row r="568" spans="1:4" ht="13.5">
      <c r="A568" s="37">
        <v>89243</v>
      </c>
      <c r="B568" s="37" t="s">
        <v>2663</v>
      </c>
      <c r="C568" s="37" t="s">
        <v>2615</v>
      </c>
      <c r="D568" s="326">
        <v>353.3</v>
      </c>
    </row>
    <row r="569" spans="1:4" ht="13.5">
      <c r="A569" s="37">
        <v>89251</v>
      </c>
      <c r="B569" s="37" t="s">
        <v>2664</v>
      </c>
      <c r="C569" s="37" t="s">
        <v>2615</v>
      </c>
      <c r="D569" s="326">
        <v>310.75</v>
      </c>
    </row>
    <row r="570" spans="1:4" ht="13.5">
      <c r="A570" s="37">
        <v>89258</v>
      </c>
      <c r="B570" s="37" t="s">
        <v>2665</v>
      </c>
      <c r="C570" s="37" t="s">
        <v>2615</v>
      </c>
      <c r="D570" s="326">
        <v>113.17</v>
      </c>
    </row>
    <row r="571" spans="1:4" ht="13.5">
      <c r="A571" s="37">
        <v>89273</v>
      </c>
      <c r="B571" s="37" t="s">
        <v>2666</v>
      </c>
      <c r="C571" s="37" t="s">
        <v>2615</v>
      </c>
      <c r="D571" s="326">
        <v>115.75</v>
      </c>
    </row>
    <row r="572" spans="1:4" ht="13.5">
      <c r="A572" s="37">
        <v>89279</v>
      </c>
      <c r="B572" s="37" t="s">
        <v>16654</v>
      </c>
      <c r="C572" s="37" t="s">
        <v>2615</v>
      </c>
      <c r="D572" s="326">
        <v>1.78</v>
      </c>
    </row>
    <row r="573" spans="1:4" ht="13.5">
      <c r="A573" s="37">
        <v>89877</v>
      </c>
      <c r="B573" s="37" t="s">
        <v>2667</v>
      </c>
      <c r="C573" s="37" t="s">
        <v>2615</v>
      </c>
      <c r="D573" s="326">
        <v>82.36</v>
      </c>
    </row>
    <row r="574" spans="1:4" ht="13.5">
      <c r="A574" s="37">
        <v>89884</v>
      </c>
      <c r="B574" s="37" t="s">
        <v>2668</v>
      </c>
      <c r="C574" s="37" t="s">
        <v>2615</v>
      </c>
      <c r="D574" s="326">
        <v>85.78</v>
      </c>
    </row>
    <row r="575" spans="1:4" ht="13.5">
      <c r="A575" s="37">
        <v>90587</v>
      </c>
      <c r="B575" s="37" t="s">
        <v>2669</v>
      </c>
      <c r="C575" s="37" t="s">
        <v>2615</v>
      </c>
      <c r="D575" s="326">
        <v>0.43</v>
      </c>
    </row>
    <row r="576" spans="1:4" ht="13.5">
      <c r="A576" s="37">
        <v>90626</v>
      </c>
      <c r="B576" s="37" t="s">
        <v>2670</v>
      </c>
      <c r="C576" s="37" t="s">
        <v>2615</v>
      </c>
      <c r="D576" s="326">
        <v>2.42</v>
      </c>
    </row>
    <row r="577" spans="1:4" ht="13.5">
      <c r="A577" s="37">
        <v>90632</v>
      </c>
      <c r="B577" s="37" t="s">
        <v>2671</v>
      </c>
      <c r="C577" s="37" t="s">
        <v>2615</v>
      </c>
      <c r="D577" s="326">
        <v>91.5</v>
      </c>
    </row>
    <row r="578" spans="1:4" ht="13.5">
      <c r="A578" s="37">
        <v>90638</v>
      </c>
      <c r="B578" s="37" t="s">
        <v>2672</v>
      </c>
      <c r="C578" s="37" t="s">
        <v>2615</v>
      </c>
      <c r="D578" s="326">
        <v>4.79</v>
      </c>
    </row>
    <row r="579" spans="1:4" ht="13.5">
      <c r="A579" s="37">
        <v>90644</v>
      </c>
      <c r="B579" s="37" t="s">
        <v>2673</v>
      </c>
      <c r="C579" s="37" t="s">
        <v>2615</v>
      </c>
      <c r="D579" s="326">
        <v>7.15</v>
      </c>
    </row>
    <row r="580" spans="1:4" ht="13.5">
      <c r="A580" s="37">
        <v>90651</v>
      </c>
      <c r="B580" s="37" t="s">
        <v>2674</v>
      </c>
      <c r="C580" s="37" t="s">
        <v>2615</v>
      </c>
      <c r="D580" s="326">
        <v>0.96</v>
      </c>
    </row>
    <row r="581" spans="1:4" ht="13.5">
      <c r="A581" s="37">
        <v>90657</v>
      </c>
      <c r="B581" s="37" t="s">
        <v>2675</v>
      </c>
      <c r="C581" s="37" t="s">
        <v>2615</v>
      </c>
      <c r="D581" s="326">
        <v>4.6500000000000004</v>
      </c>
    </row>
    <row r="582" spans="1:4" ht="13.5">
      <c r="A582" s="37">
        <v>90663</v>
      </c>
      <c r="B582" s="37" t="s">
        <v>2676</v>
      </c>
      <c r="C582" s="37" t="s">
        <v>2615</v>
      </c>
      <c r="D582" s="326">
        <v>4.9800000000000004</v>
      </c>
    </row>
    <row r="583" spans="1:4" ht="13.5">
      <c r="A583" s="37">
        <v>90669</v>
      </c>
      <c r="B583" s="37" t="s">
        <v>16655</v>
      </c>
      <c r="C583" s="37" t="s">
        <v>2615</v>
      </c>
      <c r="D583" s="326">
        <v>8.64</v>
      </c>
    </row>
    <row r="584" spans="1:4" ht="13.5">
      <c r="A584" s="37">
        <v>90675</v>
      </c>
      <c r="B584" s="37" t="s">
        <v>2677</v>
      </c>
      <c r="C584" s="37" t="s">
        <v>2615</v>
      </c>
      <c r="D584" s="326">
        <v>304.08</v>
      </c>
    </row>
    <row r="585" spans="1:4" ht="13.5">
      <c r="A585" s="37">
        <v>90681</v>
      </c>
      <c r="B585" s="37" t="s">
        <v>2678</v>
      </c>
      <c r="C585" s="37" t="s">
        <v>2615</v>
      </c>
      <c r="D585" s="326">
        <v>179.96</v>
      </c>
    </row>
    <row r="586" spans="1:4" ht="13.5">
      <c r="A586" s="37">
        <v>90687</v>
      </c>
      <c r="B586" s="37" t="s">
        <v>16656</v>
      </c>
      <c r="C586" s="37" t="s">
        <v>2615</v>
      </c>
      <c r="D586" s="326">
        <v>67.150000000000006</v>
      </c>
    </row>
    <row r="587" spans="1:4" ht="13.5">
      <c r="A587" s="37">
        <v>90693</v>
      </c>
      <c r="B587" s="37" t="s">
        <v>2679</v>
      </c>
      <c r="C587" s="37" t="s">
        <v>2615</v>
      </c>
      <c r="D587" s="326">
        <v>59.28</v>
      </c>
    </row>
    <row r="588" spans="1:4" ht="13.5">
      <c r="A588" s="37">
        <v>90965</v>
      </c>
      <c r="B588" s="37" t="s">
        <v>2680</v>
      </c>
      <c r="C588" s="37" t="s">
        <v>2615</v>
      </c>
      <c r="D588" s="326">
        <v>8.6</v>
      </c>
    </row>
    <row r="589" spans="1:4" ht="13.5">
      <c r="A589" s="37">
        <v>90973</v>
      </c>
      <c r="B589" s="37" t="s">
        <v>2681</v>
      </c>
      <c r="C589" s="37" t="s">
        <v>2615</v>
      </c>
      <c r="D589" s="326">
        <v>8.6199999999999992</v>
      </c>
    </row>
    <row r="590" spans="1:4" ht="13.5">
      <c r="A590" s="37">
        <v>90982</v>
      </c>
      <c r="B590" s="37" t="s">
        <v>2682</v>
      </c>
      <c r="C590" s="37" t="s">
        <v>2615</v>
      </c>
      <c r="D590" s="326">
        <v>21.91</v>
      </c>
    </row>
    <row r="591" spans="1:4" ht="13.5">
      <c r="A591" s="37">
        <v>91001</v>
      </c>
      <c r="B591" s="37" t="s">
        <v>2683</v>
      </c>
      <c r="C591" s="37" t="s">
        <v>2615</v>
      </c>
      <c r="D591" s="326">
        <v>10.23</v>
      </c>
    </row>
    <row r="592" spans="1:4" ht="13.5">
      <c r="A592" s="37">
        <v>91032</v>
      </c>
      <c r="B592" s="37" t="s">
        <v>2684</v>
      </c>
      <c r="C592" s="37" t="s">
        <v>2615</v>
      </c>
      <c r="D592" s="326">
        <v>61.89</v>
      </c>
    </row>
    <row r="593" spans="1:4" ht="13.5">
      <c r="A593" s="37">
        <v>91278</v>
      </c>
      <c r="B593" s="37" t="s">
        <v>2685</v>
      </c>
      <c r="C593" s="37" t="s">
        <v>2615</v>
      </c>
      <c r="D593" s="326">
        <v>0.61</v>
      </c>
    </row>
    <row r="594" spans="1:4" ht="13.5">
      <c r="A594" s="37">
        <v>91285</v>
      </c>
      <c r="B594" s="37" t="s">
        <v>2686</v>
      </c>
      <c r="C594" s="37" t="s">
        <v>2615</v>
      </c>
      <c r="D594" s="326">
        <v>0.99</v>
      </c>
    </row>
    <row r="595" spans="1:4" ht="13.5">
      <c r="A595" s="37">
        <v>91387</v>
      </c>
      <c r="B595" s="37" t="s">
        <v>2687</v>
      </c>
      <c r="C595" s="37" t="s">
        <v>2615</v>
      </c>
      <c r="D595" s="326">
        <v>68.290000000000006</v>
      </c>
    </row>
    <row r="596" spans="1:4" ht="13.5">
      <c r="A596" s="37">
        <v>91395</v>
      </c>
      <c r="B596" s="37" t="s">
        <v>2688</v>
      </c>
      <c r="C596" s="37" t="s">
        <v>2615</v>
      </c>
      <c r="D596" s="326">
        <v>53.46</v>
      </c>
    </row>
    <row r="597" spans="1:4" ht="13.5">
      <c r="A597" s="37">
        <v>91486</v>
      </c>
      <c r="B597" s="37" t="s">
        <v>16657</v>
      </c>
      <c r="C597" s="37" t="s">
        <v>2615</v>
      </c>
      <c r="D597" s="326">
        <v>64.069999999999993</v>
      </c>
    </row>
    <row r="598" spans="1:4" ht="13.5">
      <c r="A598" s="37">
        <v>91534</v>
      </c>
      <c r="B598" s="37" t="s">
        <v>2689</v>
      </c>
      <c r="C598" s="37" t="s">
        <v>2615</v>
      </c>
      <c r="D598" s="326">
        <v>33.200000000000003</v>
      </c>
    </row>
    <row r="599" spans="1:4" ht="13.5">
      <c r="A599" s="37">
        <v>91635</v>
      </c>
      <c r="B599" s="37" t="s">
        <v>2690</v>
      </c>
      <c r="C599" s="37" t="s">
        <v>2615</v>
      </c>
      <c r="D599" s="326">
        <v>58.46</v>
      </c>
    </row>
    <row r="600" spans="1:4" ht="13.5">
      <c r="A600" s="37">
        <v>91646</v>
      </c>
      <c r="B600" s="37" t="s">
        <v>2691</v>
      </c>
      <c r="C600" s="37" t="s">
        <v>2615</v>
      </c>
      <c r="D600" s="326">
        <v>93.46</v>
      </c>
    </row>
    <row r="601" spans="1:4" ht="13.5">
      <c r="A601" s="37">
        <v>91693</v>
      </c>
      <c r="B601" s="37" t="s">
        <v>2692</v>
      </c>
      <c r="C601" s="37" t="s">
        <v>2615</v>
      </c>
      <c r="D601" s="326">
        <v>32.39</v>
      </c>
    </row>
    <row r="602" spans="1:4" ht="13.5">
      <c r="A602" s="37">
        <v>92044</v>
      </c>
      <c r="B602" s="37" t="s">
        <v>2693</v>
      </c>
      <c r="C602" s="37" t="s">
        <v>2615</v>
      </c>
      <c r="D602" s="326">
        <v>7.8</v>
      </c>
    </row>
    <row r="603" spans="1:4" ht="13.5">
      <c r="A603" s="37">
        <v>92107</v>
      </c>
      <c r="B603" s="37" t="s">
        <v>16658</v>
      </c>
      <c r="C603" s="37" t="s">
        <v>2615</v>
      </c>
      <c r="D603" s="326">
        <v>88.6</v>
      </c>
    </row>
    <row r="604" spans="1:4" ht="13.5">
      <c r="A604" s="37">
        <v>92113</v>
      </c>
      <c r="B604" s="37" t="s">
        <v>16659</v>
      </c>
      <c r="C604" s="37" t="s">
        <v>2615</v>
      </c>
      <c r="D604" s="326">
        <v>1.06</v>
      </c>
    </row>
    <row r="605" spans="1:4" ht="13.5">
      <c r="A605" s="37">
        <v>92119</v>
      </c>
      <c r="B605" s="37" t="s">
        <v>16660</v>
      </c>
      <c r="C605" s="37" t="s">
        <v>2615</v>
      </c>
      <c r="D605" s="326">
        <v>0.26</v>
      </c>
    </row>
    <row r="606" spans="1:4" ht="13.5">
      <c r="A606" s="37">
        <v>92139</v>
      </c>
      <c r="B606" s="37" t="s">
        <v>2694</v>
      </c>
      <c r="C606" s="37" t="s">
        <v>2615</v>
      </c>
      <c r="D606" s="326">
        <v>39.78</v>
      </c>
    </row>
    <row r="607" spans="1:4" ht="13.5">
      <c r="A607" s="37">
        <v>92146</v>
      </c>
      <c r="B607" s="37" t="s">
        <v>2695</v>
      </c>
      <c r="C607" s="37" t="s">
        <v>2615</v>
      </c>
      <c r="D607" s="326">
        <v>27.89</v>
      </c>
    </row>
    <row r="608" spans="1:4" ht="13.5">
      <c r="A608" s="37">
        <v>92243</v>
      </c>
      <c r="B608" s="37" t="s">
        <v>2696</v>
      </c>
      <c r="C608" s="37" t="s">
        <v>2615</v>
      </c>
      <c r="D608" s="326">
        <v>76.069999999999993</v>
      </c>
    </row>
    <row r="609" spans="1:4" ht="13.5">
      <c r="A609" s="37">
        <v>92717</v>
      </c>
      <c r="B609" s="37" t="s">
        <v>16661</v>
      </c>
      <c r="C609" s="37" t="s">
        <v>2615</v>
      </c>
      <c r="D609" s="326">
        <v>0.17</v>
      </c>
    </row>
    <row r="610" spans="1:4" ht="13.5">
      <c r="A610" s="37">
        <v>92961</v>
      </c>
      <c r="B610" s="37" t="s">
        <v>2697</v>
      </c>
      <c r="C610" s="37" t="s">
        <v>2615</v>
      </c>
      <c r="D610" s="326">
        <v>5.29</v>
      </c>
    </row>
    <row r="611" spans="1:4" ht="13.5">
      <c r="A611" s="37">
        <v>92967</v>
      </c>
      <c r="B611" s="37" t="s">
        <v>2698</v>
      </c>
      <c r="C611" s="37" t="s">
        <v>2615</v>
      </c>
      <c r="D611" s="326">
        <v>24.19</v>
      </c>
    </row>
    <row r="612" spans="1:4" ht="13.5">
      <c r="A612" s="37">
        <v>93225</v>
      </c>
      <c r="B612" s="37" t="s">
        <v>2699</v>
      </c>
      <c r="C612" s="37" t="s">
        <v>2615</v>
      </c>
      <c r="D612" s="326">
        <v>454.92</v>
      </c>
    </row>
    <row r="613" spans="1:4" ht="13.5">
      <c r="A613" s="37">
        <v>93234</v>
      </c>
      <c r="B613" s="37" t="s">
        <v>2700</v>
      </c>
      <c r="C613" s="37" t="s">
        <v>2615</v>
      </c>
      <c r="D613" s="326">
        <v>0.46</v>
      </c>
    </row>
    <row r="614" spans="1:4" ht="13.5">
      <c r="A614" s="37">
        <v>93244</v>
      </c>
      <c r="B614" s="37" t="s">
        <v>2701</v>
      </c>
      <c r="C614" s="37" t="s">
        <v>2615</v>
      </c>
      <c r="D614" s="326">
        <v>66.41</v>
      </c>
    </row>
    <row r="615" spans="1:4" ht="13.5">
      <c r="A615" s="37">
        <v>93274</v>
      </c>
      <c r="B615" s="37" t="s">
        <v>16662</v>
      </c>
      <c r="C615" s="37" t="s">
        <v>2615</v>
      </c>
      <c r="D615" s="326">
        <v>79.010000000000005</v>
      </c>
    </row>
    <row r="616" spans="1:4" ht="13.5">
      <c r="A616" s="37">
        <v>93282</v>
      </c>
      <c r="B616" s="37" t="s">
        <v>2702</v>
      </c>
      <c r="C616" s="37" t="s">
        <v>2615</v>
      </c>
      <c r="D616" s="326">
        <v>24.98</v>
      </c>
    </row>
    <row r="617" spans="1:4" ht="13.5">
      <c r="A617" s="37">
        <v>93288</v>
      </c>
      <c r="B617" s="37" t="s">
        <v>2703</v>
      </c>
      <c r="C617" s="37" t="s">
        <v>2615</v>
      </c>
      <c r="D617" s="326">
        <v>185.2</v>
      </c>
    </row>
    <row r="618" spans="1:4" ht="13.5">
      <c r="A618" s="37">
        <v>93403</v>
      </c>
      <c r="B618" s="37" t="s">
        <v>2704</v>
      </c>
      <c r="C618" s="37" t="s">
        <v>2615</v>
      </c>
      <c r="D618" s="326">
        <v>63.64</v>
      </c>
    </row>
    <row r="619" spans="1:4" ht="13.5">
      <c r="A619" s="37">
        <v>93409</v>
      </c>
      <c r="B619" s="37" t="s">
        <v>16663</v>
      </c>
      <c r="C619" s="37" t="s">
        <v>2615</v>
      </c>
      <c r="D619" s="326">
        <v>28.86</v>
      </c>
    </row>
    <row r="620" spans="1:4" ht="13.5">
      <c r="A620" s="37">
        <v>93416</v>
      </c>
      <c r="B620" s="37" t="s">
        <v>2705</v>
      </c>
      <c r="C620" s="37" t="s">
        <v>2615</v>
      </c>
      <c r="D620" s="326">
        <v>0.46</v>
      </c>
    </row>
    <row r="621" spans="1:4" ht="13.5">
      <c r="A621" s="37">
        <v>93422</v>
      </c>
      <c r="B621" s="37" t="s">
        <v>2706</v>
      </c>
      <c r="C621" s="37" t="s">
        <v>2615</v>
      </c>
      <c r="D621" s="326">
        <v>6.07</v>
      </c>
    </row>
    <row r="622" spans="1:4" ht="13.5">
      <c r="A622" s="37">
        <v>93428</v>
      </c>
      <c r="B622" s="37" t="s">
        <v>2707</v>
      </c>
      <c r="C622" s="37" t="s">
        <v>2615</v>
      </c>
      <c r="D622" s="326">
        <v>8.6</v>
      </c>
    </row>
    <row r="623" spans="1:4" ht="13.5">
      <c r="A623" s="37">
        <v>93434</v>
      </c>
      <c r="B623" s="37" t="s">
        <v>16664</v>
      </c>
      <c r="C623" s="37" t="s">
        <v>2615</v>
      </c>
      <c r="D623" s="326">
        <v>265.43</v>
      </c>
    </row>
    <row r="624" spans="1:4" ht="13.5">
      <c r="A624" s="37">
        <v>93440</v>
      </c>
      <c r="B624" s="37" t="s">
        <v>16665</v>
      </c>
      <c r="C624" s="37" t="s">
        <v>2615</v>
      </c>
      <c r="D624" s="326">
        <v>123.39</v>
      </c>
    </row>
    <row r="625" spans="1:4" ht="13.5">
      <c r="A625" s="37">
        <v>95122</v>
      </c>
      <c r="B625" s="37" t="s">
        <v>2708</v>
      </c>
      <c r="C625" s="37" t="s">
        <v>2615</v>
      </c>
      <c r="D625" s="326">
        <v>185.03</v>
      </c>
    </row>
    <row r="626" spans="1:4" ht="13.5">
      <c r="A626" s="37">
        <v>95128</v>
      </c>
      <c r="B626" s="37" t="s">
        <v>2709</v>
      </c>
      <c r="C626" s="37" t="s">
        <v>2615</v>
      </c>
      <c r="D626" s="326">
        <v>55.67</v>
      </c>
    </row>
    <row r="627" spans="1:4" ht="13.5">
      <c r="A627" s="37">
        <v>95140</v>
      </c>
      <c r="B627" s="37" t="s">
        <v>2710</v>
      </c>
      <c r="C627" s="37" t="s">
        <v>2615</v>
      </c>
      <c r="D627" s="326">
        <v>0.04</v>
      </c>
    </row>
    <row r="628" spans="1:4" ht="13.5">
      <c r="A628" s="37">
        <v>95213</v>
      </c>
      <c r="B628" s="37" t="s">
        <v>16666</v>
      </c>
      <c r="C628" s="37" t="s">
        <v>2615</v>
      </c>
      <c r="D628" s="326">
        <v>85.18</v>
      </c>
    </row>
    <row r="629" spans="1:4" ht="13.5">
      <c r="A629" s="37">
        <v>95259</v>
      </c>
      <c r="B629" s="37" t="s">
        <v>2711</v>
      </c>
      <c r="C629" s="37" t="s">
        <v>2615</v>
      </c>
      <c r="D629" s="326">
        <v>23.93</v>
      </c>
    </row>
    <row r="630" spans="1:4" ht="13.5">
      <c r="A630" s="37">
        <v>95265</v>
      </c>
      <c r="B630" s="37" t="s">
        <v>2712</v>
      </c>
      <c r="C630" s="37" t="s">
        <v>2615</v>
      </c>
      <c r="D630" s="326">
        <v>0.87</v>
      </c>
    </row>
    <row r="631" spans="1:4" ht="13.5">
      <c r="A631" s="37">
        <v>95271</v>
      </c>
      <c r="B631" s="37" t="s">
        <v>2713</v>
      </c>
      <c r="C631" s="37" t="s">
        <v>2615</v>
      </c>
      <c r="D631" s="326">
        <v>0.53</v>
      </c>
    </row>
    <row r="632" spans="1:4" ht="13.5">
      <c r="A632" s="37">
        <v>95277</v>
      </c>
      <c r="B632" s="37" t="s">
        <v>16667</v>
      </c>
      <c r="C632" s="37" t="s">
        <v>2615</v>
      </c>
      <c r="D632" s="326">
        <v>0.5</v>
      </c>
    </row>
    <row r="633" spans="1:4" ht="13.5">
      <c r="A633" s="37">
        <v>95283</v>
      </c>
      <c r="B633" s="37" t="s">
        <v>16668</v>
      </c>
      <c r="C633" s="37" t="s">
        <v>2615</v>
      </c>
      <c r="D633" s="326">
        <v>0.61</v>
      </c>
    </row>
    <row r="634" spans="1:4" ht="13.5">
      <c r="A634" s="37">
        <v>95621</v>
      </c>
      <c r="B634" s="37" t="s">
        <v>2714</v>
      </c>
      <c r="C634" s="37" t="s">
        <v>2615</v>
      </c>
      <c r="D634" s="326">
        <v>23.65</v>
      </c>
    </row>
    <row r="635" spans="1:4" ht="13.5">
      <c r="A635" s="37">
        <v>95632</v>
      </c>
      <c r="B635" s="37" t="s">
        <v>2715</v>
      </c>
      <c r="C635" s="37" t="s">
        <v>2615</v>
      </c>
      <c r="D635" s="326">
        <v>84.89</v>
      </c>
    </row>
    <row r="636" spans="1:4" ht="13.5">
      <c r="A636" s="37">
        <v>95703</v>
      </c>
      <c r="B636" s="37" t="s">
        <v>2716</v>
      </c>
      <c r="C636" s="37" t="s">
        <v>2615</v>
      </c>
      <c r="D636" s="326">
        <v>37.68</v>
      </c>
    </row>
    <row r="637" spans="1:4" ht="13.5">
      <c r="A637" s="37">
        <v>95709</v>
      </c>
      <c r="B637" s="37" t="s">
        <v>2717</v>
      </c>
      <c r="C637" s="37" t="s">
        <v>2615</v>
      </c>
      <c r="D637" s="326">
        <v>89.04</v>
      </c>
    </row>
    <row r="638" spans="1:4" ht="13.5">
      <c r="A638" s="37">
        <v>95715</v>
      </c>
      <c r="B638" s="37" t="s">
        <v>2718</v>
      </c>
      <c r="C638" s="37" t="s">
        <v>2615</v>
      </c>
      <c r="D638" s="326">
        <v>99.13</v>
      </c>
    </row>
    <row r="639" spans="1:4" ht="13.5">
      <c r="A639" s="37">
        <v>95721</v>
      </c>
      <c r="B639" s="37" t="s">
        <v>2719</v>
      </c>
      <c r="C639" s="37" t="s">
        <v>2615</v>
      </c>
      <c r="D639" s="326">
        <v>96.59</v>
      </c>
    </row>
    <row r="640" spans="1:4" ht="13.5">
      <c r="A640" s="37">
        <v>95873</v>
      </c>
      <c r="B640" s="37" t="s">
        <v>2720</v>
      </c>
      <c r="C640" s="37" t="s">
        <v>2615</v>
      </c>
      <c r="D640" s="326">
        <v>13.75</v>
      </c>
    </row>
    <row r="641" spans="1:4" ht="13.5">
      <c r="A641" s="37">
        <v>96014</v>
      </c>
      <c r="B641" s="37" t="s">
        <v>2721</v>
      </c>
      <c r="C641" s="37" t="s">
        <v>2615</v>
      </c>
      <c r="D641" s="326">
        <v>60.69</v>
      </c>
    </row>
    <row r="642" spans="1:4" ht="13.5">
      <c r="A642" s="37">
        <v>96021</v>
      </c>
      <c r="B642" s="37" t="s">
        <v>2722</v>
      </c>
      <c r="C642" s="37" t="s">
        <v>2615</v>
      </c>
      <c r="D642" s="326">
        <v>60.42</v>
      </c>
    </row>
    <row r="643" spans="1:4" ht="13.5">
      <c r="A643" s="37">
        <v>96029</v>
      </c>
      <c r="B643" s="37" t="s">
        <v>2723</v>
      </c>
      <c r="C643" s="37" t="s">
        <v>2615</v>
      </c>
      <c r="D643" s="326">
        <v>54.09</v>
      </c>
    </row>
    <row r="644" spans="1:4" ht="13.5">
      <c r="A644" s="37">
        <v>96036</v>
      </c>
      <c r="B644" s="37" t="s">
        <v>2724</v>
      </c>
      <c r="C644" s="37" t="s">
        <v>2615</v>
      </c>
      <c r="D644" s="326">
        <v>74.239999999999995</v>
      </c>
    </row>
    <row r="645" spans="1:4" ht="13.5">
      <c r="A645" s="37">
        <v>96155</v>
      </c>
      <c r="B645" s="37" t="s">
        <v>2725</v>
      </c>
      <c r="C645" s="37" t="s">
        <v>2615</v>
      </c>
      <c r="D645" s="326">
        <v>54.36</v>
      </c>
    </row>
    <row r="646" spans="1:4" ht="13.5">
      <c r="A646" s="37">
        <v>96156</v>
      </c>
      <c r="B646" s="37" t="s">
        <v>2726</v>
      </c>
      <c r="C646" s="37" t="s">
        <v>2615</v>
      </c>
      <c r="D646" s="326">
        <v>65.94</v>
      </c>
    </row>
    <row r="647" spans="1:4" ht="13.5">
      <c r="A647" s="37">
        <v>96159</v>
      </c>
      <c r="B647" s="37" t="s">
        <v>2727</v>
      </c>
      <c r="C647" s="37" t="s">
        <v>2615</v>
      </c>
      <c r="D647" s="326">
        <v>93.89</v>
      </c>
    </row>
    <row r="648" spans="1:4" ht="13.5">
      <c r="A648" s="37">
        <v>96246</v>
      </c>
      <c r="B648" s="37" t="s">
        <v>2728</v>
      </c>
      <c r="C648" s="37" t="s">
        <v>2615</v>
      </c>
      <c r="D648" s="326">
        <v>65.510000000000005</v>
      </c>
    </row>
    <row r="649" spans="1:4" ht="13.5">
      <c r="A649" s="37">
        <v>96464</v>
      </c>
      <c r="B649" s="37" t="s">
        <v>2729</v>
      </c>
      <c r="C649" s="37" t="s">
        <v>2615</v>
      </c>
      <c r="D649" s="326">
        <v>91.52</v>
      </c>
    </row>
    <row r="650" spans="1:4" ht="13.5">
      <c r="A650" s="37">
        <v>98765</v>
      </c>
      <c r="B650" s="37" t="s">
        <v>2730</v>
      </c>
      <c r="C650" s="37" t="s">
        <v>2615</v>
      </c>
      <c r="D650" s="326">
        <v>0.06</v>
      </c>
    </row>
    <row r="651" spans="1:4" ht="13.5">
      <c r="A651" s="37">
        <v>99834</v>
      </c>
      <c r="B651" s="37" t="s">
        <v>16669</v>
      </c>
      <c r="C651" s="37" t="s">
        <v>2615</v>
      </c>
      <c r="D651" s="326">
        <v>0.19</v>
      </c>
    </row>
    <row r="652" spans="1:4" ht="13.5">
      <c r="A652" s="37">
        <v>100642</v>
      </c>
      <c r="B652" s="37" t="s">
        <v>2731</v>
      </c>
      <c r="C652" s="37" t="s">
        <v>2615</v>
      </c>
      <c r="D652" s="326">
        <v>226.89</v>
      </c>
    </row>
    <row r="653" spans="1:4" ht="13.5">
      <c r="A653" s="37">
        <v>100648</v>
      </c>
      <c r="B653" s="37" t="s">
        <v>2732</v>
      </c>
      <c r="C653" s="37" t="s">
        <v>2615</v>
      </c>
      <c r="D653" s="326">
        <v>439.47</v>
      </c>
    </row>
    <row r="654" spans="1:4" ht="13.5">
      <c r="A654" s="37">
        <v>102274</v>
      </c>
      <c r="B654" s="37" t="s">
        <v>7382</v>
      </c>
      <c r="C654" s="37" t="s">
        <v>2615</v>
      </c>
      <c r="D654" s="326">
        <v>23.12</v>
      </c>
    </row>
    <row r="655" spans="1:4" ht="13.5">
      <c r="A655" s="37">
        <v>104092</v>
      </c>
      <c r="B655" s="37" t="s">
        <v>15322</v>
      </c>
      <c r="C655" s="37" t="s">
        <v>2615</v>
      </c>
      <c r="D655" s="326">
        <v>7.0000000000000007E-2</v>
      </c>
    </row>
    <row r="656" spans="1:4" ht="13.5">
      <c r="A656" s="37">
        <v>104098</v>
      </c>
      <c r="B656" s="37" t="s">
        <v>15323</v>
      </c>
      <c r="C656" s="37" t="s">
        <v>2615</v>
      </c>
      <c r="D656" s="326">
        <v>0.1</v>
      </c>
    </row>
    <row r="657" spans="1:4" ht="13.5">
      <c r="A657" s="37">
        <v>5089</v>
      </c>
      <c r="B657" s="37" t="s">
        <v>2733</v>
      </c>
      <c r="C657" s="37" t="s">
        <v>10</v>
      </c>
      <c r="D657" s="326">
        <v>41.71</v>
      </c>
    </row>
    <row r="658" spans="1:4" ht="13.5">
      <c r="A658" s="37">
        <v>5627</v>
      </c>
      <c r="B658" s="37" t="s">
        <v>2734</v>
      </c>
      <c r="C658" s="37" t="s">
        <v>10</v>
      </c>
      <c r="D658" s="326">
        <v>45.87</v>
      </c>
    </row>
    <row r="659" spans="1:4" ht="13.5">
      <c r="A659" s="37">
        <v>5628</v>
      </c>
      <c r="B659" s="37" t="s">
        <v>2735</v>
      </c>
      <c r="C659" s="37" t="s">
        <v>10</v>
      </c>
      <c r="D659" s="326">
        <v>12.12</v>
      </c>
    </row>
    <row r="660" spans="1:4" ht="13.5">
      <c r="A660" s="37">
        <v>5629</v>
      </c>
      <c r="B660" s="37" t="s">
        <v>2736</v>
      </c>
      <c r="C660" s="37" t="s">
        <v>10</v>
      </c>
      <c r="D660" s="326">
        <v>57.34</v>
      </c>
    </row>
    <row r="661" spans="1:4" ht="13.5">
      <c r="A661" s="37">
        <v>5630</v>
      </c>
      <c r="B661" s="37" t="s">
        <v>2737</v>
      </c>
      <c r="C661" s="37" t="s">
        <v>10</v>
      </c>
      <c r="D661" s="326">
        <v>64.290000000000006</v>
      </c>
    </row>
    <row r="662" spans="1:4" ht="13.5">
      <c r="A662" s="37">
        <v>5658</v>
      </c>
      <c r="B662" s="37" t="s">
        <v>2738</v>
      </c>
      <c r="C662" s="37" t="s">
        <v>10</v>
      </c>
      <c r="D662" s="326">
        <v>2.36</v>
      </c>
    </row>
    <row r="663" spans="1:4" ht="13.5">
      <c r="A663" s="37">
        <v>5664</v>
      </c>
      <c r="B663" s="37" t="s">
        <v>2739</v>
      </c>
      <c r="C663" s="37" t="s">
        <v>10</v>
      </c>
      <c r="D663" s="326">
        <v>33.74</v>
      </c>
    </row>
    <row r="664" spans="1:4" ht="13.5">
      <c r="A664" s="37">
        <v>5667</v>
      </c>
      <c r="B664" s="37" t="s">
        <v>2740</v>
      </c>
      <c r="C664" s="37" t="s">
        <v>10</v>
      </c>
      <c r="D664" s="326">
        <v>30</v>
      </c>
    </row>
    <row r="665" spans="1:4" ht="13.5">
      <c r="A665" s="37">
        <v>5668</v>
      </c>
      <c r="B665" s="37" t="s">
        <v>2741</v>
      </c>
      <c r="C665" s="37" t="s">
        <v>10</v>
      </c>
      <c r="D665" s="326">
        <v>45.73</v>
      </c>
    </row>
    <row r="666" spans="1:4" ht="13.5">
      <c r="A666" s="37">
        <v>5674</v>
      </c>
      <c r="B666" s="37" t="s">
        <v>2742</v>
      </c>
      <c r="C666" s="37" t="s">
        <v>10</v>
      </c>
      <c r="D666" s="326">
        <v>40.11</v>
      </c>
    </row>
    <row r="667" spans="1:4" ht="13.5">
      <c r="A667" s="37">
        <v>5692</v>
      </c>
      <c r="B667" s="37" t="s">
        <v>2743</v>
      </c>
      <c r="C667" s="37" t="s">
        <v>10</v>
      </c>
      <c r="D667" s="326">
        <v>0.24</v>
      </c>
    </row>
    <row r="668" spans="1:4" ht="13.5">
      <c r="A668" s="37">
        <v>5693</v>
      </c>
      <c r="B668" s="37" t="s">
        <v>2744</v>
      </c>
      <c r="C668" s="37" t="s">
        <v>10</v>
      </c>
      <c r="D668" s="326">
        <v>19.5</v>
      </c>
    </row>
    <row r="669" spans="1:4" ht="13.5">
      <c r="A669" s="37">
        <v>5695</v>
      </c>
      <c r="B669" s="37" t="s">
        <v>2745</v>
      </c>
      <c r="C669" s="37" t="s">
        <v>10</v>
      </c>
      <c r="D669" s="326">
        <v>38.31</v>
      </c>
    </row>
    <row r="670" spans="1:4" ht="13.5">
      <c r="A670" s="37">
        <v>5703</v>
      </c>
      <c r="B670" s="37" t="s">
        <v>2746</v>
      </c>
      <c r="C670" s="37" t="s">
        <v>10</v>
      </c>
      <c r="D670" s="326">
        <v>20.23</v>
      </c>
    </row>
    <row r="671" spans="1:4" ht="13.5">
      <c r="A671" s="37">
        <v>5705</v>
      </c>
      <c r="B671" s="37" t="s">
        <v>2747</v>
      </c>
      <c r="C671" s="37" t="s">
        <v>10</v>
      </c>
      <c r="D671" s="326">
        <v>37.130000000000003</v>
      </c>
    </row>
    <row r="672" spans="1:4" ht="13.5">
      <c r="A672" s="37">
        <v>5707</v>
      </c>
      <c r="B672" s="37" t="s">
        <v>2748</v>
      </c>
      <c r="C672" s="37" t="s">
        <v>10</v>
      </c>
      <c r="D672" s="326">
        <v>59.32</v>
      </c>
    </row>
    <row r="673" spans="1:4" ht="13.5">
      <c r="A673" s="37">
        <v>5710</v>
      </c>
      <c r="B673" s="37" t="s">
        <v>2749</v>
      </c>
      <c r="C673" s="37" t="s">
        <v>10</v>
      </c>
      <c r="D673" s="326">
        <v>122.62</v>
      </c>
    </row>
    <row r="674" spans="1:4" ht="13.5">
      <c r="A674" s="37">
        <v>5711</v>
      </c>
      <c r="B674" s="37" t="s">
        <v>2750</v>
      </c>
      <c r="C674" s="37" t="s">
        <v>10</v>
      </c>
      <c r="D674" s="326">
        <v>88.83</v>
      </c>
    </row>
    <row r="675" spans="1:4" ht="13.5">
      <c r="A675" s="37">
        <v>5714</v>
      </c>
      <c r="B675" s="37" t="s">
        <v>2751</v>
      </c>
      <c r="C675" s="37" t="s">
        <v>10</v>
      </c>
      <c r="D675" s="326">
        <v>14.95</v>
      </c>
    </row>
    <row r="676" spans="1:4" ht="13.5">
      <c r="A676" s="37">
        <v>5715</v>
      </c>
      <c r="B676" s="37" t="s">
        <v>2752</v>
      </c>
      <c r="C676" s="37" t="s">
        <v>10</v>
      </c>
      <c r="D676" s="326">
        <v>67.22</v>
      </c>
    </row>
    <row r="677" spans="1:4" ht="13.5">
      <c r="A677" s="37">
        <v>5718</v>
      </c>
      <c r="B677" s="37" t="s">
        <v>2753</v>
      </c>
      <c r="C677" s="37" t="s">
        <v>10</v>
      </c>
      <c r="D677" s="326">
        <v>106.02</v>
      </c>
    </row>
    <row r="678" spans="1:4" ht="13.5">
      <c r="A678" s="37">
        <v>5721</v>
      </c>
      <c r="B678" s="37" t="s">
        <v>2754</v>
      </c>
      <c r="C678" s="37" t="s">
        <v>10</v>
      </c>
      <c r="D678" s="326">
        <v>93.54</v>
      </c>
    </row>
    <row r="679" spans="1:4" ht="13.5">
      <c r="A679" s="37">
        <v>5722</v>
      </c>
      <c r="B679" s="37" t="s">
        <v>2755</v>
      </c>
      <c r="C679" s="37" t="s">
        <v>10</v>
      </c>
      <c r="D679" s="326">
        <v>216.35</v>
      </c>
    </row>
    <row r="680" spans="1:4" ht="13.5">
      <c r="A680" s="37">
        <v>5724</v>
      </c>
      <c r="B680" s="37" t="s">
        <v>2756</v>
      </c>
      <c r="C680" s="37" t="s">
        <v>10</v>
      </c>
      <c r="D680" s="326">
        <v>53.18</v>
      </c>
    </row>
    <row r="681" spans="1:4" ht="13.5">
      <c r="A681" s="37">
        <v>5727</v>
      </c>
      <c r="B681" s="37" t="s">
        <v>2757</v>
      </c>
      <c r="C681" s="37" t="s">
        <v>10</v>
      </c>
      <c r="D681" s="326">
        <v>12.1</v>
      </c>
    </row>
    <row r="682" spans="1:4" ht="13.5">
      <c r="A682" s="37">
        <v>5729</v>
      </c>
      <c r="B682" s="37" t="s">
        <v>2759</v>
      </c>
      <c r="C682" s="37" t="s">
        <v>10</v>
      </c>
      <c r="D682" s="326">
        <v>49.26</v>
      </c>
    </row>
    <row r="683" spans="1:4" ht="13.5">
      <c r="A683" s="37">
        <v>5730</v>
      </c>
      <c r="B683" s="37" t="s">
        <v>2761</v>
      </c>
      <c r="C683" s="37" t="s">
        <v>10</v>
      </c>
      <c r="D683" s="326">
        <v>40.770000000000003</v>
      </c>
    </row>
    <row r="684" spans="1:4" ht="13.5">
      <c r="A684" s="37">
        <v>5735</v>
      </c>
      <c r="B684" s="37" t="s">
        <v>2762</v>
      </c>
      <c r="C684" s="37" t="s">
        <v>10</v>
      </c>
      <c r="D684" s="326">
        <v>32.549999999999997</v>
      </c>
    </row>
    <row r="685" spans="1:4" ht="13.5">
      <c r="A685" s="37">
        <v>5736</v>
      </c>
      <c r="B685" s="37" t="s">
        <v>2763</v>
      </c>
      <c r="C685" s="37" t="s">
        <v>10</v>
      </c>
      <c r="D685" s="326">
        <v>41.67</v>
      </c>
    </row>
    <row r="686" spans="1:4" ht="13.5">
      <c r="A686" s="37">
        <v>5738</v>
      </c>
      <c r="B686" s="37" t="s">
        <v>2764</v>
      </c>
      <c r="C686" s="37" t="s">
        <v>10</v>
      </c>
      <c r="D686" s="326">
        <v>43.8</v>
      </c>
    </row>
    <row r="687" spans="1:4" ht="13.5">
      <c r="A687" s="37">
        <v>5739</v>
      </c>
      <c r="B687" s="37" t="s">
        <v>2765</v>
      </c>
      <c r="C687" s="37" t="s">
        <v>10</v>
      </c>
      <c r="D687" s="326">
        <v>54.81</v>
      </c>
    </row>
    <row r="688" spans="1:4" ht="13.5">
      <c r="A688" s="37">
        <v>5741</v>
      </c>
      <c r="B688" s="37" t="s">
        <v>2766</v>
      </c>
      <c r="C688" s="37" t="s">
        <v>10</v>
      </c>
      <c r="D688" s="326">
        <v>42.78</v>
      </c>
    </row>
    <row r="689" spans="1:4" ht="13.5">
      <c r="A689" s="37">
        <v>5742</v>
      </c>
      <c r="B689" s="37" t="s">
        <v>2767</v>
      </c>
      <c r="C689" s="37" t="s">
        <v>10</v>
      </c>
      <c r="D689" s="326">
        <v>27.52</v>
      </c>
    </row>
    <row r="690" spans="1:4" ht="13.5">
      <c r="A690" s="37">
        <v>5747</v>
      </c>
      <c r="B690" s="37" t="s">
        <v>2768</v>
      </c>
      <c r="C690" s="37" t="s">
        <v>10</v>
      </c>
      <c r="D690" s="326">
        <v>157.78</v>
      </c>
    </row>
    <row r="691" spans="1:4" ht="13.5">
      <c r="A691" s="37">
        <v>5751</v>
      </c>
      <c r="B691" s="37" t="s">
        <v>2769</v>
      </c>
      <c r="C691" s="37" t="s">
        <v>10</v>
      </c>
      <c r="D691" s="326">
        <v>32.07</v>
      </c>
    </row>
    <row r="692" spans="1:4" ht="13.5">
      <c r="A692" s="37">
        <v>5754</v>
      </c>
      <c r="B692" s="37" t="s">
        <v>2770</v>
      </c>
      <c r="C692" s="37" t="s">
        <v>10</v>
      </c>
      <c r="D692" s="326">
        <v>35.21</v>
      </c>
    </row>
    <row r="693" spans="1:4" ht="13.5">
      <c r="A693" s="37">
        <v>5763</v>
      </c>
      <c r="B693" s="37" t="s">
        <v>2771</v>
      </c>
      <c r="C693" s="37" t="s">
        <v>10</v>
      </c>
      <c r="D693" s="326">
        <v>50.09</v>
      </c>
    </row>
    <row r="694" spans="1:4" ht="13.5">
      <c r="A694" s="37">
        <v>5765</v>
      </c>
      <c r="B694" s="37" t="s">
        <v>2772</v>
      </c>
      <c r="C694" s="37" t="s">
        <v>10</v>
      </c>
      <c r="D694" s="326">
        <v>4.6399999999999997</v>
      </c>
    </row>
    <row r="695" spans="1:4" ht="13.5">
      <c r="A695" s="37">
        <v>5766</v>
      </c>
      <c r="B695" s="37" t="s">
        <v>2773</v>
      </c>
      <c r="C695" s="37" t="s">
        <v>10</v>
      </c>
      <c r="D695" s="326">
        <v>2.72</v>
      </c>
    </row>
    <row r="696" spans="1:4" ht="13.5">
      <c r="A696" s="37">
        <v>5779</v>
      </c>
      <c r="B696" s="37" t="s">
        <v>2774</v>
      </c>
      <c r="C696" s="37" t="s">
        <v>10</v>
      </c>
      <c r="D696" s="326">
        <v>74.67</v>
      </c>
    </row>
    <row r="697" spans="1:4" ht="13.5">
      <c r="A697" s="37">
        <v>5787</v>
      </c>
      <c r="B697" s="37" t="s">
        <v>2775</v>
      </c>
      <c r="C697" s="37" t="s">
        <v>10</v>
      </c>
      <c r="D697" s="326">
        <v>70.2</v>
      </c>
    </row>
    <row r="698" spans="1:4" ht="13.5">
      <c r="A698" s="37">
        <v>5797</v>
      </c>
      <c r="B698" s="37" t="s">
        <v>2776</v>
      </c>
      <c r="C698" s="37" t="s">
        <v>10</v>
      </c>
      <c r="D698" s="326">
        <v>6.36</v>
      </c>
    </row>
    <row r="699" spans="1:4" ht="13.5">
      <c r="A699" s="37">
        <v>5800</v>
      </c>
      <c r="B699" s="37" t="s">
        <v>2777</v>
      </c>
      <c r="C699" s="37" t="s">
        <v>10</v>
      </c>
      <c r="D699" s="326">
        <v>0.34</v>
      </c>
    </row>
    <row r="700" spans="1:4" ht="13.5">
      <c r="A700" s="37">
        <v>7032</v>
      </c>
      <c r="B700" s="37" t="s">
        <v>16670</v>
      </c>
      <c r="C700" s="37" t="s">
        <v>10</v>
      </c>
      <c r="D700" s="326">
        <v>4.25</v>
      </c>
    </row>
    <row r="701" spans="1:4" ht="13.5">
      <c r="A701" s="37">
        <v>7033</v>
      </c>
      <c r="B701" s="37" t="s">
        <v>16671</v>
      </c>
      <c r="C701" s="37" t="s">
        <v>10</v>
      </c>
      <c r="D701" s="326">
        <v>1.57</v>
      </c>
    </row>
    <row r="702" spans="1:4" ht="13.5">
      <c r="A702" s="37">
        <v>7034</v>
      </c>
      <c r="B702" s="37" t="s">
        <v>16672</v>
      </c>
      <c r="C702" s="37" t="s">
        <v>10</v>
      </c>
      <c r="D702" s="326">
        <v>5.67</v>
      </c>
    </row>
    <row r="703" spans="1:4" ht="13.5">
      <c r="A703" s="37">
        <v>7035</v>
      </c>
      <c r="B703" s="37" t="s">
        <v>16673</v>
      </c>
      <c r="C703" s="37" t="s">
        <v>10</v>
      </c>
      <c r="D703" s="326">
        <v>255.88</v>
      </c>
    </row>
    <row r="704" spans="1:4" ht="13.5">
      <c r="A704" s="37">
        <v>7038</v>
      </c>
      <c r="B704" s="37" t="s">
        <v>2778</v>
      </c>
      <c r="C704" s="37" t="s">
        <v>10</v>
      </c>
      <c r="D704" s="326">
        <v>50.1</v>
      </c>
    </row>
    <row r="705" spans="1:4" ht="13.5">
      <c r="A705" s="37">
        <v>7039</v>
      </c>
      <c r="B705" s="37" t="s">
        <v>2779</v>
      </c>
      <c r="C705" s="37" t="s">
        <v>10</v>
      </c>
      <c r="D705" s="326">
        <v>13.44</v>
      </c>
    </row>
    <row r="706" spans="1:4" ht="13.5">
      <c r="A706" s="37">
        <v>7040</v>
      </c>
      <c r="B706" s="37" t="s">
        <v>2780</v>
      </c>
      <c r="C706" s="37" t="s">
        <v>10</v>
      </c>
      <c r="D706" s="326">
        <v>62.69</v>
      </c>
    </row>
    <row r="707" spans="1:4" ht="13.5">
      <c r="A707" s="37">
        <v>7044</v>
      </c>
      <c r="B707" s="37" t="s">
        <v>2781</v>
      </c>
      <c r="C707" s="37" t="s">
        <v>10</v>
      </c>
      <c r="D707" s="326">
        <v>0.27</v>
      </c>
    </row>
    <row r="708" spans="1:4" ht="13.5">
      <c r="A708" s="37">
        <v>7045</v>
      </c>
      <c r="B708" s="37" t="s">
        <v>2782</v>
      </c>
      <c r="C708" s="37" t="s">
        <v>10</v>
      </c>
      <c r="D708" s="326">
        <v>0.06</v>
      </c>
    </row>
    <row r="709" spans="1:4" ht="13.5">
      <c r="A709" s="37">
        <v>7046</v>
      </c>
      <c r="B709" s="37" t="s">
        <v>2783</v>
      </c>
      <c r="C709" s="37" t="s">
        <v>10</v>
      </c>
      <c r="D709" s="326">
        <v>0.3</v>
      </c>
    </row>
    <row r="710" spans="1:4" ht="13.5">
      <c r="A710" s="37">
        <v>7047</v>
      </c>
      <c r="B710" s="37" t="s">
        <v>2784</v>
      </c>
      <c r="C710" s="37" t="s">
        <v>10</v>
      </c>
      <c r="D710" s="326">
        <v>23.02</v>
      </c>
    </row>
    <row r="711" spans="1:4" ht="13.5">
      <c r="A711" s="37">
        <v>7051</v>
      </c>
      <c r="B711" s="37" t="s">
        <v>2785</v>
      </c>
      <c r="C711" s="37" t="s">
        <v>10</v>
      </c>
      <c r="D711" s="326">
        <v>44.43</v>
      </c>
    </row>
    <row r="712" spans="1:4" ht="13.5">
      <c r="A712" s="37">
        <v>7052</v>
      </c>
      <c r="B712" s="37" t="s">
        <v>2786</v>
      </c>
      <c r="C712" s="37" t="s">
        <v>10</v>
      </c>
      <c r="D712" s="326">
        <v>12</v>
      </c>
    </row>
    <row r="713" spans="1:4" ht="13.5">
      <c r="A713" s="37">
        <v>7053</v>
      </c>
      <c r="B713" s="37" t="s">
        <v>2787</v>
      </c>
      <c r="C713" s="37" t="s">
        <v>10</v>
      </c>
      <c r="D713" s="326">
        <v>55.61</v>
      </c>
    </row>
    <row r="714" spans="1:4" ht="13.5">
      <c r="A714" s="37">
        <v>7054</v>
      </c>
      <c r="B714" s="37" t="s">
        <v>2788</v>
      </c>
      <c r="C714" s="37" t="s">
        <v>10</v>
      </c>
      <c r="D714" s="326">
        <v>89.07</v>
      </c>
    </row>
    <row r="715" spans="1:4" ht="13.5">
      <c r="A715" s="37">
        <v>7058</v>
      </c>
      <c r="B715" s="37" t="s">
        <v>2789</v>
      </c>
      <c r="C715" s="37" t="s">
        <v>10</v>
      </c>
      <c r="D715" s="326">
        <v>21.93</v>
      </c>
    </row>
    <row r="716" spans="1:4" ht="13.5">
      <c r="A716" s="37">
        <v>7059</v>
      </c>
      <c r="B716" s="37" t="s">
        <v>2790</v>
      </c>
      <c r="C716" s="37" t="s">
        <v>10</v>
      </c>
      <c r="D716" s="326">
        <v>8.49</v>
      </c>
    </row>
    <row r="717" spans="1:4" ht="13.5">
      <c r="A717" s="37">
        <v>7060</v>
      </c>
      <c r="B717" s="37" t="s">
        <v>2791</v>
      </c>
      <c r="C717" s="37" t="s">
        <v>10</v>
      </c>
      <c r="D717" s="326">
        <v>39.659999999999997</v>
      </c>
    </row>
    <row r="718" spans="1:4" ht="13.5">
      <c r="A718" s="37">
        <v>7061</v>
      </c>
      <c r="B718" s="37" t="s">
        <v>2792</v>
      </c>
      <c r="C718" s="37" t="s">
        <v>10</v>
      </c>
      <c r="D718" s="326">
        <v>81.31</v>
      </c>
    </row>
    <row r="719" spans="1:4" ht="13.5">
      <c r="A719" s="37">
        <v>7063</v>
      </c>
      <c r="B719" s="37" t="s">
        <v>2793</v>
      </c>
      <c r="C719" s="37" t="s">
        <v>10</v>
      </c>
      <c r="D719" s="326">
        <v>18.66</v>
      </c>
    </row>
    <row r="720" spans="1:4" ht="13.5">
      <c r="A720" s="37">
        <v>7064</v>
      </c>
      <c r="B720" s="37" t="s">
        <v>2794</v>
      </c>
      <c r="C720" s="37" t="s">
        <v>10</v>
      </c>
      <c r="D720" s="326">
        <v>5.04</v>
      </c>
    </row>
    <row r="721" spans="1:4" ht="13.5">
      <c r="A721" s="37">
        <v>7065</v>
      </c>
      <c r="B721" s="37" t="s">
        <v>2795</v>
      </c>
      <c r="C721" s="37" t="s">
        <v>10</v>
      </c>
      <c r="D721" s="326">
        <v>20.41</v>
      </c>
    </row>
    <row r="722" spans="1:4" ht="13.5">
      <c r="A722" s="37">
        <v>7066</v>
      </c>
      <c r="B722" s="37" t="s">
        <v>2796</v>
      </c>
      <c r="C722" s="37" t="s">
        <v>10</v>
      </c>
      <c r="D722" s="326">
        <v>96.47</v>
      </c>
    </row>
    <row r="723" spans="1:4" ht="13.5">
      <c r="A723" s="37">
        <v>53786</v>
      </c>
      <c r="B723" s="37" t="s">
        <v>2797</v>
      </c>
      <c r="C723" s="37" t="s">
        <v>10</v>
      </c>
      <c r="D723" s="326">
        <v>50.92</v>
      </c>
    </row>
    <row r="724" spans="1:4" ht="13.5">
      <c r="A724" s="37">
        <v>53788</v>
      </c>
      <c r="B724" s="37" t="s">
        <v>2798</v>
      </c>
      <c r="C724" s="37" t="s">
        <v>10</v>
      </c>
      <c r="D724" s="326">
        <v>57.01</v>
      </c>
    </row>
    <row r="725" spans="1:4" ht="13.5">
      <c r="A725" s="37">
        <v>53792</v>
      </c>
      <c r="B725" s="37" t="s">
        <v>2800</v>
      </c>
      <c r="C725" s="37" t="s">
        <v>10</v>
      </c>
      <c r="D725" s="326">
        <v>101.07</v>
      </c>
    </row>
    <row r="726" spans="1:4" ht="13.5">
      <c r="A726" s="37">
        <v>53794</v>
      </c>
      <c r="B726" s="37" t="s">
        <v>2801</v>
      </c>
      <c r="C726" s="37" t="s">
        <v>10</v>
      </c>
      <c r="D726" s="326">
        <v>35.619999999999997</v>
      </c>
    </row>
    <row r="727" spans="1:4" ht="13.5">
      <c r="A727" s="37">
        <v>53797</v>
      </c>
      <c r="B727" s="37" t="s">
        <v>2802</v>
      </c>
      <c r="C727" s="37" t="s">
        <v>10</v>
      </c>
      <c r="D727" s="326">
        <v>116.23</v>
      </c>
    </row>
    <row r="728" spans="1:4" ht="13.5">
      <c r="A728" s="37">
        <v>53804</v>
      </c>
      <c r="B728" s="37" t="s">
        <v>2803</v>
      </c>
      <c r="C728" s="37" t="s">
        <v>10</v>
      </c>
      <c r="D728" s="326">
        <v>4.92</v>
      </c>
    </row>
    <row r="729" spans="1:4" ht="13.5">
      <c r="A729" s="37">
        <v>53806</v>
      </c>
      <c r="B729" s="37" t="s">
        <v>2804</v>
      </c>
      <c r="C729" s="37" t="s">
        <v>10</v>
      </c>
      <c r="D729" s="326">
        <v>68.52</v>
      </c>
    </row>
    <row r="730" spans="1:4" ht="13.5">
      <c r="A730" s="37">
        <v>53810</v>
      </c>
      <c r="B730" s="37" t="s">
        <v>2806</v>
      </c>
      <c r="C730" s="37" t="s">
        <v>10</v>
      </c>
      <c r="D730" s="326">
        <v>68.94</v>
      </c>
    </row>
    <row r="731" spans="1:4" ht="13.5">
      <c r="A731" s="37">
        <v>53814</v>
      </c>
      <c r="B731" s="37" t="s">
        <v>2807</v>
      </c>
      <c r="C731" s="37" t="s">
        <v>10</v>
      </c>
      <c r="D731" s="326">
        <v>225.83</v>
      </c>
    </row>
    <row r="732" spans="1:4" ht="13.5">
      <c r="A732" s="37">
        <v>53817</v>
      </c>
      <c r="B732" s="37" t="s">
        <v>2808</v>
      </c>
      <c r="C732" s="37" t="s">
        <v>10</v>
      </c>
      <c r="D732" s="326">
        <v>62.32</v>
      </c>
    </row>
    <row r="733" spans="1:4" ht="13.5">
      <c r="A733" s="37">
        <v>53818</v>
      </c>
      <c r="B733" s="37" t="s">
        <v>2809</v>
      </c>
      <c r="C733" s="37" t="s">
        <v>10</v>
      </c>
      <c r="D733" s="326">
        <v>9.67</v>
      </c>
    </row>
    <row r="734" spans="1:4" ht="13.5">
      <c r="A734" s="37">
        <v>53827</v>
      </c>
      <c r="B734" s="37" t="s">
        <v>2810</v>
      </c>
      <c r="C734" s="37" t="s">
        <v>10</v>
      </c>
      <c r="D734" s="326">
        <v>113.78</v>
      </c>
    </row>
    <row r="735" spans="1:4" ht="13.5">
      <c r="A735" s="37">
        <v>53829</v>
      </c>
      <c r="B735" s="37" t="s">
        <v>2811</v>
      </c>
      <c r="C735" s="37" t="s">
        <v>10</v>
      </c>
      <c r="D735" s="326">
        <v>116.23</v>
      </c>
    </row>
    <row r="736" spans="1:4" ht="13.5">
      <c r="A736" s="37">
        <v>53831</v>
      </c>
      <c r="B736" s="37" t="s">
        <v>2812</v>
      </c>
      <c r="C736" s="37" t="s">
        <v>10</v>
      </c>
      <c r="D736" s="326">
        <v>191.99</v>
      </c>
    </row>
    <row r="737" spans="1:4" ht="13.5">
      <c r="A737" s="37">
        <v>53840</v>
      </c>
      <c r="B737" s="37" t="s">
        <v>2813</v>
      </c>
      <c r="C737" s="37" t="s">
        <v>10</v>
      </c>
      <c r="D737" s="326">
        <v>2.67</v>
      </c>
    </row>
    <row r="738" spans="1:4" ht="13.5">
      <c r="A738" s="37">
        <v>53841</v>
      </c>
      <c r="B738" s="37" t="s">
        <v>2814</v>
      </c>
      <c r="C738" s="37" t="s">
        <v>10</v>
      </c>
      <c r="D738" s="326">
        <v>1.85</v>
      </c>
    </row>
    <row r="739" spans="1:4" ht="13.5">
      <c r="A739" s="37">
        <v>53849</v>
      </c>
      <c r="B739" s="37" t="s">
        <v>2815</v>
      </c>
      <c r="C739" s="37" t="s">
        <v>10</v>
      </c>
      <c r="D739" s="326">
        <v>83.52</v>
      </c>
    </row>
    <row r="740" spans="1:4" ht="13.5">
      <c r="A740" s="37">
        <v>53857</v>
      </c>
      <c r="B740" s="37" t="s">
        <v>2816</v>
      </c>
      <c r="C740" s="37" t="s">
        <v>10</v>
      </c>
      <c r="D740" s="326">
        <v>78</v>
      </c>
    </row>
    <row r="741" spans="1:4" ht="13.5">
      <c r="A741" s="37">
        <v>53858</v>
      </c>
      <c r="B741" s="37" t="s">
        <v>2817</v>
      </c>
      <c r="C741" s="37" t="s">
        <v>10</v>
      </c>
      <c r="D741" s="326">
        <v>45.61</v>
      </c>
    </row>
    <row r="742" spans="1:4" ht="13.5">
      <c r="A742" s="37">
        <v>53861</v>
      </c>
      <c r="B742" s="37" t="s">
        <v>2818</v>
      </c>
      <c r="C742" s="37" t="s">
        <v>10</v>
      </c>
      <c r="D742" s="326">
        <v>75.709999999999994</v>
      </c>
    </row>
    <row r="743" spans="1:4" ht="13.5">
      <c r="A743" s="37">
        <v>53863</v>
      </c>
      <c r="B743" s="37" t="s">
        <v>2819</v>
      </c>
      <c r="C743" s="37" t="s">
        <v>10</v>
      </c>
      <c r="D743" s="326">
        <v>1.85</v>
      </c>
    </row>
    <row r="744" spans="1:4" ht="13.5">
      <c r="A744" s="37">
        <v>53865</v>
      </c>
      <c r="B744" s="37" t="s">
        <v>2820</v>
      </c>
      <c r="C744" s="37" t="s">
        <v>10</v>
      </c>
      <c r="D744" s="326">
        <v>47.04</v>
      </c>
    </row>
    <row r="745" spans="1:4" ht="13.5">
      <c r="A745" s="37">
        <v>53866</v>
      </c>
      <c r="B745" s="37" t="s">
        <v>2821</v>
      </c>
      <c r="C745" s="37" t="s">
        <v>10</v>
      </c>
      <c r="D745" s="326">
        <v>1.63</v>
      </c>
    </row>
    <row r="746" spans="1:4" ht="13.5">
      <c r="A746" s="37">
        <v>53882</v>
      </c>
      <c r="B746" s="37" t="s">
        <v>2822</v>
      </c>
      <c r="C746" s="37" t="s">
        <v>10</v>
      </c>
      <c r="D746" s="326">
        <v>35.78</v>
      </c>
    </row>
    <row r="747" spans="1:4" ht="13.5">
      <c r="A747" s="37">
        <v>55263</v>
      </c>
      <c r="B747" s="37" t="s">
        <v>2823</v>
      </c>
      <c r="C747" s="37" t="s">
        <v>10</v>
      </c>
      <c r="D747" s="326">
        <v>64.290000000000006</v>
      </c>
    </row>
    <row r="748" spans="1:4" ht="13.5">
      <c r="A748" s="37">
        <v>73303</v>
      </c>
      <c r="B748" s="37" t="s">
        <v>2824</v>
      </c>
      <c r="C748" s="37" t="s">
        <v>10</v>
      </c>
      <c r="D748" s="326">
        <v>7.15</v>
      </c>
    </row>
    <row r="749" spans="1:4" ht="13.5">
      <c r="A749" s="37">
        <v>73307</v>
      </c>
      <c r="B749" s="37" t="s">
        <v>2825</v>
      </c>
      <c r="C749" s="37" t="s">
        <v>10</v>
      </c>
      <c r="D749" s="326">
        <v>6.38</v>
      </c>
    </row>
    <row r="750" spans="1:4" ht="13.5">
      <c r="A750" s="37">
        <v>73309</v>
      </c>
      <c r="B750" s="37" t="s">
        <v>2826</v>
      </c>
      <c r="C750" s="37" t="s">
        <v>10</v>
      </c>
      <c r="D750" s="326">
        <v>33.33</v>
      </c>
    </row>
    <row r="751" spans="1:4" ht="13.5">
      <c r="A751" s="37">
        <v>73311</v>
      </c>
      <c r="B751" s="37" t="s">
        <v>2827</v>
      </c>
      <c r="C751" s="37" t="s">
        <v>10</v>
      </c>
      <c r="D751" s="326">
        <v>177.72</v>
      </c>
    </row>
    <row r="752" spans="1:4" ht="13.5">
      <c r="A752" s="37">
        <v>73313</v>
      </c>
      <c r="B752" s="37" t="s">
        <v>2828</v>
      </c>
      <c r="C752" s="37" t="s">
        <v>10</v>
      </c>
      <c r="D752" s="326">
        <v>9</v>
      </c>
    </row>
    <row r="753" spans="1:4" ht="13.5">
      <c r="A753" s="37">
        <v>73315</v>
      </c>
      <c r="B753" s="37" t="s">
        <v>2829</v>
      </c>
      <c r="C753" s="37" t="s">
        <v>10</v>
      </c>
      <c r="D753" s="326">
        <v>57.01</v>
      </c>
    </row>
    <row r="754" spans="1:4" ht="13.5">
      <c r="A754" s="37">
        <v>73335</v>
      </c>
      <c r="B754" s="37" t="s">
        <v>2830</v>
      </c>
      <c r="C754" s="37" t="s">
        <v>10</v>
      </c>
      <c r="D754" s="326">
        <v>33.86</v>
      </c>
    </row>
    <row r="755" spans="1:4" ht="13.5">
      <c r="A755" s="37">
        <v>73340</v>
      </c>
      <c r="B755" s="37" t="s">
        <v>2831</v>
      </c>
      <c r="C755" s="37" t="s">
        <v>10</v>
      </c>
      <c r="D755" s="326">
        <v>154.44</v>
      </c>
    </row>
    <row r="756" spans="1:4" ht="13.5">
      <c r="A756" s="37">
        <v>83361</v>
      </c>
      <c r="B756" s="37" t="s">
        <v>2832</v>
      </c>
      <c r="C756" s="37" t="s">
        <v>10</v>
      </c>
      <c r="D756" s="326">
        <v>41.86</v>
      </c>
    </row>
    <row r="757" spans="1:4" ht="13.5">
      <c r="A757" s="37">
        <v>83761</v>
      </c>
      <c r="B757" s="37" t="s">
        <v>2833</v>
      </c>
      <c r="C757" s="37" t="s">
        <v>10</v>
      </c>
      <c r="D757" s="326">
        <v>9.52</v>
      </c>
    </row>
    <row r="758" spans="1:4" ht="13.5">
      <c r="A758" s="37">
        <v>83762</v>
      </c>
      <c r="B758" s="37" t="s">
        <v>2835</v>
      </c>
      <c r="C758" s="37" t="s">
        <v>10</v>
      </c>
      <c r="D758" s="326">
        <v>8.5</v>
      </c>
    </row>
    <row r="759" spans="1:4" ht="13.5">
      <c r="A759" s="37">
        <v>83763</v>
      </c>
      <c r="B759" s="37" t="s">
        <v>2837</v>
      </c>
      <c r="C759" s="37" t="s">
        <v>10</v>
      </c>
      <c r="D759" s="326">
        <v>50.08</v>
      </c>
    </row>
    <row r="760" spans="1:4" ht="13.5">
      <c r="A760" s="37">
        <v>83764</v>
      </c>
      <c r="B760" s="37" t="s">
        <v>2838</v>
      </c>
      <c r="C760" s="37" t="s">
        <v>10</v>
      </c>
      <c r="D760" s="326">
        <v>3.35</v>
      </c>
    </row>
    <row r="761" spans="1:4" ht="13.5">
      <c r="A761" s="37">
        <v>87026</v>
      </c>
      <c r="B761" s="37" t="s">
        <v>2839</v>
      </c>
      <c r="C761" s="37" t="s">
        <v>10</v>
      </c>
      <c r="D761" s="326">
        <v>0.73</v>
      </c>
    </row>
    <row r="762" spans="1:4" ht="13.5">
      <c r="A762" s="37">
        <v>87441</v>
      </c>
      <c r="B762" s="37" t="s">
        <v>16674</v>
      </c>
      <c r="C762" s="37" t="s">
        <v>10</v>
      </c>
      <c r="D762" s="326">
        <v>0.39</v>
      </c>
    </row>
    <row r="763" spans="1:4" ht="13.5">
      <c r="A763" s="37">
        <v>87442</v>
      </c>
      <c r="B763" s="37" t="s">
        <v>16675</v>
      </c>
      <c r="C763" s="37" t="s">
        <v>10</v>
      </c>
      <c r="D763" s="326">
        <v>0.09</v>
      </c>
    </row>
    <row r="764" spans="1:4" ht="13.5">
      <c r="A764" s="37">
        <v>87443</v>
      </c>
      <c r="B764" s="37" t="s">
        <v>16676</v>
      </c>
      <c r="C764" s="37" t="s">
        <v>10</v>
      </c>
      <c r="D764" s="326">
        <v>0.52</v>
      </c>
    </row>
    <row r="765" spans="1:4" ht="13.5">
      <c r="A765" s="37">
        <v>87444</v>
      </c>
      <c r="B765" s="37" t="s">
        <v>16677</v>
      </c>
      <c r="C765" s="37" t="s">
        <v>10</v>
      </c>
      <c r="D765" s="326">
        <v>4.2300000000000004</v>
      </c>
    </row>
    <row r="766" spans="1:4" ht="13.5">
      <c r="A766" s="37">
        <v>88387</v>
      </c>
      <c r="B766" s="37" t="s">
        <v>16678</v>
      </c>
      <c r="C766" s="37" t="s">
        <v>10</v>
      </c>
      <c r="D766" s="326">
        <v>0.77</v>
      </c>
    </row>
    <row r="767" spans="1:4" ht="13.5">
      <c r="A767" s="37">
        <v>88389</v>
      </c>
      <c r="B767" s="37" t="s">
        <v>16679</v>
      </c>
      <c r="C767" s="37" t="s">
        <v>10</v>
      </c>
      <c r="D767" s="326">
        <v>0.19</v>
      </c>
    </row>
    <row r="768" spans="1:4" ht="13.5">
      <c r="A768" s="37">
        <v>88390</v>
      </c>
      <c r="B768" s="37" t="s">
        <v>16680</v>
      </c>
      <c r="C768" s="37" t="s">
        <v>10</v>
      </c>
      <c r="D768" s="326">
        <v>0.9</v>
      </c>
    </row>
    <row r="769" spans="1:4" ht="13.5">
      <c r="A769" s="37">
        <v>88391</v>
      </c>
      <c r="B769" s="37" t="s">
        <v>16681</v>
      </c>
      <c r="C769" s="37" t="s">
        <v>10</v>
      </c>
      <c r="D769" s="326">
        <v>2.65</v>
      </c>
    </row>
    <row r="770" spans="1:4" ht="13.5">
      <c r="A770" s="37">
        <v>88394</v>
      </c>
      <c r="B770" s="37" t="s">
        <v>16682</v>
      </c>
      <c r="C770" s="37" t="s">
        <v>10</v>
      </c>
      <c r="D770" s="326">
        <v>0.91</v>
      </c>
    </row>
    <row r="771" spans="1:4" ht="13.5">
      <c r="A771" s="37">
        <v>88395</v>
      </c>
      <c r="B771" s="37" t="s">
        <v>16683</v>
      </c>
      <c r="C771" s="37" t="s">
        <v>10</v>
      </c>
      <c r="D771" s="326">
        <v>0.22</v>
      </c>
    </row>
    <row r="772" spans="1:4" ht="13.5">
      <c r="A772" s="37">
        <v>88396</v>
      </c>
      <c r="B772" s="37" t="s">
        <v>16684</v>
      </c>
      <c r="C772" s="37" t="s">
        <v>10</v>
      </c>
      <c r="D772" s="326">
        <v>1.07</v>
      </c>
    </row>
    <row r="773" spans="1:4" ht="13.5">
      <c r="A773" s="37">
        <v>88397</v>
      </c>
      <c r="B773" s="37" t="s">
        <v>16685</v>
      </c>
      <c r="C773" s="37" t="s">
        <v>10</v>
      </c>
      <c r="D773" s="326">
        <v>3.98</v>
      </c>
    </row>
    <row r="774" spans="1:4" ht="13.5">
      <c r="A774" s="37">
        <v>88400</v>
      </c>
      <c r="B774" s="37" t="s">
        <v>16686</v>
      </c>
      <c r="C774" s="37" t="s">
        <v>10</v>
      </c>
      <c r="D774" s="326">
        <v>0.72</v>
      </c>
    </row>
    <row r="775" spans="1:4" ht="13.5">
      <c r="A775" s="37">
        <v>88401</v>
      </c>
      <c r="B775" s="37" t="s">
        <v>16687</v>
      </c>
      <c r="C775" s="37" t="s">
        <v>10</v>
      </c>
      <c r="D775" s="326">
        <v>0.18</v>
      </c>
    </row>
    <row r="776" spans="1:4" ht="13.5">
      <c r="A776" s="37">
        <v>88402</v>
      </c>
      <c r="B776" s="37" t="s">
        <v>16688</v>
      </c>
      <c r="C776" s="37" t="s">
        <v>10</v>
      </c>
      <c r="D776" s="326">
        <v>0.85</v>
      </c>
    </row>
    <row r="777" spans="1:4" ht="13.5">
      <c r="A777" s="37">
        <v>88403</v>
      </c>
      <c r="B777" s="37" t="s">
        <v>16689</v>
      </c>
      <c r="C777" s="37" t="s">
        <v>10</v>
      </c>
      <c r="D777" s="326">
        <v>1.59</v>
      </c>
    </row>
    <row r="778" spans="1:4" ht="13.5">
      <c r="A778" s="37">
        <v>88419</v>
      </c>
      <c r="B778" s="37" t="s">
        <v>2840</v>
      </c>
      <c r="C778" s="37" t="s">
        <v>10</v>
      </c>
      <c r="D778" s="326">
        <v>5.0599999999999996</v>
      </c>
    </row>
    <row r="779" spans="1:4" ht="13.5">
      <c r="A779" s="37">
        <v>88422</v>
      </c>
      <c r="B779" s="37" t="s">
        <v>2841</v>
      </c>
      <c r="C779" s="37" t="s">
        <v>10</v>
      </c>
      <c r="D779" s="326">
        <v>1.17</v>
      </c>
    </row>
    <row r="780" spans="1:4" ht="13.5">
      <c r="A780" s="37">
        <v>88425</v>
      </c>
      <c r="B780" s="37" t="s">
        <v>2842</v>
      </c>
      <c r="C780" s="37" t="s">
        <v>10</v>
      </c>
      <c r="D780" s="326">
        <v>6.33</v>
      </c>
    </row>
    <row r="781" spans="1:4" ht="13.5">
      <c r="A781" s="37">
        <v>88427</v>
      </c>
      <c r="B781" s="37" t="s">
        <v>2843</v>
      </c>
      <c r="C781" s="37" t="s">
        <v>10</v>
      </c>
      <c r="D781" s="326">
        <v>0.9</v>
      </c>
    </row>
    <row r="782" spans="1:4" ht="13.5">
      <c r="A782" s="37">
        <v>88434</v>
      </c>
      <c r="B782" s="37" t="s">
        <v>2844</v>
      </c>
      <c r="C782" s="37" t="s">
        <v>10</v>
      </c>
      <c r="D782" s="326">
        <v>6.71</v>
      </c>
    </row>
    <row r="783" spans="1:4" ht="13.5">
      <c r="A783" s="37">
        <v>88435</v>
      </c>
      <c r="B783" s="37" t="s">
        <v>2845</v>
      </c>
      <c r="C783" s="37" t="s">
        <v>10</v>
      </c>
      <c r="D783" s="326">
        <v>1.55</v>
      </c>
    </row>
    <row r="784" spans="1:4" ht="13.5">
      <c r="A784" s="37">
        <v>88436</v>
      </c>
      <c r="B784" s="37" t="s">
        <v>2846</v>
      </c>
      <c r="C784" s="37" t="s">
        <v>10</v>
      </c>
      <c r="D784" s="326">
        <v>8.39</v>
      </c>
    </row>
    <row r="785" spans="1:4" ht="13.5">
      <c r="A785" s="37">
        <v>88437</v>
      </c>
      <c r="B785" s="37" t="s">
        <v>2847</v>
      </c>
      <c r="C785" s="37" t="s">
        <v>10</v>
      </c>
      <c r="D785" s="326">
        <v>0.9</v>
      </c>
    </row>
    <row r="786" spans="1:4" ht="13.5">
      <c r="A786" s="37">
        <v>88569</v>
      </c>
      <c r="B786" s="37" t="s">
        <v>2848</v>
      </c>
      <c r="C786" s="37" t="s">
        <v>10</v>
      </c>
      <c r="D786" s="326">
        <v>3.96</v>
      </c>
    </row>
    <row r="787" spans="1:4" ht="13.5">
      <c r="A787" s="37">
        <v>88570</v>
      </c>
      <c r="B787" s="37" t="s">
        <v>2849</v>
      </c>
      <c r="C787" s="37" t="s">
        <v>10</v>
      </c>
      <c r="D787" s="326">
        <v>1.28</v>
      </c>
    </row>
    <row r="788" spans="1:4" ht="13.5">
      <c r="A788" s="37">
        <v>88826</v>
      </c>
      <c r="B788" s="37" t="s">
        <v>16690</v>
      </c>
      <c r="C788" s="37" t="s">
        <v>10</v>
      </c>
      <c r="D788" s="326">
        <v>0.28999999999999998</v>
      </c>
    </row>
    <row r="789" spans="1:4" ht="13.5">
      <c r="A789" s="37">
        <v>88827</v>
      </c>
      <c r="B789" s="37" t="s">
        <v>16691</v>
      </c>
      <c r="C789" s="37" t="s">
        <v>10</v>
      </c>
      <c r="D789" s="326">
        <v>7.0000000000000007E-2</v>
      </c>
    </row>
    <row r="790" spans="1:4" ht="13.5">
      <c r="A790" s="37">
        <v>88828</v>
      </c>
      <c r="B790" s="37" t="s">
        <v>16692</v>
      </c>
      <c r="C790" s="37" t="s">
        <v>10</v>
      </c>
      <c r="D790" s="326">
        <v>0.33</v>
      </c>
    </row>
    <row r="791" spans="1:4" ht="13.5">
      <c r="A791" s="37">
        <v>88829</v>
      </c>
      <c r="B791" s="37" t="s">
        <v>16693</v>
      </c>
      <c r="C791" s="37" t="s">
        <v>10</v>
      </c>
      <c r="D791" s="326">
        <v>1.06</v>
      </c>
    </row>
    <row r="792" spans="1:4" ht="13.5">
      <c r="A792" s="37">
        <v>88832</v>
      </c>
      <c r="B792" s="37" t="s">
        <v>2850</v>
      </c>
      <c r="C792" s="37" t="s">
        <v>10</v>
      </c>
      <c r="D792" s="326">
        <v>43.77</v>
      </c>
    </row>
    <row r="793" spans="1:4" ht="13.5">
      <c r="A793" s="37">
        <v>88834</v>
      </c>
      <c r="B793" s="37" t="s">
        <v>2851</v>
      </c>
      <c r="C793" s="37" t="s">
        <v>10</v>
      </c>
      <c r="D793" s="326">
        <v>11.56</v>
      </c>
    </row>
    <row r="794" spans="1:4" ht="13.5">
      <c r="A794" s="37">
        <v>88835</v>
      </c>
      <c r="B794" s="37" t="s">
        <v>2852</v>
      </c>
      <c r="C794" s="37" t="s">
        <v>10</v>
      </c>
      <c r="D794" s="326">
        <v>54.71</v>
      </c>
    </row>
    <row r="795" spans="1:4" ht="13.5">
      <c r="A795" s="37">
        <v>88836</v>
      </c>
      <c r="B795" s="37" t="s">
        <v>2853</v>
      </c>
      <c r="C795" s="37" t="s">
        <v>10</v>
      </c>
      <c r="D795" s="326">
        <v>63.69</v>
      </c>
    </row>
    <row r="796" spans="1:4" ht="13.5">
      <c r="A796" s="37">
        <v>88839</v>
      </c>
      <c r="B796" s="37" t="s">
        <v>2854</v>
      </c>
      <c r="C796" s="37" t="s">
        <v>10</v>
      </c>
      <c r="D796" s="326">
        <v>31.13</v>
      </c>
    </row>
    <row r="797" spans="1:4" ht="13.5">
      <c r="A797" s="37">
        <v>88840</v>
      </c>
      <c r="B797" s="37" t="s">
        <v>2855</v>
      </c>
      <c r="C797" s="37" t="s">
        <v>10</v>
      </c>
      <c r="D797" s="326">
        <v>13.71</v>
      </c>
    </row>
    <row r="798" spans="1:4" ht="13.5">
      <c r="A798" s="37">
        <v>88841</v>
      </c>
      <c r="B798" s="37" t="s">
        <v>2856</v>
      </c>
      <c r="C798" s="37" t="s">
        <v>10</v>
      </c>
      <c r="D798" s="326">
        <v>55.66</v>
      </c>
    </row>
    <row r="799" spans="1:4" ht="13.5">
      <c r="A799" s="37">
        <v>88842</v>
      </c>
      <c r="B799" s="37" t="s">
        <v>2857</v>
      </c>
      <c r="C799" s="37" t="s">
        <v>10</v>
      </c>
      <c r="D799" s="326">
        <v>77.959999999999994</v>
      </c>
    </row>
    <row r="800" spans="1:4" ht="13.5">
      <c r="A800" s="37">
        <v>88847</v>
      </c>
      <c r="B800" s="37" t="s">
        <v>2858</v>
      </c>
      <c r="C800" s="37" t="s">
        <v>10</v>
      </c>
      <c r="D800" s="326">
        <v>22.82</v>
      </c>
    </row>
    <row r="801" spans="1:4" ht="13.5">
      <c r="A801" s="37">
        <v>88848</v>
      </c>
      <c r="B801" s="37" t="s">
        <v>2859</v>
      </c>
      <c r="C801" s="37" t="s">
        <v>10</v>
      </c>
      <c r="D801" s="326">
        <v>9.3800000000000008</v>
      </c>
    </row>
    <row r="802" spans="1:4" ht="13.5">
      <c r="A802" s="37">
        <v>88853</v>
      </c>
      <c r="B802" s="37" t="s">
        <v>2861</v>
      </c>
      <c r="C802" s="37" t="s">
        <v>10</v>
      </c>
      <c r="D802" s="326">
        <v>0.22</v>
      </c>
    </row>
    <row r="803" spans="1:4" ht="13.5">
      <c r="A803" s="37">
        <v>88854</v>
      </c>
      <c r="B803" s="37" t="s">
        <v>2862</v>
      </c>
      <c r="C803" s="37" t="s">
        <v>10</v>
      </c>
      <c r="D803" s="326">
        <v>0.05</v>
      </c>
    </row>
    <row r="804" spans="1:4" ht="13.5">
      <c r="A804" s="37">
        <v>88855</v>
      </c>
      <c r="B804" s="37" t="s">
        <v>2863</v>
      </c>
      <c r="C804" s="37" t="s">
        <v>10</v>
      </c>
      <c r="D804" s="326">
        <v>3.4</v>
      </c>
    </row>
    <row r="805" spans="1:4" ht="13.5">
      <c r="A805" s="37">
        <v>88856</v>
      </c>
      <c r="B805" s="37" t="s">
        <v>2864</v>
      </c>
      <c r="C805" s="37" t="s">
        <v>10</v>
      </c>
      <c r="D805" s="326">
        <v>0.93</v>
      </c>
    </row>
    <row r="806" spans="1:4" ht="13.5">
      <c r="A806" s="37">
        <v>88857</v>
      </c>
      <c r="B806" s="37" t="s">
        <v>2865</v>
      </c>
      <c r="C806" s="37" t="s">
        <v>10</v>
      </c>
      <c r="D806" s="326">
        <v>26.99</v>
      </c>
    </row>
    <row r="807" spans="1:4" ht="13.5">
      <c r="A807" s="37">
        <v>88858</v>
      </c>
      <c r="B807" s="37" t="s">
        <v>2866</v>
      </c>
      <c r="C807" s="37" t="s">
        <v>10</v>
      </c>
      <c r="D807" s="326">
        <v>7.13</v>
      </c>
    </row>
    <row r="808" spans="1:4" ht="13.5">
      <c r="A808" s="37">
        <v>88859</v>
      </c>
      <c r="B808" s="37" t="s">
        <v>2867</v>
      </c>
      <c r="C808" s="37" t="s">
        <v>10</v>
      </c>
      <c r="D808" s="326">
        <v>24</v>
      </c>
    </row>
    <row r="809" spans="1:4" ht="13.5">
      <c r="A809" s="37">
        <v>88860</v>
      </c>
      <c r="B809" s="37" t="s">
        <v>2868</v>
      </c>
      <c r="C809" s="37" t="s">
        <v>10</v>
      </c>
      <c r="D809" s="326">
        <v>6.34</v>
      </c>
    </row>
    <row r="810" spans="1:4" ht="13.5">
      <c r="A810" s="37">
        <v>88900</v>
      </c>
      <c r="B810" s="37" t="s">
        <v>2869</v>
      </c>
      <c r="C810" s="37" t="s">
        <v>10</v>
      </c>
      <c r="D810" s="326">
        <v>51.03</v>
      </c>
    </row>
    <row r="811" spans="1:4" ht="13.5">
      <c r="A811" s="37">
        <v>88902</v>
      </c>
      <c r="B811" s="37" t="s">
        <v>2870</v>
      </c>
      <c r="C811" s="37" t="s">
        <v>10</v>
      </c>
      <c r="D811" s="326">
        <v>13.48</v>
      </c>
    </row>
    <row r="812" spans="1:4" ht="13.5">
      <c r="A812" s="37">
        <v>88903</v>
      </c>
      <c r="B812" s="37" t="s">
        <v>2871</v>
      </c>
      <c r="C812" s="37" t="s">
        <v>10</v>
      </c>
      <c r="D812" s="326">
        <v>63.79</v>
      </c>
    </row>
    <row r="813" spans="1:4" ht="13.5">
      <c r="A813" s="37">
        <v>88904</v>
      </c>
      <c r="B813" s="37" t="s">
        <v>2872</v>
      </c>
      <c r="C813" s="37" t="s">
        <v>10</v>
      </c>
      <c r="D813" s="326">
        <v>89.72</v>
      </c>
    </row>
    <row r="814" spans="1:4" ht="13.5">
      <c r="A814" s="37">
        <v>89009</v>
      </c>
      <c r="B814" s="37" t="s">
        <v>2873</v>
      </c>
      <c r="C814" s="37" t="s">
        <v>10</v>
      </c>
      <c r="D814" s="326">
        <v>38.56</v>
      </c>
    </row>
    <row r="815" spans="1:4" ht="13.5">
      <c r="A815" s="37">
        <v>89010</v>
      </c>
      <c r="B815" s="37" t="s">
        <v>2874</v>
      </c>
      <c r="C815" s="37" t="s">
        <v>10</v>
      </c>
      <c r="D815" s="326">
        <v>16.98</v>
      </c>
    </row>
    <row r="816" spans="1:4" ht="13.5">
      <c r="A816" s="37">
        <v>89011</v>
      </c>
      <c r="B816" s="37" t="s">
        <v>2875</v>
      </c>
      <c r="C816" s="37" t="s">
        <v>10</v>
      </c>
      <c r="D816" s="326">
        <v>26.04</v>
      </c>
    </row>
    <row r="817" spans="1:4" ht="13.5">
      <c r="A817" s="37">
        <v>89012</v>
      </c>
      <c r="B817" s="37" t="s">
        <v>2876</v>
      </c>
      <c r="C817" s="37" t="s">
        <v>10</v>
      </c>
      <c r="D817" s="326">
        <v>6.88</v>
      </c>
    </row>
    <row r="818" spans="1:4" ht="13.5">
      <c r="A818" s="37">
        <v>89013</v>
      </c>
      <c r="B818" s="37" t="s">
        <v>2877</v>
      </c>
      <c r="C818" s="37" t="s">
        <v>10</v>
      </c>
      <c r="D818" s="326">
        <v>126.31</v>
      </c>
    </row>
    <row r="819" spans="1:4" ht="13.5">
      <c r="A819" s="37">
        <v>89014</v>
      </c>
      <c r="B819" s="37" t="s">
        <v>2878</v>
      </c>
      <c r="C819" s="37" t="s">
        <v>10</v>
      </c>
      <c r="D819" s="326">
        <v>55.64</v>
      </c>
    </row>
    <row r="820" spans="1:4" ht="13.5">
      <c r="A820" s="37">
        <v>89015</v>
      </c>
      <c r="B820" s="37" t="s">
        <v>2879</v>
      </c>
      <c r="C820" s="37" t="s">
        <v>10</v>
      </c>
      <c r="D820" s="326">
        <v>3.93</v>
      </c>
    </row>
    <row r="821" spans="1:4" ht="13.5">
      <c r="A821" s="37">
        <v>89016</v>
      </c>
      <c r="B821" s="37" t="s">
        <v>2880</v>
      </c>
      <c r="C821" s="37" t="s">
        <v>10</v>
      </c>
      <c r="D821" s="326">
        <v>1.04</v>
      </c>
    </row>
    <row r="822" spans="1:4" ht="13.5">
      <c r="A822" s="37">
        <v>89017</v>
      </c>
      <c r="B822" s="37" t="s">
        <v>2881</v>
      </c>
      <c r="C822" s="37" t="s">
        <v>10</v>
      </c>
      <c r="D822" s="326">
        <v>38.32</v>
      </c>
    </row>
    <row r="823" spans="1:4" ht="13.5">
      <c r="A823" s="37">
        <v>89018</v>
      </c>
      <c r="B823" s="37" t="s">
        <v>2882</v>
      </c>
      <c r="C823" s="37" t="s">
        <v>10</v>
      </c>
      <c r="D823" s="326">
        <v>16.88</v>
      </c>
    </row>
    <row r="824" spans="1:4" ht="13.5">
      <c r="A824" s="37">
        <v>89019</v>
      </c>
      <c r="B824" s="37" t="s">
        <v>2884</v>
      </c>
      <c r="C824" s="37" t="s">
        <v>10</v>
      </c>
      <c r="D824" s="326">
        <v>0.31</v>
      </c>
    </row>
    <row r="825" spans="1:4" ht="13.5">
      <c r="A825" s="37">
        <v>89020</v>
      </c>
      <c r="B825" s="37" t="s">
        <v>2885</v>
      </c>
      <c r="C825" s="37" t="s">
        <v>10</v>
      </c>
      <c r="D825" s="326">
        <v>7.0000000000000007E-2</v>
      </c>
    </row>
    <row r="826" spans="1:4" ht="13.5">
      <c r="A826" s="37">
        <v>89023</v>
      </c>
      <c r="B826" s="37" t="s">
        <v>16694</v>
      </c>
      <c r="C826" s="37" t="s">
        <v>10</v>
      </c>
      <c r="D826" s="326">
        <v>3.46</v>
      </c>
    </row>
    <row r="827" spans="1:4" ht="13.5">
      <c r="A827" s="37">
        <v>89024</v>
      </c>
      <c r="B827" s="37" t="s">
        <v>16695</v>
      </c>
      <c r="C827" s="37" t="s">
        <v>10</v>
      </c>
      <c r="D827" s="326">
        <v>1.28</v>
      </c>
    </row>
    <row r="828" spans="1:4" ht="13.5">
      <c r="A828" s="37">
        <v>89025</v>
      </c>
      <c r="B828" s="37" t="s">
        <v>16696</v>
      </c>
      <c r="C828" s="37" t="s">
        <v>10</v>
      </c>
      <c r="D828" s="326">
        <v>4.6100000000000003</v>
      </c>
    </row>
    <row r="829" spans="1:4" ht="13.5">
      <c r="A829" s="37">
        <v>89026</v>
      </c>
      <c r="B829" s="37" t="s">
        <v>16697</v>
      </c>
      <c r="C829" s="37" t="s">
        <v>10</v>
      </c>
      <c r="D829" s="326">
        <v>170.59</v>
      </c>
    </row>
    <row r="830" spans="1:4" ht="13.5">
      <c r="A830" s="37">
        <v>89029</v>
      </c>
      <c r="B830" s="37" t="s">
        <v>2886</v>
      </c>
      <c r="C830" s="37" t="s">
        <v>10</v>
      </c>
      <c r="D830" s="326">
        <v>29.74</v>
      </c>
    </row>
    <row r="831" spans="1:4" ht="13.5">
      <c r="A831" s="37">
        <v>89030</v>
      </c>
      <c r="B831" s="37" t="s">
        <v>2887</v>
      </c>
      <c r="C831" s="37" t="s">
        <v>10</v>
      </c>
      <c r="D831" s="326">
        <v>13.1</v>
      </c>
    </row>
    <row r="832" spans="1:4" ht="13.5">
      <c r="A832" s="37">
        <v>89033</v>
      </c>
      <c r="B832" s="37" t="s">
        <v>2888</v>
      </c>
      <c r="C832" s="37" t="s">
        <v>10</v>
      </c>
      <c r="D832" s="326">
        <v>13.67</v>
      </c>
    </row>
    <row r="833" spans="1:4" ht="13.5">
      <c r="A833" s="37">
        <v>89034</v>
      </c>
      <c r="B833" s="37" t="s">
        <v>2889</v>
      </c>
      <c r="C833" s="37" t="s">
        <v>10</v>
      </c>
      <c r="D833" s="326">
        <v>3.66</v>
      </c>
    </row>
    <row r="834" spans="1:4" ht="13.5">
      <c r="A834" s="37">
        <v>89128</v>
      </c>
      <c r="B834" s="37" t="s">
        <v>2890</v>
      </c>
      <c r="C834" s="37" t="s">
        <v>10</v>
      </c>
      <c r="D834" s="326">
        <v>43.68</v>
      </c>
    </row>
    <row r="835" spans="1:4" ht="13.5">
      <c r="A835" s="37">
        <v>89129</v>
      </c>
      <c r="B835" s="37" t="s">
        <v>2891</v>
      </c>
      <c r="C835" s="37" t="s">
        <v>10</v>
      </c>
      <c r="D835" s="326">
        <v>11.54</v>
      </c>
    </row>
    <row r="836" spans="1:4" ht="13.5">
      <c r="A836" s="37">
        <v>89130</v>
      </c>
      <c r="B836" s="37" t="s">
        <v>2892</v>
      </c>
      <c r="C836" s="37" t="s">
        <v>10</v>
      </c>
      <c r="D836" s="326">
        <v>60.56</v>
      </c>
    </row>
    <row r="837" spans="1:4" ht="13.5">
      <c r="A837" s="37">
        <v>89131</v>
      </c>
      <c r="B837" s="37" t="s">
        <v>2893</v>
      </c>
      <c r="C837" s="37" t="s">
        <v>10</v>
      </c>
      <c r="D837" s="326">
        <v>16</v>
      </c>
    </row>
    <row r="838" spans="1:4" ht="13.5">
      <c r="A838" s="37">
        <v>89210</v>
      </c>
      <c r="B838" s="37" t="s">
        <v>2894</v>
      </c>
      <c r="C838" s="37" t="s">
        <v>10</v>
      </c>
      <c r="D838" s="326">
        <v>32.049999999999997</v>
      </c>
    </row>
    <row r="839" spans="1:4" ht="13.5">
      <c r="A839" s="37">
        <v>89211</v>
      </c>
      <c r="B839" s="37" t="s">
        <v>2895</v>
      </c>
      <c r="C839" s="37" t="s">
        <v>10</v>
      </c>
      <c r="D839" s="326">
        <v>8.6</v>
      </c>
    </row>
    <row r="840" spans="1:4" ht="13.5">
      <c r="A840" s="37">
        <v>89212</v>
      </c>
      <c r="B840" s="37" t="s">
        <v>2896</v>
      </c>
      <c r="C840" s="37" t="s">
        <v>10</v>
      </c>
      <c r="D840" s="326">
        <v>28.91</v>
      </c>
    </row>
    <row r="841" spans="1:4" ht="13.5">
      <c r="A841" s="37">
        <v>89213</v>
      </c>
      <c r="B841" s="37" t="s">
        <v>2897</v>
      </c>
      <c r="C841" s="37" t="s">
        <v>10</v>
      </c>
      <c r="D841" s="326">
        <v>8.92</v>
      </c>
    </row>
    <row r="842" spans="1:4" ht="13.5">
      <c r="A842" s="37">
        <v>89214</v>
      </c>
      <c r="B842" s="37" t="s">
        <v>2898</v>
      </c>
      <c r="C842" s="37" t="s">
        <v>10</v>
      </c>
      <c r="D842" s="326">
        <v>27.14</v>
      </c>
    </row>
    <row r="843" spans="1:4" ht="13.5">
      <c r="A843" s="37">
        <v>89215</v>
      </c>
      <c r="B843" s="37" t="s">
        <v>2899</v>
      </c>
      <c r="C843" s="37" t="s">
        <v>10</v>
      </c>
      <c r="D843" s="326">
        <v>92.65</v>
      </c>
    </row>
    <row r="844" spans="1:4" ht="13.5">
      <c r="A844" s="37">
        <v>89221</v>
      </c>
      <c r="B844" s="37" t="s">
        <v>16698</v>
      </c>
      <c r="C844" s="37" t="s">
        <v>10</v>
      </c>
      <c r="D844" s="326">
        <v>1.18</v>
      </c>
    </row>
    <row r="845" spans="1:4" ht="13.5">
      <c r="A845" s="37">
        <v>89222</v>
      </c>
      <c r="B845" s="37" t="s">
        <v>16699</v>
      </c>
      <c r="C845" s="37" t="s">
        <v>10</v>
      </c>
      <c r="D845" s="326">
        <v>0.28999999999999998</v>
      </c>
    </row>
    <row r="846" spans="1:4" ht="13.5">
      <c r="A846" s="37">
        <v>89223</v>
      </c>
      <c r="B846" s="37" t="s">
        <v>16700</v>
      </c>
      <c r="C846" s="37" t="s">
        <v>10</v>
      </c>
      <c r="D846" s="326">
        <v>1.38</v>
      </c>
    </row>
    <row r="847" spans="1:4" ht="13.5">
      <c r="A847" s="37">
        <v>89224</v>
      </c>
      <c r="B847" s="37" t="s">
        <v>16701</v>
      </c>
      <c r="C847" s="37" t="s">
        <v>10</v>
      </c>
      <c r="D847" s="326">
        <v>2.12</v>
      </c>
    </row>
    <row r="848" spans="1:4" ht="13.5">
      <c r="A848" s="37">
        <v>89228</v>
      </c>
      <c r="B848" s="37" t="s">
        <v>2900</v>
      </c>
      <c r="C848" s="37" t="s">
        <v>10</v>
      </c>
      <c r="D848" s="326">
        <v>46.45</v>
      </c>
    </row>
    <row r="849" spans="1:4" ht="13.5">
      <c r="A849" s="37">
        <v>89229</v>
      </c>
      <c r="B849" s="37" t="s">
        <v>2901</v>
      </c>
      <c r="C849" s="37" t="s">
        <v>10</v>
      </c>
      <c r="D849" s="326">
        <v>16.37</v>
      </c>
    </row>
    <row r="850" spans="1:4" ht="13.5">
      <c r="A850" s="37">
        <v>89230</v>
      </c>
      <c r="B850" s="37" t="s">
        <v>2902</v>
      </c>
      <c r="C850" s="37" t="s">
        <v>10</v>
      </c>
      <c r="D850" s="326">
        <v>106.4</v>
      </c>
    </row>
    <row r="851" spans="1:4" ht="13.5">
      <c r="A851" s="37">
        <v>89231</v>
      </c>
      <c r="B851" s="37" t="s">
        <v>2903</v>
      </c>
      <c r="C851" s="37" t="s">
        <v>10</v>
      </c>
      <c r="D851" s="326">
        <v>32.58</v>
      </c>
    </row>
    <row r="852" spans="1:4" ht="13.5">
      <c r="A852" s="37">
        <v>89232</v>
      </c>
      <c r="B852" s="37" t="s">
        <v>2904</v>
      </c>
      <c r="C852" s="37" t="s">
        <v>10</v>
      </c>
      <c r="D852" s="326">
        <v>189.8</v>
      </c>
    </row>
    <row r="853" spans="1:4" ht="13.5">
      <c r="A853" s="37">
        <v>89233</v>
      </c>
      <c r="B853" s="37" t="s">
        <v>2905</v>
      </c>
      <c r="C853" s="37" t="s">
        <v>10</v>
      </c>
      <c r="D853" s="326">
        <v>166.74</v>
      </c>
    </row>
    <row r="854" spans="1:4" ht="13.5">
      <c r="A854" s="37">
        <v>89236</v>
      </c>
      <c r="B854" s="37" t="s">
        <v>2906</v>
      </c>
      <c r="C854" s="37" t="s">
        <v>10</v>
      </c>
      <c r="D854" s="326">
        <v>248.56</v>
      </c>
    </row>
    <row r="855" spans="1:4" ht="13.5">
      <c r="A855" s="37">
        <v>89237</v>
      </c>
      <c r="B855" s="37" t="s">
        <v>2907</v>
      </c>
      <c r="C855" s="37" t="s">
        <v>10</v>
      </c>
      <c r="D855" s="326">
        <v>76.11</v>
      </c>
    </row>
    <row r="856" spans="1:4" ht="13.5">
      <c r="A856" s="37">
        <v>89238</v>
      </c>
      <c r="B856" s="37" t="s">
        <v>2908</v>
      </c>
      <c r="C856" s="37" t="s">
        <v>10</v>
      </c>
      <c r="D856" s="326">
        <v>443.37</v>
      </c>
    </row>
    <row r="857" spans="1:4" ht="13.5">
      <c r="A857" s="37">
        <v>89239</v>
      </c>
      <c r="B857" s="37" t="s">
        <v>2909</v>
      </c>
      <c r="C857" s="37" t="s">
        <v>10</v>
      </c>
      <c r="D857" s="326">
        <v>440.94</v>
      </c>
    </row>
    <row r="858" spans="1:4" ht="13.5">
      <c r="A858" s="37">
        <v>89240</v>
      </c>
      <c r="B858" s="37" t="s">
        <v>2910</v>
      </c>
      <c r="C858" s="37" t="s">
        <v>10</v>
      </c>
      <c r="D858" s="326">
        <v>76.28</v>
      </c>
    </row>
    <row r="859" spans="1:4" ht="13.5">
      <c r="A859" s="37">
        <v>89241</v>
      </c>
      <c r="B859" s="37" t="s">
        <v>2911</v>
      </c>
      <c r="C859" s="37" t="s">
        <v>10</v>
      </c>
      <c r="D859" s="326">
        <v>26.89</v>
      </c>
    </row>
    <row r="860" spans="1:4" ht="13.5">
      <c r="A860" s="37">
        <v>89246</v>
      </c>
      <c r="B860" s="37" t="s">
        <v>2912</v>
      </c>
      <c r="C860" s="37" t="s">
        <v>10</v>
      </c>
      <c r="D860" s="326">
        <v>215.99</v>
      </c>
    </row>
    <row r="861" spans="1:4" ht="13.5">
      <c r="A861" s="37">
        <v>89247</v>
      </c>
      <c r="B861" s="37" t="s">
        <v>2913</v>
      </c>
      <c r="C861" s="37" t="s">
        <v>10</v>
      </c>
      <c r="D861" s="326">
        <v>66.13</v>
      </c>
    </row>
    <row r="862" spans="1:4" ht="13.5">
      <c r="A862" s="37">
        <v>89248</v>
      </c>
      <c r="B862" s="37" t="s">
        <v>2914</v>
      </c>
      <c r="C862" s="37" t="s">
        <v>10</v>
      </c>
      <c r="D862" s="326">
        <v>385.26</v>
      </c>
    </row>
    <row r="863" spans="1:4" ht="13.5">
      <c r="A863" s="37">
        <v>89249</v>
      </c>
      <c r="B863" s="37" t="s">
        <v>2915</v>
      </c>
      <c r="C863" s="37" t="s">
        <v>10</v>
      </c>
      <c r="D863" s="326">
        <v>375.87</v>
      </c>
    </row>
    <row r="864" spans="1:4" ht="13.5">
      <c r="A864" s="37">
        <v>89253</v>
      </c>
      <c r="B864" s="37" t="s">
        <v>2916</v>
      </c>
      <c r="C864" s="37" t="s">
        <v>10</v>
      </c>
      <c r="D864" s="326">
        <v>62.51</v>
      </c>
    </row>
    <row r="865" spans="1:4" ht="13.5">
      <c r="A865" s="37">
        <v>89254</v>
      </c>
      <c r="B865" s="37" t="s">
        <v>2917</v>
      </c>
      <c r="C865" s="37" t="s">
        <v>10</v>
      </c>
      <c r="D865" s="326">
        <v>22.03</v>
      </c>
    </row>
    <row r="866" spans="1:4" ht="13.5">
      <c r="A866" s="37">
        <v>89255</v>
      </c>
      <c r="B866" s="37" t="s">
        <v>2918</v>
      </c>
      <c r="C866" s="37" t="s">
        <v>10</v>
      </c>
      <c r="D866" s="326">
        <v>100.48</v>
      </c>
    </row>
    <row r="867" spans="1:4" ht="13.5">
      <c r="A867" s="37">
        <v>89256</v>
      </c>
      <c r="B867" s="37" t="s">
        <v>2919</v>
      </c>
      <c r="C867" s="37" t="s">
        <v>10</v>
      </c>
      <c r="D867" s="326">
        <v>84.59</v>
      </c>
    </row>
    <row r="868" spans="1:4" ht="13.5">
      <c r="A868" s="37">
        <v>89259</v>
      </c>
      <c r="B868" s="37" t="s">
        <v>2920</v>
      </c>
      <c r="C868" s="37" t="s">
        <v>10</v>
      </c>
      <c r="D868" s="326">
        <v>26.47</v>
      </c>
    </row>
    <row r="869" spans="1:4" ht="13.5">
      <c r="A869" s="37">
        <v>89260</v>
      </c>
      <c r="B869" s="37" t="s">
        <v>2921</v>
      </c>
      <c r="C869" s="37" t="s">
        <v>10</v>
      </c>
      <c r="D869" s="326">
        <v>9.73</v>
      </c>
    </row>
    <row r="870" spans="1:4" ht="13.5">
      <c r="A870" s="37">
        <v>89262</v>
      </c>
      <c r="B870" s="37" t="s">
        <v>2922</v>
      </c>
      <c r="C870" s="37" t="s">
        <v>10</v>
      </c>
      <c r="D870" s="326">
        <v>44.83</v>
      </c>
    </row>
    <row r="871" spans="1:4" ht="13.5">
      <c r="A871" s="37">
        <v>89264</v>
      </c>
      <c r="B871" s="37" t="s">
        <v>2923</v>
      </c>
      <c r="C871" s="37" t="s">
        <v>10</v>
      </c>
      <c r="D871" s="326">
        <v>20.309999999999999</v>
      </c>
    </row>
    <row r="872" spans="1:4" ht="13.5">
      <c r="A872" s="37">
        <v>89265</v>
      </c>
      <c r="B872" s="37" t="s">
        <v>2924</v>
      </c>
      <c r="C872" s="37" t="s">
        <v>10</v>
      </c>
      <c r="D872" s="326">
        <v>8.1199999999999992</v>
      </c>
    </row>
    <row r="873" spans="1:4" ht="13.5">
      <c r="A873" s="37">
        <v>89266</v>
      </c>
      <c r="B873" s="37" t="s">
        <v>2925</v>
      </c>
      <c r="C873" s="37" t="s">
        <v>10</v>
      </c>
      <c r="D873" s="326">
        <v>3.28</v>
      </c>
    </row>
    <row r="874" spans="1:4" ht="13.5">
      <c r="A874" s="37">
        <v>89267</v>
      </c>
      <c r="B874" s="37" t="s">
        <v>2926</v>
      </c>
      <c r="C874" s="37" t="s">
        <v>10</v>
      </c>
      <c r="D874" s="326">
        <v>50.32</v>
      </c>
    </row>
    <row r="875" spans="1:4" ht="13.5">
      <c r="A875" s="37">
        <v>89268</v>
      </c>
      <c r="B875" s="37" t="s">
        <v>2927</v>
      </c>
      <c r="C875" s="37" t="s">
        <v>10</v>
      </c>
      <c r="D875" s="326">
        <v>17.739999999999998</v>
      </c>
    </row>
    <row r="876" spans="1:4" ht="13.5">
      <c r="A876" s="37">
        <v>89269</v>
      </c>
      <c r="B876" s="37" t="s">
        <v>2928</v>
      </c>
      <c r="C876" s="37" t="s">
        <v>10</v>
      </c>
      <c r="D876" s="326">
        <v>7.17</v>
      </c>
    </row>
    <row r="877" spans="1:4" ht="13.5">
      <c r="A877" s="37">
        <v>89270</v>
      </c>
      <c r="B877" s="37" t="s">
        <v>2929</v>
      </c>
      <c r="C877" s="37" t="s">
        <v>10</v>
      </c>
      <c r="D877" s="326">
        <v>80.900000000000006</v>
      </c>
    </row>
    <row r="878" spans="1:4" ht="13.5">
      <c r="A878" s="37">
        <v>89271</v>
      </c>
      <c r="B878" s="37" t="s">
        <v>2930</v>
      </c>
      <c r="C878" s="37" t="s">
        <v>10</v>
      </c>
      <c r="D878" s="326">
        <v>28.95</v>
      </c>
    </row>
    <row r="879" spans="1:4" ht="13.5">
      <c r="A879" s="37">
        <v>89274</v>
      </c>
      <c r="B879" s="37" t="s">
        <v>16702</v>
      </c>
      <c r="C879" s="37" t="s">
        <v>10</v>
      </c>
      <c r="D879" s="326">
        <v>1.43</v>
      </c>
    </row>
    <row r="880" spans="1:4" ht="13.5">
      <c r="A880" s="37">
        <v>89275</v>
      </c>
      <c r="B880" s="37" t="s">
        <v>16703</v>
      </c>
      <c r="C880" s="37" t="s">
        <v>10</v>
      </c>
      <c r="D880" s="326">
        <v>0.35</v>
      </c>
    </row>
    <row r="881" spans="1:4" ht="13.5">
      <c r="A881" s="37">
        <v>89276</v>
      </c>
      <c r="B881" s="37" t="s">
        <v>16704</v>
      </c>
      <c r="C881" s="37" t="s">
        <v>10</v>
      </c>
      <c r="D881" s="326">
        <v>1.91</v>
      </c>
    </row>
    <row r="882" spans="1:4" ht="13.5">
      <c r="A882" s="37">
        <v>89277</v>
      </c>
      <c r="B882" s="37" t="s">
        <v>16705</v>
      </c>
      <c r="C882" s="37" t="s">
        <v>10</v>
      </c>
      <c r="D882" s="326">
        <v>8.4600000000000009</v>
      </c>
    </row>
    <row r="883" spans="1:4" ht="13.5">
      <c r="A883" s="37">
        <v>89280</v>
      </c>
      <c r="B883" s="37" t="s">
        <v>2931</v>
      </c>
      <c r="C883" s="37" t="s">
        <v>10</v>
      </c>
      <c r="D883" s="326">
        <v>39.36</v>
      </c>
    </row>
    <row r="884" spans="1:4" ht="13.5">
      <c r="A884" s="37">
        <v>89281</v>
      </c>
      <c r="B884" s="37" t="s">
        <v>2932</v>
      </c>
      <c r="C884" s="37" t="s">
        <v>10</v>
      </c>
      <c r="D884" s="326">
        <v>10.56</v>
      </c>
    </row>
    <row r="885" spans="1:4" ht="13.5">
      <c r="A885" s="37">
        <v>89870</v>
      </c>
      <c r="B885" s="37" t="s">
        <v>2933</v>
      </c>
      <c r="C885" s="37" t="s">
        <v>10</v>
      </c>
      <c r="D885" s="326">
        <v>38.01</v>
      </c>
    </row>
    <row r="886" spans="1:4" ht="13.5">
      <c r="A886" s="37">
        <v>89871</v>
      </c>
      <c r="B886" s="37" t="s">
        <v>2934</v>
      </c>
      <c r="C886" s="37" t="s">
        <v>10</v>
      </c>
      <c r="D886" s="326">
        <v>13.55</v>
      </c>
    </row>
    <row r="887" spans="1:4" ht="13.5">
      <c r="A887" s="37">
        <v>89872</v>
      </c>
      <c r="B887" s="37" t="s">
        <v>2935</v>
      </c>
      <c r="C887" s="37" t="s">
        <v>10</v>
      </c>
      <c r="D887" s="326">
        <v>5.47</v>
      </c>
    </row>
    <row r="888" spans="1:4" ht="13.5">
      <c r="A888" s="37">
        <v>89873</v>
      </c>
      <c r="B888" s="37" t="s">
        <v>2936</v>
      </c>
      <c r="C888" s="37" t="s">
        <v>10</v>
      </c>
      <c r="D888" s="326">
        <v>65.53</v>
      </c>
    </row>
    <row r="889" spans="1:4" ht="13.5">
      <c r="A889" s="37">
        <v>89874</v>
      </c>
      <c r="B889" s="37" t="s">
        <v>2937</v>
      </c>
      <c r="C889" s="37" t="s">
        <v>10</v>
      </c>
      <c r="D889" s="326">
        <v>175.93</v>
      </c>
    </row>
    <row r="890" spans="1:4" ht="13.5">
      <c r="A890" s="37">
        <v>89878</v>
      </c>
      <c r="B890" s="37" t="s">
        <v>2938</v>
      </c>
      <c r="C890" s="37" t="s">
        <v>10</v>
      </c>
      <c r="D890" s="326">
        <v>40.51</v>
      </c>
    </row>
    <row r="891" spans="1:4" ht="13.5">
      <c r="A891" s="37">
        <v>89879</v>
      </c>
      <c r="B891" s="37" t="s">
        <v>2940</v>
      </c>
      <c r="C891" s="37" t="s">
        <v>10</v>
      </c>
      <c r="D891" s="326">
        <v>14.21</v>
      </c>
    </row>
    <row r="892" spans="1:4" ht="13.5">
      <c r="A892" s="37">
        <v>89880</v>
      </c>
      <c r="B892" s="37" t="s">
        <v>2941</v>
      </c>
      <c r="C892" s="37" t="s">
        <v>10</v>
      </c>
      <c r="D892" s="326">
        <v>5.73</v>
      </c>
    </row>
    <row r="893" spans="1:4" ht="13.5">
      <c r="A893" s="37">
        <v>89881</v>
      </c>
      <c r="B893" s="37" t="s">
        <v>2942</v>
      </c>
      <c r="C893" s="37" t="s">
        <v>10</v>
      </c>
      <c r="D893" s="326">
        <v>69.19</v>
      </c>
    </row>
    <row r="894" spans="1:4" ht="13.5">
      <c r="A894" s="37">
        <v>89882</v>
      </c>
      <c r="B894" s="37" t="s">
        <v>2943</v>
      </c>
      <c r="C894" s="37" t="s">
        <v>10</v>
      </c>
      <c r="D894" s="326">
        <v>202.98</v>
      </c>
    </row>
    <row r="895" spans="1:4" ht="13.5">
      <c r="A895" s="37">
        <v>90582</v>
      </c>
      <c r="B895" s="37" t="s">
        <v>2944</v>
      </c>
      <c r="C895" s="37" t="s">
        <v>10</v>
      </c>
      <c r="D895" s="326">
        <v>0.35</v>
      </c>
    </row>
    <row r="896" spans="1:4" ht="13.5">
      <c r="A896" s="37">
        <v>90583</v>
      </c>
      <c r="B896" s="37" t="s">
        <v>2945</v>
      </c>
      <c r="C896" s="37" t="s">
        <v>10</v>
      </c>
      <c r="D896" s="326">
        <v>0.08</v>
      </c>
    </row>
    <row r="897" spans="1:4" ht="13.5">
      <c r="A897" s="37">
        <v>90584</v>
      </c>
      <c r="B897" s="37" t="s">
        <v>2946</v>
      </c>
      <c r="C897" s="37" t="s">
        <v>10</v>
      </c>
      <c r="D897" s="326">
        <v>0.28000000000000003</v>
      </c>
    </row>
    <row r="898" spans="1:4" ht="13.5">
      <c r="A898" s="37">
        <v>90585</v>
      </c>
      <c r="B898" s="37" t="s">
        <v>2947</v>
      </c>
      <c r="C898" s="37" t="s">
        <v>10</v>
      </c>
      <c r="D898" s="326">
        <v>0.44</v>
      </c>
    </row>
    <row r="899" spans="1:4" ht="13.5">
      <c r="A899" s="37">
        <v>90621</v>
      </c>
      <c r="B899" s="37" t="s">
        <v>2948</v>
      </c>
      <c r="C899" s="37" t="s">
        <v>10</v>
      </c>
      <c r="D899" s="326">
        <v>1.97</v>
      </c>
    </row>
    <row r="900" spans="1:4" ht="13.5">
      <c r="A900" s="37">
        <v>90622</v>
      </c>
      <c r="B900" s="37" t="s">
        <v>2949</v>
      </c>
      <c r="C900" s="37" t="s">
        <v>10</v>
      </c>
      <c r="D900" s="326">
        <v>0.45</v>
      </c>
    </row>
    <row r="901" spans="1:4" ht="13.5">
      <c r="A901" s="37">
        <v>90623</v>
      </c>
      <c r="B901" s="37" t="s">
        <v>2950</v>
      </c>
      <c r="C901" s="37" t="s">
        <v>10</v>
      </c>
      <c r="D901" s="326">
        <v>2.4700000000000002</v>
      </c>
    </row>
    <row r="902" spans="1:4" ht="13.5">
      <c r="A902" s="37">
        <v>90624</v>
      </c>
      <c r="B902" s="37" t="s">
        <v>2951</v>
      </c>
      <c r="C902" s="37" t="s">
        <v>10</v>
      </c>
      <c r="D902" s="326">
        <v>2.66</v>
      </c>
    </row>
    <row r="903" spans="1:4" ht="13.5">
      <c r="A903" s="37">
        <v>90627</v>
      </c>
      <c r="B903" s="37" t="s">
        <v>2952</v>
      </c>
      <c r="C903" s="37" t="s">
        <v>10</v>
      </c>
      <c r="D903" s="326">
        <v>46.69</v>
      </c>
    </row>
    <row r="904" spans="1:4" ht="13.5">
      <c r="A904" s="37">
        <v>90628</v>
      </c>
      <c r="B904" s="37" t="s">
        <v>2953</v>
      </c>
      <c r="C904" s="37" t="s">
        <v>10</v>
      </c>
      <c r="D904" s="326">
        <v>12.52</v>
      </c>
    </row>
    <row r="905" spans="1:4" ht="13.5">
      <c r="A905" s="37">
        <v>90629</v>
      </c>
      <c r="B905" s="37" t="s">
        <v>2954</v>
      </c>
      <c r="C905" s="37" t="s">
        <v>10</v>
      </c>
      <c r="D905" s="326">
        <v>58.43</v>
      </c>
    </row>
    <row r="906" spans="1:4" ht="13.5">
      <c r="A906" s="37">
        <v>90630</v>
      </c>
      <c r="B906" s="37" t="s">
        <v>2955</v>
      </c>
      <c r="C906" s="37" t="s">
        <v>10</v>
      </c>
      <c r="D906" s="326">
        <v>1.26</v>
      </c>
    </row>
    <row r="907" spans="1:4" ht="13.5">
      <c r="A907" s="37">
        <v>90633</v>
      </c>
      <c r="B907" s="37" t="s">
        <v>2956</v>
      </c>
      <c r="C907" s="37" t="s">
        <v>10</v>
      </c>
      <c r="D907" s="326">
        <v>3.89</v>
      </c>
    </row>
    <row r="908" spans="1:4" ht="13.5">
      <c r="A908" s="37">
        <v>90634</v>
      </c>
      <c r="B908" s="37" t="s">
        <v>2957</v>
      </c>
      <c r="C908" s="37" t="s">
        <v>10</v>
      </c>
      <c r="D908" s="326">
        <v>0.9</v>
      </c>
    </row>
    <row r="909" spans="1:4" ht="13.5">
      <c r="A909" s="37">
        <v>90635</v>
      </c>
      <c r="B909" s="37" t="s">
        <v>2958</v>
      </c>
      <c r="C909" s="37" t="s">
        <v>10</v>
      </c>
      <c r="D909" s="326">
        <v>4.26</v>
      </c>
    </row>
    <row r="910" spans="1:4" ht="13.5">
      <c r="A910" s="37">
        <v>90636</v>
      </c>
      <c r="B910" s="37" t="s">
        <v>2959</v>
      </c>
      <c r="C910" s="37" t="s">
        <v>10</v>
      </c>
      <c r="D910" s="326">
        <v>5.32</v>
      </c>
    </row>
    <row r="911" spans="1:4" ht="13.5">
      <c r="A911" s="37">
        <v>90639</v>
      </c>
      <c r="B911" s="37" t="s">
        <v>2960</v>
      </c>
      <c r="C911" s="37" t="s">
        <v>10</v>
      </c>
      <c r="D911" s="326">
        <v>5.81</v>
      </c>
    </row>
    <row r="912" spans="1:4" ht="13.5">
      <c r="A912" s="37">
        <v>90640</v>
      </c>
      <c r="B912" s="37" t="s">
        <v>2961</v>
      </c>
      <c r="C912" s="37" t="s">
        <v>10</v>
      </c>
      <c r="D912" s="326">
        <v>1.34</v>
      </c>
    </row>
    <row r="913" spans="1:4" ht="13.5">
      <c r="A913" s="37">
        <v>90641</v>
      </c>
      <c r="B913" s="37" t="s">
        <v>2962</v>
      </c>
      <c r="C913" s="37" t="s">
        <v>10</v>
      </c>
      <c r="D913" s="326">
        <v>6.36</v>
      </c>
    </row>
    <row r="914" spans="1:4" ht="13.5">
      <c r="A914" s="37">
        <v>90642</v>
      </c>
      <c r="B914" s="37" t="s">
        <v>2963</v>
      </c>
      <c r="C914" s="37" t="s">
        <v>10</v>
      </c>
      <c r="D914" s="326">
        <v>12.53</v>
      </c>
    </row>
    <row r="915" spans="1:4" ht="13.5">
      <c r="A915" s="37">
        <v>90646</v>
      </c>
      <c r="B915" s="37" t="s">
        <v>2964</v>
      </c>
      <c r="C915" s="37" t="s">
        <v>10</v>
      </c>
      <c r="D915" s="326">
        <v>0.78</v>
      </c>
    </row>
    <row r="916" spans="1:4" ht="13.5">
      <c r="A916" s="37">
        <v>90647</v>
      </c>
      <c r="B916" s="37" t="s">
        <v>2965</v>
      </c>
      <c r="C916" s="37" t="s">
        <v>10</v>
      </c>
      <c r="D916" s="326">
        <v>0.18</v>
      </c>
    </row>
    <row r="917" spans="1:4" ht="13.5">
      <c r="A917" s="37">
        <v>90648</v>
      </c>
      <c r="B917" s="37" t="s">
        <v>2966</v>
      </c>
      <c r="C917" s="37" t="s">
        <v>10</v>
      </c>
      <c r="D917" s="326">
        <v>0.85</v>
      </c>
    </row>
    <row r="918" spans="1:4" ht="13.5">
      <c r="A918" s="37">
        <v>90649</v>
      </c>
      <c r="B918" s="37" t="s">
        <v>2967</v>
      </c>
      <c r="C918" s="37" t="s">
        <v>10</v>
      </c>
      <c r="D918" s="326">
        <v>8.27</v>
      </c>
    </row>
    <row r="919" spans="1:4" ht="13.5">
      <c r="A919" s="37">
        <v>90652</v>
      </c>
      <c r="B919" s="37" t="s">
        <v>2968</v>
      </c>
      <c r="C919" s="37" t="s">
        <v>10</v>
      </c>
      <c r="D919" s="326">
        <v>3.78</v>
      </c>
    </row>
    <row r="920" spans="1:4" ht="13.5">
      <c r="A920" s="37">
        <v>90653</v>
      </c>
      <c r="B920" s="37" t="s">
        <v>2969</v>
      </c>
      <c r="C920" s="37" t="s">
        <v>10</v>
      </c>
      <c r="D920" s="326">
        <v>0.87</v>
      </c>
    </row>
    <row r="921" spans="1:4" ht="13.5">
      <c r="A921" s="37">
        <v>90654</v>
      </c>
      <c r="B921" s="37" t="s">
        <v>2970</v>
      </c>
      <c r="C921" s="37" t="s">
        <v>10</v>
      </c>
      <c r="D921" s="326">
        <v>4.1399999999999997</v>
      </c>
    </row>
    <row r="922" spans="1:4" ht="13.5">
      <c r="A922" s="37">
        <v>90655</v>
      </c>
      <c r="B922" s="37" t="s">
        <v>2971</v>
      </c>
      <c r="C922" s="37" t="s">
        <v>10</v>
      </c>
      <c r="D922" s="326">
        <v>5.44</v>
      </c>
    </row>
    <row r="923" spans="1:4" ht="13.5">
      <c r="A923" s="37">
        <v>90658</v>
      </c>
      <c r="B923" s="37" t="s">
        <v>2972</v>
      </c>
      <c r="C923" s="37" t="s">
        <v>10</v>
      </c>
      <c r="D923" s="326">
        <v>4.05</v>
      </c>
    </row>
    <row r="924" spans="1:4" ht="13.5">
      <c r="A924" s="37">
        <v>90659</v>
      </c>
      <c r="B924" s="37" t="s">
        <v>2973</v>
      </c>
      <c r="C924" s="37" t="s">
        <v>10</v>
      </c>
      <c r="D924" s="326">
        <v>0.93</v>
      </c>
    </row>
    <row r="925" spans="1:4" ht="13.5">
      <c r="A925" s="37">
        <v>90660</v>
      </c>
      <c r="B925" s="37" t="s">
        <v>2975</v>
      </c>
      <c r="C925" s="37" t="s">
        <v>10</v>
      </c>
      <c r="D925" s="326">
        <v>4.43</v>
      </c>
    </row>
    <row r="926" spans="1:4" ht="13.5">
      <c r="A926" s="37">
        <v>90661</v>
      </c>
      <c r="B926" s="37" t="s">
        <v>2976</v>
      </c>
      <c r="C926" s="37" t="s">
        <v>10</v>
      </c>
      <c r="D926" s="326">
        <v>5.44</v>
      </c>
    </row>
    <row r="927" spans="1:4" ht="13.5">
      <c r="A927" s="37">
        <v>90664</v>
      </c>
      <c r="B927" s="37" t="s">
        <v>16706</v>
      </c>
      <c r="C927" s="37" t="s">
        <v>10</v>
      </c>
      <c r="D927" s="326">
        <v>6.82</v>
      </c>
    </row>
    <row r="928" spans="1:4" ht="13.5">
      <c r="A928" s="37">
        <v>90665</v>
      </c>
      <c r="B928" s="37" t="s">
        <v>16707</v>
      </c>
      <c r="C928" s="37" t="s">
        <v>10</v>
      </c>
      <c r="D928" s="326">
        <v>1.82</v>
      </c>
    </row>
    <row r="929" spans="1:4" ht="13.5">
      <c r="A929" s="37">
        <v>90666</v>
      </c>
      <c r="B929" s="37" t="s">
        <v>16708</v>
      </c>
      <c r="C929" s="37" t="s">
        <v>10</v>
      </c>
      <c r="D929" s="326">
        <v>8.9600000000000009</v>
      </c>
    </row>
    <row r="930" spans="1:4" ht="13.5">
      <c r="A930" s="37">
        <v>90667</v>
      </c>
      <c r="B930" s="37" t="s">
        <v>16709</v>
      </c>
      <c r="C930" s="37" t="s">
        <v>10</v>
      </c>
      <c r="D930" s="326">
        <v>14.93</v>
      </c>
    </row>
    <row r="931" spans="1:4" ht="13.5">
      <c r="A931" s="37">
        <v>90670</v>
      </c>
      <c r="B931" s="37" t="s">
        <v>2978</v>
      </c>
      <c r="C931" s="37" t="s">
        <v>10</v>
      </c>
      <c r="D931" s="326">
        <v>214.3</v>
      </c>
    </row>
    <row r="932" spans="1:4" ht="13.5">
      <c r="A932" s="37">
        <v>90671</v>
      </c>
      <c r="B932" s="37" t="s">
        <v>2979</v>
      </c>
      <c r="C932" s="37" t="s">
        <v>10</v>
      </c>
      <c r="D932" s="326">
        <v>57.49</v>
      </c>
    </row>
    <row r="933" spans="1:4" ht="13.5">
      <c r="A933" s="37">
        <v>90672</v>
      </c>
      <c r="B933" s="37" t="s">
        <v>2980</v>
      </c>
      <c r="C933" s="37" t="s">
        <v>10</v>
      </c>
      <c r="D933" s="326">
        <v>268.18</v>
      </c>
    </row>
    <row r="934" spans="1:4" ht="13.5">
      <c r="A934" s="37">
        <v>90673</v>
      </c>
      <c r="B934" s="37" t="s">
        <v>2981</v>
      </c>
      <c r="C934" s="37" t="s">
        <v>10</v>
      </c>
      <c r="D934" s="326">
        <v>119.34</v>
      </c>
    </row>
    <row r="935" spans="1:4" ht="13.5">
      <c r="A935" s="37">
        <v>90676</v>
      </c>
      <c r="B935" s="37" t="s">
        <v>2982</v>
      </c>
      <c r="C935" s="37" t="s">
        <v>10</v>
      </c>
      <c r="D935" s="326">
        <v>103.96</v>
      </c>
    </row>
    <row r="936" spans="1:4" ht="13.5">
      <c r="A936" s="37">
        <v>90677</v>
      </c>
      <c r="B936" s="37" t="s">
        <v>2983</v>
      </c>
      <c r="C936" s="37" t="s">
        <v>10</v>
      </c>
      <c r="D936" s="326">
        <v>31.11</v>
      </c>
    </row>
    <row r="937" spans="1:4" ht="13.5">
      <c r="A937" s="37">
        <v>90678</v>
      </c>
      <c r="B937" s="37" t="s">
        <v>2984</v>
      </c>
      <c r="C937" s="37" t="s">
        <v>10</v>
      </c>
      <c r="D937" s="326">
        <v>144.11000000000001</v>
      </c>
    </row>
    <row r="938" spans="1:4" ht="13.5">
      <c r="A938" s="37">
        <v>90679</v>
      </c>
      <c r="B938" s="37" t="s">
        <v>2985</v>
      </c>
      <c r="C938" s="37" t="s">
        <v>10</v>
      </c>
      <c r="D938" s="326">
        <v>91.52</v>
      </c>
    </row>
    <row r="939" spans="1:4" ht="13.5">
      <c r="A939" s="37">
        <v>90682</v>
      </c>
      <c r="B939" s="37" t="s">
        <v>16710</v>
      </c>
      <c r="C939" s="37" t="s">
        <v>10</v>
      </c>
      <c r="D939" s="326">
        <v>30.9</v>
      </c>
    </row>
    <row r="940" spans="1:4" ht="13.5">
      <c r="A940" s="37">
        <v>90683</v>
      </c>
      <c r="B940" s="37" t="s">
        <v>16711</v>
      </c>
      <c r="C940" s="37" t="s">
        <v>10</v>
      </c>
      <c r="D940" s="326">
        <v>7.62</v>
      </c>
    </row>
    <row r="941" spans="1:4" ht="13.5">
      <c r="A941" s="37">
        <v>90684</v>
      </c>
      <c r="B941" s="37" t="s">
        <v>16712</v>
      </c>
      <c r="C941" s="37" t="s">
        <v>10</v>
      </c>
      <c r="D941" s="326">
        <v>36.049999999999997</v>
      </c>
    </row>
    <row r="942" spans="1:4" ht="13.5">
      <c r="A942" s="37">
        <v>90685</v>
      </c>
      <c r="B942" s="37" t="s">
        <v>16713</v>
      </c>
      <c r="C942" s="37" t="s">
        <v>10</v>
      </c>
      <c r="D942" s="326">
        <v>56.78</v>
      </c>
    </row>
    <row r="943" spans="1:4" ht="13.5">
      <c r="A943" s="37">
        <v>90688</v>
      </c>
      <c r="B943" s="37" t="s">
        <v>2986</v>
      </c>
      <c r="C943" s="37" t="s">
        <v>10</v>
      </c>
      <c r="D943" s="326">
        <v>25.6</v>
      </c>
    </row>
    <row r="944" spans="1:4" ht="13.5">
      <c r="A944" s="37">
        <v>90689</v>
      </c>
      <c r="B944" s="37" t="s">
        <v>2987</v>
      </c>
      <c r="C944" s="37" t="s">
        <v>10</v>
      </c>
      <c r="D944" s="326">
        <v>5.05</v>
      </c>
    </row>
    <row r="945" spans="1:4" ht="13.5">
      <c r="A945" s="37">
        <v>90690</v>
      </c>
      <c r="B945" s="37" t="s">
        <v>2988</v>
      </c>
      <c r="C945" s="37" t="s">
        <v>10</v>
      </c>
      <c r="D945" s="326">
        <v>32</v>
      </c>
    </row>
    <row r="946" spans="1:4" ht="13.5">
      <c r="A946" s="37">
        <v>90691</v>
      </c>
      <c r="B946" s="37" t="s">
        <v>2989</v>
      </c>
      <c r="C946" s="37" t="s">
        <v>10</v>
      </c>
      <c r="D946" s="326">
        <v>39.76</v>
      </c>
    </row>
    <row r="947" spans="1:4" ht="13.5">
      <c r="A947" s="37">
        <v>90957</v>
      </c>
      <c r="B947" s="37" t="s">
        <v>2990</v>
      </c>
      <c r="C947" s="37" t="s">
        <v>10</v>
      </c>
      <c r="D947" s="326">
        <v>5.08</v>
      </c>
    </row>
    <row r="948" spans="1:4" ht="13.5">
      <c r="A948" s="37">
        <v>90958</v>
      </c>
      <c r="B948" s="37" t="s">
        <v>2991</v>
      </c>
      <c r="C948" s="37" t="s">
        <v>10</v>
      </c>
      <c r="D948" s="326">
        <v>1.36</v>
      </c>
    </row>
    <row r="949" spans="1:4" ht="13.5">
      <c r="A949" s="37">
        <v>90960</v>
      </c>
      <c r="B949" s="37" t="s">
        <v>2992</v>
      </c>
      <c r="C949" s="37" t="s">
        <v>10</v>
      </c>
      <c r="D949" s="326">
        <v>6.78</v>
      </c>
    </row>
    <row r="950" spans="1:4" ht="13.5">
      <c r="A950" s="37">
        <v>90961</v>
      </c>
      <c r="B950" s="37" t="s">
        <v>2993</v>
      </c>
      <c r="C950" s="37" t="s">
        <v>10</v>
      </c>
      <c r="D950" s="326">
        <v>1.82</v>
      </c>
    </row>
    <row r="951" spans="1:4" ht="13.5">
      <c r="A951" s="37">
        <v>90962</v>
      </c>
      <c r="B951" s="37" t="s">
        <v>2994</v>
      </c>
      <c r="C951" s="37" t="s">
        <v>10</v>
      </c>
      <c r="D951" s="326">
        <v>8.49</v>
      </c>
    </row>
    <row r="952" spans="1:4" ht="13.5">
      <c r="A952" s="37">
        <v>90963</v>
      </c>
      <c r="B952" s="37" t="s">
        <v>2995</v>
      </c>
      <c r="C952" s="37" t="s">
        <v>10</v>
      </c>
      <c r="D952" s="326">
        <v>14.92</v>
      </c>
    </row>
    <row r="953" spans="1:4" ht="13.5">
      <c r="A953" s="37">
        <v>90968</v>
      </c>
      <c r="B953" s="37" t="s">
        <v>2996</v>
      </c>
      <c r="C953" s="37" t="s">
        <v>10</v>
      </c>
      <c r="D953" s="326">
        <v>6.8</v>
      </c>
    </row>
    <row r="954" spans="1:4" ht="13.5">
      <c r="A954" s="37">
        <v>90969</v>
      </c>
      <c r="B954" s="37" t="s">
        <v>2997</v>
      </c>
      <c r="C954" s="37" t="s">
        <v>10</v>
      </c>
      <c r="D954" s="326">
        <v>1.82</v>
      </c>
    </row>
    <row r="955" spans="1:4" ht="13.5">
      <c r="A955" s="37">
        <v>90970</v>
      </c>
      <c r="B955" s="37" t="s">
        <v>2998</v>
      </c>
      <c r="C955" s="37" t="s">
        <v>10</v>
      </c>
      <c r="D955" s="326">
        <v>8.51</v>
      </c>
    </row>
    <row r="956" spans="1:4" ht="13.5">
      <c r="A956" s="37">
        <v>90971</v>
      </c>
      <c r="B956" s="37" t="s">
        <v>2999</v>
      </c>
      <c r="C956" s="37" t="s">
        <v>10</v>
      </c>
      <c r="D956" s="326">
        <v>60.47</v>
      </c>
    </row>
    <row r="957" spans="1:4" ht="13.5">
      <c r="A957" s="37">
        <v>90975</v>
      </c>
      <c r="B957" s="37" t="s">
        <v>3000</v>
      </c>
      <c r="C957" s="37" t="s">
        <v>10</v>
      </c>
      <c r="D957" s="326">
        <v>17.28</v>
      </c>
    </row>
    <row r="958" spans="1:4" ht="13.5">
      <c r="A958" s="37">
        <v>90976</v>
      </c>
      <c r="B958" s="37" t="s">
        <v>3001</v>
      </c>
      <c r="C958" s="37" t="s">
        <v>10</v>
      </c>
      <c r="D958" s="326">
        <v>4.63</v>
      </c>
    </row>
    <row r="959" spans="1:4" ht="13.5">
      <c r="A959" s="37">
        <v>90977</v>
      </c>
      <c r="B959" s="37" t="s">
        <v>3002</v>
      </c>
      <c r="C959" s="37" t="s">
        <v>10</v>
      </c>
      <c r="D959" s="326">
        <v>21.62</v>
      </c>
    </row>
    <row r="960" spans="1:4" ht="13.5">
      <c r="A960" s="37">
        <v>90978</v>
      </c>
      <c r="B960" s="37" t="s">
        <v>3003</v>
      </c>
      <c r="C960" s="37" t="s">
        <v>10</v>
      </c>
      <c r="D960" s="326">
        <v>156.88999999999999</v>
      </c>
    </row>
    <row r="961" spans="1:4" ht="13.5">
      <c r="A961" s="37">
        <v>90992</v>
      </c>
      <c r="B961" s="37" t="s">
        <v>3004</v>
      </c>
      <c r="C961" s="37" t="s">
        <v>10</v>
      </c>
      <c r="D961" s="326">
        <v>8.07</v>
      </c>
    </row>
    <row r="962" spans="1:4" ht="13.5">
      <c r="A962" s="37">
        <v>90993</v>
      </c>
      <c r="B962" s="37" t="s">
        <v>3005</v>
      </c>
      <c r="C962" s="37" t="s">
        <v>10</v>
      </c>
      <c r="D962" s="326">
        <v>2.16</v>
      </c>
    </row>
    <row r="963" spans="1:4" ht="13.5">
      <c r="A963" s="37">
        <v>90994</v>
      </c>
      <c r="B963" s="37" t="s">
        <v>3006</v>
      </c>
      <c r="C963" s="37" t="s">
        <v>10</v>
      </c>
      <c r="D963" s="326">
        <v>10.1</v>
      </c>
    </row>
    <row r="964" spans="1:4" ht="13.5">
      <c r="A964" s="37">
        <v>90995</v>
      </c>
      <c r="B964" s="37" t="s">
        <v>3007</v>
      </c>
      <c r="C964" s="37" t="s">
        <v>10</v>
      </c>
      <c r="D964" s="326">
        <v>82.14</v>
      </c>
    </row>
    <row r="965" spans="1:4" ht="13.5">
      <c r="A965" s="37">
        <v>91021</v>
      </c>
      <c r="B965" s="37" t="s">
        <v>3008</v>
      </c>
      <c r="C965" s="37" t="s">
        <v>10</v>
      </c>
      <c r="D965" s="326">
        <v>12.6</v>
      </c>
    </row>
    <row r="966" spans="1:4" ht="13.5">
      <c r="A966" s="37">
        <v>91026</v>
      </c>
      <c r="B966" s="37" t="s">
        <v>3009</v>
      </c>
      <c r="C966" s="37" t="s">
        <v>10</v>
      </c>
      <c r="D966" s="326">
        <v>23.88</v>
      </c>
    </row>
    <row r="967" spans="1:4" ht="13.5">
      <c r="A967" s="37">
        <v>91027</v>
      </c>
      <c r="B967" s="37" t="s">
        <v>3010</v>
      </c>
      <c r="C967" s="37" t="s">
        <v>10</v>
      </c>
      <c r="D967" s="326">
        <v>9.6</v>
      </c>
    </row>
    <row r="968" spans="1:4" ht="13.5">
      <c r="A968" s="37">
        <v>91028</v>
      </c>
      <c r="B968" s="37" t="s">
        <v>3011</v>
      </c>
      <c r="C968" s="37" t="s">
        <v>10</v>
      </c>
      <c r="D968" s="326">
        <v>3.88</v>
      </c>
    </row>
    <row r="969" spans="1:4" ht="13.5">
      <c r="A969" s="37">
        <v>91029</v>
      </c>
      <c r="B969" s="37" t="s">
        <v>3012</v>
      </c>
      <c r="C969" s="37" t="s">
        <v>10</v>
      </c>
      <c r="D969" s="326">
        <v>43.88</v>
      </c>
    </row>
    <row r="970" spans="1:4" ht="13.5">
      <c r="A970" s="37">
        <v>91030</v>
      </c>
      <c r="B970" s="37" t="s">
        <v>3013</v>
      </c>
      <c r="C970" s="37" t="s">
        <v>10</v>
      </c>
      <c r="D970" s="326">
        <v>146.38</v>
      </c>
    </row>
    <row r="971" spans="1:4" ht="13.5">
      <c r="A971" s="37">
        <v>91273</v>
      </c>
      <c r="B971" s="37" t="s">
        <v>3014</v>
      </c>
      <c r="C971" s="37" t="s">
        <v>10</v>
      </c>
      <c r="D971" s="326">
        <v>0.48</v>
      </c>
    </row>
    <row r="972" spans="1:4" ht="13.5">
      <c r="A972" s="37">
        <v>91274</v>
      </c>
      <c r="B972" s="37" t="s">
        <v>3015</v>
      </c>
      <c r="C972" s="37" t="s">
        <v>10</v>
      </c>
      <c r="D972" s="326">
        <v>0.13</v>
      </c>
    </row>
    <row r="973" spans="1:4" ht="13.5">
      <c r="A973" s="37">
        <v>91275</v>
      </c>
      <c r="B973" s="37" t="s">
        <v>3016</v>
      </c>
      <c r="C973" s="37" t="s">
        <v>10</v>
      </c>
      <c r="D973" s="326">
        <v>0.61</v>
      </c>
    </row>
    <row r="974" spans="1:4" ht="13.5">
      <c r="A974" s="37">
        <v>91276</v>
      </c>
      <c r="B974" s="37" t="s">
        <v>3017</v>
      </c>
      <c r="C974" s="37" t="s">
        <v>10</v>
      </c>
      <c r="D974" s="326">
        <v>8.16</v>
      </c>
    </row>
    <row r="975" spans="1:4" ht="13.5">
      <c r="A975" s="37">
        <v>91279</v>
      </c>
      <c r="B975" s="37" t="s">
        <v>3018</v>
      </c>
      <c r="C975" s="37" t="s">
        <v>10</v>
      </c>
      <c r="D975" s="326">
        <v>0.81</v>
      </c>
    </row>
    <row r="976" spans="1:4" ht="13.5">
      <c r="A976" s="37">
        <v>91280</v>
      </c>
      <c r="B976" s="37" t="s">
        <v>3019</v>
      </c>
      <c r="C976" s="37" t="s">
        <v>10</v>
      </c>
      <c r="D976" s="326">
        <v>0.18</v>
      </c>
    </row>
    <row r="977" spans="1:4" ht="13.5">
      <c r="A977" s="37">
        <v>91281</v>
      </c>
      <c r="B977" s="37" t="s">
        <v>3020</v>
      </c>
      <c r="C977" s="37" t="s">
        <v>10</v>
      </c>
      <c r="D977" s="326">
        <v>1.01</v>
      </c>
    </row>
    <row r="978" spans="1:4" ht="13.5">
      <c r="A978" s="37">
        <v>91282</v>
      </c>
      <c r="B978" s="37" t="s">
        <v>3021</v>
      </c>
      <c r="C978" s="37" t="s">
        <v>10</v>
      </c>
      <c r="D978" s="326">
        <v>8.2200000000000006</v>
      </c>
    </row>
    <row r="979" spans="1:4" ht="13.5">
      <c r="A979" s="37">
        <v>91354</v>
      </c>
      <c r="B979" s="37" t="s">
        <v>3022</v>
      </c>
      <c r="C979" s="37" t="s">
        <v>10</v>
      </c>
      <c r="D979" s="326">
        <v>17.11</v>
      </c>
    </row>
    <row r="980" spans="1:4" ht="13.5">
      <c r="A980" s="37">
        <v>91355</v>
      </c>
      <c r="B980" s="37" t="s">
        <v>3023</v>
      </c>
      <c r="C980" s="37" t="s">
        <v>10</v>
      </c>
      <c r="D980" s="326">
        <v>7.03</v>
      </c>
    </row>
    <row r="981" spans="1:4" ht="13.5">
      <c r="A981" s="37">
        <v>91356</v>
      </c>
      <c r="B981" s="37" t="s">
        <v>3024</v>
      </c>
      <c r="C981" s="37" t="s">
        <v>10</v>
      </c>
      <c r="D981" s="326">
        <v>2.84</v>
      </c>
    </row>
    <row r="982" spans="1:4" ht="13.5">
      <c r="A982" s="37">
        <v>91359</v>
      </c>
      <c r="B982" s="37" t="s">
        <v>3025</v>
      </c>
      <c r="C982" s="37" t="s">
        <v>10</v>
      </c>
      <c r="D982" s="326">
        <v>20.350000000000001</v>
      </c>
    </row>
    <row r="983" spans="1:4" ht="13.5">
      <c r="A983" s="37">
        <v>91360</v>
      </c>
      <c r="B983" s="37" t="s">
        <v>3026</v>
      </c>
      <c r="C983" s="37" t="s">
        <v>10</v>
      </c>
      <c r="D983" s="326">
        <v>7.79</v>
      </c>
    </row>
    <row r="984" spans="1:4" ht="13.5">
      <c r="A984" s="37">
        <v>91361</v>
      </c>
      <c r="B984" s="37" t="s">
        <v>3027</v>
      </c>
      <c r="C984" s="37" t="s">
        <v>10</v>
      </c>
      <c r="D984" s="326">
        <v>3.15</v>
      </c>
    </row>
    <row r="985" spans="1:4" ht="13.5">
      <c r="A985" s="37">
        <v>91367</v>
      </c>
      <c r="B985" s="37" t="s">
        <v>3028</v>
      </c>
      <c r="C985" s="37" t="s">
        <v>10</v>
      </c>
      <c r="D985" s="326">
        <v>21.18</v>
      </c>
    </row>
    <row r="986" spans="1:4" ht="13.5">
      <c r="A986" s="37">
        <v>91368</v>
      </c>
      <c r="B986" s="37" t="s">
        <v>3029</v>
      </c>
      <c r="C986" s="37" t="s">
        <v>10</v>
      </c>
      <c r="D986" s="326">
        <v>8.18</v>
      </c>
    </row>
    <row r="987" spans="1:4" ht="13.5">
      <c r="A987" s="37">
        <v>91369</v>
      </c>
      <c r="B987" s="37" t="s">
        <v>3030</v>
      </c>
      <c r="C987" s="37" t="s">
        <v>10</v>
      </c>
      <c r="D987" s="326">
        <v>3.3</v>
      </c>
    </row>
    <row r="988" spans="1:4" ht="13.5">
      <c r="A988" s="37">
        <v>91375</v>
      </c>
      <c r="B988" s="37" t="s">
        <v>3031</v>
      </c>
      <c r="C988" s="37" t="s">
        <v>10</v>
      </c>
      <c r="D988" s="326">
        <v>18.78</v>
      </c>
    </row>
    <row r="989" spans="1:4" ht="13.5">
      <c r="A989" s="37">
        <v>91376</v>
      </c>
      <c r="B989" s="37" t="s">
        <v>3032</v>
      </c>
      <c r="C989" s="37" t="s">
        <v>10</v>
      </c>
      <c r="D989" s="326">
        <v>7.72</v>
      </c>
    </row>
    <row r="990" spans="1:4" ht="13.5">
      <c r="A990" s="37">
        <v>91377</v>
      </c>
      <c r="B990" s="37" t="s">
        <v>3033</v>
      </c>
      <c r="C990" s="37" t="s">
        <v>10</v>
      </c>
      <c r="D990" s="326">
        <v>3.12</v>
      </c>
    </row>
    <row r="991" spans="1:4" ht="13.5">
      <c r="A991" s="37">
        <v>91380</v>
      </c>
      <c r="B991" s="37" t="s">
        <v>3034</v>
      </c>
      <c r="C991" s="37" t="s">
        <v>10</v>
      </c>
      <c r="D991" s="326">
        <v>27.86</v>
      </c>
    </row>
    <row r="992" spans="1:4" ht="13.5">
      <c r="A992" s="37">
        <v>91381</v>
      </c>
      <c r="B992" s="37" t="s">
        <v>3035</v>
      </c>
      <c r="C992" s="37" t="s">
        <v>10</v>
      </c>
      <c r="D992" s="326">
        <v>10.76</v>
      </c>
    </row>
    <row r="993" spans="1:4" ht="13.5">
      <c r="A993" s="37">
        <v>91382</v>
      </c>
      <c r="B993" s="37" t="s">
        <v>3036</v>
      </c>
      <c r="C993" s="37" t="s">
        <v>10</v>
      </c>
      <c r="D993" s="326">
        <v>4.34</v>
      </c>
    </row>
    <row r="994" spans="1:4" ht="13.5">
      <c r="A994" s="37">
        <v>91383</v>
      </c>
      <c r="B994" s="37" t="s">
        <v>3037</v>
      </c>
      <c r="C994" s="37" t="s">
        <v>10</v>
      </c>
      <c r="D994" s="326">
        <v>50.31</v>
      </c>
    </row>
    <row r="995" spans="1:4" ht="13.5">
      <c r="A995" s="37">
        <v>91384</v>
      </c>
      <c r="B995" s="37" t="s">
        <v>3038</v>
      </c>
      <c r="C995" s="37" t="s">
        <v>10</v>
      </c>
      <c r="D995" s="326">
        <v>141.47999999999999</v>
      </c>
    </row>
    <row r="996" spans="1:4" ht="13.5">
      <c r="A996" s="37">
        <v>91390</v>
      </c>
      <c r="B996" s="37" t="s">
        <v>3039</v>
      </c>
      <c r="C996" s="37" t="s">
        <v>10</v>
      </c>
      <c r="D996" s="326">
        <v>18.54</v>
      </c>
    </row>
    <row r="997" spans="1:4" ht="13.5">
      <c r="A997" s="37">
        <v>91391</v>
      </c>
      <c r="B997" s="37" t="s">
        <v>3040</v>
      </c>
      <c r="C997" s="37" t="s">
        <v>10</v>
      </c>
      <c r="D997" s="326">
        <v>7.4</v>
      </c>
    </row>
    <row r="998" spans="1:4" ht="13.5">
      <c r="A998" s="37">
        <v>91392</v>
      </c>
      <c r="B998" s="37" t="s">
        <v>3041</v>
      </c>
      <c r="C998" s="37" t="s">
        <v>10</v>
      </c>
      <c r="D998" s="326">
        <v>2.99</v>
      </c>
    </row>
    <row r="999" spans="1:4" ht="13.5">
      <c r="A999" s="37">
        <v>91396</v>
      </c>
      <c r="B999" s="37" t="s">
        <v>3042</v>
      </c>
      <c r="C999" s="37" t="s">
        <v>10</v>
      </c>
      <c r="D999" s="326">
        <v>28.24</v>
      </c>
    </row>
    <row r="1000" spans="1:4" ht="13.5">
      <c r="A1000" s="37">
        <v>91397</v>
      </c>
      <c r="B1000" s="37" t="s">
        <v>3044</v>
      </c>
      <c r="C1000" s="37" t="s">
        <v>10</v>
      </c>
      <c r="D1000" s="326">
        <v>10.92</v>
      </c>
    </row>
    <row r="1001" spans="1:4" ht="13.5">
      <c r="A1001" s="37">
        <v>91398</v>
      </c>
      <c r="B1001" s="37" t="s">
        <v>3045</v>
      </c>
      <c r="C1001" s="37" t="s">
        <v>10</v>
      </c>
      <c r="D1001" s="326">
        <v>4.41</v>
      </c>
    </row>
    <row r="1002" spans="1:4" ht="13.5">
      <c r="A1002" s="37">
        <v>91402</v>
      </c>
      <c r="B1002" s="37" t="s">
        <v>3046</v>
      </c>
      <c r="C1002" s="37" t="s">
        <v>10</v>
      </c>
      <c r="D1002" s="326">
        <v>3.43</v>
      </c>
    </row>
    <row r="1003" spans="1:4" ht="13.5">
      <c r="A1003" s="37">
        <v>91466</v>
      </c>
      <c r="B1003" s="37" t="s">
        <v>3047</v>
      </c>
      <c r="C1003" s="37" t="s">
        <v>10</v>
      </c>
      <c r="D1003" s="326">
        <v>3.92</v>
      </c>
    </row>
    <row r="1004" spans="1:4" ht="13.5">
      <c r="A1004" s="37">
        <v>91467</v>
      </c>
      <c r="B1004" s="37" t="s">
        <v>3048</v>
      </c>
      <c r="C1004" s="37" t="s">
        <v>10</v>
      </c>
      <c r="D1004" s="326">
        <v>157.78</v>
      </c>
    </row>
    <row r="1005" spans="1:4" ht="13.5">
      <c r="A1005" s="37">
        <v>91468</v>
      </c>
      <c r="B1005" s="37" t="s">
        <v>16714</v>
      </c>
      <c r="C1005" s="37" t="s">
        <v>10</v>
      </c>
      <c r="D1005" s="326">
        <v>22.34</v>
      </c>
    </row>
    <row r="1006" spans="1:4" ht="13.5">
      <c r="A1006" s="37">
        <v>91469</v>
      </c>
      <c r="B1006" s="37" t="s">
        <v>16715</v>
      </c>
      <c r="C1006" s="37" t="s">
        <v>10</v>
      </c>
      <c r="D1006" s="326">
        <v>9.76</v>
      </c>
    </row>
    <row r="1007" spans="1:4" ht="13.5">
      <c r="A1007" s="37">
        <v>91484</v>
      </c>
      <c r="B1007" s="37" t="s">
        <v>16716</v>
      </c>
      <c r="C1007" s="37" t="s">
        <v>10</v>
      </c>
      <c r="D1007" s="326">
        <v>7.44</v>
      </c>
    </row>
    <row r="1008" spans="1:4" ht="13.5">
      <c r="A1008" s="37">
        <v>91485</v>
      </c>
      <c r="B1008" s="37" t="s">
        <v>16717</v>
      </c>
      <c r="C1008" s="37" t="s">
        <v>10</v>
      </c>
      <c r="D1008" s="326">
        <v>162.80000000000001</v>
      </c>
    </row>
    <row r="1009" spans="1:4" ht="13.5">
      <c r="A1009" s="37">
        <v>91529</v>
      </c>
      <c r="B1009" s="37" t="s">
        <v>3050</v>
      </c>
      <c r="C1009" s="37" t="s">
        <v>10</v>
      </c>
      <c r="D1009" s="326">
        <v>0.72</v>
      </c>
    </row>
    <row r="1010" spans="1:4" ht="13.5">
      <c r="A1010" s="37">
        <v>91530</v>
      </c>
      <c r="B1010" s="37" t="s">
        <v>3051</v>
      </c>
      <c r="C1010" s="37" t="s">
        <v>10</v>
      </c>
      <c r="D1010" s="326">
        <v>0.19</v>
      </c>
    </row>
    <row r="1011" spans="1:4" ht="13.5">
      <c r="A1011" s="37">
        <v>91531</v>
      </c>
      <c r="B1011" s="37" t="s">
        <v>3052</v>
      </c>
      <c r="C1011" s="37" t="s">
        <v>10</v>
      </c>
      <c r="D1011" s="326">
        <v>0.9</v>
      </c>
    </row>
    <row r="1012" spans="1:4" ht="13.5">
      <c r="A1012" s="37">
        <v>91532</v>
      </c>
      <c r="B1012" s="37" t="s">
        <v>3053</v>
      </c>
      <c r="C1012" s="37" t="s">
        <v>10</v>
      </c>
      <c r="D1012" s="326">
        <v>5.84</v>
      </c>
    </row>
    <row r="1013" spans="1:4" ht="13.5">
      <c r="A1013" s="37">
        <v>91629</v>
      </c>
      <c r="B1013" s="37" t="s">
        <v>3054</v>
      </c>
      <c r="C1013" s="37" t="s">
        <v>10</v>
      </c>
      <c r="D1013" s="326">
        <v>20.96</v>
      </c>
    </row>
    <row r="1014" spans="1:4" ht="13.5">
      <c r="A1014" s="37">
        <v>91630</v>
      </c>
      <c r="B1014" s="37" t="s">
        <v>3055</v>
      </c>
      <c r="C1014" s="37" t="s">
        <v>10</v>
      </c>
      <c r="D1014" s="326">
        <v>7.79</v>
      </c>
    </row>
    <row r="1015" spans="1:4" ht="13.5">
      <c r="A1015" s="37">
        <v>91631</v>
      </c>
      <c r="B1015" s="37" t="s">
        <v>3056</v>
      </c>
      <c r="C1015" s="37" t="s">
        <v>10</v>
      </c>
      <c r="D1015" s="326">
        <v>3.14</v>
      </c>
    </row>
    <row r="1016" spans="1:4" ht="13.5">
      <c r="A1016" s="37">
        <v>91632</v>
      </c>
      <c r="B1016" s="37" t="s">
        <v>3057</v>
      </c>
      <c r="C1016" s="37" t="s">
        <v>10</v>
      </c>
      <c r="D1016" s="326">
        <v>35.89</v>
      </c>
    </row>
    <row r="1017" spans="1:4" ht="13.5">
      <c r="A1017" s="37">
        <v>91633</v>
      </c>
      <c r="B1017" s="37" t="s">
        <v>3058</v>
      </c>
      <c r="C1017" s="37" t="s">
        <v>10</v>
      </c>
      <c r="D1017" s="326">
        <v>133.54</v>
      </c>
    </row>
    <row r="1018" spans="1:4" ht="13.5">
      <c r="A1018" s="37">
        <v>91640</v>
      </c>
      <c r="B1018" s="37" t="s">
        <v>3059</v>
      </c>
      <c r="C1018" s="37" t="s">
        <v>10</v>
      </c>
      <c r="D1018" s="326">
        <v>40.75</v>
      </c>
    </row>
    <row r="1019" spans="1:4" ht="13.5">
      <c r="A1019" s="37">
        <v>91641</v>
      </c>
      <c r="B1019" s="37" t="s">
        <v>3060</v>
      </c>
      <c r="C1019" s="37" t="s">
        <v>10</v>
      </c>
      <c r="D1019" s="326">
        <v>16.45</v>
      </c>
    </row>
    <row r="1020" spans="1:4" ht="13.5">
      <c r="A1020" s="37">
        <v>91642</v>
      </c>
      <c r="B1020" s="37" t="s">
        <v>3061</v>
      </c>
      <c r="C1020" s="37" t="s">
        <v>10</v>
      </c>
      <c r="D1020" s="326">
        <v>6.64</v>
      </c>
    </row>
    <row r="1021" spans="1:4" ht="13.5">
      <c r="A1021" s="37">
        <v>91643</v>
      </c>
      <c r="B1021" s="37" t="s">
        <v>3062</v>
      </c>
      <c r="C1021" s="37" t="s">
        <v>10</v>
      </c>
      <c r="D1021" s="326">
        <v>73.56</v>
      </c>
    </row>
    <row r="1022" spans="1:4" ht="13.5">
      <c r="A1022" s="37">
        <v>91644</v>
      </c>
      <c r="B1022" s="37" t="s">
        <v>3063</v>
      </c>
      <c r="C1022" s="37" t="s">
        <v>10</v>
      </c>
      <c r="D1022" s="326">
        <v>300.52</v>
      </c>
    </row>
    <row r="1023" spans="1:4" ht="13.5">
      <c r="A1023" s="37">
        <v>91688</v>
      </c>
      <c r="B1023" s="37" t="s">
        <v>3064</v>
      </c>
      <c r="C1023" s="37" t="s">
        <v>10</v>
      </c>
      <c r="D1023" s="326">
        <v>0.09</v>
      </c>
    </row>
    <row r="1024" spans="1:4" ht="13.5">
      <c r="A1024" s="37">
        <v>91689</v>
      </c>
      <c r="B1024" s="37" t="s">
        <v>3065</v>
      </c>
      <c r="C1024" s="37" t="s">
        <v>10</v>
      </c>
      <c r="D1024" s="326">
        <v>0.01</v>
      </c>
    </row>
    <row r="1025" spans="1:4" ht="13.5">
      <c r="A1025" s="37">
        <v>91690</v>
      </c>
      <c r="B1025" s="37" t="s">
        <v>3066</v>
      </c>
      <c r="C1025" s="37" t="s">
        <v>10</v>
      </c>
      <c r="D1025" s="326">
        <v>0.06</v>
      </c>
    </row>
    <row r="1026" spans="1:4" ht="13.5">
      <c r="A1026" s="37">
        <v>91691</v>
      </c>
      <c r="B1026" s="37" t="s">
        <v>3067</v>
      </c>
      <c r="C1026" s="37" t="s">
        <v>10</v>
      </c>
      <c r="D1026" s="326">
        <v>1.1499999999999999</v>
      </c>
    </row>
    <row r="1027" spans="1:4" ht="13.5">
      <c r="A1027" s="37">
        <v>92040</v>
      </c>
      <c r="B1027" s="37" t="s">
        <v>3068</v>
      </c>
      <c r="C1027" s="37" t="s">
        <v>10</v>
      </c>
      <c r="D1027" s="326">
        <v>6.47</v>
      </c>
    </row>
    <row r="1028" spans="1:4" ht="13.5">
      <c r="A1028" s="37">
        <v>92041</v>
      </c>
      <c r="B1028" s="37" t="s">
        <v>3069</v>
      </c>
      <c r="C1028" s="37" t="s">
        <v>10</v>
      </c>
      <c r="D1028" s="326">
        <v>1.33</v>
      </c>
    </row>
    <row r="1029" spans="1:4" ht="13.5">
      <c r="A1029" s="37">
        <v>92042</v>
      </c>
      <c r="B1029" s="37" t="s">
        <v>3070</v>
      </c>
      <c r="C1029" s="37" t="s">
        <v>10</v>
      </c>
      <c r="D1029" s="326">
        <v>5.39</v>
      </c>
    </row>
    <row r="1030" spans="1:4" ht="13.5">
      <c r="A1030" s="37">
        <v>92101</v>
      </c>
      <c r="B1030" s="37" t="s">
        <v>16718</v>
      </c>
      <c r="C1030" s="37" t="s">
        <v>10</v>
      </c>
      <c r="D1030" s="326">
        <v>40.68</v>
      </c>
    </row>
    <row r="1031" spans="1:4" ht="13.5">
      <c r="A1031" s="37">
        <v>92102</v>
      </c>
      <c r="B1031" s="37" t="s">
        <v>16719</v>
      </c>
      <c r="C1031" s="37" t="s">
        <v>10</v>
      </c>
      <c r="D1031" s="326">
        <v>13.77</v>
      </c>
    </row>
    <row r="1032" spans="1:4" ht="13.5">
      <c r="A1032" s="37">
        <v>92103</v>
      </c>
      <c r="B1032" s="37" t="s">
        <v>16720</v>
      </c>
      <c r="C1032" s="37" t="s">
        <v>10</v>
      </c>
      <c r="D1032" s="326">
        <v>9.6199999999999992</v>
      </c>
    </row>
    <row r="1033" spans="1:4" ht="13.5">
      <c r="A1033" s="37">
        <v>92104</v>
      </c>
      <c r="B1033" s="37" t="s">
        <v>16721</v>
      </c>
      <c r="C1033" s="37" t="s">
        <v>10</v>
      </c>
      <c r="D1033" s="326">
        <v>66.61</v>
      </c>
    </row>
    <row r="1034" spans="1:4" ht="13.5">
      <c r="A1034" s="37">
        <v>92105</v>
      </c>
      <c r="B1034" s="37" t="s">
        <v>16722</v>
      </c>
      <c r="C1034" s="37" t="s">
        <v>10</v>
      </c>
      <c r="D1034" s="326">
        <v>175.93</v>
      </c>
    </row>
    <row r="1035" spans="1:4" ht="13.5">
      <c r="A1035" s="37">
        <v>92108</v>
      </c>
      <c r="B1035" s="37" t="s">
        <v>16723</v>
      </c>
      <c r="C1035" s="37" t="s">
        <v>10</v>
      </c>
      <c r="D1035" s="326">
        <v>0.85</v>
      </c>
    </row>
    <row r="1036" spans="1:4" ht="13.5">
      <c r="A1036" s="37">
        <v>92109</v>
      </c>
      <c r="B1036" s="37" t="s">
        <v>16724</v>
      </c>
      <c r="C1036" s="37" t="s">
        <v>10</v>
      </c>
      <c r="D1036" s="326">
        <v>0.21</v>
      </c>
    </row>
    <row r="1037" spans="1:4" ht="13.5">
      <c r="A1037" s="37">
        <v>92110</v>
      </c>
      <c r="B1037" s="37" t="s">
        <v>16725</v>
      </c>
      <c r="C1037" s="37" t="s">
        <v>10</v>
      </c>
      <c r="D1037" s="326">
        <v>1.1299999999999999</v>
      </c>
    </row>
    <row r="1038" spans="1:4" ht="13.5">
      <c r="A1038" s="37">
        <v>92111</v>
      </c>
      <c r="B1038" s="37" t="s">
        <v>16726</v>
      </c>
      <c r="C1038" s="37" t="s">
        <v>10</v>
      </c>
      <c r="D1038" s="326">
        <v>1.06</v>
      </c>
    </row>
    <row r="1039" spans="1:4" ht="13.5">
      <c r="A1039" s="37">
        <v>92114</v>
      </c>
      <c r="B1039" s="37" t="s">
        <v>16727</v>
      </c>
      <c r="C1039" s="37" t="s">
        <v>10</v>
      </c>
      <c r="D1039" s="326">
        <v>0.22</v>
      </c>
    </row>
    <row r="1040" spans="1:4" ht="13.5">
      <c r="A1040" s="37">
        <v>92115</v>
      </c>
      <c r="B1040" s="37" t="s">
        <v>16728</v>
      </c>
      <c r="C1040" s="37" t="s">
        <v>10</v>
      </c>
      <c r="D1040" s="326">
        <v>0.04</v>
      </c>
    </row>
    <row r="1041" spans="1:4" ht="13.5">
      <c r="A1041" s="37">
        <v>92116</v>
      </c>
      <c r="B1041" s="37" t="s">
        <v>16729</v>
      </c>
      <c r="C1041" s="37" t="s">
        <v>10</v>
      </c>
      <c r="D1041" s="326">
        <v>0.16</v>
      </c>
    </row>
    <row r="1042" spans="1:4" ht="13.5">
      <c r="A1042" s="37">
        <v>92133</v>
      </c>
      <c r="B1042" s="37" t="s">
        <v>3071</v>
      </c>
      <c r="C1042" s="37" t="s">
        <v>10</v>
      </c>
      <c r="D1042" s="326">
        <v>13.1</v>
      </c>
    </row>
    <row r="1043" spans="1:4" ht="13.5">
      <c r="A1043" s="37">
        <v>92134</v>
      </c>
      <c r="B1043" s="37" t="s">
        <v>3072</v>
      </c>
      <c r="C1043" s="37" t="s">
        <v>10</v>
      </c>
      <c r="D1043" s="326">
        <v>4.04</v>
      </c>
    </row>
    <row r="1044" spans="1:4" ht="13.5">
      <c r="A1044" s="37">
        <v>92135</v>
      </c>
      <c r="B1044" s="37" t="s">
        <v>3073</v>
      </c>
      <c r="C1044" s="37" t="s">
        <v>10</v>
      </c>
      <c r="D1044" s="326">
        <v>1.63</v>
      </c>
    </row>
    <row r="1045" spans="1:4" ht="13.5">
      <c r="A1045" s="37">
        <v>92136</v>
      </c>
      <c r="B1045" s="37" t="s">
        <v>3074</v>
      </c>
      <c r="C1045" s="37" t="s">
        <v>10</v>
      </c>
      <c r="D1045" s="326">
        <v>16.37</v>
      </c>
    </row>
    <row r="1046" spans="1:4" ht="13.5">
      <c r="A1046" s="37">
        <v>92137</v>
      </c>
      <c r="B1046" s="37" t="s">
        <v>3075</v>
      </c>
      <c r="C1046" s="37" t="s">
        <v>10</v>
      </c>
      <c r="D1046" s="326">
        <v>35.159999999999997</v>
      </c>
    </row>
    <row r="1047" spans="1:4" ht="13.5">
      <c r="A1047" s="37">
        <v>92140</v>
      </c>
      <c r="B1047" s="37" t="s">
        <v>3076</v>
      </c>
      <c r="C1047" s="37" t="s">
        <v>10</v>
      </c>
      <c r="D1047" s="326">
        <v>4.8</v>
      </c>
    </row>
    <row r="1048" spans="1:4" ht="13.5">
      <c r="A1048" s="37">
        <v>92141</v>
      </c>
      <c r="B1048" s="37" t="s">
        <v>3077</v>
      </c>
      <c r="C1048" s="37" t="s">
        <v>10</v>
      </c>
      <c r="D1048" s="326">
        <v>1.48</v>
      </c>
    </row>
    <row r="1049" spans="1:4" ht="13.5">
      <c r="A1049" s="37">
        <v>92142</v>
      </c>
      <c r="B1049" s="37" t="s">
        <v>3078</v>
      </c>
      <c r="C1049" s="37" t="s">
        <v>10</v>
      </c>
      <c r="D1049" s="326">
        <v>0.6</v>
      </c>
    </row>
    <row r="1050" spans="1:4" ht="13.5">
      <c r="A1050" s="37">
        <v>92143</v>
      </c>
      <c r="B1050" s="37" t="s">
        <v>3079</v>
      </c>
      <c r="C1050" s="37" t="s">
        <v>10</v>
      </c>
      <c r="D1050" s="326">
        <v>6</v>
      </c>
    </row>
    <row r="1051" spans="1:4" ht="13.5">
      <c r="A1051" s="37">
        <v>92144</v>
      </c>
      <c r="B1051" s="37" t="s">
        <v>3080</v>
      </c>
      <c r="C1051" s="37" t="s">
        <v>10</v>
      </c>
      <c r="D1051" s="326">
        <v>37.93</v>
      </c>
    </row>
    <row r="1052" spans="1:4" ht="13.5">
      <c r="A1052" s="37">
        <v>92237</v>
      </c>
      <c r="B1052" s="37" t="s">
        <v>3081</v>
      </c>
      <c r="C1052" s="37" t="s">
        <v>10</v>
      </c>
      <c r="D1052" s="326">
        <v>29.67</v>
      </c>
    </row>
    <row r="1053" spans="1:4" ht="13.5">
      <c r="A1053" s="37">
        <v>92238</v>
      </c>
      <c r="B1053" s="37" t="s">
        <v>3082</v>
      </c>
      <c r="C1053" s="37" t="s">
        <v>10</v>
      </c>
      <c r="D1053" s="326">
        <v>11.96</v>
      </c>
    </row>
    <row r="1054" spans="1:4" ht="13.5">
      <c r="A1054" s="37">
        <v>92239</v>
      </c>
      <c r="B1054" s="37" t="s">
        <v>3083</v>
      </c>
      <c r="C1054" s="37" t="s">
        <v>10</v>
      </c>
      <c r="D1054" s="326">
        <v>4.82</v>
      </c>
    </row>
    <row r="1055" spans="1:4" ht="13.5">
      <c r="A1055" s="37">
        <v>92240</v>
      </c>
      <c r="B1055" s="37" t="s">
        <v>3084</v>
      </c>
      <c r="C1055" s="37" t="s">
        <v>10</v>
      </c>
      <c r="D1055" s="326">
        <v>53.31</v>
      </c>
    </row>
    <row r="1056" spans="1:4" ht="13.5">
      <c r="A1056" s="37">
        <v>92241</v>
      </c>
      <c r="B1056" s="37" t="s">
        <v>3085</v>
      </c>
      <c r="C1056" s="37" t="s">
        <v>10</v>
      </c>
      <c r="D1056" s="326">
        <v>275.51</v>
      </c>
    </row>
    <row r="1057" spans="1:4" ht="13.5">
      <c r="A1057" s="37">
        <v>92712</v>
      </c>
      <c r="B1057" s="37" t="s">
        <v>16730</v>
      </c>
      <c r="C1057" s="37" t="s">
        <v>10</v>
      </c>
      <c r="D1057" s="326">
        <v>0.14000000000000001</v>
      </c>
    </row>
    <row r="1058" spans="1:4" ht="13.5">
      <c r="A1058" s="37">
        <v>92713</v>
      </c>
      <c r="B1058" s="37" t="s">
        <v>16731</v>
      </c>
      <c r="C1058" s="37" t="s">
        <v>10</v>
      </c>
      <c r="D1058" s="326">
        <v>0.03</v>
      </c>
    </row>
    <row r="1059" spans="1:4" ht="13.5">
      <c r="A1059" s="37">
        <v>92714</v>
      </c>
      <c r="B1059" s="37" t="s">
        <v>16732</v>
      </c>
      <c r="C1059" s="37" t="s">
        <v>10</v>
      </c>
      <c r="D1059" s="326">
        <v>0.19</v>
      </c>
    </row>
    <row r="1060" spans="1:4" ht="13.5">
      <c r="A1060" s="37">
        <v>92715</v>
      </c>
      <c r="B1060" s="37" t="s">
        <v>16733</v>
      </c>
      <c r="C1060" s="37" t="s">
        <v>10</v>
      </c>
      <c r="D1060" s="326">
        <v>92.82</v>
      </c>
    </row>
    <row r="1061" spans="1:4" ht="13.5">
      <c r="A1061" s="37">
        <v>92956</v>
      </c>
      <c r="B1061" s="37" t="s">
        <v>3086</v>
      </c>
      <c r="C1061" s="37" t="s">
        <v>10</v>
      </c>
      <c r="D1061" s="326">
        <v>4.3</v>
      </c>
    </row>
    <row r="1062" spans="1:4" ht="13.5">
      <c r="A1062" s="37">
        <v>92957</v>
      </c>
      <c r="B1062" s="37" t="s">
        <v>3087</v>
      </c>
      <c r="C1062" s="37" t="s">
        <v>10</v>
      </c>
      <c r="D1062" s="326">
        <v>0.99</v>
      </c>
    </row>
    <row r="1063" spans="1:4" ht="13.5">
      <c r="A1063" s="37">
        <v>92958</v>
      </c>
      <c r="B1063" s="37" t="s">
        <v>3088</v>
      </c>
      <c r="C1063" s="37" t="s">
        <v>10</v>
      </c>
      <c r="D1063" s="326">
        <v>4.71</v>
      </c>
    </row>
    <row r="1064" spans="1:4" ht="13.5">
      <c r="A1064" s="37">
        <v>92959</v>
      </c>
      <c r="B1064" s="37" t="s">
        <v>3089</v>
      </c>
      <c r="C1064" s="37" t="s">
        <v>10</v>
      </c>
      <c r="D1064" s="326">
        <v>9.25</v>
      </c>
    </row>
    <row r="1065" spans="1:4" ht="13.5">
      <c r="A1065" s="37">
        <v>92963</v>
      </c>
      <c r="B1065" s="37" t="s">
        <v>3091</v>
      </c>
      <c r="C1065" s="37" t="s">
        <v>10</v>
      </c>
      <c r="D1065" s="326">
        <v>1.52</v>
      </c>
    </row>
    <row r="1066" spans="1:4" ht="13.5">
      <c r="A1066" s="37">
        <v>92964</v>
      </c>
      <c r="B1066" s="37" t="s">
        <v>3092</v>
      </c>
      <c r="C1066" s="37" t="s">
        <v>10</v>
      </c>
      <c r="D1066" s="326">
        <v>0.35</v>
      </c>
    </row>
    <row r="1067" spans="1:4" ht="13.5">
      <c r="A1067" s="37">
        <v>92965</v>
      </c>
      <c r="B1067" s="37" t="s">
        <v>3093</v>
      </c>
      <c r="C1067" s="37" t="s">
        <v>10</v>
      </c>
      <c r="D1067" s="326">
        <v>1.9</v>
      </c>
    </row>
    <row r="1068" spans="1:4" ht="13.5">
      <c r="A1068" s="37">
        <v>93220</v>
      </c>
      <c r="B1068" s="37" t="s">
        <v>3094</v>
      </c>
      <c r="C1068" s="37" t="s">
        <v>10</v>
      </c>
      <c r="D1068" s="326">
        <v>333.23</v>
      </c>
    </row>
    <row r="1069" spans="1:4" ht="13.5">
      <c r="A1069" s="37">
        <v>93221</v>
      </c>
      <c r="B1069" s="37" t="s">
        <v>3096</v>
      </c>
      <c r="C1069" s="37" t="s">
        <v>10</v>
      </c>
      <c r="D1069" s="326">
        <v>89.4</v>
      </c>
    </row>
    <row r="1070" spans="1:4" ht="13.5">
      <c r="A1070" s="37">
        <v>93222</v>
      </c>
      <c r="B1070" s="37" t="s">
        <v>3097</v>
      </c>
      <c r="C1070" s="37" t="s">
        <v>10</v>
      </c>
      <c r="D1070" s="326">
        <v>417.01</v>
      </c>
    </row>
    <row r="1071" spans="1:4" ht="13.5">
      <c r="A1071" s="37">
        <v>93223</v>
      </c>
      <c r="B1071" s="37" t="s">
        <v>3098</v>
      </c>
      <c r="C1071" s="37" t="s">
        <v>10</v>
      </c>
      <c r="D1071" s="326">
        <v>155.87</v>
      </c>
    </row>
    <row r="1072" spans="1:4" ht="13.5">
      <c r="A1072" s="37">
        <v>93229</v>
      </c>
      <c r="B1072" s="37" t="s">
        <v>13777</v>
      </c>
      <c r="C1072" s="37" t="s">
        <v>10</v>
      </c>
      <c r="D1072" s="326">
        <v>0.38</v>
      </c>
    </row>
    <row r="1073" spans="1:4" ht="13.5">
      <c r="A1073" s="37">
        <v>93230</v>
      </c>
      <c r="B1073" s="37" t="s">
        <v>13778</v>
      </c>
      <c r="C1073" s="37" t="s">
        <v>10</v>
      </c>
      <c r="D1073" s="326">
        <v>0.08</v>
      </c>
    </row>
    <row r="1074" spans="1:4" ht="13.5">
      <c r="A1074" s="37">
        <v>93231</v>
      </c>
      <c r="B1074" s="37" t="s">
        <v>13779</v>
      </c>
      <c r="C1074" s="37" t="s">
        <v>10</v>
      </c>
      <c r="D1074" s="326">
        <v>0.48</v>
      </c>
    </row>
    <row r="1075" spans="1:4" ht="13.5">
      <c r="A1075" s="37">
        <v>93232</v>
      </c>
      <c r="B1075" s="37" t="s">
        <v>13780</v>
      </c>
      <c r="C1075" s="37" t="s">
        <v>10</v>
      </c>
      <c r="D1075" s="326">
        <v>4.3600000000000003</v>
      </c>
    </row>
    <row r="1076" spans="1:4" ht="13.5">
      <c r="A1076" s="37">
        <v>93235</v>
      </c>
      <c r="B1076" s="37" t="s">
        <v>3099</v>
      </c>
      <c r="C1076" s="37" t="s">
        <v>10</v>
      </c>
      <c r="D1076" s="326">
        <v>2.52</v>
      </c>
    </row>
    <row r="1077" spans="1:4" ht="13.5">
      <c r="A1077" s="37">
        <v>93238</v>
      </c>
      <c r="B1077" s="37" t="s">
        <v>3100</v>
      </c>
      <c r="C1077" s="37" t="s">
        <v>10</v>
      </c>
      <c r="D1077" s="326">
        <v>2.59</v>
      </c>
    </row>
    <row r="1078" spans="1:4" ht="13.5">
      <c r="A1078" s="37">
        <v>93239</v>
      </c>
      <c r="B1078" s="37" t="s">
        <v>3101</v>
      </c>
      <c r="C1078" s="37" t="s">
        <v>10</v>
      </c>
      <c r="D1078" s="326">
        <v>11.75</v>
      </c>
    </row>
    <row r="1079" spans="1:4" ht="13.5">
      <c r="A1079" s="37">
        <v>93240</v>
      </c>
      <c r="B1079" s="37" t="s">
        <v>3102</v>
      </c>
      <c r="C1079" s="37" t="s">
        <v>10</v>
      </c>
      <c r="D1079" s="326">
        <v>11.94</v>
      </c>
    </row>
    <row r="1080" spans="1:4" ht="13.5">
      <c r="A1080" s="37">
        <v>93267</v>
      </c>
      <c r="B1080" s="37" t="s">
        <v>16734</v>
      </c>
      <c r="C1080" s="37" t="s">
        <v>10</v>
      </c>
      <c r="D1080" s="326">
        <v>28.78</v>
      </c>
    </row>
    <row r="1081" spans="1:4" ht="13.5">
      <c r="A1081" s="37">
        <v>93269</v>
      </c>
      <c r="B1081" s="37" t="s">
        <v>16735</v>
      </c>
      <c r="C1081" s="37" t="s">
        <v>10</v>
      </c>
      <c r="D1081" s="326">
        <v>9.7100000000000009</v>
      </c>
    </row>
    <row r="1082" spans="1:4" ht="13.5">
      <c r="A1082" s="37">
        <v>93270</v>
      </c>
      <c r="B1082" s="37" t="s">
        <v>16736</v>
      </c>
      <c r="C1082" s="37" t="s">
        <v>10</v>
      </c>
      <c r="D1082" s="326">
        <v>28.78</v>
      </c>
    </row>
    <row r="1083" spans="1:4" ht="13.5">
      <c r="A1083" s="37">
        <v>93271</v>
      </c>
      <c r="B1083" s="37" t="s">
        <v>16737</v>
      </c>
      <c r="C1083" s="37" t="s">
        <v>10</v>
      </c>
      <c r="D1083" s="326">
        <v>7.94</v>
      </c>
    </row>
    <row r="1084" spans="1:4" ht="13.5">
      <c r="A1084" s="37">
        <v>93277</v>
      </c>
      <c r="B1084" s="37" t="s">
        <v>3103</v>
      </c>
      <c r="C1084" s="37" t="s">
        <v>10</v>
      </c>
      <c r="D1084" s="326">
        <v>0.3</v>
      </c>
    </row>
    <row r="1085" spans="1:4" ht="13.5">
      <c r="A1085" s="37">
        <v>93278</v>
      </c>
      <c r="B1085" s="37" t="s">
        <v>3104</v>
      </c>
      <c r="C1085" s="37" t="s">
        <v>10</v>
      </c>
      <c r="D1085" s="326">
        <v>0.06</v>
      </c>
    </row>
    <row r="1086" spans="1:4" ht="13.5">
      <c r="A1086" s="37">
        <v>93279</v>
      </c>
      <c r="B1086" s="37" t="s">
        <v>3105</v>
      </c>
      <c r="C1086" s="37" t="s">
        <v>10</v>
      </c>
      <c r="D1086" s="326">
        <v>0.28000000000000003</v>
      </c>
    </row>
    <row r="1087" spans="1:4" ht="13.5">
      <c r="A1087" s="37">
        <v>93280</v>
      </c>
      <c r="B1087" s="37" t="s">
        <v>3106</v>
      </c>
      <c r="C1087" s="37" t="s">
        <v>10</v>
      </c>
      <c r="D1087" s="326">
        <v>0.66</v>
      </c>
    </row>
    <row r="1088" spans="1:4" ht="13.5">
      <c r="A1088" s="37">
        <v>93283</v>
      </c>
      <c r="B1088" s="37" t="s">
        <v>3107</v>
      </c>
      <c r="C1088" s="37" t="s">
        <v>10</v>
      </c>
      <c r="D1088" s="326">
        <v>96.78</v>
      </c>
    </row>
    <row r="1089" spans="1:4" ht="13.5">
      <c r="A1089" s="37">
        <v>93284</v>
      </c>
      <c r="B1089" s="37" t="s">
        <v>3108</v>
      </c>
      <c r="C1089" s="37" t="s">
        <v>10</v>
      </c>
      <c r="D1089" s="326">
        <v>34.11</v>
      </c>
    </row>
    <row r="1090" spans="1:4" ht="13.5">
      <c r="A1090" s="37">
        <v>93285</v>
      </c>
      <c r="B1090" s="37" t="s">
        <v>3109</v>
      </c>
      <c r="C1090" s="37" t="s">
        <v>10</v>
      </c>
      <c r="D1090" s="326">
        <v>155.57</v>
      </c>
    </row>
    <row r="1091" spans="1:4" ht="13.5">
      <c r="A1091" s="37">
        <v>93286</v>
      </c>
      <c r="B1091" s="37" t="s">
        <v>3110</v>
      </c>
      <c r="C1091" s="37" t="s">
        <v>10</v>
      </c>
      <c r="D1091" s="326">
        <v>11.05</v>
      </c>
    </row>
    <row r="1092" spans="1:4" ht="13.5">
      <c r="A1092" s="37">
        <v>93296</v>
      </c>
      <c r="B1092" s="37" t="s">
        <v>3111</v>
      </c>
      <c r="C1092" s="37" t="s">
        <v>10</v>
      </c>
      <c r="D1092" s="326">
        <v>13.79</v>
      </c>
    </row>
    <row r="1093" spans="1:4" ht="13.5">
      <c r="A1093" s="37">
        <v>93397</v>
      </c>
      <c r="B1093" s="37" t="s">
        <v>3112</v>
      </c>
      <c r="C1093" s="37" t="s">
        <v>10</v>
      </c>
      <c r="D1093" s="326">
        <v>24.24</v>
      </c>
    </row>
    <row r="1094" spans="1:4" ht="13.5">
      <c r="A1094" s="37">
        <v>93398</v>
      </c>
      <c r="B1094" s="37" t="s">
        <v>3113</v>
      </c>
      <c r="C1094" s="37" t="s">
        <v>10</v>
      </c>
      <c r="D1094" s="326">
        <v>9.14</v>
      </c>
    </row>
    <row r="1095" spans="1:4" ht="13.5">
      <c r="A1095" s="37">
        <v>93399</v>
      </c>
      <c r="B1095" s="37" t="s">
        <v>3114</v>
      </c>
      <c r="C1095" s="37" t="s">
        <v>10</v>
      </c>
      <c r="D1095" s="326">
        <v>3.69</v>
      </c>
    </row>
    <row r="1096" spans="1:4" ht="13.5">
      <c r="A1096" s="37">
        <v>93400</v>
      </c>
      <c r="B1096" s="37" t="s">
        <v>3115</v>
      </c>
      <c r="C1096" s="37" t="s">
        <v>10</v>
      </c>
      <c r="D1096" s="326">
        <v>42.04</v>
      </c>
    </row>
    <row r="1097" spans="1:4" ht="13.5">
      <c r="A1097" s="37">
        <v>93401</v>
      </c>
      <c r="B1097" s="37" t="s">
        <v>3116</v>
      </c>
      <c r="C1097" s="37" t="s">
        <v>10</v>
      </c>
      <c r="D1097" s="326">
        <v>157.78</v>
      </c>
    </row>
    <row r="1098" spans="1:4" ht="13.5">
      <c r="A1098" s="37">
        <v>93404</v>
      </c>
      <c r="B1098" s="37" t="s">
        <v>16738</v>
      </c>
      <c r="C1098" s="37" t="s">
        <v>10</v>
      </c>
      <c r="D1098" s="326">
        <v>7.02</v>
      </c>
    </row>
    <row r="1099" spans="1:4" ht="13.5">
      <c r="A1099" s="37">
        <v>93405</v>
      </c>
      <c r="B1099" s="37" t="s">
        <v>16739</v>
      </c>
      <c r="C1099" s="37" t="s">
        <v>10</v>
      </c>
      <c r="D1099" s="326">
        <v>1.91</v>
      </c>
    </row>
    <row r="1100" spans="1:4" ht="13.5">
      <c r="A1100" s="37">
        <v>93406</v>
      </c>
      <c r="B1100" s="37" t="s">
        <v>16740</v>
      </c>
      <c r="C1100" s="37" t="s">
        <v>10</v>
      </c>
      <c r="D1100" s="326">
        <v>9.3000000000000007</v>
      </c>
    </row>
    <row r="1101" spans="1:4" ht="13.5">
      <c r="A1101" s="37">
        <v>93407</v>
      </c>
      <c r="B1101" s="37" t="s">
        <v>16741</v>
      </c>
      <c r="C1101" s="37" t="s">
        <v>10</v>
      </c>
      <c r="D1101" s="326">
        <v>47.05</v>
      </c>
    </row>
    <row r="1102" spans="1:4" ht="13.5">
      <c r="A1102" s="37">
        <v>93411</v>
      </c>
      <c r="B1102" s="37" t="s">
        <v>3117</v>
      </c>
      <c r="C1102" s="37" t="s">
        <v>10</v>
      </c>
      <c r="D1102" s="326">
        <v>0.34</v>
      </c>
    </row>
    <row r="1103" spans="1:4" ht="13.5">
      <c r="A1103" s="37">
        <v>93412</v>
      </c>
      <c r="B1103" s="37" t="s">
        <v>3118</v>
      </c>
      <c r="C1103" s="37" t="s">
        <v>10</v>
      </c>
      <c r="D1103" s="326">
        <v>0.12</v>
      </c>
    </row>
    <row r="1104" spans="1:4" ht="13.5">
      <c r="A1104" s="37">
        <v>93413</v>
      </c>
      <c r="B1104" s="37" t="s">
        <v>3119</v>
      </c>
      <c r="C1104" s="37" t="s">
        <v>10</v>
      </c>
      <c r="D1104" s="326">
        <v>0.3</v>
      </c>
    </row>
    <row r="1105" spans="1:4" ht="13.5">
      <c r="A1105" s="37">
        <v>93414</v>
      </c>
      <c r="B1105" s="37" t="s">
        <v>3120</v>
      </c>
      <c r="C1105" s="37" t="s">
        <v>10</v>
      </c>
      <c r="D1105" s="326">
        <v>14.11</v>
      </c>
    </row>
    <row r="1106" spans="1:4" ht="13.5">
      <c r="A1106" s="37">
        <v>93417</v>
      </c>
      <c r="B1106" s="37" t="s">
        <v>3121</v>
      </c>
      <c r="C1106" s="37" t="s">
        <v>10</v>
      </c>
      <c r="D1106" s="326">
        <v>4.49</v>
      </c>
    </row>
    <row r="1107" spans="1:4" ht="13.5">
      <c r="A1107" s="37">
        <v>93418</v>
      </c>
      <c r="B1107" s="37" t="s">
        <v>3122</v>
      </c>
      <c r="C1107" s="37" t="s">
        <v>10</v>
      </c>
      <c r="D1107" s="326">
        <v>1.58</v>
      </c>
    </row>
    <row r="1108" spans="1:4" ht="13.5">
      <c r="A1108" s="37">
        <v>93419</v>
      </c>
      <c r="B1108" s="37" t="s">
        <v>3123</v>
      </c>
      <c r="C1108" s="37" t="s">
        <v>10</v>
      </c>
      <c r="D1108" s="326">
        <v>4.01</v>
      </c>
    </row>
    <row r="1109" spans="1:4" ht="13.5">
      <c r="A1109" s="37">
        <v>93420</v>
      </c>
      <c r="B1109" s="37" t="s">
        <v>3124</v>
      </c>
      <c r="C1109" s="37" t="s">
        <v>10</v>
      </c>
      <c r="D1109" s="326">
        <v>66.92</v>
      </c>
    </row>
    <row r="1110" spans="1:4" ht="13.5">
      <c r="A1110" s="37">
        <v>93423</v>
      </c>
      <c r="B1110" s="37" t="s">
        <v>3125</v>
      </c>
      <c r="C1110" s="37" t="s">
        <v>10</v>
      </c>
      <c r="D1110" s="326">
        <v>6.36</v>
      </c>
    </row>
    <row r="1111" spans="1:4" ht="13.5">
      <c r="A1111" s="37">
        <v>93424</v>
      </c>
      <c r="B1111" s="37" t="s">
        <v>3126</v>
      </c>
      <c r="C1111" s="37" t="s">
        <v>10</v>
      </c>
      <c r="D1111" s="326">
        <v>2.2400000000000002</v>
      </c>
    </row>
    <row r="1112" spans="1:4" ht="13.5">
      <c r="A1112" s="37">
        <v>93425</v>
      </c>
      <c r="B1112" s="37" t="s">
        <v>3127</v>
      </c>
      <c r="C1112" s="37" t="s">
        <v>10</v>
      </c>
      <c r="D1112" s="326">
        <v>5.68</v>
      </c>
    </row>
    <row r="1113" spans="1:4" ht="13.5">
      <c r="A1113" s="37">
        <v>93426</v>
      </c>
      <c r="B1113" s="37" t="s">
        <v>3128</v>
      </c>
      <c r="C1113" s="37" t="s">
        <v>10</v>
      </c>
      <c r="D1113" s="326">
        <v>159.93</v>
      </c>
    </row>
    <row r="1114" spans="1:4" ht="13.5">
      <c r="A1114" s="37">
        <v>93429</v>
      </c>
      <c r="B1114" s="37" t="s">
        <v>16742</v>
      </c>
      <c r="C1114" s="37" t="s">
        <v>10</v>
      </c>
      <c r="D1114" s="326">
        <v>115</v>
      </c>
    </row>
    <row r="1115" spans="1:4" ht="13.5">
      <c r="A1115" s="37">
        <v>93430</v>
      </c>
      <c r="B1115" s="37" t="s">
        <v>16743</v>
      </c>
      <c r="C1115" s="37" t="s">
        <v>10</v>
      </c>
      <c r="D1115" s="326">
        <v>36.340000000000003</v>
      </c>
    </row>
    <row r="1116" spans="1:4" ht="13.5">
      <c r="A1116" s="37">
        <v>93431</v>
      </c>
      <c r="B1116" s="37" t="s">
        <v>16744</v>
      </c>
      <c r="C1116" s="37" t="s">
        <v>10</v>
      </c>
      <c r="D1116" s="326">
        <v>138</v>
      </c>
    </row>
    <row r="1117" spans="1:4" ht="13.5">
      <c r="A1117" s="37">
        <v>93432</v>
      </c>
      <c r="B1117" s="37" t="s">
        <v>16745</v>
      </c>
      <c r="C1117" s="37" t="s">
        <v>10</v>
      </c>
      <c r="D1117" s="38">
        <v>2149.1999999999998</v>
      </c>
    </row>
    <row r="1118" spans="1:4" ht="13.5">
      <c r="A1118" s="37">
        <v>93435</v>
      </c>
      <c r="B1118" s="37" t="s">
        <v>16746</v>
      </c>
      <c r="C1118" s="37" t="s">
        <v>10</v>
      </c>
      <c r="D1118" s="326">
        <v>7.26</v>
      </c>
    </row>
    <row r="1119" spans="1:4" ht="13.5">
      <c r="A1119" s="37">
        <v>93436</v>
      </c>
      <c r="B1119" s="37" t="s">
        <v>16747</v>
      </c>
      <c r="C1119" s="37" t="s">
        <v>10</v>
      </c>
      <c r="D1119" s="326">
        <v>2.04</v>
      </c>
    </row>
    <row r="1120" spans="1:4" ht="13.5">
      <c r="A1120" s="37">
        <v>93437</v>
      </c>
      <c r="B1120" s="37" t="s">
        <v>16748</v>
      </c>
      <c r="C1120" s="37" t="s">
        <v>10</v>
      </c>
      <c r="D1120" s="326">
        <v>7.26</v>
      </c>
    </row>
    <row r="1121" spans="1:4" ht="13.5">
      <c r="A1121" s="37">
        <v>93438</v>
      </c>
      <c r="B1121" s="37" t="s">
        <v>16749</v>
      </c>
      <c r="C1121" s="37" t="s">
        <v>10</v>
      </c>
      <c r="D1121" s="326">
        <v>112.05</v>
      </c>
    </row>
    <row r="1122" spans="1:4" ht="13.5">
      <c r="A1122" s="37">
        <v>95114</v>
      </c>
      <c r="B1122" s="37" t="s">
        <v>3129</v>
      </c>
      <c r="C1122" s="37" t="s">
        <v>10</v>
      </c>
      <c r="D1122" s="326">
        <v>1.48</v>
      </c>
    </row>
    <row r="1123" spans="1:4" ht="13.5">
      <c r="A1123" s="37">
        <v>95115</v>
      </c>
      <c r="B1123" s="37" t="s">
        <v>3130</v>
      </c>
      <c r="C1123" s="37" t="s">
        <v>10</v>
      </c>
      <c r="D1123" s="326">
        <v>0.34</v>
      </c>
    </row>
    <row r="1124" spans="1:4" ht="13.5">
      <c r="A1124" s="37">
        <v>95116</v>
      </c>
      <c r="B1124" s="37" t="s">
        <v>3131</v>
      </c>
      <c r="C1124" s="37" t="s">
        <v>10</v>
      </c>
      <c r="D1124" s="326">
        <v>32.549999999999997</v>
      </c>
    </row>
    <row r="1125" spans="1:4" ht="13.5">
      <c r="A1125" s="37">
        <v>95117</v>
      </c>
      <c r="B1125" s="37" t="s">
        <v>3132</v>
      </c>
      <c r="C1125" s="37" t="s">
        <v>10</v>
      </c>
      <c r="D1125" s="326">
        <v>10.039999999999999</v>
      </c>
    </row>
    <row r="1126" spans="1:4" ht="13.5">
      <c r="A1126" s="37">
        <v>95118</v>
      </c>
      <c r="B1126" s="37" t="s">
        <v>3133</v>
      </c>
      <c r="C1126" s="37" t="s">
        <v>10</v>
      </c>
      <c r="D1126" s="326">
        <v>54.22</v>
      </c>
    </row>
    <row r="1127" spans="1:4" ht="13.5">
      <c r="A1127" s="37">
        <v>95119</v>
      </c>
      <c r="B1127" s="37" t="s">
        <v>3134</v>
      </c>
      <c r="C1127" s="37" t="s">
        <v>10</v>
      </c>
      <c r="D1127" s="326">
        <v>16.72</v>
      </c>
    </row>
    <row r="1128" spans="1:4" ht="13.5">
      <c r="A1128" s="37">
        <v>95120</v>
      </c>
      <c r="B1128" s="37" t="s">
        <v>3135</v>
      </c>
      <c r="C1128" s="37" t="s">
        <v>10</v>
      </c>
      <c r="D1128" s="326">
        <v>54.18</v>
      </c>
    </row>
    <row r="1129" spans="1:4" ht="13.5">
      <c r="A1129" s="37">
        <v>95123</v>
      </c>
      <c r="B1129" s="37" t="s">
        <v>3136</v>
      </c>
      <c r="C1129" s="37" t="s">
        <v>10</v>
      </c>
      <c r="D1129" s="326">
        <v>17.87</v>
      </c>
    </row>
    <row r="1130" spans="1:4" ht="13.5">
      <c r="A1130" s="37">
        <v>95124</v>
      </c>
      <c r="B1130" s="37" t="s">
        <v>3137</v>
      </c>
      <c r="C1130" s="37" t="s">
        <v>10</v>
      </c>
      <c r="D1130" s="326">
        <v>5.51</v>
      </c>
    </row>
    <row r="1131" spans="1:4" ht="13.5">
      <c r="A1131" s="37">
        <v>95125</v>
      </c>
      <c r="B1131" s="37" t="s">
        <v>3138</v>
      </c>
      <c r="C1131" s="37" t="s">
        <v>10</v>
      </c>
      <c r="D1131" s="326">
        <v>19.559999999999999</v>
      </c>
    </row>
    <row r="1132" spans="1:4" ht="13.5">
      <c r="A1132" s="37">
        <v>95126</v>
      </c>
      <c r="B1132" s="37" t="s">
        <v>3139</v>
      </c>
      <c r="C1132" s="37" t="s">
        <v>10</v>
      </c>
      <c r="D1132" s="326">
        <v>146.91999999999999</v>
      </c>
    </row>
    <row r="1133" spans="1:4" ht="13.5">
      <c r="A1133" s="37">
        <v>95129</v>
      </c>
      <c r="B1133" s="37" t="s">
        <v>3140</v>
      </c>
      <c r="C1133" s="37" t="s">
        <v>10</v>
      </c>
      <c r="D1133" s="326">
        <v>47.9</v>
      </c>
    </row>
    <row r="1134" spans="1:4" ht="13.5">
      <c r="A1134" s="37">
        <v>95130</v>
      </c>
      <c r="B1134" s="37" t="s">
        <v>3141</v>
      </c>
      <c r="C1134" s="37" t="s">
        <v>10</v>
      </c>
      <c r="D1134" s="326">
        <v>17.36</v>
      </c>
    </row>
    <row r="1135" spans="1:4" ht="13.5">
      <c r="A1135" s="37">
        <v>95131</v>
      </c>
      <c r="B1135" s="37" t="s">
        <v>3142</v>
      </c>
      <c r="C1135" s="37" t="s">
        <v>10</v>
      </c>
      <c r="D1135" s="326">
        <v>56.38</v>
      </c>
    </row>
    <row r="1136" spans="1:4" ht="13.5">
      <c r="A1136" s="37">
        <v>95132</v>
      </c>
      <c r="B1136" s="37" t="s">
        <v>3143</v>
      </c>
      <c r="C1136" s="37" t="s">
        <v>10</v>
      </c>
      <c r="D1136" s="326">
        <v>32.17</v>
      </c>
    </row>
    <row r="1137" spans="1:4" ht="13.5">
      <c r="A1137" s="37">
        <v>95136</v>
      </c>
      <c r="B1137" s="37" t="s">
        <v>3144</v>
      </c>
      <c r="C1137" s="37" t="s">
        <v>10</v>
      </c>
      <c r="D1137" s="326">
        <v>0.03</v>
      </c>
    </row>
    <row r="1138" spans="1:4" ht="13.5">
      <c r="A1138" s="37">
        <v>95137</v>
      </c>
      <c r="B1138" s="37" t="s">
        <v>3145</v>
      </c>
      <c r="C1138" s="37" t="s">
        <v>10</v>
      </c>
      <c r="D1138" s="326">
        <v>0.01</v>
      </c>
    </row>
    <row r="1139" spans="1:4" ht="13.5">
      <c r="A1139" s="37">
        <v>95138</v>
      </c>
      <c r="B1139" s="37" t="s">
        <v>3146</v>
      </c>
      <c r="C1139" s="37" t="s">
        <v>10</v>
      </c>
      <c r="D1139" s="326">
        <v>0.02</v>
      </c>
    </row>
    <row r="1140" spans="1:4" ht="13.5">
      <c r="A1140" s="37">
        <v>95208</v>
      </c>
      <c r="B1140" s="37" t="s">
        <v>16750</v>
      </c>
      <c r="C1140" s="37" t="s">
        <v>10</v>
      </c>
      <c r="D1140" s="326">
        <v>32.6</v>
      </c>
    </row>
    <row r="1141" spans="1:4" ht="13.5">
      <c r="A1141" s="37">
        <v>95209</v>
      </c>
      <c r="B1141" s="37" t="s">
        <v>16751</v>
      </c>
      <c r="C1141" s="37" t="s">
        <v>10</v>
      </c>
      <c r="D1141" s="326">
        <v>12.06</v>
      </c>
    </row>
    <row r="1142" spans="1:4" ht="13.5">
      <c r="A1142" s="37">
        <v>95210</v>
      </c>
      <c r="B1142" s="37" t="s">
        <v>16752</v>
      </c>
      <c r="C1142" s="37" t="s">
        <v>10</v>
      </c>
      <c r="D1142" s="326">
        <v>32.6</v>
      </c>
    </row>
    <row r="1143" spans="1:4" ht="13.5">
      <c r="A1143" s="37">
        <v>95211</v>
      </c>
      <c r="B1143" s="37" t="s">
        <v>16753</v>
      </c>
      <c r="C1143" s="37" t="s">
        <v>10</v>
      </c>
      <c r="D1143" s="326">
        <v>7.94</v>
      </c>
    </row>
    <row r="1144" spans="1:4" ht="13.5">
      <c r="A1144" s="37">
        <v>95217</v>
      </c>
      <c r="B1144" s="37" t="s">
        <v>16754</v>
      </c>
      <c r="C1144" s="37" t="s">
        <v>10</v>
      </c>
      <c r="D1144" s="326">
        <v>0.64</v>
      </c>
    </row>
    <row r="1145" spans="1:4" ht="13.5">
      <c r="A1145" s="37">
        <v>95255</v>
      </c>
      <c r="B1145" s="37" t="s">
        <v>3147</v>
      </c>
      <c r="C1145" s="37" t="s">
        <v>10</v>
      </c>
      <c r="D1145" s="326">
        <v>1.31</v>
      </c>
    </row>
    <row r="1146" spans="1:4" ht="13.5">
      <c r="A1146" s="37">
        <v>95256</v>
      </c>
      <c r="B1146" s="37" t="s">
        <v>3148</v>
      </c>
      <c r="C1146" s="37" t="s">
        <v>10</v>
      </c>
      <c r="D1146" s="326">
        <v>0.3</v>
      </c>
    </row>
    <row r="1147" spans="1:4" ht="13.5">
      <c r="A1147" s="37">
        <v>95257</v>
      </c>
      <c r="B1147" s="37" t="s">
        <v>3149</v>
      </c>
      <c r="C1147" s="37" t="s">
        <v>10</v>
      </c>
      <c r="D1147" s="326">
        <v>1.64</v>
      </c>
    </row>
    <row r="1148" spans="1:4" ht="13.5">
      <c r="A1148" s="37">
        <v>95260</v>
      </c>
      <c r="B1148" s="37" t="s">
        <v>3150</v>
      </c>
      <c r="C1148" s="37" t="s">
        <v>10</v>
      </c>
      <c r="D1148" s="326">
        <v>0.57999999999999996</v>
      </c>
    </row>
    <row r="1149" spans="1:4" ht="13.5">
      <c r="A1149" s="37">
        <v>95261</v>
      </c>
      <c r="B1149" s="37" t="s">
        <v>3151</v>
      </c>
      <c r="C1149" s="37" t="s">
        <v>10</v>
      </c>
      <c r="D1149" s="326">
        <v>0.28999999999999998</v>
      </c>
    </row>
    <row r="1150" spans="1:4" ht="13.5">
      <c r="A1150" s="37">
        <v>95262</v>
      </c>
      <c r="B1150" s="37" t="s">
        <v>3152</v>
      </c>
      <c r="C1150" s="37" t="s">
        <v>10</v>
      </c>
      <c r="D1150" s="326">
        <v>1.37</v>
      </c>
    </row>
    <row r="1151" spans="1:4" ht="13.5">
      <c r="A1151" s="37">
        <v>95263</v>
      </c>
      <c r="B1151" s="37" t="s">
        <v>3153</v>
      </c>
      <c r="C1151" s="37" t="s">
        <v>10</v>
      </c>
      <c r="D1151" s="326">
        <v>4.42</v>
      </c>
    </row>
    <row r="1152" spans="1:4" ht="13.5">
      <c r="A1152" s="37">
        <v>95266</v>
      </c>
      <c r="B1152" s="37" t="s">
        <v>3154</v>
      </c>
      <c r="C1152" s="37" t="s">
        <v>10</v>
      </c>
      <c r="D1152" s="326">
        <v>0.44</v>
      </c>
    </row>
    <row r="1153" spans="1:4" ht="13.5">
      <c r="A1153" s="37">
        <v>95267</v>
      </c>
      <c r="B1153" s="37" t="s">
        <v>3155</v>
      </c>
      <c r="C1153" s="37" t="s">
        <v>10</v>
      </c>
      <c r="D1153" s="326">
        <v>0.09</v>
      </c>
    </row>
    <row r="1154" spans="1:4" ht="13.5">
      <c r="A1154" s="37">
        <v>95268</v>
      </c>
      <c r="B1154" s="37" t="s">
        <v>3156</v>
      </c>
      <c r="C1154" s="37" t="s">
        <v>10</v>
      </c>
      <c r="D1154" s="326">
        <v>0.43</v>
      </c>
    </row>
    <row r="1155" spans="1:4" ht="13.5">
      <c r="A1155" s="37">
        <v>95269</v>
      </c>
      <c r="B1155" s="37" t="s">
        <v>3157</v>
      </c>
      <c r="C1155" s="37" t="s">
        <v>10</v>
      </c>
      <c r="D1155" s="326">
        <v>8.16</v>
      </c>
    </row>
    <row r="1156" spans="1:4" ht="13.5">
      <c r="A1156" s="37">
        <v>95272</v>
      </c>
      <c r="B1156" s="37" t="s">
        <v>16755</v>
      </c>
      <c r="C1156" s="37" t="s">
        <v>10</v>
      </c>
      <c r="D1156" s="326">
        <v>0.4</v>
      </c>
    </row>
    <row r="1157" spans="1:4" ht="13.5">
      <c r="A1157" s="37">
        <v>95273</v>
      </c>
      <c r="B1157" s="37" t="s">
        <v>16756</v>
      </c>
      <c r="C1157" s="37" t="s">
        <v>10</v>
      </c>
      <c r="D1157" s="326">
        <v>0.1</v>
      </c>
    </row>
    <row r="1158" spans="1:4" ht="13.5">
      <c r="A1158" s="37">
        <v>95274</v>
      </c>
      <c r="B1158" s="37" t="s">
        <v>16757</v>
      </c>
      <c r="C1158" s="37" t="s">
        <v>10</v>
      </c>
      <c r="D1158" s="326">
        <v>0.33</v>
      </c>
    </row>
    <row r="1159" spans="1:4" ht="13.5">
      <c r="A1159" s="37">
        <v>95275</v>
      </c>
      <c r="B1159" s="37" t="s">
        <v>16758</v>
      </c>
      <c r="C1159" s="37" t="s">
        <v>10</v>
      </c>
      <c r="D1159" s="326">
        <v>2.15</v>
      </c>
    </row>
    <row r="1160" spans="1:4" ht="13.5">
      <c r="A1160" s="37">
        <v>95278</v>
      </c>
      <c r="B1160" s="37" t="s">
        <v>16759</v>
      </c>
      <c r="C1160" s="37" t="s">
        <v>10</v>
      </c>
      <c r="D1160" s="326">
        <v>0.51</v>
      </c>
    </row>
    <row r="1161" spans="1:4" ht="13.5">
      <c r="A1161" s="37">
        <v>95279</v>
      </c>
      <c r="B1161" s="37" t="s">
        <v>16760</v>
      </c>
      <c r="C1161" s="37" t="s">
        <v>10</v>
      </c>
      <c r="D1161" s="326">
        <v>0.1</v>
      </c>
    </row>
    <row r="1162" spans="1:4" ht="13.5">
      <c r="A1162" s="37">
        <v>95280</v>
      </c>
      <c r="B1162" s="37" t="s">
        <v>16761</v>
      </c>
      <c r="C1162" s="37" t="s">
        <v>10</v>
      </c>
      <c r="D1162" s="326">
        <v>0.51</v>
      </c>
    </row>
    <row r="1163" spans="1:4" ht="13.5">
      <c r="A1163" s="37">
        <v>95281</v>
      </c>
      <c r="B1163" s="37" t="s">
        <v>16762</v>
      </c>
      <c r="C1163" s="37" t="s">
        <v>10</v>
      </c>
      <c r="D1163" s="326">
        <v>8.14</v>
      </c>
    </row>
    <row r="1164" spans="1:4" ht="13.5">
      <c r="A1164" s="37">
        <v>95617</v>
      </c>
      <c r="B1164" s="37" t="s">
        <v>3158</v>
      </c>
      <c r="C1164" s="37" t="s">
        <v>10</v>
      </c>
      <c r="D1164" s="326">
        <v>1.08</v>
      </c>
    </row>
    <row r="1165" spans="1:4" ht="13.5">
      <c r="A1165" s="37">
        <v>95618</v>
      </c>
      <c r="B1165" s="37" t="s">
        <v>3159</v>
      </c>
      <c r="C1165" s="37" t="s">
        <v>10</v>
      </c>
      <c r="D1165" s="326">
        <v>0.25</v>
      </c>
    </row>
    <row r="1166" spans="1:4" ht="13.5">
      <c r="A1166" s="37">
        <v>95619</v>
      </c>
      <c r="B1166" s="37" t="s">
        <v>3160</v>
      </c>
      <c r="C1166" s="37" t="s">
        <v>10</v>
      </c>
      <c r="D1166" s="326">
        <v>1.35</v>
      </c>
    </row>
    <row r="1167" spans="1:4" ht="13.5">
      <c r="A1167" s="37">
        <v>95627</v>
      </c>
      <c r="B1167" s="37" t="s">
        <v>3161</v>
      </c>
      <c r="C1167" s="37" t="s">
        <v>10</v>
      </c>
      <c r="D1167" s="326">
        <v>47.95</v>
      </c>
    </row>
    <row r="1168" spans="1:4" ht="13.5">
      <c r="A1168" s="37">
        <v>95628</v>
      </c>
      <c r="B1168" s="37" t="s">
        <v>3162</v>
      </c>
      <c r="C1168" s="37" t="s">
        <v>10</v>
      </c>
      <c r="D1168" s="326">
        <v>12.86</v>
      </c>
    </row>
    <row r="1169" spans="1:4" ht="13.5">
      <c r="A1169" s="37">
        <v>95629</v>
      </c>
      <c r="B1169" s="37" t="s">
        <v>3163</v>
      </c>
      <c r="C1169" s="37" t="s">
        <v>10</v>
      </c>
      <c r="D1169" s="326">
        <v>60.01</v>
      </c>
    </row>
    <row r="1170" spans="1:4" ht="13.5">
      <c r="A1170" s="37">
        <v>95630</v>
      </c>
      <c r="B1170" s="37" t="s">
        <v>3164</v>
      </c>
      <c r="C1170" s="37" t="s">
        <v>10</v>
      </c>
      <c r="D1170" s="326">
        <v>89.07</v>
      </c>
    </row>
    <row r="1171" spans="1:4" ht="13.5">
      <c r="A1171" s="37">
        <v>95698</v>
      </c>
      <c r="B1171" s="37" t="s">
        <v>3165</v>
      </c>
      <c r="C1171" s="37" t="s">
        <v>10</v>
      </c>
      <c r="D1171" s="326">
        <v>4.38</v>
      </c>
    </row>
    <row r="1172" spans="1:4" ht="13.5">
      <c r="A1172" s="37">
        <v>95699</v>
      </c>
      <c r="B1172" s="37" t="s">
        <v>3166</v>
      </c>
      <c r="C1172" s="37" t="s">
        <v>10</v>
      </c>
      <c r="D1172" s="326">
        <v>1.01</v>
      </c>
    </row>
    <row r="1173" spans="1:4" ht="13.5">
      <c r="A1173" s="37">
        <v>95700</v>
      </c>
      <c r="B1173" s="37" t="s">
        <v>3167</v>
      </c>
      <c r="C1173" s="37" t="s">
        <v>10</v>
      </c>
      <c r="D1173" s="326">
        <v>5.48</v>
      </c>
    </row>
    <row r="1174" spans="1:4" ht="13.5">
      <c r="A1174" s="37">
        <v>95701</v>
      </c>
      <c r="B1174" s="37" t="s">
        <v>3168</v>
      </c>
      <c r="C1174" s="37" t="s">
        <v>10</v>
      </c>
      <c r="D1174" s="326">
        <v>2.66</v>
      </c>
    </row>
    <row r="1175" spans="1:4" ht="13.5">
      <c r="A1175" s="37">
        <v>95704</v>
      </c>
      <c r="B1175" s="37" t="s">
        <v>3169</v>
      </c>
      <c r="C1175" s="37" t="s">
        <v>10</v>
      </c>
      <c r="D1175" s="326">
        <v>44.75</v>
      </c>
    </row>
    <row r="1176" spans="1:4" ht="13.5">
      <c r="A1176" s="37">
        <v>95705</v>
      </c>
      <c r="B1176" s="37" t="s">
        <v>3170</v>
      </c>
      <c r="C1176" s="37" t="s">
        <v>10</v>
      </c>
      <c r="D1176" s="326">
        <v>12</v>
      </c>
    </row>
    <row r="1177" spans="1:4" ht="13.5">
      <c r="A1177" s="37">
        <v>95706</v>
      </c>
      <c r="B1177" s="37" t="s">
        <v>3171</v>
      </c>
      <c r="C1177" s="37" t="s">
        <v>10</v>
      </c>
      <c r="D1177" s="326">
        <v>56</v>
      </c>
    </row>
    <row r="1178" spans="1:4" ht="13.5">
      <c r="A1178" s="37">
        <v>95707</v>
      </c>
      <c r="B1178" s="37" t="s">
        <v>3172</v>
      </c>
      <c r="C1178" s="37" t="s">
        <v>10</v>
      </c>
      <c r="D1178" s="326">
        <v>3.48</v>
      </c>
    </row>
    <row r="1179" spans="1:4" ht="13.5">
      <c r="A1179" s="37">
        <v>95710</v>
      </c>
      <c r="B1179" s="37" t="s">
        <v>3173</v>
      </c>
      <c r="C1179" s="37" t="s">
        <v>10</v>
      </c>
      <c r="D1179" s="326">
        <v>53.79</v>
      </c>
    </row>
    <row r="1180" spans="1:4" ht="13.5">
      <c r="A1180" s="37">
        <v>95711</v>
      </c>
      <c r="B1180" s="37" t="s">
        <v>3174</v>
      </c>
      <c r="C1180" s="37" t="s">
        <v>10</v>
      </c>
      <c r="D1180" s="326">
        <v>14.21</v>
      </c>
    </row>
    <row r="1181" spans="1:4" ht="13.5">
      <c r="A1181" s="37">
        <v>95712</v>
      </c>
      <c r="B1181" s="37" t="s">
        <v>3175</v>
      </c>
      <c r="C1181" s="37" t="s">
        <v>10</v>
      </c>
      <c r="D1181" s="326">
        <v>67.239999999999995</v>
      </c>
    </row>
    <row r="1182" spans="1:4" ht="13.5">
      <c r="A1182" s="37">
        <v>95713</v>
      </c>
      <c r="B1182" s="37" t="s">
        <v>3176</v>
      </c>
      <c r="C1182" s="37" t="s">
        <v>10</v>
      </c>
      <c r="D1182" s="326">
        <v>89.72</v>
      </c>
    </row>
    <row r="1183" spans="1:4" ht="13.5">
      <c r="A1183" s="37">
        <v>95716</v>
      </c>
      <c r="B1183" s="37" t="s">
        <v>3177</v>
      </c>
      <c r="C1183" s="37" t="s">
        <v>10</v>
      </c>
      <c r="D1183" s="326">
        <v>51.78</v>
      </c>
    </row>
    <row r="1184" spans="1:4" ht="13.5">
      <c r="A1184" s="37">
        <v>95717</v>
      </c>
      <c r="B1184" s="37" t="s">
        <v>3178</v>
      </c>
      <c r="C1184" s="37" t="s">
        <v>10</v>
      </c>
      <c r="D1184" s="326">
        <v>13.68</v>
      </c>
    </row>
    <row r="1185" spans="1:4" ht="13.5">
      <c r="A1185" s="37">
        <v>95718</v>
      </c>
      <c r="B1185" s="37" t="s">
        <v>3179</v>
      </c>
      <c r="C1185" s="37" t="s">
        <v>10</v>
      </c>
      <c r="D1185" s="326">
        <v>64.73</v>
      </c>
    </row>
    <row r="1186" spans="1:4" ht="13.5">
      <c r="A1186" s="37">
        <v>95719</v>
      </c>
      <c r="B1186" s="37" t="s">
        <v>3180</v>
      </c>
      <c r="C1186" s="37" t="s">
        <v>10</v>
      </c>
      <c r="D1186" s="326">
        <v>89.72</v>
      </c>
    </row>
    <row r="1187" spans="1:4" ht="13.5">
      <c r="A1187" s="37">
        <v>95869</v>
      </c>
      <c r="B1187" s="37" t="s">
        <v>3181</v>
      </c>
      <c r="C1187" s="37" t="s">
        <v>10</v>
      </c>
      <c r="D1187" s="326">
        <v>3.58</v>
      </c>
    </row>
    <row r="1188" spans="1:4" ht="13.5">
      <c r="A1188" s="37">
        <v>95870</v>
      </c>
      <c r="B1188" s="37" t="s">
        <v>3182</v>
      </c>
      <c r="C1188" s="37" t="s">
        <v>10</v>
      </c>
      <c r="D1188" s="326">
        <v>9.08</v>
      </c>
    </row>
    <row r="1189" spans="1:4" ht="13.5">
      <c r="A1189" s="37">
        <v>95871</v>
      </c>
      <c r="B1189" s="37" t="s">
        <v>3183</v>
      </c>
      <c r="C1189" s="37" t="s">
        <v>10</v>
      </c>
      <c r="D1189" s="326">
        <v>272.47000000000003</v>
      </c>
    </row>
    <row r="1190" spans="1:4" ht="13.5">
      <c r="A1190" s="37">
        <v>95874</v>
      </c>
      <c r="B1190" s="37" t="s">
        <v>3184</v>
      </c>
      <c r="C1190" s="37" t="s">
        <v>10</v>
      </c>
      <c r="D1190" s="326">
        <v>10.17</v>
      </c>
    </row>
    <row r="1191" spans="1:4" ht="13.5">
      <c r="A1191" s="37">
        <v>96008</v>
      </c>
      <c r="B1191" s="37" t="s">
        <v>3185</v>
      </c>
      <c r="C1191" s="37" t="s">
        <v>10</v>
      </c>
      <c r="D1191" s="326">
        <v>22.4</v>
      </c>
    </row>
    <row r="1192" spans="1:4" ht="13.5">
      <c r="A1192" s="37">
        <v>96009</v>
      </c>
      <c r="B1192" s="37" t="s">
        <v>3186</v>
      </c>
      <c r="C1192" s="37" t="s">
        <v>10</v>
      </c>
      <c r="D1192" s="326">
        <v>6</v>
      </c>
    </row>
    <row r="1193" spans="1:4" ht="13.5">
      <c r="A1193" s="37">
        <v>96011</v>
      </c>
      <c r="B1193" s="37" t="s">
        <v>3187</v>
      </c>
      <c r="C1193" s="37" t="s">
        <v>10</v>
      </c>
      <c r="D1193" s="326">
        <v>24.5</v>
      </c>
    </row>
    <row r="1194" spans="1:4" ht="13.5">
      <c r="A1194" s="37">
        <v>96012</v>
      </c>
      <c r="B1194" s="37" t="s">
        <v>3188</v>
      </c>
      <c r="C1194" s="37" t="s">
        <v>10</v>
      </c>
      <c r="D1194" s="326">
        <v>96.47</v>
      </c>
    </row>
    <row r="1195" spans="1:4" ht="13.5">
      <c r="A1195" s="37">
        <v>96015</v>
      </c>
      <c r="B1195" s="37" t="s">
        <v>3189</v>
      </c>
      <c r="C1195" s="37" t="s">
        <v>10</v>
      </c>
      <c r="D1195" s="326">
        <v>22.19</v>
      </c>
    </row>
    <row r="1196" spans="1:4" ht="13.5">
      <c r="A1196" s="37">
        <v>96016</v>
      </c>
      <c r="B1196" s="37" t="s">
        <v>3190</v>
      </c>
      <c r="C1196" s="37" t="s">
        <v>10</v>
      </c>
      <c r="D1196" s="326">
        <v>5.94</v>
      </c>
    </row>
    <row r="1197" spans="1:4" ht="13.5">
      <c r="A1197" s="37">
        <v>96018</v>
      </c>
      <c r="B1197" s="37" t="s">
        <v>3191</v>
      </c>
      <c r="C1197" s="37" t="s">
        <v>10</v>
      </c>
      <c r="D1197" s="326">
        <v>24.27</v>
      </c>
    </row>
    <row r="1198" spans="1:4" ht="13.5">
      <c r="A1198" s="37">
        <v>96019</v>
      </c>
      <c r="B1198" s="37" t="s">
        <v>3192</v>
      </c>
      <c r="C1198" s="37" t="s">
        <v>10</v>
      </c>
      <c r="D1198" s="326">
        <v>96.47</v>
      </c>
    </row>
    <row r="1199" spans="1:4" ht="13.5">
      <c r="A1199" s="37">
        <v>96023</v>
      </c>
      <c r="B1199" s="37" t="s">
        <v>3193</v>
      </c>
      <c r="C1199" s="37" t="s">
        <v>10</v>
      </c>
      <c r="D1199" s="326">
        <v>17.2</v>
      </c>
    </row>
    <row r="1200" spans="1:4" ht="13.5">
      <c r="A1200" s="37">
        <v>96024</v>
      </c>
      <c r="B1200" s="37" t="s">
        <v>3194</v>
      </c>
      <c r="C1200" s="37" t="s">
        <v>10</v>
      </c>
      <c r="D1200" s="326">
        <v>4.5999999999999996</v>
      </c>
    </row>
    <row r="1201" spans="1:4" ht="13.5">
      <c r="A1201" s="37">
        <v>96026</v>
      </c>
      <c r="B1201" s="37" t="s">
        <v>3195</v>
      </c>
      <c r="C1201" s="37" t="s">
        <v>10</v>
      </c>
      <c r="D1201" s="326">
        <v>18.809999999999999</v>
      </c>
    </row>
    <row r="1202" spans="1:4" ht="13.5">
      <c r="A1202" s="37">
        <v>96027</v>
      </c>
      <c r="B1202" s="37" t="s">
        <v>3196</v>
      </c>
      <c r="C1202" s="37" t="s">
        <v>10</v>
      </c>
      <c r="D1202" s="326">
        <v>67.22</v>
      </c>
    </row>
    <row r="1203" spans="1:4" ht="13.5">
      <c r="A1203" s="37">
        <v>96030</v>
      </c>
      <c r="B1203" s="37" t="s">
        <v>3197</v>
      </c>
      <c r="C1203" s="37" t="s">
        <v>10</v>
      </c>
      <c r="D1203" s="326">
        <v>31.97</v>
      </c>
    </row>
    <row r="1204" spans="1:4" ht="13.5">
      <c r="A1204" s="37">
        <v>96031</v>
      </c>
      <c r="B1204" s="37" t="s">
        <v>3198</v>
      </c>
      <c r="C1204" s="37" t="s">
        <v>10</v>
      </c>
      <c r="D1204" s="326">
        <v>12.09</v>
      </c>
    </row>
    <row r="1205" spans="1:4" ht="13.5">
      <c r="A1205" s="37">
        <v>96032</v>
      </c>
      <c r="B1205" s="37" t="s">
        <v>3199</v>
      </c>
      <c r="C1205" s="37" t="s">
        <v>10</v>
      </c>
      <c r="D1205" s="326">
        <v>4.8499999999999996</v>
      </c>
    </row>
    <row r="1206" spans="1:4" ht="13.5">
      <c r="A1206" s="37">
        <v>96033</v>
      </c>
      <c r="B1206" s="37" t="s">
        <v>3200</v>
      </c>
      <c r="C1206" s="37" t="s">
        <v>10</v>
      </c>
      <c r="D1206" s="326">
        <v>54.8</v>
      </c>
    </row>
    <row r="1207" spans="1:4" ht="13.5">
      <c r="A1207" s="37">
        <v>96034</v>
      </c>
      <c r="B1207" s="37" t="s">
        <v>3201</v>
      </c>
      <c r="C1207" s="37" t="s">
        <v>10</v>
      </c>
      <c r="D1207" s="326">
        <v>141.47999999999999</v>
      </c>
    </row>
    <row r="1208" spans="1:4" ht="13.5">
      <c r="A1208" s="37">
        <v>96053</v>
      </c>
      <c r="B1208" s="37" t="s">
        <v>3202</v>
      </c>
      <c r="C1208" s="37" t="s">
        <v>10</v>
      </c>
      <c r="D1208" s="326">
        <v>17.41</v>
      </c>
    </row>
    <row r="1209" spans="1:4" ht="13.5">
      <c r="A1209" s="37">
        <v>96054</v>
      </c>
      <c r="B1209" s="37" t="s">
        <v>3203</v>
      </c>
      <c r="C1209" s="37" t="s">
        <v>10</v>
      </c>
      <c r="D1209" s="326">
        <v>31.22</v>
      </c>
    </row>
    <row r="1210" spans="1:4" ht="13.5">
      <c r="A1210" s="37">
        <v>96055</v>
      </c>
      <c r="B1210" s="37" t="s">
        <v>3204</v>
      </c>
      <c r="C1210" s="37" t="s">
        <v>10</v>
      </c>
      <c r="D1210" s="326">
        <v>4.66</v>
      </c>
    </row>
    <row r="1211" spans="1:4" ht="13.5">
      <c r="A1211" s="37">
        <v>96056</v>
      </c>
      <c r="B1211" s="37" t="s">
        <v>3205</v>
      </c>
      <c r="C1211" s="37" t="s">
        <v>10</v>
      </c>
      <c r="D1211" s="326">
        <v>19.04</v>
      </c>
    </row>
    <row r="1212" spans="1:4" ht="13.5">
      <c r="A1212" s="37">
        <v>96057</v>
      </c>
      <c r="B1212" s="37" t="s">
        <v>3206</v>
      </c>
      <c r="C1212" s="37" t="s">
        <v>10</v>
      </c>
      <c r="D1212" s="326">
        <v>67.22</v>
      </c>
    </row>
    <row r="1213" spans="1:4" ht="13.5">
      <c r="A1213" s="37">
        <v>96060</v>
      </c>
      <c r="B1213" s="37" t="s">
        <v>3207</v>
      </c>
      <c r="C1213" s="37" t="s">
        <v>10</v>
      </c>
      <c r="D1213" s="326">
        <v>6.09</v>
      </c>
    </row>
    <row r="1214" spans="1:4" ht="13.5">
      <c r="A1214" s="37">
        <v>96061</v>
      </c>
      <c r="B1214" s="37" t="s">
        <v>3208</v>
      </c>
      <c r="C1214" s="37" t="s">
        <v>10</v>
      </c>
      <c r="D1214" s="326">
        <v>39.03</v>
      </c>
    </row>
    <row r="1215" spans="1:4" ht="13.5">
      <c r="A1215" s="37">
        <v>96062</v>
      </c>
      <c r="B1215" s="37" t="s">
        <v>3209</v>
      </c>
      <c r="C1215" s="37" t="s">
        <v>10</v>
      </c>
      <c r="D1215" s="326">
        <v>39.76</v>
      </c>
    </row>
    <row r="1216" spans="1:4" ht="13.5">
      <c r="A1216" s="37">
        <v>96241</v>
      </c>
      <c r="B1216" s="37" t="s">
        <v>3210</v>
      </c>
      <c r="C1216" s="37" t="s">
        <v>10</v>
      </c>
      <c r="D1216" s="326">
        <v>27.2</v>
      </c>
    </row>
    <row r="1217" spans="1:4" ht="13.5">
      <c r="A1217" s="37">
        <v>96242</v>
      </c>
      <c r="B1217" s="37" t="s">
        <v>3211</v>
      </c>
      <c r="C1217" s="37" t="s">
        <v>10</v>
      </c>
      <c r="D1217" s="326">
        <v>7.18</v>
      </c>
    </row>
    <row r="1218" spans="1:4" ht="13.5">
      <c r="A1218" s="37">
        <v>96243</v>
      </c>
      <c r="B1218" s="37" t="s">
        <v>3212</v>
      </c>
      <c r="C1218" s="37" t="s">
        <v>10</v>
      </c>
      <c r="D1218" s="326">
        <v>34</v>
      </c>
    </row>
    <row r="1219" spans="1:4" ht="13.5">
      <c r="A1219" s="37">
        <v>96244</v>
      </c>
      <c r="B1219" s="37" t="s">
        <v>3213</v>
      </c>
      <c r="C1219" s="37" t="s">
        <v>10</v>
      </c>
      <c r="D1219" s="326">
        <v>17.37</v>
      </c>
    </row>
    <row r="1220" spans="1:4" ht="13.5">
      <c r="A1220" s="37">
        <v>96301</v>
      </c>
      <c r="B1220" s="37" t="s">
        <v>3214</v>
      </c>
      <c r="C1220" s="37" t="s">
        <v>10</v>
      </c>
      <c r="D1220" s="326">
        <v>49.01</v>
      </c>
    </row>
    <row r="1221" spans="1:4" ht="13.5">
      <c r="A1221" s="37">
        <v>96457</v>
      </c>
      <c r="B1221" s="37" t="s">
        <v>3215</v>
      </c>
      <c r="C1221" s="37" t="s">
        <v>10</v>
      </c>
      <c r="D1221" s="326">
        <v>63.69</v>
      </c>
    </row>
    <row r="1222" spans="1:4" ht="13.5">
      <c r="A1222" s="37">
        <v>96458</v>
      </c>
      <c r="B1222" s="37" t="s">
        <v>3216</v>
      </c>
      <c r="C1222" s="37" t="s">
        <v>10</v>
      </c>
      <c r="D1222" s="326">
        <v>66.55</v>
      </c>
    </row>
    <row r="1223" spans="1:4" ht="13.5">
      <c r="A1223" s="37">
        <v>96459</v>
      </c>
      <c r="B1223" s="37" t="s">
        <v>3217</v>
      </c>
      <c r="C1223" s="37" t="s">
        <v>10</v>
      </c>
      <c r="D1223" s="326">
        <v>14.26</v>
      </c>
    </row>
    <row r="1224" spans="1:4" ht="13.5">
      <c r="A1224" s="37">
        <v>96460</v>
      </c>
      <c r="B1224" s="37" t="s">
        <v>3218</v>
      </c>
      <c r="C1224" s="37" t="s">
        <v>10</v>
      </c>
      <c r="D1224" s="326">
        <v>53.18</v>
      </c>
    </row>
    <row r="1225" spans="1:4" ht="13.5">
      <c r="A1225" s="37">
        <v>98760</v>
      </c>
      <c r="B1225" s="37" t="s">
        <v>3219</v>
      </c>
      <c r="C1225" s="37" t="s">
        <v>10</v>
      </c>
      <c r="D1225" s="326">
        <v>0.05</v>
      </c>
    </row>
    <row r="1226" spans="1:4" ht="13.5">
      <c r="A1226" s="37">
        <v>98761</v>
      </c>
      <c r="B1226" s="37" t="s">
        <v>3220</v>
      </c>
      <c r="C1226" s="37" t="s">
        <v>10</v>
      </c>
      <c r="D1226" s="326">
        <v>0.01</v>
      </c>
    </row>
    <row r="1227" spans="1:4" ht="13.5">
      <c r="A1227" s="37">
        <v>98762</v>
      </c>
      <c r="B1227" s="37" t="s">
        <v>3221</v>
      </c>
      <c r="C1227" s="37" t="s">
        <v>10</v>
      </c>
      <c r="D1227" s="326">
        <v>7.0000000000000007E-2</v>
      </c>
    </row>
    <row r="1228" spans="1:4" ht="13.5">
      <c r="A1228" s="37">
        <v>98763</v>
      </c>
      <c r="B1228" s="37" t="s">
        <v>3222</v>
      </c>
      <c r="C1228" s="37" t="s">
        <v>10</v>
      </c>
      <c r="D1228" s="326">
        <v>3.9</v>
      </c>
    </row>
    <row r="1229" spans="1:4" ht="13.5">
      <c r="A1229" s="37">
        <v>99829</v>
      </c>
      <c r="B1229" s="37" t="s">
        <v>16763</v>
      </c>
      <c r="C1229" s="37" t="s">
        <v>10</v>
      </c>
      <c r="D1229" s="326">
        <v>0.16</v>
      </c>
    </row>
    <row r="1230" spans="1:4" ht="13.5">
      <c r="A1230" s="37">
        <v>99830</v>
      </c>
      <c r="B1230" s="37" t="s">
        <v>16764</v>
      </c>
      <c r="C1230" s="37" t="s">
        <v>10</v>
      </c>
      <c r="D1230" s="326">
        <v>0.03</v>
      </c>
    </row>
    <row r="1231" spans="1:4" ht="13.5">
      <c r="A1231" s="37">
        <v>99831</v>
      </c>
      <c r="B1231" s="37" t="s">
        <v>16765</v>
      </c>
      <c r="C1231" s="37" t="s">
        <v>10</v>
      </c>
      <c r="D1231" s="326">
        <v>0.11</v>
      </c>
    </row>
    <row r="1232" spans="1:4" ht="13.5">
      <c r="A1232" s="37">
        <v>99832</v>
      </c>
      <c r="B1232" s="37" t="s">
        <v>16766</v>
      </c>
      <c r="C1232" s="37" t="s">
        <v>10</v>
      </c>
      <c r="D1232" s="326">
        <v>1.59</v>
      </c>
    </row>
    <row r="1233" spans="1:4" ht="13.5">
      <c r="A1233" s="37">
        <v>100637</v>
      </c>
      <c r="B1233" s="37" t="s">
        <v>3224</v>
      </c>
      <c r="C1233" s="37" t="s">
        <v>10</v>
      </c>
      <c r="D1233" s="326">
        <v>145.21</v>
      </c>
    </row>
    <row r="1234" spans="1:4" ht="13.5">
      <c r="A1234" s="37">
        <v>100638</v>
      </c>
      <c r="B1234" s="37" t="s">
        <v>3225</v>
      </c>
      <c r="C1234" s="37" t="s">
        <v>10</v>
      </c>
      <c r="D1234" s="326">
        <v>44.63</v>
      </c>
    </row>
    <row r="1235" spans="1:4" ht="13.5">
      <c r="A1235" s="37">
        <v>100639</v>
      </c>
      <c r="B1235" s="37" t="s">
        <v>3226</v>
      </c>
      <c r="C1235" s="37" t="s">
        <v>10</v>
      </c>
      <c r="D1235" s="326">
        <v>181.65</v>
      </c>
    </row>
    <row r="1236" spans="1:4" ht="13.5">
      <c r="A1236" s="37">
        <v>100640</v>
      </c>
      <c r="B1236" s="37" t="s">
        <v>3227</v>
      </c>
      <c r="C1236" s="37" t="s">
        <v>10</v>
      </c>
      <c r="D1236" s="38">
        <v>4298.3999999999996</v>
      </c>
    </row>
    <row r="1237" spans="1:4" ht="13.5">
      <c r="A1237" s="37">
        <v>100643</v>
      </c>
      <c r="B1237" s="37" t="s">
        <v>3228</v>
      </c>
      <c r="C1237" s="37" t="s">
        <v>10</v>
      </c>
      <c r="D1237" s="326">
        <v>297.54000000000002</v>
      </c>
    </row>
    <row r="1238" spans="1:4" ht="13.5">
      <c r="A1238" s="37">
        <v>100644</v>
      </c>
      <c r="B1238" s="37" t="s">
        <v>3229</v>
      </c>
      <c r="C1238" s="37" t="s">
        <v>10</v>
      </c>
      <c r="D1238" s="326">
        <v>104.88</v>
      </c>
    </row>
    <row r="1239" spans="1:4" ht="13.5">
      <c r="A1239" s="37">
        <v>100645</v>
      </c>
      <c r="B1239" s="37" t="s">
        <v>3230</v>
      </c>
      <c r="C1239" s="37" t="s">
        <v>10</v>
      </c>
      <c r="D1239" s="326">
        <v>478.29</v>
      </c>
    </row>
    <row r="1240" spans="1:4" ht="13.5">
      <c r="A1240" s="37">
        <v>100646</v>
      </c>
      <c r="B1240" s="37" t="s">
        <v>3231</v>
      </c>
      <c r="C1240" s="37" t="s">
        <v>10</v>
      </c>
      <c r="D1240" s="38">
        <v>5373</v>
      </c>
    </row>
    <row r="1241" spans="1:4" ht="13.5">
      <c r="A1241" s="37">
        <v>102270</v>
      </c>
      <c r="B1241" s="37" t="s">
        <v>7383</v>
      </c>
      <c r="C1241" s="37" t="s">
        <v>10</v>
      </c>
      <c r="D1241" s="326">
        <v>0.65</v>
      </c>
    </row>
    <row r="1242" spans="1:4" ht="13.5">
      <c r="A1242" s="37">
        <v>102271</v>
      </c>
      <c r="B1242" s="37" t="s">
        <v>7384</v>
      </c>
      <c r="C1242" s="37" t="s">
        <v>10</v>
      </c>
      <c r="D1242" s="326">
        <v>0.15</v>
      </c>
    </row>
    <row r="1243" spans="1:4" ht="13.5">
      <c r="A1243" s="37">
        <v>102272</v>
      </c>
      <c r="B1243" s="37" t="s">
        <v>7385</v>
      </c>
      <c r="C1243" s="37" t="s">
        <v>10</v>
      </c>
      <c r="D1243" s="326">
        <v>0.81</v>
      </c>
    </row>
    <row r="1244" spans="1:4" ht="13.5">
      <c r="A1244" s="37">
        <v>102273</v>
      </c>
      <c r="B1244" s="37" t="s">
        <v>7386</v>
      </c>
      <c r="C1244" s="37" t="s">
        <v>10</v>
      </c>
      <c r="D1244" s="326">
        <v>1.44</v>
      </c>
    </row>
    <row r="1245" spans="1:4" ht="13.5">
      <c r="A1245" s="37">
        <v>102809</v>
      </c>
      <c r="B1245" s="37" t="s">
        <v>16767</v>
      </c>
      <c r="C1245" s="37" t="s">
        <v>10</v>
      </c>
      <c r="D1245" s="326">
        <v>15.7</v>
      </c>
    </row>
    <row r="1246" spans="1:4" ht="13.5">
      <c r="A1246" s="37">
        <v>102815</v>
      </c>
      <c r="B1246" s="37" t="s">
        <v>13781</v>
      </c>
      <c r="C1246" s="37" t="s">
        <v>10</v>
      </c>
      <c r="D1246" s="326">
        <v>2.89</v>
      </c>
    </row>
    <row r="1247" spans="1:4" ht="13.5">
      <c r="A1247" s="37">
        <v>102826</v>
      </c>
      <c r="B1247" s="37" t="s">
        <v>16768</v>
      </c>
      <c r="C1247" s="37" t="s">
        <v>10</v>
      </c>
      <c r="D1247" s="326">
        <v>5.42</v>
      </c>
    </row>
    <row r="1248" spans="1:4" ht="13.5">
      <c r="A1248" s="37">
        <v>102832</v>
      </c>
      <c r="B1248" s="37" t="s">
        <v>16769</v>
      </c>
      <c r="C1248" s="37" t="s">
        <v>10</v>
      </c>
      <c r="D1248" s="326">
        <v>7.22</v>
      </c>
    </row>
    <row r="1249" spans="1:4" ht="13.5">
      <c r="A1249" s="37">
        <v>102843</v>
      </c>
      <c r="B1249" s="37" t="s">
        <v>13782</v>
      </c>
      <c r="C1249" s="37" t="s">
        <v>10</v>
      </c>
      <c r="D1249" s="326">
        <v>134.32</v>
      </c>
    </row>
    <row r="1250" spans="1:4" ht="13.5">
      <c r="A1250" s="37">
        <v>102849</v>
      </c>
      <c r="B1250" s="37" t="s">
        <v>13783</v>
      </c>
      <c r="C1250" s="37" t="s">
        <v>10</v>
      </c>
      <c r="D1250" s="326">
        <v>65.67</v>
      </c>
    </row>
    <row r="1251" spans="1:4" ht="13.5">
      <c r="A1251" s="37">
        <v>102855</v>
      </c>
      <c r="B1251" s="37" t="s">
        <v>13784</v>
      </c>
      <c r="C1251" s="37" t="s">
        <v>10</v>
      </c>
      <c r="D1251" s="326">
        <v>65.67</v>
      </c>
    </row>
    <row r="1252" spans="1:4" ht="13.5">
      <c r="A1252" s="37">
        <v>102861</v>
      </c>
      <c r="B1252" s="37" t="s">
        <v>16770</v>
      </c>
      <c r="C1252" s="37" t="s">
        <v>10</v>
      </c>
      <c r="D1252" s="326">
        <v>1.06</v>
      </c>
    </row>
    <row r="1253" spans="1:4" ht="13.5">
      <c r="A1253" s="37">
        <v>102867</v>
      </c>
      <c r="B1253" s="37" t="s">
        <v>16771</v>
      </c>
      <c r="C1253" s="37" t="s">
        <v>10</v>
      </c>
      <c r="D1253" s="326">
        <v>0.56999999999999995</v>
      </c>
    </row>
    <row r="1254" spans="1:4" ht="13.5">
      <c r="A1254" s="37">
        <v>102873</v>
      </c>
      <c r="B1254" s="37" t="s">
        <v>13785</v>
      </c>
      <c r="C1254" s="37" t="s">
        <v>10</v>
      </c>
      <c r="D1254" s="326">
        <v>119.34</v>
      </c>
    </row>
    <row r="1255" spans="1:4" ht="13.5">
      <c r="A1255" s="37">
        <v>102879</v>
      </c>
      <c r="B1255" s="37" t="s">
        <v>13786</v>
      </c>
      <c r="C1255" s="37" t="s">
        <v>10</v>
      </c>
      <c r="D1255" s="326">
        <v>179.1</v>
      </c>
    </row>
    <row r="1256" spans="1:4" ht="13.5">
      <c r="A1256" s="37">
        <v>102885</v>
      </c>
      <c r="B1256" s="37" t="s">
        <v>13787</v>
      </c>
      <c r="C1256" s="37" t="s">
        <v>10</v>
      </c>
      <c r="D1256" s="326">
        <v>1.08</v>
      </c>
    </row>
    <row r="1257" spans="1:4" ht="13.5">
      <c r="A1257" s="37">
        <v>102891</v>
      </c>
      <c r="B1257" s="37" t="s">
        <v>13788</v>
      </c>
      <c r="C1257" s="37" t="s">
        <v>10</v>
      </c>
      <c r="D1257" s="326">
        <v>1.08</v>
      </c>
    </row>
    <row r="1258" spans="1:4" ht="13.5">
      <c r="A1258" s="37">
        <v>102897</v>
      </c>
      <c r="B1258" s="37" t="s">
        <v>13789</v>
      </c>
      <c r="C1258" s="37" t="s">
        <v>10</v>
      </c>
      <c r="D1258" s="326">
        <v>89.72</v>
      </c>
    </row>
    <row r="1259" spans="1:4" ht="13.5">
      <c r="A1259" s="37">
        <v>102903</v>
      </c>
      <c r="B1259" s="37" t="s">
        <v>16772</v>
      </c>
      <c r="C1259" s="37" t="s">
        <v>10</v>
      </c>
      <c r="D1259" s="326">
        <v>11.64</v>
      </c>
    </row>
    <row r="1260" spans="1:4" ht="13.5">
      <c r="A1260" s="37">
        <v>102909</v>
      </c>
      <c r="B1260" s="37" t="s">
        <v>16773</v>
      </c>
      <c r="C1260" s="37" t="s">
        <v>10</v>
      </c>
      <c r="D1260" s="326">
        <v>3.46</v>
      </c>
    </row>
    <row r="1261" spans="1:4" ht="13.5">
      <c r="A1261" s="37">
        <v>102915</v>
      </c>
      <c r="B1261" s="37" t="s">
        <v>16774</v>
      </c>
      <c r="C1261" s="37" t="s">
        <v>10</v>
      </c>
      <c r="D1261" s="326">
        <v>0.53</v>
      </c>
    </row>
    <row r="1262" spans="1:4" ht="13.5">
      <c r="A1262" s="37">
        <v>102927</v>
      </c>
      <c r="B1262" s="37" t="s">
        <v>16775</v>
      </c>
      <c r="C1262" s="37" t="s">
        <v>10</v>
      </c>
      <c r="D1262" s="326">
        <v>0.79</v>
      </c>
    </row>
    <row r="1263" spans="1:4" ht="13.5">
      <c r="A1263" s="37">
        <v>102933</v>
      </c>
      <c r="B1263" s="37" t="s">
        <v>13790</v>
      </c>
      <c r="C1263" s="37" t="s">
        <v>10</v>
      </c>
      <c r="D1263" s="326">
        <v>0.79</v>
      </c>
    </row>
    <row r="1264" spans="1:4" ht="13.5">
      <c r="A1264" s="37">
        <v>102939</v>
      </c>
      <c r="B1264" s="37" t="s">
        <v>16776</v>
      </c>
      <c r="C1264" s="37" t="s">
        <v>10</v>
      </c>
      <c r="D1264" s="326">
        <v>7.94</v>
      </c>
    </row>
    <row r="1265" spans="1:4" ht="13.5">
      <c r="A1265" s="37">
        <v>102945</v>
      </c>
      <c r="B1265" s="37" t="s">
        <v>16777</v>
      </c>
      <c r="C1265" s="37" t="s">
        <v>10</v>
      </c>
      <c r="D1265" s="326">
        <v>0.02</v>
      </c>
    </row>
    <row r="1266" spans="1:4" ht="13.5">
      <c r="A1266" s="37">
        <v>102951</v>
      </c>
      <c r="B1266" s="37" t="s">
        <v>16778</v>
      </c>
      <c r="C1266" s="37" t="s">
        <v>10</v>
      </c>
      <c r="D1266" s="326">
        <v>0.53</v>
      </c>
    </row>
    <row r="1267" spans="1:4" ht="13.5">
      <c r="A1267" s="37">
        <v>102957</v>
      </c>
      <c r="B1267" s="37" t="s">
        <v>13791</v>
      </c>
      <c r="C1267" s="37" t="s">
        <v>10</v>
      </c>
      <c r="D1267" s="326">
        <v>50.92</v>
      </c>
    </row>
    <row r="1268" spans="1:4" ht="13.5">
      <c r="A1268" s="37">
        <v>102963</v>
      </c>
      <c r="B1268" s="37" t="s">
        <v>13792</v>
      </c>
      <c r="C1268" s="37" t="s">
        <v>10</v>
      </c>
      <c r="D1268" s="326">
        <v>84.59</v>
      </c>
    </row>
    <row r="1269" spans="1:4" ht="13.5">
      <c r="A1269" s="37">
        <v>102969</v>
      </c>
      <c r="B1269" s="37" t="s">
        <v>16779</v>
      </c>
      <c r="C1269" s="37" t="s">
        <v>10</v>
      </c>
      <c r="D1269" s="326">
        <v>1.07</v>
      </c>
    </row>
    <row r="1270" spans="1:4" ht="13.5">
      <c r="A1270" s="37">
        <v>102985</v>
      </c>
      <c r="B1270" s="37" t="s">
        <v>13793</v>
      </c>
      <c r="C1270" s="37" t="s">
        <v>10</v>
      </c>
      <c r="D1270" s="326">
        <v>2.98</v>
      </c>
    </row>
    <row r="1271" spans="1:4" ht="13.5">
      <c r="A1271" s="37">
        <v>103156</v>
      </c>
      <c r="B1271" s="37" t="s">
        <v>16780</v>
      </c>
      <c r="C1271" s="37" t="s">
        <v>10</v>
      </c>
      <c r="D1271" s="326">
        <v>2.0699999999999998</v>
      </c>
    </row>
    <row r="1272" spans="1:4" ht="13.5">
      <c r="A1272" s="37">
        <v>103162</v>
      </c>
      <c r="B1272" s="37" t="s">
        <v>16781</v>
      </c>
      <c r="C1272" s="37" t="s">
        <v>10</v>
      </c>
      <c r="D1272" s="326">
        <v>2.52</v>
      </c>
    </row>
    <row r="1273" spans="1:4" ht="13.5">
      <c r="A1273" s="37">
        <v>103168</v>
      </c>
      <c r="B1273" s="37" t="s">
        <v>16782</v>
      </c>
      <c r="C1273" s="37" t="s">
        <v>10</v>
      </c>
      <c r="D1273" s="326">
        <v>2.83</v>
      </c>
    </row>
    <row r="1274" spans="1:4" ht="13.5">
      <c r="A1274" s="37">
        <v>103174</v>
      </c>
      <c r="B1274" s="37" t="s">
        <v>16783</v>
      </c>
      <c r="C1274" s="37" t="s">
        <v>10</v>
      </c>
      <c r="D1274" s="326">
        <v>7.35</v>
      </c>
    </row>
    <row r="1275" spans="1:4" ht="13.5">
      <c r="A1275" s="37">
        <v>103180</v>
      </c>
      <c r="B1275" s="37" t="s">
        <v>16784</v>
      </c>
      <c r="C1275" s="37" t="s">
        <v>10</v>
      </c>
      <c r="D1275" s="326">
        <v>16.43</v>
      </c>
    </row>
    <row r="1276" spans="1:4" ht="13.5">
      <c r="A1276" s="37">
        <v>103223</v>
      </c>
      <c r="B1276" s="37" t="s">
        <v>16785</v>
      </c>
      <c r="C1276" s="37" t="s">
        <v>10</v>
      </c>
      <c r="D1276" s="326">
        <v>35</v>
      </c>
    </row>
    <row r="1277" spans="1:4" ht="13.5">
      <c r="A1277" s="37">
        <v>103229</v>
      </c>
      <c r="B1277" s="37" t="s">
        <v>16786</v>
      </c>
      <c r="C1277" s="37" t="s">
        <v>10</v>
      </c>
      <c r="D1277" s="326">
        <v>96.86</v>
      </c>
    </row>
    <row r="1278" spans="1:4" ht="13.5">
      <c r="A1278" s="37">
        <v>103235</v>
      </c>
      <c r="B1278" s="37" t="s">
        <v>16787</v>
      </c>
      <c r="C1278" s="37" t="s">
        <v>10</v>
      </c>
      <c r="D1278" s="326">
        <v>102.43</v>
      </c>
    </row>
    <row r="1279" spans="1:4" ht="13.5">
      <c r="A1279" s="37">
        <v>103241</v>
      </c>
      <c r="B1279" s="37" t="s">
        <v>16788</v>
      </c>
      <c r="C1279" s="37" t="s">
        <v>10</v>
      </c>
      <c r="D1279" s="326">
        <v>7.69</v>
      </c>
    </row>
    <row r="1280" spans="1:4" ht="13.5">
      <c r="A1280" s="37">
        <v>103660</v>
      </c>
      <c r="B1280" s="37" t="s">
        <v>16789</v>
      </c>
      <c r="C1280" s="37" t="s">
        <v>10</v>
      </c>
      <c r="D1280" s="326">
        <v>11.01</v>
      </c>
    </row>
    <row r="1281" spans="1:4" ht="13.5">
      <c r="A1281" s="37">
        <v>103666</v>
      </c>
      <c r="B1281" s="37" t="s">
        <v>16790</v>
      </c>
      <c r="C1281" s="37" t="s">
        <v>10</v>
      </c>
      <c r="D1281" s="326">
        <v>160.69999999999999</v>
      </c>
    </row>
    <row r="1282" spans="1:4" ht="13.5">
      <c r="A1282" s="37">
        <v>103792</v>
      </c>
      <c r="B1282" s="37" t="s">
        <v>15324</v>
      </c>
      <c r="C1282" s="37" t="s">
        <v>10</v>
      </c>
      <c r="D1282" s="326">
        <v>0.23</v>
      </c>
    </row>
    <row r="1283" spans="1:4" ht="13.5">
      <c r="A1283" s="37">
        <v>103937</v>
      </c>
      <c r="B1283" s="37" t="s">
        <v>15325</v>
      </c>
      <c r="C1283" s="37" t="s">
        <v>10</v>
      </c>
      <c r="D1283" s="326">
        <v>1.3</v>
      </c>
    </row>
    <row r="1284" spans="1:4" ht="13.5">
      <c r="A1284" s="37">
        <v>103943</v>
      </c>
      <c r="B1284" s="37" t="s">
        <v>15326</v>
      </c>
      <c r="C1284" s="37" t="s">
        <v>10</v>
      </c>
      <c r="D1284" s="326">
        <v>1.3</v>
      </c>
    </row>
    <row r="1285" spans="1:4" ht="13.5">
      <c r="A1285" s="37">
        <v>104087</v>
      </c>
      <c r="B1285" s="37" t="s">
        <v>15327</v>
      </c>
      <c r="C1285" s="37" t="s">
        <v>10</v>
      </c>
      <c r="D1285" s="326">
        <v>0.06</v>
      </c>
    </row>
    <row r="1286" spans="1:4" ht="13.5">
      <c r="A1286" s="37">
        <v>104088</v>
      </c>
      <c r="B1286" s="37" t="s">
        <v>15328</v>
      </c>
      <c r="C1286" s="37" t="s">
        <v>10</v>
      </c>
      <c r="D1286" s="326">
        <v>0.01</v>
      </c>
    </row>
    <row r="1287" spans="1:4" ht="13.5">
      <c r="A1287" s="37">
        <v>104089</v>
      </c>
      <c r="B1287" s="37" t="s">
        <v>15329</v>
      </c>
      <c r="C1287" s="37" t="s">
        <v>10</v>
      </c>
      <c r="D1287" s="326">
        <v>7.0000000000000007E-2</v>
      </c>
    </row>
    <row r="1288" spans="1:4" ht="13.5">
      <c r="A1288" s="37">
        <v>104090</v>
      </c>
      <c r="B1288" s="37" t="s">
        <v>15330</v>
      </c>
      <c r="C1288" s="37" t="s">
        <v>10</v>
      </c>
      <c r="D1288" s="326">
        <v>0.56999999999999995</v>
      </c>
    </row>
    <row r="1289" spans="1:4" ht="13.5">
      <c r="A1289" s="37">
        <v>104093</v>
      </c>
      <c r="B1289" s="37" t="s">
        <v>15331</v>
      </c>
      <c r="C1289" s="37" t="s">
        <v>10</v>
      </c>
      <c r="D1289" s="326">
        <v>0.08</v>
      </c>
    </row>
    <row r="1290" spans="1:4" ht="13.5">
      <c r="A1290" s="37">
        <v>104094</v>
      </c>
      <c r="B1290" s="37" t="s">
        <v>15332</v>
      </c>
      <c r="C1290" s="37" t="s">
        <v>10</v>
      </c>
      <c r="D1290" s="326">
        <v>0.02</v>
      </c>
    </row>
    <row r="1291" spans="1:4" ht="13.5">
      <c r="A1291" s="37">
        <v>104095</v>
      </c>
      <c r="B1291" s="37" t="s">
        <v>15333</v>
      </c>
      <c r="C1291" s="37" t="s">
        <v>10</v>
      </c>
      <c r="D1291" s="326">
        <v>0.11</v>
      </c>
    </row>
    <row r="1292" spans="1:4" ht="13.5">
      <c r="A1292" s="37">
        <v>104096</v>
      </c>
      <c r="B1292" s="37" t="s">
        <v>15334</v>
      </c>
      <c r="C1292" s="37" t="s">
        <v>10</v>
      </c>
      <c r="D1292" s="326">
        <v>0.79</v>
      </c>
    </row>
    <row r="1293" spans="1:4" ht="13.5">
      <c r="A1293" s="37">
        <v>104519</v>
      </c>
      <c r="B1293" s="37" t="s">
        <v>16791</v>
      </c>
      <c r="C1293" s="37" t="s">
        <v>10</v>
      </c>
      <c r="D1293" s="326">
        <v>0.54</v>
      </c>
    </row>
    <row r="1294" spans="1:4" ht="13.5">
      <c r="A1294" s="37">
        <v>104655</v>
      </c>
      <c r="B1294" s="37" t="s">
        <v>16792</v>
      </c>
      <c r="C1294" s="37" t="s">
        <v>10</v>
      </c>
      <c r="D1294" s="326">
        <v>0.56999999999999995</v>
      </c>
    </row>
    <row r="1295" spans="1:4" ht="13.5">
      <c r="A1295" s="37">
        <v>104687</v>
      </c>
      <c r="B1295" s="37" t="s">
        <v>16793</v>
      </c>
      <c r="C1295" s="37" t="s">
        <v>10</v>
      </c>
      <c r="D1295" s="326">
        <v>448.46</v>
      </c>
    </row>
    <row r="1296" spans="1:4" ht="13.5">
      <c r="A1296" s="37">
        <v>104694</v>
      </c>
      <c r="B1296" s="37" t="s">
        <v>16794</v>
      </c>
      <c r="C1296" s="37" t="s">
        <v>10</v>
      </c>
      <c r="D1296" s="326">
        <v>1.81</v>
      </c>
    </row>
    <row r="1297" spans="1:4" ht="13.5">
      <c r="A1297" s="37">
        <v>104703</v>
      </c>
      <c r="B1297" s="37" t="s">
        <v>16795</v>
      </c>
      <c r="C1297" s="37" t="s">
        <v>10</v>
      </c>
      <c r="D1297" s="326">
        <v>92.29</v>
      </c>
    </row>
    <row r="1298" spans="1:4" ht="13.5">
      <c r="A1298" s="37">
        <v>104709</v>
      </c>
      <c r="B1298" s="37" t="s">
        <v>16796</v>
      </c>
      <c r="C1298" s="37" t="s">
        <v>10</v>
      </c>
      <c r="D1298" s="38">
        <v>1167.1300000000001</v>
      </c>
    </row>
    <row r="1299" spans="1:4" ht="13.5">
      <c r="A1299" s="37">
        <v>104715</v>
      </c>
      <c r="B1299" s="37" t="s">
        <v>16797</v>
      </c>
      <c r="C1299" s="37" t="s">
        <v>10</v>
      </c>
      <c r="D1299" s="326">
        <v>89.72</v>
      </c>
    </row>
    <row r="1300" spans="1:4" ht="13.5">
      <c r="A1300" s="37">
        <v>92259</v>
      </c>
      <c r="B1300" s="37" t="s">
        <v>3232</v>
      </c>
      <c r="C1300" s="37" t="s">
        <v>7</v>
      </c>
      <c r="D1300" s="326">
        <v>469.24</v>
      </c>
    </row>
    <row r="1301" spans="1:4" ht="13.5">
      <c r="A1301" s="37">
        <v>92260</v>
      </c>
      <c r="B1301" s="37" t="s">
        <v>3233</v>
      </c>
      <c r="C1301" s="37" t="s">
        <v>7</v>
      </c>
      <c r="D1301" s="326">
        <v>534.1</v>
      </c>
    </row>
    <row r="1302" spans="1:4" ht="13.5">
      <c r="A1302" s="37">
        <v>92261</v>
      </c>
      <c r="B1302" s="37" t="s">
        <v>3234</v>
      </c>
      <c r="C1302" s="37" t="s">
        <v>7</v>
      </c>
      <c r="D1302" s="326">
        <v>596.99</v>
      </c>
    </row>
    <row r="1303" spans="1:4" ht="13.5">
      <c r="A1303" s="37">
        <v>92262</v>
      </c>
      <c r="B1303" s="37" t="s">
        <v>3235</v>
      </c>
      <c r="C1303" s="37" t="s">
        <v>7</v>
      </c>
      <c r="D1303" s="326">
        <v>698.24</v>
      </c>
    </row>
    <row r="1304" spans="1:4" ht="13.5">
      <c r="A1304" s="37">
        <v>92539</v>
      </c>
      <c r="B1304" s="37" t="s">
        <v>3236</v>
      </c>
      <c r="C1304" s="37" t="s">
        <v>9</v>
      </c>
      <c r="D1304" s="326">
        <v>76.7</v>
      </c>
    </row>
    <row r="1305" spans="1:4" ht="13.5">
      <c r="A1305" s="37">
        <v>92540</v>
      </c>
      <c r="B1305" s="37" t="s">
        <v>3237</v>
      </c>
      <c r="C1305" s="37" t="s">
        <v>9</v>
      </c>
      <c r="D1305" s="326">
        <v>86.34</v>
      </c>
    </row>
    <row r="1306" spans="1:4" ht="13.5">
      <c r="A1306" s="37">
        <v>92541</v>
      </c>
      <c r="B1306" s="37" t="s">
        <v>3238</v>
      </c>
      <c r="C1306" s="37" t="s">
        <v>9</v>
      </c>
      <c r="D1306" s="326">
        <v>82.72</v>
      </c>
    </row>
    <row r="1307" spans="1:4" ht="13.5">
      <c r="A1307" s="37">
        <v>92542</v>
      </c>
      <c r="B1307" s="37" t="s">
        <v>3239</v>
      </c>
      <c r="C1307" s="37" t="s">
        <v>9</v>
      </c>
      <c r="D1307" s="326">
        <v>100.61</v>
      </c>
    </row>
    <row r="1308" spans="1:4" ht="13.5">
      <c r="A1308" s="37">
        <v>92543</v>
      </c>
      <c r="B1308" s="37" t="s">
        <v>3240</v>
      </c>
      <c r="C1308" s="37" t="s">
        <v>9</v>
      </c>
      <c r="D1308" s="326">
        <v>23.11</v>
      </c>
    </row>
    <row r="1309" spans="1:4" ht="13.5">
      <c r="A1309" s="37">
        <v>92544</v>
      </c>
      <c r="B1309" s="37" t="s">
        <v>3241</v>
      </c>
      <c r="C1309" s="37" t="s">
        <v>9</v>
      </c>
      <c r="D1309" s="326">
        <v>18.41</v>
      </c>
    </row>
    <row r="1310" spans="1:4" ht="13.5">
      <c r="A1310" s="37">
        <v>92545</v>
      </c>
      <c r="B1310" s="37" t="s">
        <v>3242</v>
      </c>
      <c r="C1310" s="37" t="s">
        <v>7</v>
      </c>
      <c r="D1310" s="38">
        <v>1033.52</v>
      </c>
    </row>
    <row r="1311" spans="1:4" ht="13.5">
      <c r="A1311" s="37">
        <v>92546</v>
      </c>
      <c r="B1311" s="37" t="s">
        <v>3243</v>
      </c>
      <c r="C1311" s="37" t="s">
        <v>7</v>
      </c>
      <c r="D1311" s="38">
        <v>1268.56</v>
      </c>
    </row>
    <row r="1312" spans="1:4" ht="13.5">
      <c r="A1312" s="37">
        <v>92547</v>
      </c>
      <c r="B1312" s="37" t="s">
        <v>3244</v>
      </c>
      <c r="C1312" s="37" t="s">
        <v>7</v>
      </c>
      <c r="D1312" s="38">
        <v>1340.15</v>
      </c>
    </row>
    <row r="1313" spans="1:4" ht="13.5">
      <c r="A1313" s="37">
        <v>92548</v>
      </c>
      <c r="B1313" s="37" t="s">
        <v>3245</v>
      </c>
      <c r="C1313" s="37" t="s">
        <v>7</v>
      </c>
      <c r="D1313" s="38">
        <v>1490.5</v>
      </c>
    </row>
    <row r="1314" spans="1:4" ht="13.5">
      <c r="A1314" s="37">
        <v>92549</v>
      </c>
      <c r="B1314" s="37" t="s">
        <v>3246</v>
      </c>
      <c r="C1314" s="37" t="s">
        <v>7</v>
      </c>
      <c r="D1314" s="38">
        <v>1864.53</v>
      </c>
    </row>
    <row r="1315" spans="1:4" ht="13.5">
      <c r="A1315" s="37">
        <v>92550</v>
      </c>
      <c r="B1315" s="37" t="s">
        <v>3247</v>
      </c>
      <c r="C1315" s="37" t="s">
        <v>7</v>
      </c>
      <c r="D1315" s="38">
        <v>2282.7800000000002</v>
      </c>
    </row>
    <row r="1316" spans="1:4" ht="13.5">
      <c r="A1316" s="37">
        <v>92551</v>
      </c>
      <c r="B1316" s="37" t="s">
        <v>3248</v>
      </c>
      <c r="C1316" s="37" t="s">
        <v>7</v>
      </c>
      <c r="D1316" s="38">
        <v>2374.7399999999998</v>
      </c>
    </row>
    <row r="1317" spans="1:4" ht="13.5">
      <c r="A1317" s="37">
        <v>92552</v>
      </c>
      <c r="B1317" s="37" t="s">
        <v>3249</v>
      </c>
      <c r="C1317" s="37" t="s">
        <v>7</v>
      </c>
      <c r="D1317" s="38">
        <v>2581.86</v>
      </c>
    </row>
    <row r="1318" spans="1:4" ht="13.5">
      <c r="A1318" s="37">
        <v>92553</v>
      </c>
      <c r="B1318" s="37" t="s">
        <v>3250</v>
      </c>
      <c r="C1318" s="37" t="s">
        <v>7</v>
      </c>
      <c r="D1318" s="38">
        <v>2965.82</v>
      </c>
    </row>
    <row r="1319" spans="1:4" ht="13.5">
      <c r="A1319" s="37">
        <v>92554</v>
      </c>
      <c r="B1319" s="37" t="s">
        <v>3251</v>
      </c>
      <c r="C1319" s="37" t="s">
        <v>7</v>
      </c>
      <c r="D1319" s="38">
        <v>3071.23</v>
      </c>
    </row>
    <row r="1320" spans="1:4" ht="13.5">
      <c r="A1320" s="37">
        <v>92555</v>
      </c>
      <c r="B1320" s="37" t="s">
        <v>3252</v>
      </c>
      <c r="C1320" s="37" t="s">
        <v>7</v>
      </c>
      <c r="D1320" s="38">
        <v>1019.62</v>
      </c>
    </row>
    <row r="1321" spans="1:4" ht="13.5">
      <c r="A1321" s="37">
        <v>92556</v>
      </c>
      <c r="B1321" s="37" t="s">
        <v>3253</v>
      </c>
      <c r="C1321" s="37" t="s">
        <v>7</v>
      </c>
      <c r="D1321" s="38">
        <v>1244.2</v>
      </c>
    </row>
    <row r="1322" spans="1:4" ht="13.5">
      <c r="A1322" s="37">
        <v>92557</v>
      </c>
      <c r="B1322" s="37" t="s">
        <v>3254</v>
      </c>
      <c r="C1322" s="37" t="s">
        <v>7</v>
      </c>
      <c r="D1322" s="38">
        <v>1315.78</v>
      </c>
    </row>
    <row r="1323" spans="1:4" ht="13.5">
      <c r="A1323" s="37">
        <v>92558</v>
      </c>
      <c r="B1323" s="37" t="s">
        <v>3255</v>
      </c>
      <c r="C1323" s="37" t="s">
        <v>7</v>
      </c>
      <c r="D1323" s="38">
        <v>1476.59</v>
      </c>
    </row>
    <row r="1324" spans="1:4" ht="13.5">
      <c r="A1324" s="37">
        <v>92559</v>
      </c>
      <c r="B1324" s="37" t="s">
        <v>3256</v>
      </c>
      <c r="C1324" s="37" t="s">
        <v>7</v>
      </c>
      <c r="D1324" s="38">
        <v>1838.63</v>
      </c>
    </row>
    <row r="1325" spans="1:4" ht="13.5">
      <c r="A1325" s="37">
        <v>92560</v>
      </c>
      <c r="B1325" s="37" t="s">
        <v>3257</v>
      </c>
      <c r="C1325" s="37" t="s">
        <v>7</v>
      </c>
      <c r="D1325" s="38">
        <v>2247.5100000000002</v>
      </c>
    </row>
    <row r="1326" spans="1:4" ht="13.5">
      <c r="A1326" s="37">
        <v>92561</v>
      </c>
      <c r="B1326" s="37" t="s">
        <v>3258</v>
      </c>
      <c r="C1326" s="37" t="s">
        <v>7</v>
      </c>
      <c r="D1326" s="38">
        <v>2340.42</v>
      </c>
    </row>
    <row r="1327" spans="1:4" ht="13.5">
      <c r="A1327" s="37">
        <v>92562</v>
      </c>
      <c r="B1327" s="37" t="s">
        <v>3259</v>
      </c>
      <c r="C1327" s="37" t="s">
        <v>7</v>
      </c>
      <c r="D1327" s="38">
        <v>2523.1799999999998</v>
      </c>
    </row>
    <row r="1328" spans="1:4" ht="13.5">
      <c r="A1328" s="37">
        <v>92563</v>
      </c>
      <c r="B1328" s="37" t="s">
        <v>3260</v>
      </c>
      <c r="C1328" s="37" t="s">
        <v>7</v>
      </c>
      <c r="D1328" s="38">
        <v>2897.2</v>
      </c>
    </row>
    <row r="1329" spans="1:4" ht="13.5">
      <c r="A1329" s="37">
        <v>92564</v>
      </c>
      <c r="B1329" s="37" t="s">
        <v>3261</v>
      </c>
      <c r="C1329" s="37" t="s">
        <v>7</v>
      </c>
      <c r="D1329" s="38">
        <v>2987.18</v>
      </c>
    </row>
    <row r="1330" spans="1:4" ht="13.5">
      <c r="A1330" s="37">
        <v>100379</v>
      </c>
      <c r="B1330" s="37" t="s">
        <v>3262</v>
      </c>
      <c r="C1330" s="37" t="s">
        <v>9</v>
      </c>
      <c r="D1330" s="326">
        <v>38.32</v>
      </c>
    </row>
    <row r="1331" spans="1:4" ht="13.5">
      <c r="A1331" s="37">
        <v>100380</v>
      </c>
      <c r="B1331" s="37" t="s">
        <v>3263</v>
      </c>
      <c r="C1331" s="37" t="s">
        <v>9</v>
      </c>
      <c r="D1331" s="326">
        <v>50.77</v>
      </c>
    </row>
    <row r="1332" spans="1:4" ht="13.5">
      <c r="A1332" s="37">
        <v>100381</v>
      </c>
      <c r="B1332" s="37" t="s">
        <v>3264</v>
      </c>
      <c r="C1332" s="37" t="s">
        <v>9</v>
      </c>
      <c r="D1332" s="326">
        <v>56.86</v>
      </c>
    </row>
    <row r="1333" spans="1:4" ht="13.5">
      <c r="A1333" s="37">
        <v>100383</v>
      </c>
      <c r="B1333" s="37" t="s">
        <v>3265</v>
      </c>
      <c r="C1333" s="37" t="s">
        <v>9</v>
      </c>
      <c r="D1333" s="326">
        <v>25.63</v>
      </c>
    </row>
    <row r="1334" spans="1:4" ht="13.5">
      <c r="A1334" s="37">
        <v>100384</v>
      </c>
      <c r="B1334" s="37" t="s">
        <v>3266</v>
      </c>
      <c r="C1334" s="37" t="s">
        <v>9</v>
      </c>
      <c r="D1334" s="326">
        <v>26.87</v>
      </c>
    </row>
    <row r="1335" spans="1:4" ht="13.5">
      <c r="A1335" s="37">
        <v>100385</v>
      </c>
      <c r="B1335" s="37" t="s">
        <v>3267</v>
      </c>
      <c r="C1335" s="37" t="s">
        <v>9</v>
      </c>
      <c r="D1335" s="326">
        <v>34.33</v>
      </c>
    </row>
    <row r="1336" spans="1:4" ht="13.5">
      <c r="A1336" s="37">
        <v>100386</v>
      </c>
      <c r="B1336" s="37" t="s">
        <v>3268</v>
      </c>
      <c r="C1336" s="37" t="s">
        <v>9</v>
      </c>
      <c r="D1336" s="326">
        <v>44.17</v>
      </c>
    </row>
    <row r="1337" spans="1:4" ht="13.5">
      <c r="A1337" s="37">
        <v>100387</v>
      </c>
      <c r="B1337" s="37" t="s">
        <v>3269</v>
      </c>
      <c r="C1337" s="37" t="s">
        <v>9</v>
      </c>
      <c r="D1337" s="326">
        <v>53.82</v>
      </c>
    </row>
    <row r="1338" spans="1:4" ht="13.5">
      <c r="A1338" s="37">
        <v>100388</v>
      </c>
      <c r="B1338" s="37" t="s">
        <v>3270</v>
      </c>
      <c r="C1338" s="37" t="s">
        <v>9</v>
      </c>
      <c r="D1338" s="326">
        <v>19.170000000000002</v>
      </c>
    </row>
    <row r="1339" spans="1:4" ht="13.5">
      <c r="A1339" s="37">
        <v>100389</v>
      </c>
      <c r="B1339" s="37" t="s">
        <v>3271</v>
      </c>
      <c r="C1339" s="37" t="s">
        <v>9</v>
      </c>
      <c r="D1339" s="326">
        <v>17.309999999999999</v>
      </c>
    </row>
    <row r="1340" spans="1:4" ht="13.5">
      <c r="A1340" s="37">
        <v>100390</v>
      </c>
      <c r="B1340" s="37" t="s">
        <v>3272</v>
      </c>
      <c r="C1340" s="37" t="s">
        <v>9</v>
      </c>
      <c r="D1340" s="326">
        <v>22.99</v>
      </c>
    </row>
    <row r="1341" spans="1:4" ht="13.5">
      <c r="A1341" s="37">
        <v>100391</v>
      </c>
      <c r="B1341" s="37" t="s">
        <v>3273</v>
      </c>
      <c r="C1341" s="37" t="s">
        <v>9</v>
      </c>
      <c r="D1341" s="326">
        <v>19.850000000000001</v>
      </c>
    </row>
    <row r="1342" spans="1:4" ht="13.5">
      <c r="A1342" s="37">
        <v>100392</v>
      </c>
      <c r="B1342" s="37" t="s">
        <v>3274</v>
      </c>
      <c r="C1342" s="37" t="s">
        <v>9</v>
      </c>
      <c r="D1342" s="326">
        <v>15.1</v>
      </c>
    </row>
    <row r="1343" spans="1:4" ht="13.5">
      <c r="A1343" s="37">
        <v>100393</v>
      </c>
      <c r="B1343" s="37" t="s">
        <v>3275</v>
      </c>
      <c r="C1343" s="37" t="s">
        <v>9</v>
      </c>
      <c r="D1343" s="326">
        <v>19.809999999999999</v>
      </c>
    </row>
    <row r="1344" spans="1:4" ht="13.5">
      <c r="A1344" s="37">
        <v>100394</v>
      </c>
      <c r="B1344" s="37" t="s">
        <v>3276</v>
      </c>
      <c r="C1344" s="37" t="s">
        <v>9</v>
      </c>
      <c r="D1344" s="326">
        <v>18.11</v>
      </c>
    </row>
    <row r="1345" spans="1:4" ht="13.5">
      <c r="A1345" s="37">
        <v>100395</v>
      </c>
      <c r="B1345" s="37" t="s">
        <v>3277</v>
      </c>
      <c r="C1345" s="37" t="s">
        <v>9</v>
      </c>
      <c r="D1345" s="326">
        <v>23.64</v>
      </c>
    </row>
    <row r="1346" spans="1:4" ht="13.5">
      <c r="A1346" s="37">
        <v>94189</v>
      </c>
      <c r="B1346" s="37" t="s">
        <v>3278</v>
      </c>
      <c r="C1346" s="37" t="s">
        <v>9</v>
      </c>
      <c r="D1346" s="326">
        <v>38.19</v>
      </c>
    </row>
    <row r="1347" spans="1:4" ht="13.5">
      <c r="A1347" s="37">
        <v>94192</v>
      </c>
      <c r="B1347" s="37" t="s">
        <v>3279</v>
      </c>
      <c r="C1347" s="37" t="s">
        <v>9</v>
      </c>
      <c r="D1347" s="326">
        <v>40.700000000000003</v>
      </c>
    </row>
    <row r="1348" spans="1:4" ht="13.5">
      <c r="A1348" s="37">
        <v>94195</v>
      </c>
      <c r="B1348" s="37" t="s">
        <v>3280</v>
      </c>
      <c r="C1348" s="37" t="s">
        <v>9</v>
      </c>
      <c r="D1348" s="326">
        <v>24.52</v>
      </c>
    </row>
    <row r="1349" spans="1:4" ht="13.5">
      <c r="A1349" s="37">
        <v>94198</v>
      </c>
      <c r="B1349" s="37" t="s">
        <v>3281</v>
      </c>
      <c r="C1349" s="37" t="s">
        <v>9</v>
      </c>
      <c r="D1349" s="326">
        <v>27.84</v>
      </c>
    </row>
    <row r="1350" spans="1:4" ht="13.5">
      <c r="A1350" s="37">
        <v>94201</v>
      </c>
      <c r="B1350" s="37" t="s">
        <v>3282</v>
      </c>
      <c r="C1350" s="37" t="s">
        <v>9</v>
      </c>
      <c r="D1350" s="326">
        <v>35.54</v>
      </c>
    </row>
    <row r="1351" spans="1:4" ht="13.5">
      <c r="A1351" s="37">
        <v>94204</v>
      </c>
      <c r="B1351" s="37" t="s">
        <v>3283</v>
      </c>
      <c r="C1351" s="37" t="s">
        <v>9</v>
      </c>
      <c r="D1351" s="326">
        <v>41.2</v>
      </c>
    </row>
    <row r="1352" spans="1:4" ht="13.5">
      <c r="A1352" s="37">
        <v>94224</v>
      </c>
      <c r="B1352" s="37" t="s">
        <v>3284</v>
      </c>
      <c r="C1352" s="37" t="s">
        <v>6</v>
      </c>
      <c r="D1352" s="326">
        <v>25.04</v>
      </c>
    </row>
    <row r="1353" spans="1:4" ht="13.5">
      <c r="A1353" s="37">
        <v>94226</v>
      </c>
      <c r="B1353" s="37" t="s">
        <v>3285</v>
      </c>
      <c r="C1353" s="37" t="s">
        <v>9</v>
      </c>
      <c r="D1353" s="326">
        <v>17.43</v>
      </c>
    </row>
    <row r="1354" spans="1:4" ht="13.5">
      <c r="A1354" s="37">
        <v>94232</v>
      </c>
      <c r="B1354" s="37" t="s">
        <v>3286</v>
      </c>
      <c r="C1354" s="37" t="s">
        <v>7</v>
      </c>
      <c r="D1354" s="326">
        <v>2.96</v>
      </c>
    </row>
    <row r="1355" spans="1:4" ht="13.5">
      <c r="A1355" s="37">
        <v>94440</v>
      </c>
      <c r="B1355" s="37" t="s">
        <v>3287</v>
      </c>
      <c r="C1355" s="37" t="s">
        <v>9</v>
      </c>
      <c r="D1355" s="326">
        <v>24.52</v>
      </c>
    </row>
    <row r="1356" spans="1:4" ht="13.5">
      <c r="A1356" s="37">
        <v>94441</v>
      </c>
      <c r="B1356" s="37" t="s">
        <v>3288</v>
      </c>
      <c r="C1356" s="37" t="s">
        <v>9</v>
      </c>
      <c r="D1356" s="326">
        <v>27.84</v>
      </c>
    </row>
    <row r="1357" spans="1:4" ht="13.5">
      <c r="A1357" s="37">
        <v>94442</v>
      </c>
      <c r="B1357" s="37" t="s">
        <v>3289</v>
      </c>
      <c r="C1357" s="37" t="s">
        <v>9</v>
      </c>
      <c r="D1357" s="326">
        <v>24.52</v>
      </c>
    </row>
    <row r="1358" spans="1:4" ht="13.5">
      <c r="A1358" s="37">
        <v>94443</v>
      </c>
      <c r="B1358" s="37" t="s">
        <v>3290</v>
      </c>
      <c r="C1358" s="37" t="s">
        <v>9</v>
      </c>
      <c r="D1358" s="326">
        <v>27.84</v>
      </c>
    </row>
    <row r="1359" spans="1:4" ht="13.5">
      <c r="A1359" s="37">
        <v>94445</v>
      </c>
      <c r="B1359" s="37" t="s">
        <v>3291</v>
      </c>
      <c r="C1359" s="37" t="s">
        <v>9</v>
      </c>
      <c r="D1359" s="326">
        <v>35.54</v>
      </c>
    </row>
    <row r="1360" spans="1:4" ht="13.5">
      <c r="A1360" s="37">
        <v>94446</v>
      </c>
      <c r="B1360" s="37" t="s">
        <v>3292</v>
      </c>
      <c r="C1360" s="37" t="s">
        <v>9</v>
      </c>
      <c r="D1360" s="326">
        <v>41.2</v>
      </c>
    </row>
    <row r="1361" spans="1:4" ht="13.5">
      <c r="A1361" s="37">
        <v>94447</v>
      </c>
      <c r="B1361" s="37" t="s">
        <v>3293</v>
      </c>
      <c r="C1361" s="37" t="s">
        <v>9</v>
      </c>
      <c r="D1361" s="326">
        <v>35.54</v>
      </c>
    </row>
    <row r="1362" spans="1:4" ht="13.5">
      <c r="A1362" s="37">
        <v>94448</v>
      </c>
      <c r="B1362" s="37" t="s">
        <v>3294</v>
      </c>
      <c r="C1362" s="37" t="s">
        <v>9</v>
      </c>
      <c r="D1362" s="326">
        <v>41.2</v>
      </c>
    </row>
    <row r="1363" spans="1:4" ht="13.5">
      <c r="A1363" s="37">
        <v>94207</v>
      </c>
      <c r="B1363" s="37" t="s">
        <v>3295</v>
      </c>
      <c r="C1363" s="37" t="s">
        <v>9</v>
      </c>
      <c r="D1363" s="326">
        <v>45.73</v>
      </c>
    </row>
    <row r="1364" spans="1:4" ht="13.5">
      <c r="A1364" s="37">
        <v>94210</v>
      </c>
      <c r="B1364" s="37" t="s">
        <v>3296</v>
      </c>
      <c r="C1364" s="37" t="s">
        <v>9</v>
      </c>
      <c r="D1364" s="326">
        <v>48.48</v>
      </c>
    </row>
    <row r="1365" spans="1:4" ht="13.5">
      <c r="A1365" s="37">
        <v>94218</v>
      </c>
      <c r="B1365" s="37" t="s">
        <v>16798</v>
      </c>
      <c r="C1365" s="37" t="s">
        <v>9</v>
      </c>
      <c r="D1365" s="326">
        <v>114.54</v>
      </c>
    </row>
    <row r="1366" spans="1:4" ht="13.5">
      <c r="A1366" s="37">
        <v>94213</v>
      </c>
      <c r="B1366" s="37" t="s">
        <v>3297</v>
      </c>
      <c r="C1366" s="37" t="s">
        <v>9</v>
      </c>
      <c r="D1366" s="326">
        <v>69.62</v>
      </c>
    </row>
    <row r="1367" spans="1:4" ht="13.5">
      <c r="A1367" s="37">
        <v>94216</v>
      </c>
      <c r="B1367" s="37" t="s">
        <v>3298</v>
      </c>
      <c r="C1367" s="37" t="s">
        <v>9</v>
      </c>
      <c r="D1367" s="326">
        <v>194.28</v>
      </c>
    </row>
    <row r="1368" spans="1:4" ht="13.5">
      <c r="A1368" s="37">
        <v>104807</v>
      </c>
      <c r="B1368" s="37" t="s">
        <v>16799</v>
      </c>
      <c r="C1368" s="37" t="s">
        <v>9</v>
      </c>
      <c r="D1368" s="326">
        <v>205.21</v>
      </c>
    </row>
    <row r="1369" spans="1:4" ht="13.5">
      <c r="A1369" s="37">
        <v>104809</v>
      </c>
      <c r="B1369" s="37" t="s">
        <v>16800</v>
      </c>
      <c r="C1369" s="37" t="s">
        <v>9</v>
      </c>
      <c r="D1369" s="326">
        <v>155.21</v>
      </c>
    </row>
    <row r="1370" spans="1:4" ht="13.5">
      <c r="A1370" s="37">
        <v>104810</v>
      </c>
      <c r="B1370" s="37" t="s">
        <v>16801</v>
      </c>
      <c r="C1370" s="37" t="s">
        <v>9</v>
      </c>
      <c r="D1370" s="326">
        <v>103.34</v>
      </c>
    </row>
    <row r="1371" spans="1:4" ht="13.5">
      <c r="A1371" s="37">
        <v>104811</v>
      </c>
      <c r="B1371" s="37" t="s">
        <v>16802</v>
      </c>
      <c r="C1371" s="37" t="s">
        <v>9</v>
      </c>
      <c r="D1371" s="326">
        <v>240.57</v>
      </c>
    </row>
    <row r="1372" spans="1:4" ht="13.5">
      <c r="A1372" s="37">
        <v>104812</v>
      </c>
      <c r="B1372" s="37" t="s">
        <v>16803</v>
      </c>
      <c r="C1372" s="37" t="s">
        <v>9</v>
      </c>
      <c r="D1372" s="326">
        <v>175.98</v>
      </c>
    </row>
    <row r="1373" spans="1:4" ht="13.5">
      <c r="A1373" s="37">
        <v>104813</v>
      </c>
      <c r="B1373" s="37" t="s">
        <v>16804</v>
      </c>
      <c r="C1373" s="37" t="s">
        <v>9</v>
      </c>
      <c r="D1373" s="326">
        <v>116.89</v>
      </c>
    </row>
    <row r="1374" spans="1:4" ht="13.5">
      <c r="A1374" s="37">
        <v>104814</v>
      </c>
      <c r="B1374" s="37" t="s">
        <v>16805</v>
      </c>
      <c r="C1374" s="37" t="s">
        <v>9</v>
      </c>
      <c r="D1374" s="326">
        <v>79.78</v>
      </c>
    </row>
    <row r="1375" spans="1:4" ht="13.5">
      <c r="A1375" s="37">
        <v>104815</v>
      </c>
      <c r="B1375" s="37" t="s">
        <v>16806</v>
      </c>
      <c r="C1375" s="37" t="s">
        <v>9</v>
      </c>
      <c r="D1375" s="326">
        <v>157</v>
      </c>
    </row>
    <row r="1376" spans="1:4" ht="13.5">
      <c r="A1376" s="37">
        <v>104808</v>
      </c>
      <c r="B1376" s="37" t="s">
        <v>16807</v>
      </c>
      <c r="C1376" s="37" t="s">
        <v>9</v>
      </c>
      <c r="D1376" s="326">
        <v>167.28</v>
      </c>
    </row>
    <row r="1377" spans="1:4" ht="13.5">
      <c r="A1377" s="37">
        <v>104816</v>
      </c>
      <c r="B1377" s="37" t="s">
        <v>16808</v>
      </c>
      <c r="C1377" s="37" t="s">
        <v>9</v>
      </c>
      <c r="D1377" s="38">
        <v>1660.41</v>
      </c>
    </row>
    <row r="1378" spans="1:4" ht="13.5">
      <c r="A1378" s="37">
        <v>104817</v>
      </c>
      <c r="B1378" s="37" t="s">
        <v>16809</v>
      </c>
      <c r="C1378" s="37" t="s">
        <v>9</v>
      </c>
      <c r="D1378" s="326">
        <v>166.6</v>
      </c>
    </row>
    <row r="1379" spans="1:4" ht="13.5">
      <c r="A1379" s="37">
        <v>104819</v>
      </c>
      <c r="B1379" s="37" t="s">
        <v>16810</v>
      </c>
      <c r="C1379" s="37" t="s">
        <v>9</v>
      </c>
      <c r="D1379" s="326">
        <v>189.28</v>
      </c>
    </row>
    <row r="1380" spans="1:4" ht="13.5">
      <c r="A1380" s="37">
        <v>104821</v>
      </c>
      <c r="B1380" s="37" t="s">
        <v>16811</v>
      </c>
      <c r="C1380" s="37" t="s">
        <v>9</v>
      </c>
      <c r="D1380" s="326">
        <v>181.07</v>
      </c>
    </row>
    <row r="1381" spans="1:4" ht="13.5">
      <c r="A1381" s="37">
        <v>104822</v>
      </c>
      <c r="B1381" s="37" t="s">
        <v>16812</v>
      </c>
      <c r="C1381" s="37" t="s">
        <v>9</v>
      </c>
      <c r="D1381" s="326">
        <v>225.97</v>
      </c>
    </row>
    <row r="1382" spans="1:4" ht="13.5">
      <c r="A1382" s="37">
        <v>104823</v>
      </c>
      <c r="B1382" s="37" t="s">
        <v>16813</v>
      </c>
      <c r="C1382" s="37" t="s">
        <v>9</v>
      </c>
      <c r="D1382" s="326">
        <v>197.45</v>
      </c>
    </row>
    <row r="1383" spans="1:4" ht="13.5">
      <c r="A1383" s="37">
        <v>94219</v>
      </c>
      <c r="B1383" s="37" t="s">
        <v>3299</v>
      </c>
      <c r="C1383" s="37" t="s">
        <v>6</v>
      </c>
      <c r="D1383" s="326">
        <v>27.67</v>
      </c>
    </row>
    <row r="1384" spans="1:4" ht="13.5">
      <c r="A1384" s="37">
        <v>94220</v>
      </c>
      <c r="B1384" s="37" t="s">
        <v>3300</v>
      </c>
      <c r="C1384" s="37" t="s">
        <v>6</v>
      </c>
      <c r="D1384" s="326">
        <v>52.75</v>
      </c>
    </row>
    <row r="1385" spans="1:4" ht="13.5">
      <c r="A1385" s="37">
        <v>94221</v>
      </c>
      <c r="B1385" s="37" t="s">
        <v>3301</v>
      </c>
      <c r="C1385" s="37" t="s">
        <v>6</v>
      </c>
      <c r="D1385" s="326">
        <v>21.1</v>
      </c>
    </row>
    <row r="1386" spans="1:4" ht="13.5">
      <c r="A1386" s="37">
        <v>94222</v>
      </c>
      <c r="B1386" s="37" t="s">
        <v>3302</v>
      </c>
      <c r="C1386" s="37" t="s">
        <v>6</v>
      </c>
      <c r="D1386" s="326">
        <v>46.18</v>
      </c>
    </row>
    <row r="1387" spans="1:4" ht="13.5">
      <c r="A1387" s="37">
        <v>94223</v>
      </c>
      <c r="B1387" s="37" t="s">
        <v>3303</v>
      </c>
      <c r="C1387" s="37" t="s">
        <v>6</v>
      </c>
      <c r="D1387" s="326">
        <v>81.03</v>
      </c>
    </row>
    <row r="1388" spans="1:4" ht="13.5">
      <c r="A1388" s="37">
        <v>94451</v>
      </c>
      <c r="B1388" s="37" t="s">
        <v>3304</v>
      </c>
      <c r="C1388" s="37" t="s">
        <v>6</v>
      </c>
      <c r="D1388" s="326">
        <v>89.76</v>
      </c>
    </row>
    <row r="1389" spans="1:4" ht="13.5">
      <c r="A1389" s="37">
        <v>100325</v>
      </c>
      <c r="B1389" s="37" t="s">
        <v>3305</v>
      </c>
      <c r="C1389" s="37" t="s">
        <v>6</v>
      </c>
      <c r="D1389" s="326">
        <v>87.3</v>
      </c>
    </row>
    <row r="1390" spans="1:4" ht="13.5">
      <c r="A1390" s="37">
        <v>100327</v>
      </c>
      <c r="B1390" s="37" t="s">
        <v>3306</v>
      </c>
      <c r="C1390" s="37" t="s">
        <v>6</v>
      </c>
      <c r="D1390" s="326">
        <v>58.06</v>
      </c>
    </row>
    <row r="1391" spans="1:4" ht="13.5">
      <c r="A1391" s="37">
        <v>100328</v>
      </c>
      <c r="B1391" s="37" t="s">
        <v>3307</v>
      </c>
      <c r="C1391" s="37" t="s">
        <v>9</v>
      </c>
      <c r="D1391" s="326">
        <v>11.28</v>
      </c>
    </row>
    <row r="1392" spans="1:4" ht="13.5">
      <c r="A1392" s="37">
        <v>100329</v>
      </c>
      <c r="B1392" s="37" t="s">
        <v>3309</v>
      </c>
      <c r="C1392" s="37" t="s">
        <v>9</v>
      </c>
      <c r="D1392" s="326">
        <v>14.62</v>
      </c>
    </row>
    <row r="1393" spans="1:4" ht="13.5">
      <c r="A1393" s="37">
        <v>100330</v>
      </c>
      <c r="B1393" s="37" t="s">
        <v>3310</v>
      </c>
      <c r="C1393" s="37" t="s">
        <v>9</v>
      </c>
      <c r="D1393" s="326">
        <v>15.31</v>
      </c>
    </row>
    <row r="1394" spans="1:4" ht="13.5">
      <c r="A1394" s="37">
        <v>100331</v>
      </c>
      <c r="B1394" s="37" t="s">
        <v>3311</v>
      </c>
      <c r="C1394" s="37" t="s">
        <v>9</v>
      </c>
      <c r="D1394" s="326">
        <v>20.99</v>
      </c>
    </row>
    <row r="1395" spans="1:4" ht="13.5">
      <c r="A1395" s="37">
        <v>100434</v>
      </c>
      <c r="B1395" s="37" t="s">
        <v>3312</v>
      </c>
      <c r="C1395" s="37" t="s">
        <v>6</v>
      </c>
      <c r="D1395" s="326">
        <v>195.55</v>
      </c>
    </row>
    <row r="1396" spans="1:4" ht="13.5">
      <c r="A1396" s="37">
        <v>100435</v>
      </c>
      <c r="B1396" s="37" t="s">
        <v>3313</v>
      </c>
      <c r="C1396" s="37" t="s">
        <v>6</v>
      </c>
      <c r="D1396" s="326">
        <v>57.87</v>
      </c>
    </row>
    <row r="1397" spans="1:4" ht="13.5">
      <c r="A1397" s="37">
        <v>94227</v>
      </c>
      <c r="B1397" s="37" t="s">
        <v>3314</v>
      </c>
      <c r="C1397" s="37" t="s">
        <v>6</v>
      </c>
      <c r="D1397" s="326">
        <v>64.87</v>
      </c>
    </row>
    <row r="1398" spans="1:4" ht="13.5">
      <c r="A1398" s="37">
        <v>94228</v>
      </c>
      <c r="B1398" s="37" t="s">
        <v>3315</v>
      </c>
      <c r="C1398" s="37" t="s">
        <v>6</v>
      </c>
      <c r="D1398" s="326">
        <v>87.53</v>
      </c>
    </row>
    <row r="1399" spans="1:4" ht="13.5">
      <c r="A1399" s="37">
        <v>94229</v>
      </c>
      <c r="B1399" s="37" t="s">
        <v>3316</v>
      </c>
      <c r="C1399" s="37" t="s">
        <v>6</v>
      </c>
      <c r="D1399" s="326">
        <v>169.32</v>
      </c>
    </row>
    <row r="1400" spans="1:4" ht="13.5">
      <c r="A1400" s="37">
        <v>94231</v>
      </c>
      <c r="B1400" s="37" t="s">
        <v>3317</v>
      </c>
      <c r="C1400" s="37" t="s">
        <v>6</v>
      </c>
      <c r="D1400" s="326">
        <v>51.8</v>
      </c>
    </row>
    <row r="1401" spans="1:4" ht="13.5">
      <c r="A1401" s="37">
        <v>94449</v>
      </c>
      <c r="B1401" s="37" t="s">
        <v>3318</v>
      </c>
      <c r="C1401" s="37" t="s">
        <v>9</v>
      </c>
      <c r="D1401" s="326">
        <v>79.87</v>
      </c>
    </row>
    <row r="1402" spans="1:4" ht="13.5">
      <c r="A1402" s="37">
        <v>92255</v>
      </c>
      <c r="B1402" s="37" t="s">
        <v>3319</v>
      </c>
      <c r="C1402" s="37" t="s">
        <v>7</v>
      </c>
      <c r="D1402" s="326">
        <v>194.78</v>
      </c>
    </row>
    <row r="1403" spans="1:4" ht="13.5">
      <c r="A1403" s="37">
        <v>92256</v>
      </c>
      <c r="B1403" s="37" t="s">
        <v>3320</v>
      </c>
      <c r="C1403" s="37" t="s">
        <v>7</v>
      </c>
      <c r="D1403" s="326">
        <v>242.38</v>
      </c>
    </row>
    <row r="1404" spans="1:4" ht="13.5">
      <c r="A1404" s="37">
        <v>92257</v>
      </c>
      <c r="B1404" s="37" t="s">
        <v>3321</v>
      </c>
      <c r="C1404" s="37" t="s">
        <v>7</v>
      </c>
      <c r="D1404" s="326">
        <v>289.3</v>
      </c>
    </row>
    <row r="1405" spans="1:4" ht="13.5">
      <c r="A1405" s="37">
        <v>92258</v>
      </c>
      <c r="B1405" s="37" t="s">
        <v>3322</v>
      </c>
      <c r="C1405" s="37" t="s">
        <v>7</v>
      </c>
      <c r="D1405" s="326">
        <v>364.75</v>
      </c>
    </row>
    <row r="1406" spans="1:4" ht="13.5">
      <c r="A1406" s="37">
        <v>92568</v>
      </c>
      <c r="B1406" s="37" t="s">
        <v>3323</v>
      </c>
      <c r="C1406" s="37" t="s">
        <v>9</v>
      </c>
      <c r="D1406" s="326">
        <v>116.41</v>
      </c>
    </row>
    <row r="1407" spans="1:4" ht="13.5">
      <c r="A1407" s="37">
        <v>92569</v>
      </c>
      <c r="B1407" s="37" t="s">
        <v>3324</v>
      </c>
      <c r="C1407" s="37" t="s">
        <v>9</v>
      </c>
      <c r="D1407" s="326">
        <v>64.28</v>
      </c>
    </row>
    <row r="1408" spans="1:4" ht="13.5">
      <c r="A1408" s="37">
        <v>92570</v>
      </c>
      <c r="B1408" s="37" t="s">
        <v>3325</v>
      </c>
      <c r="C1408" s="37" t="s">
        <v>9</v>
      </c>
      <c r="D1408" s="326">
        <v>40.35</v>
      </c>
    </row>
    <row r="1409" spans="1:4" ht="13.5">
      <c r="A1409" s="37">
        <v>92571</v>
      </c>
      <c r="B1409" s="37" t="s">
        <v>3326</v>
      </c>
      <c r="C1409" s="37" t="s">
        <v>9</v>
      </c>
      <c r="D1409" s="326">
        <v>125.37</v>
      </c>
    </row>
    <row r="1410" spans="1:4" ht="13.5">
      <c r="A1410" s="37">
        <v>92572</v>
      </c>
      <c r="B1410" s="37" t="s">
        <v>3327</v>
      </c>
      <c r="C1410" s="37" t="s">
        <v>9</v>
      </c>
      <c r="D1410" s="326">
        <v>74.510000000000005</v>
      </c>
    </row>
    <row r="1411" spans="1:4" ht="13.5">
      <c r="A1411" s="37">
        <v>92573</v>
      </c>
      <c r="B1411" s="37" t="s">
        <v>3328</v>
      </c>
      <c r="C1411" s="37" t="s">
        <v>9</v>
      </c>
      <c r="D1411" s="326">
        <v>44.2</v>
      </c>
    </row>
    <row r="1412" spans="1:4" ht="13.5">
      <c r="A1412" s="37">
        <v>92574</v>
      </c>
      <c r="B1412" s="37" t="s">
        <v>3329</v>
      </c>
      <c r="C1412" s="37" t="s">
        <v>9</v>
      </c>
      <c r="D1412" s="326">
        <v>118.5</v>
      </c>
    </row>
    <row r="1413" spans="1:4" ht="13.5">
      <c r="A1413" s="37">
        <v>92575</v>
      </c>
      <c r="B1413" s="37" t="s">
        <v>3331</v>
      </c>
      <c r="C1413" s="37" t="s">
        <v>9</v>
      </c>
      <c r="D1413" s="326">
        <v>58.95</v>
      </c>
    </row>
    <row r="1414" spans="1:4" ht="13.5">
      <c r="A1414" s="37">
        <v>92576</v>
      </c>
      <c r="B1414" s="37" t="s">
        <v>3332</v>
      </c>
      <c r="C1414" s="37" t="s">
        <v>9</v>
      </c>
      <c r="D1414" s="326">
        <v>31.92</v>
      </c>
    </row>
    <row r="1415" spans="1:4" ht="13.5">
      <c r="A1415" s="37">
        <v>92577</v>
      </c>
      <c r="B1415" s="37" t="s">
        <v>3333</v>
      </c>
      <c r="C1415" s="37" t="s">
        <v>9</v>
      </c>
      <c r="D1415" s="326">
        <v>127.8</v>
      </c>
    </row>
    <row r="1416" spans="1:4" ht="13.5">
      <c r="A1416" s="37">
        <v>92578</v>
      </c>
      <c r="B1416" s="37" t="s">
        <v>3334</v>
      </c>
      <c r="C1416" s="37" t="s">
        <v>9</v>
      </c>
      <c r="D1416" s="326">
        <v>64.17</v>
      </c>
    </row>
    <row r="1417" spans="1:4" ht="13.5">
      <c r="A1417" s="37">
        <v>92579</v>
      </c>
      <c r="B1417" s="37" t="s">
        <v>3335</v>
      </c>
      <c r="C1417" s="37" t="s">
        <v>9</v>
      </c>
      <c r="D1417" s="326">
        <v>34.99</v>
      </c>
    </row>
    <row r="1418" spans="1:4" ht="13.5">
      <c r="A1418" s="37">
        <v>92580</v>
      </c>
      <c r="B1418" s="37" t="s">
        <v>3336</v>
      </c>
      <c r="C1418" s="37" t="s">
        <v>9</v>
      </c>
      <c r="D1418" s="326">
        <v>43.93</v>
      </c>
    </row>
    <row r="1419" spans="1:4" ht="13.5">
      <c r="A1419" s="37">
        <v>92581</v>
      </c>
      <c r="B1419" s="37" t="s">
        <v>3337</v>
      </c>
      <c r="C1419" s="37" t="s">
        <v>9</v>
      </c>
      <c r="D1419" s="326">
        <v>45.57</v>
      </c>
    </row>
    <row r="1420" spans="1:4" ht="13.5">
      <c r="A1420" s="37">
        <v>92582</v>
      </c>
      <c r="B1420" s="37" t="s">
        <v>3338</v>
      </c>
      <c r="C1420" s="37" t="s">
        <v>7</v>
      </c>
      <c r="D1420" s="326">
        <v>660.32</v>
      </c>
    </row>
    <row r="1421" spans="1:4" ht="13.5">
      <c r="A1421" s="37">
        <v>92584</v>
      </c>
      <c r="B1421" s="37" t="s">
        <v>3339</v>
      </c>
      <c r="C1421" s="37" t="s">
        <v>7</v>
      </c>
      <c r="D1421" s="326">
        <v>766.77</v>
      </c>
    </row>
    <row r="1422" spans="1:4" ht="13.5">
      <c r="A1422" s="37">
        <v>92586</v>
      </c>
      <c r="B1422" s="37" t="s">
        <v>3340</v>
      </c>
      <c r="C1422" s="37" t="s">
        <v>7</v>
      </c>
      <c r="D1422" s="326">
        <v>873.22</v>
      </c>
    </row>
    <row r="1423" spans="1:4" ht="13.5">
      <c r="A1423" s="37">
        <v>92588</v>
      </c>
      <c r="B1423" s="37" t="s">
        <v>3341</v>
      </c>
      <c r="C1423" s="37" t="s">
        <v>7</v>
      </c>
      <c r="D1423" s="38">
        <v>1107.94</v>
      </c>
    </row>
    <row r="1424" spans="1:4" ht="13.5">
      <c r="A1424" s="37">
        <v>92590</v>
      </c>
      <c r="B1424" s="37" t="s">
        <v>3342</v>
      </c>
      <c r="C1424" s="37" t="s">
        <v>7</v>
      </c>
      <c r="D1424" s="38">
        <v>1214.3900000000001</v>
      </c>
    </row>
    <row r="1425" spans="1:4" ht="13.5">
      <c r="A1425" s="37">
        <v>92592</v>
      </c>
      <c r="B1425" s="37" t="s">
        <v>3343</v>
      </c>
      <c r="C1425" s="37" t="s">
        <v>7</v>
      </c>
      <c r="D1425" s="38">
        <v>1367.76</v>
      </c>
    </row>
    <row r="1426" spans="1:4" ht="13.5">
      <c r="A1426" s="37">
        <v>92594</v>
      </c>
      <c r="B1426" s="37" t="s">
        <v>3344</v>
      </c>
      <c r="C1426" s="37" t="s">
        <v>7</v>
      </c>
      <c r="D1426" s="38">
        <v>1581.8</v>
      </c>
    </row>
    <row r="1427" spans="1:4" ht="13.5">
      <c r="A1427" s="37">
        <v>92596</v>
      </c>
      <c r="B1427" s="37" t="s">
        <v>3345</v>
      </c>
      <c r="C1427" s="37" t="s">
        <v>7</v>
      </c>
      <c r="D1427" s="38">
        <v>1768.26</v>
      </c>
    </row>
    <row r="1428" spans="1:4" ht="13.5">
      <c r="A1428" s="37">
        <v>92598</v>
      </c>
      <c r="B1428" s="37" t="s">
        <v>3346</v>
      </c>
      <c r="C1428" s="37" t="s">
        <v>7</v>
      </c>
      <c r="D1428" s="38">
        <v>1874.72</v>
      </c>
    </row>
    <row r="1429" spans="1:4" ht="13.5">
      <c r="A1429" s="37">
        <v>92600</v>
      </c>
      <c r="B1429" s="37" t="s">
        <v>3347</v>
      </c>
      <c r="C1429" s="37" t="s">
        <v>7</v>
      </c>
      <c r="D1429" s="38">
        <v>2008.11</v>
      </c>
    </row>
    <row r="1430" spans="1:4" ht="13.5">
      <c r="A1430" s="37">
        <v>92602</v>
      </c>
      <c r="B1430" s="37" t="s">
        <v>16814</v>
      </c>
      <c r="C1430" s="37" t="s">
        <v>7</v>
      </c>
      <c r="D1430" s="326">
        <v>660.32</v>
      </c>
    </row>
    <row r="1431" spans="1:4" ht="13.5">
      <c r="A1431" s="37">
        <v>92604</v>
      </c>
      <c r="B1431" s="37" t="s">
        <v>3348</v>
      </c>
      <c r="C1431" s="37" t="s">
        <v>7</v>
      </c>
      <c r="D1431" s="326">
        <v>739.83</v>
      </c>
    </row>
    <row r="1432" spans="1:4" ht="13.5">
      <c r="A1432" s="37">
        <v>92606</v>
      </c>
      <c r="B1432" s="37" t="s">
        <v>3349</v>
      </c>
      <c r="C1432" s="37" t="s">
        <v>7</v>
      </c>
      <c r="D1432" s="326">
        <v>846.29</v>
      </c>
    </row>
    <row r="1433" spans="1:4" ht="13.5">
      <c r="A1433" s="37">
        <v>92608</v>
      </c>
      <c r="B1433" s="37" t="s">
        <v>3350</v>
      </c>
      <c r="C1433" s="37" t="s">
        <v>7</v>
      </c>
      <c r="D1433" s="38">
        <v>1054.06</v>
      </c>
    </row>
    <row r="1434" spans="1:4" ht="13.5">
      <c r="A1434" s="37">
        <v>92610</v>
      </c>
      <c r="B1434" s="37" t="s">
        <v>3351</v>
      </c>
      <c r="C1434" s="37" t="s">
        <v>7</v>
      </c>
      <c r="D1434" s="38">
        <v>1160.52</v>
      </c>
    </row>
    <row r="1435" spans="1:4" ht="13.5">
      <c r="A1435" s="37">
        <v>92612</v>
      </c>
      <c r="B1435" s="37" t="s">
        <v>3352</v>
      </c>
      <c r="C1435" s="37" t="s">
        <v>7</v>
      </c>
      <c r="D1435" s="38">
        <v>1313.89</v>
      </c>
    </row>
    <row r="1436" spans="1:4" ht="13.5">
      <c r="A1436" s="37">
        <v>92614</v>
      </c>
      <c r="B1436" s="37" t="s">
        <v>3353</v>
      </c>
      <c r="C1436" s="37" t="s">
        <v>7</v>
      </c>
      <c r="D1436" s="38">
        <v>1474.05</v>
      </c>
    </row>
    <row r="1437" spans="1:4" ht="13.5">
      <c r="A1437" s="37">
        <v>92616</v>
      </c>
      <c r="B1437" s="37" t="s">
        <v>3354</v>
      </c>
      <c r="C1437" s="37" t="s">
        <v>7</v>
      </c>
      <c r="D1437" s="38">
        <v>1687.45</v>
      </c>
    </row>
    <row r="1438" spans="1:4" ht="13.5">
      <c r="A1438" s="37">
        <v>92618</v>
      </c>
      <c r="B1438" s="37" t="s">
        <v>3355</v>
      </c>
      <c r="C1438" s="37" t="s">
        <v>7</v>
      </c>
      <c r="D1438" s="38">
        <v>1793.91</v>
      </c>
    </row>
    <row r="1439" spans="1:4" ht="13.5">
      <c r="A1439" s="37">
        <v>92620</v>
      </c>
      <c r="B1439" s="37" t="s">
        <v>3356</v>
      </c>
      <c r="C1439" s="37" t="s">
        <v>7</v>
      </c>
      <c r="D1439" s="38">
        <v>1900.35</v>
      </c>
    </row>
    <row r="1440" spans="1:4" ht="13.5">
      <c r="A1440" s="37">
        <v>100357</v>
      </c>
      <c r="B1440" s="37" t="s">
        <v>3357</v>
      </c>
      <c r="C1440" s="37" t="s">
        <v>7</v>
      </c>
      <c r="D1440" s="38">
        <v>1072.3800000000001</v>
      </c>
    </row>
    <row r="1441" spans="1:4" ht="13.5">
      <c r="A1441" s="37">
        <v>100358</v>
      </c>
      <c r="B1441" s="37" t="s">
        <v>3358</v>
      </c>
      <c r="C1441" s="37" t="s">
        <v>7</v>
      </c>
      <c r="D1441" s="38">
        <v>1451.35</v>
      </c>
    </row>
    <row r="1442" spans="1:4" ht="13.5">
      <c r="A1442" s="37">
        <v>100359</v>
      </c>
      <c r="B1442" s="37" t="s">
        <v>3359</v>
      </c>
      <c r="C1442" s="37" t="s">
        <v>7</v>
      </c>
      <c r="D1442" s="38">
        <v>1524.41</v>
      </c>
    </row>
    <row r="1443" spans="1:4" ht="13.5">
      <c r="A1443" s="37">
        <v>100360</v>
      </c>
      <c r="B1443" s="37" t="s">
        <v>3360</v>
      </c>
      <c r="C1443" s="37" t="s">
        <v>7</v>
      </c>
      <c r="D1443" s="38">
        <v>1689.19</v>
      </c>
    </row>
    <row r="1444" spans="1:4" ht="13.5">
      <c r="A1444" s="37">
        <v>100361</v>
      </c>
      <c r="B1444" s="37" t="s">
        <v>3361</v>
      </c>
      <c r="C1444" s="37" t="s">
        <v>7</v>
      </c>
      <c r="D1444" s="38">
        <v>2099.02</v>
      </c>
    </row>
    <row r="1445" spans="1:4" ht="13.5">
      <c r="A1445" s="37">
        <v>100362</v>
      </c>
      <c r="B1445" s="37" t="s">
        <v>3362</v>
      </c>
      <c r="C1445" s="37" t="s">
        <v>7</v>
      </c>
      <c r="D1445" s="38">
        <v>2774.7</v>
      </c>
    </row>
    <row r="1446" spans="1:4" ht="13.5">
      <c r="A1446" s="37">
        <v>100363</v>
      </c>
      <c r="B1446" s="37" t="s">
        <v>3363</v>
      </c>
      <c r="C1446" s="37" t="s">
        <v>7</v>
      </c>
      <c r="D1446" s="38">
        <v>2864.53</v>
      </c>
    </row>
    <row r="1447" spans="1:4" ht="13.5">
      <c r="A1447" s="37">
        <v>100364</v>
      </c>
      <c r="B1447" s="37" t="s">
        <v>3364</v>
      </c>
      <c r="C1447" s="37" t="s">
        <v>7</v>
      </c>
      <c r="D1447" s="38">
        <v>3109.88</v>
      </c>
    </row>
    <row r="1448" spans="1:4" ht="13.5">
      <c r="A1448" s="37">
        <v>100365</v>
      </c>
      <c r="B1448" s="37" t="s">
        <v>3365</v>
      </c>
      <c r="C1448" s="37" t="s">
        <v>7</v>
      </c>
      <c r="D1448" s="38">
        <v>3574.19</v>
      </c>
    </row>
    <row r="1449" spans="1:4" ht="13.5">
      <c r="A1449" s="37">
        <v>100366</v>
      </c>
      <c r="B1449" s="37" t="s">
        <v>3366</v>
      </c>
      <c r="C1449" s="37" t="s">
        <v>7</v>
      </c>
      <c r="D1449" s="38">
        <v>3813.67</v>
      </c>
    </row>
    <row r="1450" spans="1:4" ht="13.5">
      <c r="A1450" s="37">
        <v>100367</v>
      </c>
      <c r="B1450" s="37" t="s">
        <v>3367</v>
      </c>
      <c r="C1450" s="37" t="s">
        <v>7</v>
      </c>
      <c r="D1450" s="38">
        <v>1044.57</v>
      </c>
    </row>
    <row r="1451" spans="1:4" ht="13.5">
      <c r="A1451" s="37">
        <v>100368</v>
      </c>
      <c r="B1451" s="37" t="s">
        <v>3368</v>
      </c>
      <c r="C1451" s="37" t="s">
        <v>7</v>
      </c>
      <c r="D1451" s="38">
        <v>1417.03</v>
      </c>
    </row>
    <row r="1452" spans="1:4" ht="13.5">
      <c r="A1452" s="37">
        <v>100369</v>
      </c>
      <c r="B1452" s="37" t="s">
        <v>3369</v>
      </c>
      <c r="C1452" s="37" t="s">
        <v>7</v>
      </c>
      <c r="D1452" s="38">
        <v>1490.1</v>
      </c>
    </row>
    <row r="1453" spans="1:4" ht="13.5">
      <c r="A1453" s="37">
        <v>100370</v>
      </c>
      <c r="B1453" s="37" t="s">
        <v>3370</v>
      </c>
      <c r="C1453" s="37" t="s">
        <v>7</v>
      </c>
      <c r="D1453" s="38">
        <v>1761.16</v>
      </c>
    </row>
    <row r="1454" spans="1:4" ht="13.5">
      <c r="A1454" s="37">
        <v>100371</v>
      </c>
      <c r="B1454" s="37" t="s">
        <v>3371</v>
      </c>
      <c r="C1454" s="37" t="s">
        <v>7</v>
      </c>
      <c r="D1454" s="38">
        <v>2007.52</v>
      </c>
    </row>
    <row r="1455" spans="1:4" ht="13.5">
      <c r="A1455" s="37">
        <v>100372</v>
      </c>
      <c r="B1455" s="37" t="s">
        <v>3372</v>
      </c>
      <c r="C1455" s="37" t="s">
        <v>7</v>
      </c>
      <c r="D1455" s="38">
        <v>2617.91</v>
      </c>
    </row>
    <row r="1456" spans="1:4" ht="13.5">
      <c r="A1456" s="37">
        <v>100373</v>
      </c>
      <c r="B1456" s="37" t="s">
        <v>3373</v>
      </c>
      <c r="C1456" s="37" t="s">
        <v>7</v>
      </c>
      <c r="D1456" s="38">
        <v>2706.39</v>
      </c>
    </row>
    <row r="1457" spans="1:4" ht="13.5">
      <c r="A1457" s="37">
        <v>100374</v>
      </c>
      <c r="B1457" s="37" t="s">
        <v>3374</v>
      </c>
      <c r="C1457" s="37" t="s">
        <v>7</v>
      </c>
      <c r="D1457" s="38">
        <v>2901.09</v>
      </c>
    </row>
    <row r="1458" spans="1:4" ht="13.5">
      <c r="A1458" s="37">
        <v>100375</v>
      </c>
      <c r="B1458" s="37" t="s">
        <v>3375</v>
      </c>
      <c r="C1458" s="37" t="s">
        <v>7</v>
      </c>
      <c r="D1458" s="38">
        <v>3263.65</v>
      </c>
    </row>
    <row r="1459" spans="1:4" ht="13.5">
      <c r="A1459" s="37">
        <v>100376</v>
      </c>
      <c r="B1459" s="37" t="s">
        <v>3376</v>
      </c>
      <c r="C1459" s="37" t="s">
        <v>7</v>
      </c>
      <c r="D1459" s="38">
        <v>3196.88</v>
      </c>
    </row>
    <row r="1460" spans="1:4" ht="13.5">
      <c r="A1460" s="37">
        <v>100377</v>
      </c>
      <c r="B1460" s="37" t="s">
        <v>3377</v>
      </c>
      <c r="C1460" s="37" t="s">
        <v>8</v>
      </c>
      <c r="D1460" s="326">
        <v>10.82</v>
      </c>
    </row>
    <row r="1461" spans="1:4" ht="13.5">
      <c r="A1461" s="37">
        <v>100378</v>
      </c>
      <c r="B1461" s="37" t="s">
        <v>3378</v>
      </c>
      <c r="C1461" s="37" t="s">
        <v>8</v>
      </c>
      <c r="D1461" s="326">
        <v>9.99</v>
      </c>
    </row>
    <row r="1462" spans="1:4" ht="13.5">
      <c r="A1462" s="37">
        <v>100382</v>
      </c>
      <c r="B1462" s="37" t="s">
        <v>3379</v>
      </c>
      <c r="C1462" s="37" t="s">
        <v>9</v>
      </c>
      <c r="D1462" s="326">
        <v>23.56</v>
      </c>
    </row>
    <row r="1463" spans="1:4" ht="13.5">
      <c r="A1463" s="37">
        <v>104314</v>
      </c>
      <c r="B1463" s="37" t="s">
        <v>15335</v>
      </c>
      <c r="C1463" s="37" t="s">
        <v>8</v>
      </c>
      <c r="D1463" s="326">
        <v>10.130000000000001</v>
      </c>
    </row>
    <row r="1464" spans="1:4" ht="13.5">
      <c r="A1464" s="37">
        <v>94444</v>
      </c>
      <c r="B1464" s="37" t="s">
        <v>3380</v>
      </c>
      <c r="C1464" s="37" t="s">
        <v>9</v>
      </c>
      <c r="D1464" s="326">
        <v>762.7</v>
      </c>
    </row>
    <row r="1465" spans="1:4" ht="13.5">
      <c r="A1465" s="37">
        <v>104482</v>
      </c>
      <c r="B1465" s="37" t="s">
        <v>16815</v>
      </c>
      <c r="C1465" s="37" t="s">
        <v>10</v>
      </c>
      <c r="D1465" s="326">
        <v>30.1</v>
      </c>
    </row>
    <row r="1466" spans="1:4" ht="13.5">
      <c r="A1466" s="37">
        <v>104184</v>
      </c>
      <c r="B1466" s="37" t="s">
        <v>16816</v>
      </c>
      <c r="C1466" s="37" t="s">
        <v>7</v>
      </c>
      <c r="D1466" s="326">
        <v>33.270000000000003</v>
      </c>
    </row>
    <row r="1467" spans="1:4" ht="13.5">
      <c r="A1467" s="37">
        <v>104185</v>
      </c>
      <c r="B1467" s="37" t="s">
        <v>16817</v>
      </c>
      <c r="C1467" s="37" t="s">
        <v>7</v>
      </c>
      <c r="D1467" s="326">
        <v>25.19</v>
      </c>
    </row>
    <row r="1468" spans="1:4" ht="13.5">
      <c r="A1468" s="37">
        <v>104189</v>
      </c>
      <c r="B1468" s="37" t="s">
        <v>16818</v>
      </c>
      <c r="C1468" s="37" t="s">
        <v>12</v>
      </c>
      <c r="D1468" s="326">
        <v>125.42</v>
      </c>
    </row>
    <row r="1469" spans="1:4" ht="13.5">
      <c r="A1469" s="37">
        <v>104190</v>
      </c>
      <c r="B1469" s="37" t="s">
        <v>16819</v>
      </c>
      <c r="C1469" s="37" t="s">
        <v>7</v>
      </c>
      <c r="D1469" s="326">
        <v>649.6</v>
      </c>
    </row>
    <row r="1470" spans="1:4" ht="13.5">
      <c r="A1470" s="37">
        <v>102661</v>
      </c>
      <c r="B1470" s="37" t="s">
        <v>7387</v>
      </c>
      <c r="C1470" s="37" t="s">
        <v>6</v>
      </c>
      <c r="D1470" s="326">
        <v>30.89</v>
      </c>
    </row>
    <row r="1471" spans="1:4" ht="13.5">
      <c r="A1471" s="37">
        <v>102662</v>
      </c>
      <c r="B1471" s="37" t="s">
        <v>16820</v>
      </c>
      <c r="C1471" s="37" t="s">
        <v>6</v>
      </c>
      <c r="D1471" s="326">
        <v>99.37</v>
      </c>
    </row>
    <row r="1472" spans="1:4" ht="13.5">
      <c r="A1472" s="37">
        <v>102663</v>
      </c>
      <c r="B1472" s="37" t="s">
        <v>7388</v>
      </c>
      <c r="C1472" s="37" t="s">
        <v>6</v>
      </c>
      <c r="D1472" s="326">
        <v>61.39</v>
      </c>
    </row>
    <row r="1473" spans="1:4" ht="13.5">
      <c r="A1473" s="37">
        <v>102664</v>
      </c>
      <c r="B1473" s="37" t="s">
        <v>7389</v>
      </c>
      <c r="C1473" s="37" t="s">
        <v>6</v>
      </c>
      <c r="D1473" s="326">
        <v>56.27</v>
      </c>
    </row>
    <row r="1474" spans="1:4" ht="13.5">
      <c r="A1474" s="37">
        <v>102665</v>
      </c>
      <c r="B1474" s="37" t="s">
        <v>7390</v>
      </c>
      <c r="C1474" s="37" t="s">
        <v>6</v>
      </c>
      <c r="D1474" s="326">
        <v>30.87</v>
      </c>
    </row>
    <row r="1475" spans="1:4" ht="13.5">
      <c r="A1475" s="37">
        <v>102666</v>
      </c>
      <c r="B1475" s="37" t="s">
        <v>7391</v>
      </c>
      <c r="C1475" s="37" t="s">
        <v>6</v>
      </c>
      <c r="D1475" s="326">
        <v>66.14</v>
      </c>
    </row>
    <row r="1476" spans="1:4" ht="13.5">
      <c r="A1476" s="37">
        <v>102668</v>
      </c>
      <c r="B1476" s="37" t="s">
        <v>16821</v>
      </c>
      <c r="C1476" s="37" t="s">
        <v>6</v>
      </c>
      <c r="D1476" s="326">
        <v>134.62</v>
      </c>
    </row>
    <row r="1477" spans="1:4" ht="13.5">
      <c r="A1477" s="37">
        <v>102669</v>
      </c>
      <c r="B1477" s="37" t="s">
        <v>7392</v>
      </c>
      <c r="C1477" s="37" t="s">
        <v>6</v>
      </c>
      <c r="D1477" s="326">
        <v>95.12</v>
      </c>
    </row>
    <row r="1478" spans="1:4" ht="13.5">
      <c r="A1478" s="37">
        <v>102670</v>
      </c>
      <c r="B1478" s="37" t="s">
        <v>7393</v>
      </c>
      <c r="C1478" s="37" t="s">
        <v>6</v>
      </c>
      <c r="D1478" s="326">
        <v>90.14</v>
      </c>
    </row>
    <row r="1479" spans="1:4" ht="13.5">
      <c r="A1479" s="37">
        <v>102672</v>
      </c>
      <c r="B1479" s="37" t="s">
        <v>16822</v>
      </c>
      <c r="C1479" s="37" t="s">
        <v>6</v>
      </c>
      <c r="D1479" s="326">
        <v>171.65</v>
      </c>
    </row>
    <row r="1480" spans="1:4" ht="13.5">
      <c r="A1480" s="37">
        <v>102673</v>
      </c>
      <c r="B1480" s="37" t="s">
        <v>7394</v>
      </c>
      <c r="C1480" s="37" t="s">
        <v>6</v>
      </c>
      <c r="D1480" s="326">
        <v>147.35</v>
      </c>
    </row>
    <row r="1481" spans="1:4" ht="13.5">
      <c r="A1481" s="37">
        <v>102674</v>
      </c>
      <c r="B1481" s="37" t="s">
        <v>7395</v>
      </c>
      <c r="C1481" s="37" t="s">
        <v>6</v>
      </c>
      <c r="D1481" s="326">
        <v>98.53</v>
      </c>
    </row>
    <row r="1482" spans="1:4" ht="13.5">
      <c r="A1482" s="37">
        <v>102676</v>
      </c>
      <c r="B1482" s="37" t="s">
        <v>16823</v>
      </c>
      <c r="C1482" s="37" t="s">
        <v>6</v>
      </c>
      <c r="D1482" s="326">
        <v>170.67</v>
      </c>
    </row>
    <row r="1483" spans="1:4" ht="13.5">
      <c r="A1483" s="37">
        <v>102677</v>
      </c>
      <c r="B1483" s="37" t="s">
        <v>7396</v>
      </c>
      <c r="C1483" s="37" t="s">
        <v>6</v>
      </c>
      <c r="D1483" s="326">
        <v>135.22999999999999</v>
      </c>
    </row>
    <row r="1484" spans="1:4" ht="13.5">
      <c r="A1484" s="37">
        <v>102678</v>
      </c>
      <c r="B1484" s="37" t="s">
        <v>7397</v>
      </c>
      <c r="C1484" s="37" t="s">
        <v>6</v>
      </c>
      <c r="D1484" s="326">
        <v>167.85</v>
      </c>
    </row>
    <row r="1485" spans="1:4" ht="13.5">
      <c r="A1485" s="37">
        <v>102679</v>
      </c>
      <c r="B1485" s="37" t="s">
        <v>7398</v>
      </c>
      <c r="C1485" s="37" t="s">
        <v>6</v>
      </c>
      <c r="D1485" s="326">
        <v>186.41</v>
      </c>
    </row>
    <row r="1486" spans="1:4" ht="13.5">
      <c r="A1486" s="37">
        <v>102680</v>
      </c>
      <c r="B1486" s="37" t="s">
        <v>7399</v>
      </c>
      <c r="C1486" s="37" t="s">
        <v>6</v>
      </c>
      <c r="D1486" s="326">
        <v>178.96</v>
      </c>
    </row>
    <row r="1487" spans="1:4" ht="13.5">
      <c r="A1487" s="37">
        <v>102681</v>
      </c>
      <c r="B1487" s="37" t="s">
        <v>16824</v>
      </c>
      <c r="C1487" s="37" t="s">
        <v>6</v>
      </c>
      <c r="D1487" s="326">
        <v>251.1</v>
      </c>
    </row>
    <row r="1488" spans="1:4" ht="13.5">
      <c r="A1488" s="37">
        <v>102683</v>
      </c>
      <c r="B1488" s="37" t="s">
        <v>7400</v>
      </c>
      <c r="C1488" s="37" t="s">
        <v>6</v>
      </c>
      <c r="D1488" s="326">
        <v>218.43</v>
      </c>
    </row>
    <row r="1489" spans="1:4" ht="13.5">
      <c r="A1489" s="37">
        <v>102684</v>
      </c>
      <c r="B1489" s="37" t="s">
        <v>7401</v>
      </c>
      <c r="C1489" s="37" t="s">
        <v>6</v>
      </c>
      <c r="D1489" s="326">
        <v>197.51</v>
      </c>
    </row>
    <row r="1490" spans="1:4" ht="13.5">
      <c r="A1490" s="37">
        <v>102685</v>
      </c>
      <c r="B1490" s="37" t="s">
        <v>16825</v>
      </c>
      <c r="C1490" s="37" t="s">
        <v>6</v>
      </c>
      <c r="D1490" s="326">
        <v>269.66000000000003</v>
      </c>
    </row>
    <row r="1491" spans="1:4" ht="13.5">
      <c r="A1491" s="37">
        <v>102687</v>
      </c>
      <c r="B1491" s="37" t="s">
        <v>7402</v>
      </c>
      <c r="C1491" s="37" t="s">
        <v>6</v>
      </c>
      <c r="D1491" s="326">
        <v>232.7</v>
      </c>
    </row>
    <row r="1492" spans="1:4" ht="13.5">
      <c r="A1492" s="37">
        <v>102688</v>
      </c>
      <c r="B1492" s="37" t="s">
        <v>16826</v>
      </c>
      <c r="C1492" s="37" t="s">
        <v>6</v>
      </c>
      <c r="D1492" s="326">
        <v>37.15</v>
      </c>
    </row>
    <row r="1493" spans="1:4" ht="13.5">
      <c r="A1493" s="37">
        <v>102689</v>
      </c>
      <c r="B1493" s="37" t="s">
        <v>16827</v>
      </c>
      <c r="C1493" s="37" t="s">
        <v>6</v>
      </c>
      <c r="D1493" s="326">
        <v>103.1</v>
      </c>
    </row>
    <row r="1494" spans="1:4" ht="13.5">
      <c r="A1494" s="37">
        <v>102690</v>
      </c>
      <c r="B1494" s="37" t="s">
        <v>7403</v>
      </c>
      <c r="C1494" s="37" t="s">
        <v>6</v>
      </c>
      <c r="D1494" s="326">
        <v>72.38</v>
      </c>
    </row>
    <row r="1495" spans="1:4" ht="13.5">
      <c r="A1495" s="37">
        <v>102693</v>
      </c>
      <c r="B1495" s="37" t="s">
        <v>16828</v>
      </c>
      <c r="C1495" s="37" t="s">
        <v>6</v>
      </c>
      <c r="D1495" s="326">
        <v>138.33000000000001</v>
      </c>
    </row>
    <row r="1496" spans="1:4" ht="13.5">
      <c r="A1496" s="37">
        <v>102694</v>
      </c>
      <c r="B1496" s="37" t="s">
        <v>16829</v>
      </c>
      <c r="C1496" s="37" t="s">
        <v>6</v>
      </c>
      <c r="D1496" s="326">
        <v>69.040000000000006</v>
      </c>
    </row>
    <row r="1497" spans="1:4" ht="13.5">
      <c r="A1497" s="37">
        <v>102696</v>
      </c>
      <c r="B1497" s="37" t="s">
        <v>16830</v>
      </c>
      <c r="C1497" s="37" t="s">
        <v>6</v>
      </c>
      <c r="D1497" s="326">
        <v>134.74</v>
      </c>
    </row>
    <row r="1498" spans="1:4" ht="13.5">
      <c r="A1498" s="37">
        <v>102697</v>
      </c>
      <c r="B1498" s="37" t="s">
        <v>16831</v>
      </c>
      <c r="C1498" s="37" t="s">
        <v>6</v>
      </c>
      <c r="D1498" s="326">
        <v>129.24</v>
      </c>
    </row>
    <row r="1499" spans="1:4" ht="13.5">
      <c r="A1499" s="37">
        <v>102703</v>
      </c>
      <c r="B1499" s="37" t="s">
        <v>16832</v>
      </c>
      <c r="C1499" s="37" t="s">
        <v>6</v>
      </c>
      <c r="D1499" s="326">
        <v>194.93</v>
      </c>
    </row>
    <row r="1500" spans="1:4" ht="13.5">
      <c r="A1500" s="37">
        <v>102704</v>
      </c>
      <c r="B1500" s="37" t="s">
        <v>7404</v>
      </c>
      <c r="C1500" s="37" t="s">
        <v>6</v>
      </c>
      <c r="D1500" s="326">
        <v>10.98</v>
      </c>
    </row>
    <row r="1501" spans="1:4" ht="13.5">
      <c r="A1501" s="37">
        <v>102705</v>
      </c>
      <c r="B1501" s="37" t="s">
        <v>16833</v>
      </c>
      <c r="C1501" s="37" t="s">
        <v>6</v>
      </c>
      <c r="D1501" s="326">
        <v>75.790000000000006</v>
      </c>
    </row>
    <row r="1502" spans="1:4" ht="13.5">
      <c r="A1502" s="37">
        <v>102707</v>
      </c>
      <c r="B1502" s="37" t="s">
        <v>7405</v>
      </c>
      <c r="C1502" s="37" t="s">
        <v>6</v>
      </c>
      <c r="D1502" s="326">
        <v>44.66</v>
      </c>
    </row>
    <row r="1503" spans="1:4" ht="13.5">
      <c r="A1503" s="37">
        <v>102708</v>
      </c>
      <c r="B1503" s="37" t="s">
        <v>7406</v>
      </c>
      <c r="C1503" s="37" t="s">
        <v>7</v>
      </c>
      <c r="D1503" s="326">
        <v>23.98</v>
      </c>
    </row>
    <row r="1504" spans="1:4" ht="13.5">
      <c r="A1504" s="37">
        <v>102710</v>
      </c>
      <c r="B1504" s="37" t="s">
        <v>7407</v>
      </c>
      <c r="C1504" s="37" t="s">
        <v>7</v>
      </c>
      <c r="D1504" s="326">
        <v>61.38</v>
      </c>
    </row>
    <row r="1505" spans="1:4" ht="13.5">
      <c r="A1505" s="37">
        <v>102711</v>
      </c>
      <c r="B1505" s="37" t="s">
        <v>7408</v>
      </c>
      <c r="C1505" s="37" t="s">
        <v>7</v>
      </c>
      <c r="D1505" s="326">
        <v>83.36</v>
      </c>
    </row>
    <row r="1506" spans="1:4" ht="13.5">
      <c r="A1506" s="37">
        <v>102712</v>
      </c>
      <c r="B1506" s="37" t="s">
        <v>7409</v>
      </c>
      <c r="C1506" s="37" t="s">
        <v>9</v>
      </c>
      <c r="D1506" s="326">
        <v>9.84</v>
      </c>
    </row>
    <row r="1507" spans="1:4" ht="13.5">
      <c r="A1507" s="37">
        <v>102713</v>
      </c>
      <c r="B1507" s="37" t="s">
        <v>7410</v>
      </c>
      <c r="C1507" s="37" t="s">
        <v>9</v>
      </c>
      <c r="D1507" s="326">
        <v>13.55</v>
      </c>
    </row>
    <row r="1508" spans="1:4" ht="13.5">
      <c r="A1508" s="37">
        <v>102715</v>
      </c>
      <c r="B1508" s="37" t="s">
        <v>7411</v>
      </c>
      <c r="C1508" s="37" t="s">
        <v>9</v>
      </c>
      <c r="D1508" s="326">
        <v>26.9</v>
      </c>
    </row>
    <row r="1509" spans="1:4" ht="13.5">
      <c r="A1509" s="37">
        <v>102716</v>
      </c>
      <c r="B1509" s="37" t="s">
        <v>7412</v>
      </c>
      <c r="C1509" s="37" t="s">
        <v>12</v>
      </c>
      <c r="D1509" s="326">
        <v>114.73</v>
      </c>
    </row>
    <row r="1510" spans="1:4" ht="13.5">
      <c r="A1510" s="37">
        <v>102717</v>
      </c>
      <c r="B1510" s="37" t="s">
        <v>7413</v>
      </c>
      <c r="C1510" s="37" t="s">
        <v>12</v>
      </c>
      <c r="D1510" s="326">
        <v>179.32</v>
      </c>
    </row>
    <row r="1511" spans="1:4" ht="13.5">
      <c r="A1511" s="37">
        <v>102718</v>
      </c>
      <c r="B1511" s="37" t="s">
        <v>7414</v>
      </c>
      <c r="C1511" s="37" t="s">
        <v>12</v>
      </c>
      <c r="D1511" s="326">
        <v>120.97</v>
      </c>
    </row>
    <row r="1512" spans="1:4" ht="13.5">
      <c r="A1512" s="37">
        <v>102719</v>
      </c>
      <c r="B1512" s="37" t="s">
        <v>7415</v>
      </c>
      <c r="C1512" s="37" t="s">
        <v>12</v>
      </c>
      <c r="D1512" s="326">
        <v>185.56</v>
      </c>
    </row>
    <row r="1513" spans="1:4" ht="13.5">
      <c r="A1513" s="37">
        <v>102722</v>
      </c>
      <c r="B1513" s="37" t="s">
        <v>7416</v>
      </c>
      <c r="C1513" s="37" t="s">
        <v>6</v>
      </c>
      <c r="D1513" s="326">
        <v>57.33</v>
      </c>
    </row>
    <row r="1514" spans="1:4" ht="13.5">
      <c r="A1514" s="37">
        <v>102723</v>
      </c>
      <c r="B1514" s="37" t="s">
        <v>16834</v>
      </c>
      <c r="C1514" s="37" t="s">
        <v>6</v>
      </c>
      <c r="D1514" s="326">
        <v>122.14</v>
      </c>
    </row>
    <row r="1515" spans="1:4" ht="13.5">
      <c r="A1515" s="37">
        <v>102724</v>
      </c>
      <c r="B1515" s="37" t="s">
        <v>7417</v>
      </c>
      <c r="C1515" s="37" t="s">
        <v>7</v>
      </c>
      <c r="D1515" s="326">
        <v>32.020000000000003</v>
      </c>
    </row>
    <row r="1516" spans="1:4" ht="13.5">
      <c r="A1516" s="37">
        <v>102725</v>
      </c>
      <c r="B1516" s="37" t="s">
        <v>7418</v>
      </c>
      <c r="C1516" s="37" t="s">
        <v>7</v>
      </c>
      <c r="D1516" s="326">
        <v>31.29</v>
      </c>
    </row>
    <row r="1517" spans="1:4" ht="13.5">
      <c r="A1517" s="37">
        <v>102726</v>
      </c>
      <c r="B1517" s="37" t="s">
        <v>7419</v>
      </c>
      <c r="C1517" s="37" t="s">
        <v>7</v>
      </c>
      <c r="D1517" s="326">
        <v>28.96</v>
      </c>
    </row>
    <row r="1518" spans="1:4" ht="13.5">
      <c r="A1518" s="37">
        <v>103653</v>
      </c>
      <c r="B1518" s="37" t="s">
        <v>15336</v>
      </c>
      <c r="C1518" s="37" t="s">
        <v>9</v>
      </c>
      <c r="D1518" s="326">
        <v>32.159999999999997</v>
      </c>
    </row>
    <row r="1519" spans="1:4" ht="13.5">
      <c r="A1519" s="37">
        <v>92743</v>
      </c>
      <c r="B1519" s="37" t="s">
        <v>3381</v>
      </c>
      <c r="C1519" s="37" t="s">
        <v>12</v>
      </c>
      <c r="D1519" s="326">
        <v>725.5</v>
      </c>
    </row>
    <row r="1520" spans="1:4" ht="13.5">
      <c r="A1520" s="37">
        <v>92744</v>
      </c>
      <c r="B1520" s="37" t="s">
        <v>3382</v>
      </c>
      <c r="C1520" s="37" t="s">
        <v>12</v>
      </c>
      <c r="D1520" s="326">
        <v>698.77</v>
      </c>
    </row>
    <row r="1521" spans="1:4" ht="13.5">
      <c r="A1521" s="37">
        <v>92745</v>
      </c>
      <c r="B1521" s="37" t="s">
        <v>3383</v>
      </c>
      <c r="C1521" s="37" t="s">
        <v>12</v>
      </c>
      <c r="D1521" s="326">
        <v>888.94</v>
      </c>
    </row>
    <row r="1522" spans="1:4" ht="13.5">
      <c r="A1522" s="37">
        <v>92746</v>
      </c>
      <c r="B1522" s="37" t="s">
        <v>3384</v>
      </c>
      <c r="C1522" s="37" t="s">
        <v>12</v>
      </c>
      <c r="D1522" s="326">
        <v>819.59</v>
      </c>
    </row>
    <row r="1523" spans="1:4" ht="13.5">
      <c r="A1523" s="37">
        <v>92747</v>
      </c>
      <c r="B1523" s="37" t="s">
        <v>3385</v>
      </c>
      <c r="C1523" s="37" t="s">
        <v>12</v>
      </c>
      <c r="D1523" s="326">
        <v>981.91</v>
      </c>
    </row>
    <row r="1524" spans="1:4" ht="13.5">
      <c r="A1524" s="37">
        <v>92748</v>
      </c>
      <c r="B1524" s="37" t="s">
        <v>3386</v>
      </c>
      <c r="C1524" s="37" t="s">
        <v>12</v>
      </c>
      <c r="D1524" s="326">
        <v>888.7</v>
      </c>
    </row>
    <row r="1525" spans="1:4" ht="13.5">
      <c r="A1525" s="37">
        <v>92749</v>
      </c>
      <c r="B1525" s="37" t="s">
        <v>3387</v>
      </c>
      <c r="C1525" s="37" t="s">
        <v>12</v>
      </c>
      <c r="D1525" s="38">
        <v>1019.08</v>
      </c>
    </row>
    <row r="1526" spans="1:4" ht="13.5">
      <c r="A1526" s="37">
        <v>92750</v>
      </c>
      <c r="B1526" s="37" t="s">
        <v>3388</v>
      </c>
      <c r="C1526" s="37" t="s">
        <v>12</v>
      </c>
      <c r="D1526" s="38">
        <v>1720.06</v>
      </c>
    </row>
    <row r="1527" spans="1:4" ht="13.5">
      <c r="A1527" s="37">
        <v>92751</v>
      </c>
      <c r="B1527" s="37" t="s">
        <v>3389</v>
      </c>
      <c r="C1527" s="37" t="s">
        <v>12</v>
      </c>
      <c r="D1527" s="38">
        <v>2127.35</v>
      </c>
    </row>
    <row r="1528" spans="1:4" ht="13.5">
      <c r="A1528" s="37">
        <v>92752</v>
      </c>
      <c r="B1528" s="37" t="s">
        <v>3390</v>
      </c>
      <c r="C1528" s="37" t="s">
        <v>12</v>
      </c>
      <c r="D1528" s="38">
        <v>2533.0700000000002</v>
      </c>
    </row>
    <row r="1529" spans="1:4" ht="13.5">
      <c r="A1529" s="37">
        <v>92753</v>
      </c>
      <c r="B1529" s="37" t="s">
        <v>3391</v>
      </c>
      <c r="C1529" s="37" t="s">
        <v>12</v>
      </c>
      <c r="D1529" s="326">
        <v>658.83</v>
      </c>
    </row>
    <row r="1530" spans="1:4" ht="13.5">
      <c r="A1530" s="37">
        <v>92754</v>
      </c>
      <c r="B1530" s="37" t="s">
        <v>3392</v>
      </c>
      <c r="C1530" s="37" t="s">
        <v>12</v>
      </c>
      <c r="D1530" s="326">
        <v>603.09</v>
      </c>
    </row>
    <row r="1531" spans="1:4" ht="13.5">
      <c r="A1531" s="37">
        <v>92755</v>
      </c>
      <c r="B1531" s="37" t="s">
        <v>3393</v>
      </c>
      <c r="C1531" s="37" t="s">
        <v>9</v>
      </c>
      <c r="D1531" s="326">
        <v>257.44</v>
      </c>
    </row>
    <row r="1532" spans="1:4" ht="13.5">
      <c r="A1532" s="37">
        <v>92756</v>
      </c>
      <c r="B1532" s="37" t="s">
        <v>3394</v>
      </c>
      <c r="C1532" s="37" t="s">
        <v>9</v>
      </c>
      <c r="D1532" s="326">
        <v>293.72000000000003</v>
      </c>
    </row>
    <row r="1533" spans="1:4" ht="13.5">
      <c r="A1533" s="37">
        <v>92757</v>
      </c>
      <c r="B1533" s="37" t="s">
        <v>3395</v>
      </c>
      <c r="C1533" s="37" t="s">
        <v>9</v>
      </c>
      <c r="D1533" s="326">
        <v>337.69</v>
      </c>
    </row>
    <row r="1534" spans="1:4" ht="13.5">
      <c r="A1534" s="37">
        <v>92758</v>
      </c>
      <c r="B1534" s="37" t="s">
        <v>3396</v>
      </c>
      <c r="C1534" s="37" t="s">
        <v>12</v>
      </c>
      <c r="D1534" s="326">
        <v>809.39</v>
      </c>
    </row>
    <row r="1535" spans="1:4" ht="13.5">
      <c r="A1535" s="37">
        <v>91069</v>
      </c>
      <c r="B1535" s="37" t="s">
        <v>3397</v>
      </c>
      <c r="C1535" s="37" t="s">
        <v>9</v>
      </c>
      <c r="D1535" s="326">
        <v>123.32</v>
      </c>
    </row>
    <row r="1536" spans="1:4" ht="13.5">
      <c r="A1536" s="37">
        <v>91070</v>
      </c>
      <c r="B1536" s="37" t="s">
        <v>3398</v>
      </c>
      <c r="C1536" s="37" t="s">
        <v>9</v>
      </c>
      <c r="D1536" s="326">
        <v>136.61000000000001</v>
      </c>
    </row>
    <row r="1537" spans="1:4" ht="13.5">
      <c r="A1537" s="37">
        <v>91071</v>
      </c>
      <c r="B1537" s="37" t="s">
        <v>3399</v>
      </c>
      <c r="C1537" s="37" t="s">
        <v>9</v>
      </c>
      <c r="D1537" s="326">
        <v>170.52</v>
      </c>
    </row>
    <row r="1538" spans="1:4" ht="13.5">
      <c r="A1538" s="37">
        <v>91072</v>
      </c>
      <c r="B1538" s="37" t="s">
        <v>3400</v>
      </c>
      <c r="C1538" s="37" t="s">
        <v>9</v>
      </c>
      <c r="D1538" s="326">
        <v>183.7</v>
      </c>
    </row>
    <row r="1539" spans="1:4" ht="13.5">
      <c r="A1539" s="37">
        <v>91073</v>
      </c>
      <c r="B1539" s="37" t="s">
        <v>3401</v>
      </c>
      <c r="C1539" s="37" t="s">
        <v>9</v>
      </c>
      <c r="D1539" s="326">
        <v>139.43</v>
      </c>
    </row>
    <row r="1540" spans="1:4" ht="13.5">
      <c r="A1540" s="37">
        <v>91074</v>
      </c>
      <c r="B1540" s="37" t="s">
        <v>3402</v>
      </c>
      <c r="C1540" s="37" t="s">
        <v>9</v>
      </c>
      <c r="D1540" s="326">
        <v>154.38999999999999</v>
      </c>
    </row>
    <row r="1541" spans="1:4" ht="13.5">
      <c r="A1541" s="37">
        <v>91075</v>
      </c>
      <c r="B1541" s="37" t="s">
        <v>3403</v>
      </c>
      <c r="C1541" s="37" t="s">
        <v>9</v>
      </c>
      <c r="D1541" s="326">
        <v>188.51</v>
      </c>
    </row>
    <row r="1542" spans="1:4" ht="13.5">
      <c r="A1542" s="37">
        <v>91076</v>
      </c>
      <c r="B1542" s="37" t="s">
        <v>3404</v>
      </c>
      <c r="C1542" s="37" t="s">
        <v>9</v>
      </c>
      <c r="D1542" s="326">
        <v>203.43</v>
      </c>
    </row>
    <row r="1543" spans="1:4" ht="13.5">
      <c r="A1543" s="37">
        <v>91077</v>
      </c>
      <c r="B1543" s="37" t="s">
        <v>3405</v>
      </c>
      <c r="C1543" s="37" t="s">
        <v>9</v>
      </c>
      <c r="D1543" s="326">
        <v>127.45</v>
      </c>
    </row>
    <row r="1544" spans="1:4" ht="13.5">
      <c r="A1544" s="37">
        <v>91078</v>
      </c>
      <c r="B1544" s="37" t="s">
        <v>3406</v>
      </c>
      <c r="C1544" s="37" t="s">
        <v>9</v>
      </c>
      <c r="D1544" s="326">
        <v>149.13999999999999</v>
      </c>
    </row>
    <row r="1545" spans="1:4" ht="13.5">
      <c r="A1545" s="37">
        <v>91079</v>
      </c>
      <c r="B1545" s="37" t="s">
        <v>3407</v>
      </c>
      <c r="C1545" s="37" t="s">
        <v>9</v>
      </c>
      <c r="D1545" s="326">
        <v>133.79</v>
      </c>
    </row>
    <row r="1546" spans="1:4" ht="13.5">
      <c r="A1546" s="37">
        <v>91080</v>
      </c>
      <c r="B1546" s="37" t="s">
        <v>3408</v>
      </c>
      <c r="C1546" s="37" t="s">
        <v>9</v>
      </c>
      <c r="D1546" s="326">
        <v>155.19</v>
      </c>
    </row>
    <row r="1547" spans="1:4" ht="13.5">
      <c r="A1547" s="37">
        <v>91081</v>
      </c>
      <c r="B1547" s="37" t="s">
        <v>3409</v>
      </c>
      <c r="C1547" s="37" t="s">
        <v>9</v>
      </c>
      <c r="D1547" s="326">
        <v>145.72</v>
      </c>
    </row>
    <row r="1548" spans="1:4" ht="13.5">
      <c r="A1548" s="37">
        <v>91082</v>
      </c>
      <c r="B1548" s="37" t="s">
        <v>3410</v>
      </c>
      <c r="C1548" s="37" t="s">
        <v>9</v>
      </c>
      <c r="D1548" s="326">
        <v>168.89</v>
      </c>
    </row>
    <row r="1549" spans="1:4" ht="13.5">
      <c r="A1549" s="37">
        <v>91083</v>
      </c>
      <c r="B1549" s="37" t="s">
        <v>3411</v>
      </c>
      <c r="C1549" s="37" t="s">
        <v>9</v>
      </c>
      <c r="D1549" s="326">
        <v>156.72</v>
      </c>
    </row>
    <row r="1550" spans="1:4" ht="13.5">
      <c r="A1550" s="37">
        <v>91084</v>
      </c>
      <c r="B1550" s="37" t="s">
        <v>3412</v>
      </c>
      <c r="C1550" s="37" t="s">
        <v>9</v>
      </c>
      <c r="D1550" s="326">
        <v>179.54</v>
      </c>
    </row>
    <row r="1551" spans="1:4" ht="13.5">
      <c r="A1551" s="37">
        <v>91086</v>
      </c>
      <c r="B1551" s="37" t="s">
        <v>3413</v>
      </c>
      <c r="C1551" s="37" t="s">
        <v>9</v>
      </c>
      <c r="D1551" s="326">
        <v>136.06</v>
      </c>
    </row>
    <row r="1552" spans="1:4" ht="13.5">
      <c r="A1552" s="37">
        <v>91087</v>
      </c>
      <c r="B1552" s="37" t="s">
        <v>3414</v>
      </c>
      <c r="C1552" s="37" t="s">
        <v>9</v>
      </c>
      <c r="D1552" s="326">
        <v>149.74</v>
      </c>
    </row>
    <row r="1553" spans="1:4" ht="13.5">
      <c r="A1553" s="37">
        <v>91088</v>
      </c>
      <c r="B1553" s="37" t="s">
        <v>3415</v>
      </c>
      <c r="C1553" s="37" t="s">
        <v>9</v>
      </c>
      <c r="D1553" s="326">
        <v>184.67</v>
      </c>
    </row>
    <row r="1554" spans="1:4" ht="13.5">
      <c r="A1554" s="37">
        <v>91089</v>
      </c>
      <c r="B1554" s="37" t="s">
        <v>3416</v>
      </c>
      <c r="C1554" s="37" t="s">
        <v>9</v>
      </c>
      <c r="D1554" s="326">
        <v>198.46</v>
      </c>
    </row>
    <row r="1555" spans="1:4" ht="13.5">
      <c r="A1555" s="37">
        <v>91090</v>
      </c>
      <c r="B1555" s="37" t="s">
        <v>3417</v>
      </c>
      <c r="C1555" s="37" t="s">
        <v>9</v>
      </c>
      <c r="D1555" s="326">
        <v>149.63</v>
      </c>
    </row>
    <row r="1556" spans="1:4" ht="13.5">
      <c r="A1556" s="37">
        <v>91091</v>
      </c>
      <c r="B1556" s="37" t="s">
        <v>3418</v>
      </c>
      <c r="C1556" s="37" t="s">
        <v>9</v>
      </c>
      <c r="D1556" s="326">
        <v>165.19</v>
      </c>
    </row>
    <row r="1557" spans="1:4" ht="13.5">
      <c r="A1557" s="37">
        <v>91092</v>
      </c>
      <c r="B1557" s="37" t="s">
        <v>3419</v>
      </c>
      <c r="C1557" s="37" t="s">
        <v>9</v>
      </c>
      <c r="D1557" s="326">
        <v>199.61</v>
      </c>
    </row>
    <row r="1558" spans="1:4" ht="13.5">
      <c r="A1558" s="37">
        <v>91093</v>
      </c>
      <c r="B1558" s="37" t="s">
        <v>3420</v>
      </c>
      <c r="C1558" s="37" t="s">
        <v>9</v>
      </c>
      <c r="D1558" s="326">
        <v>215.45</v>
      </c>
    </row>
    <row r="1559" spans="1:4" ht="13.5">
      <c r="A1559" s="37">
        <v>91094</v>
      </c>
      <c r="B1559" s="37" t="s">
        <v>3421</v>
      </c>
      <c r="C1559" s="37" t="s">
        <v>9</v>
      </c>
      <c r="D1559" s="326">
        <v>135.16</v>
      </c>
    </row>
    <row r="1560" spans="1:4" ht="13.5">
      <c r="A1560" s="37">
        <v>91095</v>
      </c>
      <c r="B1560" s="37" t="s">
        <v>3422</v>
      </c>
      <c r="C1560" s="37" t="s">
        <v>9</v>
      </c>
      <c r="D1560" s="326">
        <v>157.33000000000001</v>
      </c>
    </row>
    <row r="1561" spans="1:4" ht="13.5">
      <c r="A1561" s="37">
        <v>91096</v>
      </c>
      <c r="B1561" s="37" t="s">
        <v>3423</v>
      </c>
      <c r="C1561" s="37" t="s">
        <v>9</v>
      </c>
      <c r="D1561" s="326">
        <v>137.87</v>
      </c>
    </row>
    <row r="1562" spans="1:4" ht="13.5">
      <c r="A1562" s="37">
        <v>91097</v>
      </c>
      <c r="B1562" s="37" t="s">
        <v>3424</v>
      </c>
      <c r="C1562" s="37" t="s">
        <v>9</v>
      </c>
      <c r="D1562" s="326">
        <v>159.81</v>
      </c>
    </row>
    <row r="1563" spans="1:4" ht="13.5">
      <c r="A1563" s="37">
        <v>91098</v>
      </c>
      <c r="B1563" s="37" t="s">
        <v>3425</v>
      </c>
      <c r="C1563" s="37" t="s">
        <v>9</v>
      </c>
      <c r="D1563" s="326">
        <v>153.09</v>
      </c>
    </row>
    <row r="1564" spans="1:4" ht="13.5">
      <c r="A1564" s="37">
        <v>91099</v>
      </c>
      <c r="B1564" s="37" t="s">
        <v>3426</v>
      </c>
      <c r="C1564" s="37" t="s">
        <v>9</v>
      </c>
      <c r="D1564" s="326">
        <v>176.86</v>
      </c>
    </row>
    <row r="1565" spans="1:4" ht="13.5">
      <c r="A1565" s="37">
        <v>91100</v>
      </c>
      <c r="B1565" s="37" t="s">
        <v>3427</v>
      </c>
      <c r="C1565" s="37" t="s">
        <v>9</v>
      </c>
      <c r="D1565" s="326">
        <v>161.44999999999999</v>
      </c>
    </row>
    <row r="1566" spans="1:4" ht="13.5">
      <c r="A1566" s="37">
        <v>91101</v>
      </c>
      <c r="B1566" s="37" t="s">
        <v>3428</v>
      </c>
      <c r="C1566" s="37" t="s">
        <v>9</v>
      </c>
      <c r="D1566" s="326">
        <v>185.03</v>
      </c>
    </row>
    <row r="1567" spans="1:4" ht="13.5">
      <c r="A1567" s="37">
        <v>93952</v>
      </c>
      <c r="B1567" s="37" t="s">
        <v>3429</v>
      </c>
      <c r="C1567" s="37" t="s">
        <v>6</v>
      </c>
      <c r="D1567" s="326">
        <v>238.04</v>
      </c>
    </row>
    <row r="1568" spans="1:4" ht="13.5">
      <c r="A1568" s="37">
        <v>93953</v>
      </c>
      <c r="B1568" s="37" t="s">
        <v>3430</v>
      </c>
      <c r="C1568" s="37" t="s">
        <v>6</v>
      </c>
      <c r="D1568" s="326">
        <v>220.93</v>
      </c>
    </row>
    <row r="1569" spans="1:4" ht="13.5">
      <c r="A1569" s="37">
        <v>93954</v>
      </c>
      <c r="B1569" s="37" t="s">
        <v>3431</v>
      </c>
      <c r="C1569" s="37" t="s">
        <v>6</v>
      </c>
      <c r="D1569" s="326">
        <v>210.68</v>
      </c>
    </row>
    <row r="1570" spans="1:4" ht="13.5">
      <c r="A1570" s="37">
        <v>93955</v>
      </c>
      <c r="B1570" s="37" t="s">
        <v>3432</v>
      </c>
      <c r="C1570" s="37" t="s">
        <v>6</v>
      </c>
      <c r="D1570" s="326">
        <v>203.42</v>
      </c>
    </row>
    <row r="1571" spans="1:4" ht="13.5">
      <c r="A1571" s="37">
        <v>93956</v>
      </c>
      <c r="B1571" s="37" t="s">
        <v>3433</v>
      </c>
      <c r="C1571" s="37" t="s">
        <v>6</v>
      </c>
      <c r="D1571" s="326">
        <v>197.65</v>
      </c>
    </row>
    <row r="1572" spans="1:4" ht="13.5">
      <c r="A1572" s="37">
        <v>93957</v>
      </c>
      <c r="B1572" s="37" t="s">
        <v>3434</v>
      </c>
      <c r="C1572" s="37" t="s">
        <v>6</v>
      </c>
      <c r="D1572" s="326">
        <v>254.96</v>
      </c>
    </row>
    <row r="1573" spans="1:4" ht="13.5">
      <c r="A1573" s="37">
        <v>93958</v>
      </c>
      <c r="B1573" s="37" t="s">
        <v>3435</v>
      </c>
      <c r="C1573" s="37" t="s">
        <v>6</v>
      </c>
      <c r="D1573" s="326">
        <v>236.85</v>
      </c>
    </row>
    <row r="1574" spans="1:4" ht="13.5">
      <c r="A1574" s="37">
        <v>93959</v>
      </c>
      <c r="B1574" s="37" t="s">
        <v>3436</v>
      </c>
      <c r="C1574" s="37" t="s">
        <v>6</v>
      </c>
      <c r="D1574" s="326">
        <v>226.07</v>
      </c>
    </row>
    <row r="1575" spans="1:4" ht="13.5">
      <c r="A1575" s="37">
        <v>93960</v>
      </c>
      <c r="B1575" s="37" t="s">
        <v>3437</v>
      </c>
      <c r="C1575" s="37" t="s">
        <v>6</v>
      </c>
      <c r="D1575" s="326">
        <v>218.48</v>
      </c>
    </row>
    <row r="1576" spans="1:4" ht="13.5">
      <c r="A1576" s="37">
        <v>93961</v>
      </c>
      <c r="B1576" s="37" t="s">
        <v>3438</v>
      </c>
      <c r="C1576" s="37" t="s">
        <v>6</v>
      </c>
      <c r="D1576" s="326">
        <v>212.5</v>
      </c>
    </row>
    <row r="1577" spans="1:4" ht="13.5">
      <c r="A1577" s="37">
        <v>93962</v>
      </c>
      <c r="B1577" s="37" t="s">
        <v>3439</v>
      </c>
      <c r="C1577" s="37" t="s">
        <v>6</v>
      </c>
      <c r="D1577" s="326">
        <v>224.35</v>
      </c>
    </row>
    <row r="1578" spans="1:4" ht="13.5">
      <c r="A1578" s="37">
        <v>93963</v>
      </c>
      <c r="B1578" s="37" t="s">
        <v>3440</v>
      </c>
      <c r="C1578" s="37" t="s">
        <v>6</v>
      </c>
      <c r="D1578" s="326">
        <v>207.29</v>
      </c>
    </row>
    <row r="1579" spans="1:4" ht="13.5">
      <c r="A1579" s="37">
        <v>93964</v>
      </c>
      <c r="B1579" s="37" t="s">
        <v>3441</v>
      </c>
      <c r="C1579" s="37" t="s">
        <v>6</v>
      </c>
      <c r="D1579" s="326">
        <v>197.11</v>
      </c>
    </row>
    <row r="1580" spans="1:4" ht="13.5">
      <c r="A1580" s="37">
        <v>93965</v>
      </c>
      <c r="B1580" s="37" t="s">
        <v>3442</v>
      </c>
      <c r="C1580" s="37" t="s">
        <v>6</v>
      </c>
      <c r="D1580" s="326">
        <v>186.65</v>
      </c>
    </row>
    <row r="1581" spans="1:4" ht="13.5">
      <c r="A1581" s="37">
        <v>93966</v>
      </c>
      <c r="B1581" s="37" t="s">
        <v>3443</v>
      </c>
      <c r="C1581" s="37" t="s">
        <v>6</v>
      </c>
      <c r="D1581" s="326">
        <v>184.18</v>
      </c>
    </row>
    <row r="1582" spans="1:4" ht="13.5">
      <c r="A1582" s="37">
        <v>93967</v>
      </c>
      <c r="B1582" s="37" t="s">
        <v>3444</v>
      </c>
      <c r="C1582" s="37" t="s">
        <v>6</v>
      </c>
      <c r="D1582" s="326">
        <v>241.29</v>
      </c>
    </row>
    <row r="1583" spans="1:4" ht="13.5">
      <c r="A1583" s="37">
        <v>93968</v>
      </c>
      <c r="B1583" s="37" t="s">
        <v>3445</v>
      </c>
      <c r="C1583" s="37" t="s">
        <v>6</v>
      </c>
      <c r="D1583" s="326">
        <v>223.21</v>
      </c>
    </row>
    <row r="1584" spans="1:4" ht="13.5">
      <c r="A1584" s="37">
        <v>93969</v>
      </c>
      <c r="B1584" s="37" t="s">
        <v>3446</v>
      </c>
      <c r="C1584" s="37" t="s">
        <v>6</v>
      </c>
      <c r="D1584" s="326">
        <v>212.48</v>
      </c>
    </row>
    <row r="1585" spans="1:4" ht="13.5">
      <c r="A1585" s="37">
        <v>93970</v>
      </c>
      <c r="B1585" s="37" t="s">
        <v>3447</v>
      </c>
      <c r="C1585" s="37" t="s">
        <v>6</v>
      </c>
      <c r="D1585" s="326">
        <v>204.95</v>
      </c>
    </row>
    <row r="1586" spans="1:4" ht="13.5">
      <c r="A1586" s="37">
        <v>93971</v>
      </c>
      <c r="B1586" s="37" t="s">
        <v>3448</v>
      </c>
      <c r="C1586" s="37" t="s">
        <v>6</v>
      </c>
      <c r="D1586" s="326">
        <v>192.7</v>
      </c>
    </row>
    <row r="1587" spans="1:4" ht="13.5">
      <c r="A1587" s="37">
        <v>95108</v>
      </c>
      <c r="B1587" s="37" t="s">
        <v>16835</v>
      </c>
      <c r="C1587" s="37" t="s">
        <v>7</v>
      </c>
      <c r="D1587" s="326">
        <v>34.94</v>
      </c>
    </row>
    <row r="1588" spans="1:4" ht="13.5">
      <c r="A1588" s="37">
        <v>100332</v>
      </c>
      <c r="B1588" s="37" t="s">
        <v>3450</v>
      </c>
      <c r="C1588" s="37" t="s">
        <v>9</v>
      </c>
      <c r="D1588" s="326">
        <v>777.49</v>
      </c>
    </row>
    <row r="1589" spans="1:4" ht="13.5">
      <c r="A1589" s="37">
        <v>100333</v>
      </c>
      <c r="B1589" s="37" t="s">
        <v>3451</v>
      </c>
      <c r="C1589" s="37" t="s">
        <v>9</v>
      </c>
      <c r="D1589" s="326">
        <v>485.26</v>
      </c>
    </row>
    <row r="1590" spans="1:4" ht="13.5">
      <c r="A1590" s="37">
        <v>100334</v>
      </c>
      <c r="B1590" s="37" t="s">
        <v>3452</v>
      </c>
      <c r="C1590" s="37" t="s">
        <v>9</v>
      </c>
      <c r="D1590" s="326">
        <v>618.69000000000005</v>
      </c>
    </row>
    <row r="1591" spans="1:4" ht="13.5">
      <c r="A1591" s="37">
        <v>100335</v>
      </c>
      <c r="B1591" s="37" t="s">
        <v>3453</v>
      </c>
      <c r="C1591" s="37" t="s">
        <v>9</v>
      </c>
      <c r="D1591" s="326">
        <v>399.52</v>
      </c>
    </row>
    <row r="1592" spans="1:4" ht="13.5">
      <c r="A1592" s="37">
        <v>100341</v>
      </c>
      <c r="B1592" s="37" t="s">
        <v>3455</v>
      </c>
      <c r="C1592" s="37" t="s">
        <v>9</v>
      </c>
      <c r="D1592" s="326">
        <v>40.44</v>
      </c>
    </row>
    <row r="1593" spans="1:4" ht="13.5">
      <c r="A1593" s="37">
        <v>100342</v>
      </c>
      <c r="B1593" s="37" t="s">
        <v>3456</v>
      </c>
      <c r="C1593" s="37" t="s">
        <v>8</v>
      </c>
      <c r="D1593" s="326">
        <v>17.3</v>
      </c>
    </row>
    <row r="1594" spans="1:4" ht="13.5">
      <c r="A1594" s="37">
        <v>100343</v>
      </c>
      <c r="B1594" s="37" t="s">
        <v>3457</v>
      </c>
      <c r="C1594" s="37" t="s">
        <v>8</v>
      </c>
      <c r="D1594" s="326">
        <v>16.59</v>
      </c>
    </row>
    <row r="1595" spans="1:4" ht="13.5">
      <c r="A1595" s="37">
        <v>100344</v>
      </c>
      <c r="B1595" s="37" t="s">
        <v>3458</v>
      </c>
      <c r="C1595" s="37" t="s">
        <v>8</v>
      </c>
      <c r="D1595" s="326">
        <v>15</v>
      </c>
    </row>
    <row r="1596" spans="1:4" ht="13.5">
      <c r="A1596" s="37">
        <v>100345</v>
      </c>
      <c r="B1596" s="37" t="s">
        <v>3459</v>
      </c>
      <c r="C1596" s="37" t="s">
        <v>8</v>
      </c>
      <c r="D1596" s="326">
        <v>12.77</v>
      </c>
    </row>
    <row r="1597" spans="1:4" ht="13.5">
      <c r="A1597" s="37">
        <v>100346</v>
      </c>
      <c r="B1597" s="37" t="s">
        <v>3460</v>
      </c>
      <c r="C1597" s="37" t="s">
        <v>8</v>
      </c>
      <c r="D1597" s="326">
        <v>12.24</v>
      </c>
    </row>
    <row r="1598" spans="1:4" ht="13.5">
      <c r="A1598" s="37">
        <v>100347</v>
      </c>
      <c r="B1598" s="37" t="s">
        <v>3461</v>
      </c>
      <c r="C1598" s="37" t="s">
        <v>8</v>
      </c>
      <c r="D1598" s="326">
        <v>13.86</v>
      </c>
    </row>
    <row r="1599" spans="1:4" ht="13.5">
      <c r="A1599" s="37">
        <v>100348</v>
      </c>
      <c r="B1599" s="37" t="s">
        <v>3462</v>
      </c>
      <c r="C1599" s="37" t="s">
        <v>8</v>
      </c>
      <c r="D1599" s="326">
        <v>13.61</v>
      </c>
    </row>
    <row r="1600" spans="1:4" ht="13.5">
      <c r="A1600" s="37">
        <v>100349</v>
      </c>
      <c r="B1600" s="37" t="s">
        <v>3463</v>
      </c>
      <c r="C1600" s="37" t="s">
        <v>12</v>
      </c>
      <c r="D1600" s="326">
        <v>688.91</v>
      </c>
    </row>
    <row r="1601" spans="1:4" ht="13.5">
      <c r="A1601" s="37">
        <v>104841</v>
      </c>
      <c r="B1601" s="37" t="s">
        <v>16836</v>
      </c>
      <c r="C1601" s="37" t="s">
        <v>6</v>
      </c>
      <c r="D1601" s="326">
        <v>79.989999999999995</v>
      </c>
    </row>
    <row r="1602" spans="1:4" ht="13.5">
      <c r="A1602" s="37">
        <v>104842</v>
      </c>
      <c r="B1602" s="37" t="s">
        <v>16837</v>
      </c>
      <c r="C1602" s="37" t="s">
        <v>6</v>
      </c>
      <c r="D1602" s="326">
        <v>68.209999999999994</v>
      </c>
    </row>
    <row r="1603" spans="1:4" ht="13.5">
      <c r="A1603" s="37">
        <v>104843</v>
      </c>
      <c r="B1603" s="37" t="s">
        <v>16838</v>
      </c>
      <c r="C1603" s="37" t="s">
        <v>6</v>
      </c>
      <c r="D1603" s="326">
        <v>110.12</v>
      </c>
    </row>
    <row r="1604" spans="1:4" ht="13.5">
      <c r="A1604" s="37">
        <v>104844</v>
      </c>
      <c r="B1604" s="37" t="s">
        <v>16839</v>
      </c>
      <c r="C1604" s="37" t="s">
        <v>6</v>
      </c>
      <c r="D1604" s="326">
        <v>88.39</v>
      </c>
    </row>
    <row r="1605" spans="1:4" ht="13.5">
      <c r="A1605" s="37">
        <v>104845</v>
      </c>
      <c r="B1605" s="37" t="s">
        <v>16840</v>
      </c>
      <c r="C1605" s="37" t="s">
        <v>6</v>
      </c>
      <c r="D1605" s="326">
        <v>125.66</v>
      </c>
    </row>
    <row r="1606" spans="1:4" ht="13.5">
      <c r="A1606" s="37">
        <v>104846</v>
      </c>
      <c r="B1606" s="37" t="s">
        <v>16841</v>
      </c>
      <c r="C1606" s="37" t="s">
        <v>6</v>
      </c>
      <c r="D1606" s="326">
        <v>100.88</v>
      </c>
    </row>
    <row r="1607" spans="1:4" ht="13.5">
      <c r="A1607" s="37">
        <v>104847</v>
      </c>
      <c r="B1607" s="37" t="s">
        <v>16842</v>
      </c>
      <c r="C1607" s="37" t="s">
        <v>6</v>
      </c>
      <c r="D1607" s="326">
        <v>85.61</v>
      </c>
    </row>
    <row r="1608" spans="1:4" ht="13.5">
      <c r="A1608" s="37">
        <v>104848</v>
      </c>
      <c r="B1608" s="37" t="s">
        <v>16843</v>
      </c>
      <c r="C1608" s="37" t="s">
        <v>6</v>
      </c>
      <c r="D1608" s="326">
        <v>63.87</v>
      </c>
    </row>
    <row r="1609" spans="1:4" ht="13.5">
      <c r="A1609" s="37">
        <v>104849</v>
      </c>
      <c r="B1609" s="37" t="s">
        <v>16844</v>
      </c>
      <c r="C1609" s="37" t="s">
        <v>6</v>
      </c>
      <c r="D1609" s="326">
        <v>54.75</v>
      </c>
    </row>
    <row r="1610" spans="1:4" ht="13.5">
      <c r="A1610" s="37">
        <v>104850</v>
      </c>
      <c r="B1610" s="37" t="s">
        <v>16845</v>
      </c>
      <c r="C1610" s="37" t="s">
        <v>6</v>
      </c>
      <c r="D1610" s="326">
        <v>48.65</v>
      </c>
    </row>
    <row r="1611" spans="1:4" ht="13.5">
      <c r="A1611" s="37">
        <v>104851</v>
      </c>
      <c r="B1611" s="37" t="s">
        <v>16846</v>
      </c>
      <c r="C1611" s="37" t="s">
        <v>6</v>
      </c>
      <c r="D1611" s="326">
        <v>70.91</v>
      </c>
    </row>
    <row r="1612" spans="1:4" ht="13.5">
      <c r="A1612" s="37">
        <v>104852</v>
      </c>
      <c r="B1612" s="37" t="s">
        <v>16847</v>
      </c>
      <c r="C1612" s="37" t="s">
        <v>6</v>
      </c>
      <c r="D1612" s="326">
        <v>60.4</v>
      </c>
    </row>
    <row r="1613" spans="1:4" ht="13.5">
      <c r="A1613" s="37">
        <v>104853</v>
      </c>
      <c r="B1613" s="37" t="s">
        <v>16848</v>
      </c>
      <c r="C1613" s="37" t="s">
        <v>6</v>
      </c>
      <c r="D1613" s="326">
        <v>53.38</v>
      </c>
    </row>
    <row r="1614" spans="1:4" ht="13.5">
      <c r="A1614" s="37">
        <v>104854</v>
      </c>
      <c r="B1614" s="37" t="s">
        <v>16849</v>
      </c>
      <c r="C1614" s="37" t="s">
        <v>6</v>
      </c>
      <c r="D1614" s="326">
        <v>68.790000000000006</v>
      </c>
    </row>
    <row r="1615" spans="1:4" ht="13.5">
      <c r="A1615" s="37">
        <v>104855</v>
      </c>
      <c r="B1615" s="37" t="s">
        <v>16850</v>
      </c>
      <c r="C1615" s="37" t="s">
        <v>6</v>
      </c>
      <c r="D1615" s="326">
        <v>60.34</v>
      </c>
    </row>
    <row r="1616" spans="1:4" ht="13.5">
      <c r="A1616" s="37">
        <v>104876</v>
      </c>
      <c r="B1616" s="37" t="s">
        <v>16851</v>
      </c>
      <c r="C1616" s="37" t="s">
        <v>7</v>
      </c>
      <c r="D1616" s="326">
        <v>22.03</v>
      </c>
    </row>
    <row r="1617" spans="1:4" ht="13.5">
      <c r="A1617" s="37">
        <v>104877</v>
      </c>
      <c r="B1617" s="37" t="s">
        <v>16852</v>
      </c>
      <c r="C1617" s="37" t="s">
        <v>7</v>
      </c>
      <c r="D1617" s="326">
        <v>591.45000000000005</v>
      </c>
    </row>
    <row r="1618" spans="1:4" ht="13.5">
      <c r="A1618" s="37">
        <v>104878</v>
      </c>
      <c r="B1618" s="37" t="s">
        <v>16853</v>
      </c>
      <c r="C1618" s="37" t="s">
        <v>7</v>
      </c>
      <c r="D1618" s="38">
        <v>2293.85</v>
      </c>
    </row>
    <row r="1619" spans="1:4" ht="13.5">
      <c r="A1619" s="37">
        <v>104879</v>
      </c>
      <c r="B1619" s="37" t="s">
        <v>16854</v>
      </c>
      <c r="C1619" s="37" t="s">
        <v>6</v>
      </c>
      <c r="D1619" s="326">
        <v>75.209999999999994</v>
      </c>
    </row>
    <row r="1620" spans="1:4" ht="13.5">
      <c r="A1620" s="37">
        <v>104880</v>
      </c>
      <c r="B1620" s="37" t="s">
        <v>16855</v>
      </c>
      <c r="C1620" s="37" t="s">
        <v>6</v>
      </c>
      <c r="D1620" s="326">
        <v>81.36</v>
      </c>
    </row>
    <row r="1621" spans="1:4" ht="13.5">
      <c r="A1621" s="37">
        <v>104886</v>
      </c>
      <c r="B1621" s="37" t="s">
        <v>16856</v>
      </c>
      <c r="C1621" s="37" t="s">
        <v>6</v>
      </c>
      <c r="D1621" s="326">
        <v>47.91</v>
      </c>
    </row>
    <row r="1622" spans="1:4" ht="13.5">
      <c r="A1622" s="37">
        <v>104887</v>
      </c>
      <c r="B1622" s="37" t="s">
        <v>16857</v>
      </c>
      <c r="C1622" s="37" t="s">
        <v>6</v>
      </c>
      <c r="D1622" s="326">
        <v>42.04</v>
      </c>
    </row>
    <row r="1623" spans="1:4" ht="13.5">
      <c r="A1623" s="37">
        <v>104888</v>
      </c>
      <c r="B1623" s="37" t="s">
        <v>16858</v>
      </c>
      <c r="C1623" s="37" t="s">
        <v>6</v>
      </c>
      <c r="D1623" s="326">
        <v>38.090000000000003</v>
      </c>
    </row>
    <row r="1624" spans="1:4" ht="13.5">
      <c r="A1624" s="37">
        <v>104889</v>
      </c>
      <c r="B1624" s="37" t="s">
        <v>16859</v>
      </c>
      <c r="C1624" s="37" t="s">
        <v>6</v>
      </c>
      <c r="D1624" s="326">
        <v>55.76</v>
      </c>
    </row>
    <row r="1625" spans="1:4" ht="13.5">
      <c r="A1625" s="37">
        <v>104890</v>
      </c>
      <c r="B1625" s="37" t="s">
        <v>16860</v>
      </c>
      <c r="C1625" s="37" t="s">
        <v>6</v>
      </c>
      <c r="D1625" s="326">
        <v>48.36</v>
      </c>
    </row>
    <row r="1626" spans="1:4" ht="13.5">
      <c r="A1626" s="37">
        <v>104891</v>
      </c>
      <c r="B1626" s="37" t="s">
        <v>16861</v>
      </c>
      <c r="C1626" s="37" t="s">
        <v>6</v>
      </c>
      <c r="D1626" s="326">
        <v>43.38</v>
      </c>
    </row>
    <row r="1627" spans="1:4" ht="13.5">
      <c r="A1627" s="37">
        <v>104892</v>
      </c>
      <c r="B1627" s="37" t="s">
        <v>16862</v>
      </c>
      <c r="C1627" s="37" t="s">
        <v>6</v>
      </c>
      <c r="D1627" s="326">
        <v>99.66</v>
      </c>
    </row>
    <row r="1628" spans="1:4" ht="13.5">
      <c r="A1628" s="37">
        <v>102989</v>
      </c>
      <c r="B1628" s="37" t="s">
        <v>7420</v>
      </c>
      <c r="C1628" s="37" t="s">
        <v>6</v>
      </c>
      <c r="D1628" s="326">
        <v>37.35</v>
      </c>
    </row>
    <row r="1629" spans="1:4" ht="13.5">
      <c r="A1629" s="37">
        <v>102990</v>
      </c>
      <c r="B1629" s="37" t="s">
        <v>7421</v>
      </c>
      <c r="C1629" s="37" t="s">
        <v>6</v>
      </c>
      <c r="D1629" s="326">
        <v>45.39</v>
      </c>
    </row>
    <row r="1630" spans="1:4" ht="13.5">
      <c r="A1630" s="37">
        <v>102991</v>
      </c>
      <c r="B1630" s="37" t="s">
        <v>7422</v>
      </c>
      <c r="C1630" s="37" t="s">
        <v>6</v>
      </c>
      <c r="D1630" s="326">
        <v>58.81</v>
      </c>
    </row>
    <row r="1631" spans="1:4" ht="13.5">
      <c r="A1631" s="37">
        <v>102992</v>
      </c>
      <c r="B1631" s="37" t="s">
        <v>7423</v>
      </c>
      <c r="C1631" s="37" t="s">
        <v>6</v>
      </c>
      <c r="D1631" s="326">
        <v>87.02</v>
      </c>
    </row>
    <row r="1632" spans="1:4" ht="13.5">
      <c r="A1632" s="37">
        <v>102993</v>
      </c>
      <c r="B1632" s="37" t="s">
        <v>7424</v>
      </c>
      <c r="C1632" s="37" t="s">
        <v>6</v>
      </c>
      <c r="D1632" s="326">
        <v>113.27</v>
      </c>
    </row>
    <row r="1633" spans="1:4" ht="13.5">
      <c r="A1633" s="37">
        <v>102994</v>
      </c>
      <c r="B1633" s="37" t="s">
        <v>7425</v>
      </c>
      <c r="C1633" s="37" t="s">
        <v>6</v>
      </c>
      <c r="D1633" s="326">
        <v>194.25</v>
      </c>
    </row>
    <row r="1634" spans="1:4" ht="13.5">
      <c r="A1634" s="37">
        <v>102995</v>
      </c>
      <c r="B1634" s="37" t="s">
        <v>7426</v>
      </c>
      <c r="C1634" s="37" t="s">
        <v>6</v>
      </c>
      <c r="D1634" s="326">
        <v>50.3</v>
      </c>
    </row>
    <row r="1635" spans="1:4" ht="13.5">
      <c r="A1635" s="37">
        <v>102996</v>
      </c>
      <c r="B1635" s="37" t="s">
        <v>7427</v>
      </c>
      <c r="C1635" s="37" t="s">
        <v>6</v>
      </c>
      <c r="D1635" s="326">
        <v>71.16</v>
      </c>
    </row>
    <row r="1636" spans="1:4" ht="13.5">
      <c r="A1636" s="37">
        <v>102997</v>
      </c>
      <c r="B1636" s="37" t="s">
        <v>7428</v>
      </c>
      <c r="C1636" s="37" t="s">
        <v>6</v>
      </c>
      <c r="D1636" s="326">
        <v>95.17</v>
      </c>
    </row>
    <row r="1637" spans="1:4" ht="13.5">
      <c r="A1637" s="37">
        <v>102998</v>
      </c>
      <c r="B1637" s="37" t="s">
        <v>7429</v>
      </c>
      <c r="C1637" s="37" t="s">
        <v>6</v>
      </c>
      <c r="D1637" s="326">
        <v>90.88</v>
      </c>
    </row>
    <row r="1638" spans="1:4" ht="13.5">
      <c r="A1638" s="37">
        <v>102999</v>
      </c>
      <c r="B1638" s="37" t="s">
        <v>7430</v>
      </c>
      <c r="C1638" s="37" t="s">
        <v>6</v>
      </c>
      <c r="D1638" s="326">
        <v>115</v>
      </c>
    </row>
    <row r="1639" spans="1:4" ht="13.5">
      <c r="A1639" s="37">
        <v>103000</v>
      </c>
      <c r="B1639" s="37" t="s">
        <v>7431</v>
      </c>
      <c r="C1639" s="37" t="s">
        <v>6</v>
      </c>
      <c r="D1639" s="326">
        <v>115.48</v>
      </c>
    </row>
    <row r="1640" spans="1:4" ht="13.5">
      <c r="A1640" s="37">
        <v>103001</v>
      </c>
      <c r="B1640" s="37" t="s">
        <v>7432</v>
      </c>
      <c r="C1640" s="37" t="s">
        <v>7</v>
      </c>
      <c r="D1640" s="326">
        <v>236.12</v>
      </c>
    </row>
    <row r="1641" spans="1:4" ht="13.5">
      <c r="A1641" s="37">
        <v>103002</v>
      </c>
      <c r="B1641" s="37" t="s">
        <v>7433</v>
      </c>
      <c r="C1641" s="37" t="s">
        <v>7</v>
      </c>
      <c r="D1641" s="326">
        <v>294.69</v>
      </c>
    </row>
    <row r="1642" spans="1:4" ht="13.5">
      <c r="A1642" s="37">
        <v>103003</v>
      </c>
      <c r="B1642" s="37" t="s">
        <v>7434</v>
      </c>
      <c r="C1642" s="37" t="s">
        <v>7</v>
      </c>
      <c r="D1642" s="326">
        <v>411.9</v>
      </c>
    </row>
    <row r="1643" spans="1:4" ht="13.5">
      <c r="A1643" s="37">
        <v>103005</v>
      </c>
      <c r="B1643" s="37" t="s">
        <v>7435</v>
      </c>
      <c r="C1643" s="37" t="s">
        <v>7</v>
      </c>
      <c r="D1643" s="326">
        <v>568.42999999999995</v>
      </c>
    </row>
    <row r="1644" spans="1:4" ht="13.5">
      <c r="A1644" s="37">
        <v>103006</v>
      </c>
      <c r="B1644" s="37" t="s">
        <v>7436</v>
      </c>
      <c r="C1644" s="37" t="s">
        <v>7</v>
      </c>
      <c r="D1644" s="326">
        <v>770.8</v>
      </c>
    </row>
    <row r="1645" spans="1:4" ht="13.5">
      <c r="A1645" s="37">
        <v>103007</v>
      </c>
      <c r="B1645" s="37" t="s">
        <v>7437</v>
      </c>
      <c r="C1645" s="37" t="s">
        <v>7</v>
      </c>
      <c r="D1645" s="38">
        <v>1016.47</v>
      </c>
    </row>
    <row r="1646" spans="1:4" ht="13.5">
      <c r="A1646" s="37">
        <v>97933</v>
      </c>
      <c r="B1646" s="37" t="s">
        <v>7438</v>
      </c>
      <c r="C1646" s="37" t="s">
        <v>7</v>
      </c>
      <c r="D1646" s="326">
        <v>953.76</v>
      </c>
    </row>
    <row r="1647" spans="1:4" ht="13.5">
      <c r="A1647" s="37">
        <v>97934</v>
      </c>
      <c r="B1647" s="37" t="s">
        <v>15337</v>
      </c>
      <c r="C1647" s="37" t="s">
        <v>7</v>
      </c>
      <c r="D1647" s="38">
        <v>2252.15</v>
      </c>
    </row>
    <row r="1648" spans="1:4" ht="13.5">
      <c r="A1648" s="37">
        <v>97935</v>
      </c>
      <c r="B1648" s="37" t="s">
        <v>7439</v>
      </c>
      <c r="C1648" s="37" t="s">
        <v>7</v>
      </c>
      <c r="D1648" s="326">
        <v>797.82</v>
      </c>
    </row>
    <row r="1649" spans="1:4" ht="13.5">
      <c r="A1649" s="37">
        <v>97936</v>
      </c>
      <c r="B1649" s="37" t="s">
        <v>7440</v>
      </c>
      <c r="C1649" s="37" t="s">
        <v>7</v>
      </c>
      <c r="D1649" s="38">
        <v>1974.02</v>
      </c>
    </row>
    <row r="1650" spans="1:4" ht="13.5">
      <c r="A1650" s="37">
        <v>97947</v>
      </c>
      <c r="B1650" s="37" t="s">
        <v>7441</v>
      </c>
      <c r="C1650" s="37" t="s">
        <v>7</v>
      </c>
      <c r="D1650" s="38">
        <v>1576.15</v>
      </c>
    </row>
    <row r="1651" spans="1:4" ht="13.5">
      <c r="A1651" s="37">
        <v>97948</v>
      </c>
      <c r="B1651" s="37" t="s">
        <v>7442</v>
      </c>
      <c r="C1651" s="37" t="s">
        <v>7</v>
      </c>
      <c r="D1651" s="38">
        <v>2923.21</v>
      </c>
    </row>
    <row r="1652" spans="1:4" ht="13.5">
      <c r="A1652" s="37">
        <v>97949</v>
      </c>
      <c r="B1652" s="37" t="s">
        <v>7443</v>
      </c>
      <c r="C1652" s="37" t="s">
        <v>7</v>
      </c>
      <c r="D1652" s="38">
        <v>1597.97</v>
      </c>
    </row>
    <row r="1653" spans="1:4" ht="13.5">
      <c r="A1653" s="37">
        <v>97950</v>
      </c>
      <c r="B1653" s="37" t="s">
        <v>7444</v>
      </c>
      <c r="C1653" s="37" t="s">
        <v>7</v>
      </c>
      <c r="D1653" s="38">
        <v>2835.26</v>
      </c>
    </row>
    <row r="1654" spans="1:4" ht="13.5">
      <c r="A1654" s="37">
        <v>97951</v>
      </c>
      <c r="B1654" s="37" t="s">
        <v>7445</v>
      </c>
      <c r="C1654" s="37" t="s">
        <v>7</v>
      </c>
      <c r="D1654" s="38">
        <v>2558.94</v>
      </c>
    </row>
    <row r="1655" spans="1:4" ht="13.5">
      <c r="A1655" s="37">
        <v>97952</v>
      </c>
      <c r="B1655" s="37" t="s">
        <v>7446</v>
      </c>
      <c r="C1655" s="37" t="s">
        <v>7</v>
      </c>
      <c r="D1655" s="38">
        <v>4470.5200000000004</v>
      </c>
    </row>
    <row r="1656" spans="1:4" ht="13.5">
      <c r="A1656" s="37">
        <v>97953</v>
      </c>
      <c r="B1656" s="37" t="s">
        <v>7447</v>
      </c>
      <c r="C1656" s="37" t="s">
        <v>7</v>
      </c>
      <c r="D1656" s="38">
        <v>1262.73</v>
      </c>
    </row>
    <row r="1657" spans="1:4" ht="13.5">
      <c r="A1657" s="37">
        <v>97955</v>
      </c>
      <c r="B1657" s="37" t="s">
        <v>7448</v>
      </c>
      <c r="C1657" s="37" t="s">
        <v>7</v>
      </c>
      <c r="D1657" s="38">
        <v>2747.72</v>
      </c>
    </row>
    <row r="1658" spans="1:4" ht="13.5">
      <c r="A1658" s="37">
        <v>97956</v>
      </c>
      <c r="B1658" s="37" t="s">
        <v>7449</v>
      </c>
      <c r="C1658" s="37" t="s">
        <v>7</v>
      </c>
      <c r="D1658" s="38">
        <v>1389.29</v>
      </c>
    </row>
    <row r="1659" spans="1:4" ht="13.5">
      <c r="A1659" s="37">
        <v>97957</v>
      </c>
      <c r="B1659" s="37" t="s">
        <v>7450</v>
      </c>
      <c r="C1659" s="37" t="s">
        <v>7</v>
      </c>
      <c r="D1659" s="38">
        <v>2494.65</v>
      </c>
    </row>
    <row r="1660" spans="1:4" ht="13.5">
      <c r="A1660" s="37">
        <v>97961</v>
      </c>
      <c r="B1660" s="37" t="s">
        <v>7451</v>
      </c>
      <c r="C1660" s="37" t="s">
        <v>7</v>
      </c>
      <c r="D1660" s="38">
        <v>2230.6999999999998</v>
      </c>
    </row>
    <row r="1661" spans="1:4" ht="13.5">
      <c r="A1661" s="37">
        <v>97973</v>
      </c>
      <c r="B1661" s="37" t="s">
        <v>7452</v>
      </c>
      <c r="C1661" s="37" t="s">
        <v>7</v>
      </c>
      <c r="D1661" s="38">
        <v>4184.95</v>
      </c>
    </row>
    <row r="1662" spans="1:4" ht="13.5">
      <c r="A1662" s="37">
        <v>97974</v>
      </c>
      <c r="B1662" s="37" t="s">
        <v>16863</v>
      </c>
      <c r="C1662" s="37" t="s">
        <v>7</v>
      </c>
      <c r="D1662" s="326">
        <v>479.47</v>
      </c>
    </row>
    <row r="1663" spans="1:4" ht="13.5">
      <c r="A1663" s="37">
        <v>97975</v>
      </c>
      <c r="B1663" s="37" t="s">
        <v>16864</v>
      </c>
      <c r="C1663" s="37" t="s">
        <v>7</v>
      </c>
      <c r="D1663" s="326">
        <v>610.98</v>
      </c>
    </row>
    <row r="1664" spans="1:4" ht="13.5">
      <c r="A1664" s="37">
        <v>97976</v>
      </c>
      <c r="B1664" s="37" t="s">
        <v>16865</v>
      </c>
      <c r="C1664" s="37" t="s">
        <v>7</v>
      </c>
      <c r="D1664" s="38">
        <v>1092.95</v>
      </c>
    </row>
    <row r="1665" spans="1:4" ht="13.5">
      <c r="A1665" s="37">
        <v>97977</v>
      </c>
      <c r="B1665" s="37" t="s">
        <v>16866</v>
      </c>
      <c r="C1665" s="37" t="s">
        <v>7</v>
      </c>
      <c r="D1665" s="38">
        <v>1516.8</v>
      </c>
    </row>
    <row r="1666" spans="1:4" ht="13.5">
      <c r="A1666" s="37">
        <v>97978</v>
      </c>
      <c r="B1666" s="37" t="s">
        <v>16867</v>
      </c>
      <c r="C1666" s="37" t="s">
        <v>7</v>
      </c>
      <c r="D1666" s="326">
        <v>940.08</v>
      </c>
    </row>
    <row r="1667" spans="1:4" ht="13.5">
      <c r="A1667" s="37">
        <v>97980</v>
      </c>
      <c r="B1667" s="37" t="s">
        <v>16868</v>
      </c>
      <c r="C1667" s="37" t="s">
        <v>7</v>
      </c>
      <c r="D1667" s="38">
        <v>1983.43</v>
      </c>
    </row>
    <row r="1668" spans="1:4" ht="13.5">
      <c r="A1668" s="37">
        <v>97981</v>
      </c>
      <c r="B1668" s="37" t="s">
        <v>7453</v>
      </c>
      <c r="C1668" s="37" t="s">
        <v>6</v>
      </c>
      <c r="D1668" s="38">
        <v>1052.05</v>
      </c>
    </row>
    <row r="1669" spans="1:4" ht="13.5">
      <c r="A1669" s="37">
        <v>97983</v>
      </c>
      <c r="B1669" s="37" t="s">
        <v>7454</v>
      </c>
      <c r="C1669" s="37" t="s">
        <v>6</v>
      </c>
      <c r="D1669" s="326">
        <v>463.28</v>
      </c>
    </row>
    <row r="1670" spans="1:4" ht="13.5">
      <c r="A1670" s="37">
        <v>97985</v>
      </c>
      <c r="B1670" s="37" t="s">
        <v>7455</v>
      </c>
      <c r="C1670" s="37" t="s">
        <v>6</v>
      </c>
      <c r="D1670" s="38">
        <v>1265.56</v>
      </c>
    </row>
    <row r="1671" spans="1:4" ht="13.5">
      <c r="A1671" s="37">
        <v>97987</v>
      </c>
      <c r="B1671" s="37" t="s">
        <v>7456</v>
      </c>
      <c r="C1671" s="37" t="s">
        <v>6</v>
      </c>
      <c r="D1671" s="326">
        <v>615.17999999999995</v>
      </c>
    </row>
    <row r="1672" spans="1:4" ht="13.5">
      <c r="A1672" s="37">
        <v>97988</v>
      </c>
      <c r="B1672" s="37" t="s">
        <v>16869</v>
      </c>
      <c r="C1672" s="37" t="s">
        <v>7</v>
      </c>
      <c r="D1672" s="38">
        <v>2910.07</v>
      </c>
    </row>
    <row r="1673" spans="1:4" ht="13.5">
      <c r="A1673" s="37">
        <v>97989</v>
      </c>
      <c r="B1673" s="37" t="s">
        <v>7457</v>
      </c>
      <c r="C1673" s="37" t="s">
        <v>6</v>
      </c>
      <c r="D1673" s="38">
        <v>1479</v>
      </c>
    </row>
    <row r="1674" spans="1:4" ht="13.5">
      <c r="A1674" s="37">
        <v>97991</v>
      </c>
      <c r="B1674" s="37" t="s">
        <v>7458</v>
      </c>
      <c r="C1674" s="37" t="s">
        <v>6</v>
      </c>
      <c r="D1674" s="326">
        <v>842.41</v>
      </c>
    </row>
    <row r="1675" spans="1:4" ht="13.5">
      <c r="A1675" s="37">
        <v>97992</v>
      </c>
      <c r="B1675" s="37" t="s">
        <v>16870</v>
      </c>
      <c r="C1675" s="37" t="s">
        <v>7</v>
      </c>
      <c r="D1675" s="38">
        <v>3729.39</v>
      </c>
    </row>
    <row r="1676" spans="1:4" ht="13.5">
      <c r="A1676" s="37">
        <v>97993</v>
      </c>
      <c r="B1676" s="37" t="s">
        <v>7459</v>
      </c>
      <c r="C1676" s="37" t="s">
        <v>6</v>
      </c>
      <c r="D1676" s="38">
        <v>1799.3</v>
      </c>
    </row>
    <row r="1677" spans="1:4" ht="13.5">
      <c r="A1677" s="37">
        <v>97994</v>
      </c>
      <c r="B1677" s="37" t="s">
        <v>16871</v>
      </c>
      <c r="C1677" s="37" t="s">
        <v>7</v>
      </c>
      <c r="D1677" s="38">
        <v>2583.09</v>
      </c>
    </row>
    <row r="1678" spans="1:4" ht="13.5">
      <c r="A1678" s="37">
        <v>97995</v>
      </c>
      <c r="B1678" s="37" t="s">
        <v>7460</v>
      </c>
      <c r="C1678" s="37" t="s">
        <v>6</v>
      </c>
      <c r="D1678" s="38">
        <v>1234.72</v>
      </c>
    </row>
    <row r="1679" spans="1:4" ht="13.5">
      <c r="A1679" s="37">
        <v>97996</v>
      </c>
      <c r="B1679" s="37" t="s">
        <v>16872</v>
      </c>
      <c r="C1679" s="37" t="s">
        <v>7</v>
      </c>
      <c r="D1679" s="38">
        <v>3264.54</v>
      </c>
    </row>
    <row r="1680" spans="1:4" ht="13.5">
      <c r="A1680" s="37">
        <v>97997</v>
      </c>
      <c r="B1680" s="37" t="s">
        <v>7461</v>
      </c>
      <c r="C1680" s="37" t="s">
        <v>6</v>
      </c>
      <c r="D1680" s="38">
        <v>1474.14</v>
      </c>
    </row>
    <row r="1681" spans="1:4" ht="13.5">
      <c r="A1681" s="37">
        <v>97999</v>
      </c>
      <c r="B1681" s="37" t="s">
        <v>7462</v>
      </c>
      <c r="C1681" s="37" t="s">
        <v>6</v>
      </c>
      <c r="D1681" s="38">
        <v>1713.62</v>
      </c>
    </row>
    <row r="1682" spans="1:4" ht="13.5">
      <c r="A1682" s="37">
        <v>98001</v>
      </c>
      <c r="B1682" s="37" t="s">
        <v>7463</v>
      </c>
      <c r="C1682" s="37" t="s">
        <v>6</v>
      </c>
      <c r="D1682" s="38">
        <v>1953.06</v>
      </c>
    </row>
    <row r="1683" spans="1:4" ht="13.5">
      <c r="A1683" s="37">
        <v>98002</v>
      </c>
      <c r="B1683" s="37" t="s">
        <v>16873</v>
      </c>
      <c r="C1683" s="37" t="s">
        <v>7</v>
      </c>
      <c r="D1683" s="38">
        <v>5341.38</v>
      </c>
    </row>
    <row r="1684" spans="1:4" ht="13.5">
      <c r="A1684" s="37">
        <v>98003</v>
      </c>
      <c r="B1684" s="37" t="s">
        <v>7464</v>
      </c>
      <c r="C1684" s="37" t="s">
        <v>6</v>
      </c>
      <c r="D1684" s="38">
        <v>2192.54</v>
      </c>
    </row>
    <row r="1685" spans="1:4" ht="13.5">
      <c r="A1685" s="37">
        <v>98005</v>
      </c>
      <c r="B1685" s="37" t="s">
        <v>7465</v>
      </c>
      <c r="C1685" s="37" t="s">
        <v>6</v>
      </c>
      <c r="D1685" s="38">
        <v>2432.0500000000002</v>
      </c>
    </row>
    <row r="1686" spans="1:4" ht="13.5">
      <c r="A1686" s="37">
        <v>98006</v>
      </c>
      <c r="B1686" s="37" t="s">
        <v>16874</v>
      </c>
      <c r="C1686" s="37" t="s">
        <v>7</v>
      </c>
      <c r="D1686" s="38">
        <v>6712.46</v>
      </c>
    </row>
    <row r="1687" spans="1:4" ht="13.5">
      <c r="A1687" s="37">
        <v>98007</v>
      </c>
      <c r="B1687" s="37" t="s">
        <v>7466</v>
      </c>
      <c r="C1687" s="37" t="s">
        <v>6</v>
      </c>
      <c r="D1687" s="38">
        <v>2671.46</v>
      </c>
    </row>
    <row r="1688" spans="1:4" ht="13.5">
      <c r="A1688" s="37">
        <v>98008</v>
      </c>
      <c r="B1688" s="37" t="s">
        <v>16875</v>
      </c>
      <c r="C1688" s="37" t="s">
        <v>7</v>
      </c>
      <c r="D1688" s="38">
        <v>4046.97</v>
      </c>
    </row>
    <row r="1689" spans="1:4" ht="13.5">
      <c r="A1689" s="37">
        <v>98009</v>
      </c>
      <c r="B1689" s="37" t="s">
        <v>7467</v>
      </c>
      <c r="C1689" s="37" t="s">
        <v>6</v>
      </c>
      <c r="D1689" s="38">
        <v>1713.62</v>
      </c>
    </row>
    <row r="1690" spans="1:4" ht="13.5">
      <c r="A1690" s="37">
        <v>98010</v>
      </c>
      <c r="B1690" s="37" t="s">
        <v>16876</v>
      </c>
      <c r="C1690" s="37" t="s">
        <v>7</v>
      </c>
      <c r="D1690" s="38">
        <v>4935.84</v>
      </c>
    </row>
    <row r="1691" spans="1:4" ht="13.5">
      <c r="A1691" s="37">
        <v>98011</v>
      </c>
      <c r="B1691" s="37" t="s">
        <v>7468</v>
      </c>
      <c r="C1691" s="37" t="s">
        <v>6</v>
      </c>
      <c r="D1691" s="38">
        <v>1953.06</v>
      </c>
    </row>
    <row r="1692" spans="1:4" ht="13.5">
      <c r="A1692" s="37">
        <v>98012</v>
      </c>
      <c r="B1692" s="37" t="s">
        <v>16877</v>
      </c>
      <c r="C1692" s="37" t="s">
        <v>7</v>
      </c>
      <c r="D1692" s="38">
        <v>5798.92</v>
      </c>
    </row>
    <row r="1693" spans="1:4" ht="13.5">
      <c r="A1693" s="37">
        <v>98013</v>
      </c>
      <c r="B1693" s="37" t="s">
        <v>7469</v>
      </c>
      <c r="C1693" s="37" t="s">
        <v>6</v>
      </c>
      <c r="D1693" s="38">
        <v>2192.54</v>
      </c>
    </row>
    <row r="1694" spans="1:4" ht="13.5">
      <c r="A1694" s="37">
        <v>98014</v>
      </c>
      <c r="B1694" s="37" t="s">
        <v>16878</v>
      </c>
      <c r="C1694" s="37" t="s">
        <v>7</v>
      </c>
      <c r="D1694" s="38">
        <v>6661.9</v>
      </c>
    </row>
    <row r="1695" spans="1:4" ht="13.5">
      <c r="A1695" s="37">
        <v>98015</v>
      </c>
      <c r="B1695" s="37" t="s">
        <v>7470</v>
      </c>
      <c r="C1695" s="37" t="s">
        <v>6</v>
      </c>
      <c r="D1695" s="38">
        <v>2432.0500000000002</v>
      </c>
    </row>
    <row r="1696" spans="1:4" ht="13.5">
      <c r="A1696" s="37">
        <v>98016</v>
      </c>
      <c r="B1696" s="37" t="s">
        <v>16879</v>
      </c>
      <c r="C1696" s="37" t="s">
        <v>7</v>
      </c>
      <c r="D1696" s="38">
        <v>7525.05</v>
      </c>
    </row>
    <row r="1697" spans="1:4" ht="13.5">
      <c r="A1697" s="37">
        <v>98017</v>
      </c>
      <c r="B1697" s="37" t="s">
        <v>7471</v>
      </c>
      <c r="C1697" s="37" t="s">
        <v>6</v>
      </c>
      <c r="D1697" s="38">
        <v>2671.46</v>
      </c>
    </row>
    <row r="1698" spans="1:4" ht="13.5">
      <c r="A1698" s="37">
        <v>98018</v>
      </c>
      <c r="B1698" s="37" t="s">
        <v>16880</v>
      </c>
      <c r="C1698" s="37" t="s">
        <v>7</v>
      </c>
      <c r="D1698" s="38">
        <v>8388.0400000000009</v>
      </c>
    </row>
    <row r="1699" spans="1:4" ht="13.5">
      <c r="A1699" s="37">
        <v>98019</v>
      </c>
      <c r="B1699" s="37" t="s">
        <v>7472</v>
      </c>
      <c r="C1699" s="37" t="s">
        <v>6</v>
      </c>
      <c r="D1699" s="38">
        <v>2932.64</v>
      </c>
    </row>
    <row r="1700" spans="1:4" ht="13.5">
      <c r="A1700" s="37">
        <v>98020</v>
      </c>
      <c r="B1700" s="37" t="s">
        <v>16881</v>
      </c>
      <c r="C1700" s="37" t="s">
        <v>7</v>
      </c>
      <c r="D1700" s="38">
        <v>5965.06</v>
      </c>
    </row>
    <row r="1701" spans="1:4" ht="13.5">
      <c r="A1701" s="37">
        <v>98021</v>
      </c>
      <c r="B1701" s="37" t="s">
        <v>7473</v>
      </c>
      <c r="C1701" s="37" t="s">
        <v>6</v>
      </c>
      <c r="D1701" s="38">
        <v>2214.31</v>
      </c>
    </row>
    <row r="1702" spans="1:4" ht="13.5">
      <c r="A1702" s="37">
        <v>98022</v>
      </c>
      <c r="B1702" s="37" t="s">
        <v>16882</v>
      </c>
      <c r="C1702" s="37" t="s">
        <v>7</v>
      </c>
      <c r="D1702" s="38">
        <v>6993.35</v>
      </c>
    </row>
    <row r="1703" spans="1:4" ht="13.5">
      <c r="A1703" s="37">
        <v>98023</v>
      </c>
      <c r="B1703" s="37" t="s">
        <v>7474</v>
      </c>
      <c r="C1703" s="37" t="s">
        <v>6</v>
      </c>
      <c r="D1703" s="38">
        <v>2453.7399999999998</v>
      </c>
    </row>
    <row r="1704" spans="1:4" ht="13.5">
      <c r="A1704" s="37">
        <v>98024</v>
      </c>
      <c r="B1704" s="37" t="s">
        <v>16883</v>
      </c>
      <c r="C1704" s="37" t="s">
        <v>7</v>
      </c>
      <c r="D1704" s="38">
        <v>8078.8</v>
      </c>
    </row>
    <row r="1705" spans="1:4" ht="13.5">
      <c r="A1705" s="37">
        <v>98025</v>
      </c>
      <c r="B1705" s="37" t="s">
        <v>7475</v>
      </c>
      <c r="C1705" s="37" t="s">
        <v>6</v>
      </c>
      <c r="D1705" s="38">
        <v>2693.22</v>
      </c>
    </row>
    <row r="1706" spans="1:4" ht="13.5">
      <c r="A1706" s="37">
        <v>98026</v>
      </c>
      <c r="B1706" s="37" t="s">
        <v>16884</v>
      </c>
      <c r="C1706" s="37" t="s">
        <v>7</v>
      </c>
      <c r="D1706" s="38">
        <v>9114.2800000000007</v>
      </c>
    </row>
    <row r="1707" spans="1:4" ht="13.5">
      <c r="A1707" s="37">
        <v>98027</v>
      </c>
      <c r="B1707" s="37" t="s">
        <v>7476</v>
      </c>
      <c r="C1707" s="37" t="s">
        <v>6</v>
      </c>
      <c r="D1707" s="38">
        <v>2932.64</v>
      </c>
    </row>
    <row r="1708" spans="1:4" ht="13.5">
      <c r="A1708" s="37">
        <v>98028</v>
      </c>
      <c r="B1708" s="37" t="s">
        <v>16885</v>
      </c>
      <c r="C1708" s="37" t="s">
        <v>7</v>
      </c>
      <c r="D1708" s="38">
        <v>10149.83</v>
      </c>
    </row>
    <row r="1709" spans="1:4" ht="13.5">
      <c r="A1709" s="37">
        <v>98029</v>
      </c>
      <c r="B1709" s="37" t="s">
        <v>7477</v>
      </c>
      <c r="C1709" s="37" t="s">
        <v>6</v>
      </c>
      <c r="D1709" s="38">
        <v>3176.58</v>
      </c>
    </row>
    <row r="1710" spans="1:4" ht="13.5">
      <c r="A1710" s="37">
        <v>98030</v>
      </c>
      <c r="B1710" s="37" t="s">
        <v>16886</v>
      </c>
      <c r="C1710" s="37" t="s">
        <v>7</v>
      </c>
      <c r="D1710" s="38">
        <v>8276.15</v>
      </c>
    </row>
    <row r="1711" spans="1:4" ht="13.5">
      <c r="A1711" s="37">
        <v>98031</v>
      </c>
      <c r="B1711" s="37" t="s">
        <v>7478</v>
      </c>
      <c r="C1711" s="37" t="s">
        <v>6</v>
      </c>
      <c r="D1711" s="38">
        <v>2697.76</v>
      </c>
    </row>
    <row r="1712" spans="1:4" ht="13.5">
      <c r="A1712" s="37">
        <v>98032</v>
      </c>
      <c r="B1712" s="37" t="s">
        <v>16887</v>
      </c>
      <c r="C1712" s="37" t="s">
        <v>7</v>
      </c>
      <c r="D1712" s="38">
        <v>9524.9699999999993</v>
      </c>
    </row>
    <row r="1713" spans="1:4" ht="13.5">
      <c r="A1713" s="37">
        <v>98033</v>
      </c>
      <c r="B1713" s="37" t="s">
        <v>7479</v>
      </c>
      <c r="C1713" s="37" t="s">
        <v>6</v>
      </c>
      <c r="D1713" s="38">
        <v>2937.17</v>
      </c>
    </row>
    <row r="1714" spans="1:4" ht="13.5">
      <c r="A1714" s="37">
        <v>98034</v>
      </c>
      <c r="B1714" s="37" t="s">
        <v>16888</v>
      </c>
      <c r="C1714" s="37" t="s">
        <v>7</v>
      </c>
      <c r="D1714" s="38">
        <v>10773.85</v>
      </c>
    </row>
    <row r="1715" spans="1:4" ht="13.5">
      <c r="A1715" s="37">
        <v>98035</v>
      </c>
      <c r="B1715" s="37" t="s">
        <v>7480</v>
      </c>
      <c r="C1715" s="37" t="s">
        <v>6</v>
      </c>
      <c r="D1715" s="38">
        <v>3176.58</v>
      </c>
    </row>
    <row r="1716" spans="1:4" ht="13.5">
      <c r="A1716" s="37">
        <v>98036</v>
      </c>
      <c r="B1716" s="37" t="s">
        <v>16889</v>
      </c>
      <c r="C1716" s="37" t="s">
        <v>7</v>
      </c>
      <c r="D1716" s="38">
        <v>12022.69</v>
      </c>
    </row>
    <row r="1717" spans="1:4" ht="13.5">
      <c r="A1717" s="37">
        <v>98037</v>
      </c>
      <c r="B1717" s="37" t="s">
        <v>7481</v>
      </c>
      <c r="C1717" s="37" t="s">
        <v>6</v>
      </c>
      <c r="D1717" s="38">
        <v>3420.52</v>
      </c>
    </row>
    <row r="1718" spans="1:4" ht="13.5">
      <c r="A1718" s="37">
        <v>98038</v>
      </c>
      <c r="B1718" s="37" t="s">
        <v>16890</v>
      </c>
      <c r="C1718" s="37" t="s">
        <v>7</v>
      </c>
      <c r="D1718" s="38">
        <v>11002.89</v>
      </c>
    </row>
    <row r="1719" spans="1:4" ht="13.5">
      <c r="A1719" s="37">
        <v>98039</v>
      </c>
      <c r="B1719" s="37" t="s">
        <v>7482</v>
      </c>
      <c r="C1719" s="37" t="s">
        <v>6</v>
      </c>
      <c r="D1719" s="38">
        <v>3181.11</v>
      </c>
    </row>
    <row r="1720" spans="1:4" ht="13.5">
      <c r="A1720" s="37">
        <v>98040</v>
      </c>
      <c r="B1720" s="37" t="s">
        <v>16891</v>
      </c>
      <c r="C1720" s="37" t="s">
        <v>7</v>
      </c>
      <c r="D1720" s="38">
        <v>12439.65</v>
      </c>
    </row>
    <row r="1721" spans="1:4" ht="13.5">
      <c r="A1721" s="37">
        <v>98041</v>
      </c>
      <c r="B1721" s="37" t="s">
        <v>7483</v>
      </c>
      <c r="C1721" s="37" t="s">
        <v>6</v>
      </c>
      <c r="D1721" s="38">
        <v>3420.52</v>
      </c>
    </row>
    <row r="1722" spans="1:4" ht="13.5">
      <c r="A1722" s="37">
        <v>98042</v>
      </c>
      <c r="B1722" s="37" t="s">
        <v>16892</v>
      </c>
      <c r="C1722" s="37" t="s">
        <v>7</v>
      </c>
      <c r="D1722" s="38">
        <v>13876.45</v>
      </c>
    </row>
    <row r="1723" spans="1:4" ht="13.5">
      <c r="A1723" s="37">
        <v>98043</v>
      </c>
      <c r="B1723" s="37" t="s">
        <v>7484</v>
      </c>
      <c r="C1723" s="37" t="s">
        <v>6</v>
      </c>
      <c r="D1723" s="38">
        <v>3664.54</v>
      </c>
    </row>
    <row r="1724" spans="1:4" ht="13.5">
      <c r="A1724" s="37">
        <v>98044</v>
      </c>
      <c r="B1724" s="37" t="s">
        <v>16893</v>
      </c>
      <c r="C1724" s="37" t="s">
        <v>7</v>
      </c>
      <c r="D1724" s="38">
        <v>14105.56</v>
      </c>
    </row>
    <row r="1725" spans="1:4" ht="13.5">
      <c r="A1725" s="37">
        <v>98045</v>
      </c>
      <c r="B1725" s="37" t="s">
        <v>7485</v>
      </c>
      <c r="C1725" s="37" t="s">
        <v>6</v>
      </c>
      <c r="D1725" s="38">
        <v>3664.54</v>
      </c>
    </row>
    <row r="1726" spans="1:4" ht="13.5">
      <c r="A1726" s="37">
        <v>98046</v>
      </c>
      <c r="B1726" s="37" t="s">
        <v>16894</v>
      </c>
      <c r="C1726" s="37" t="s">
        <v>7</v>
      </c>
      <c r="D1726" s="38">
        <v>15730.1</v>
      </c>
    </row>
    <row r="1727" spans="1:4" ht="13.5">
      <c r="A1727" s="37">
        <v>98047</v>
      </c>
      <c r="B1727" s="37" t="s">
        <v>7486</v>
      </c>
      <c r="C1727" s="37" t="s">
        <v>6</v>
      </c>
      <c r="D1727" s="38">
        <v>3908.51</v>
      </c>
    </row>
    <row r="1728" spans="1:4" ht="13.5">
      <c r="A1728" s="37">
        <v>98048</v>
      </c>
      <c r="B1728" s="37" t="s">
        <v>16895</v>
      </c>
      <c r="C1728" s="37" t="s">
        <v>7</v>
      </c>
      <c r="D1728" s="38">
        <v>17583.86</v>
      </c>
    </row>
    <row r="1729" spans="1:4" ht="13.5">
      <c r="A1729" s="37">
        <v>98049</v>
      </c>
      <c r="B1729" s="37" t="s">
        <v>7487</v>
      </c>
      <c r="C1729" s="37" t="s">
        <v>6</v>
      </c>
      <c r="D1729" s="38">
        <v>4108.1899999999996</v>
      </c>
    </row>
    <row r="1730" spans="1:4" ht="13.5">
      <c r="A1730" s="37">
        <v>98050</v>
      </c>
      <c r="B1730" s="37" t="s">
        <v>7488</v>
      </c>
      <c r="C1730" s="37" t="s">
        <v>6</v>
      </c>
      <c r="D1730" s="326">
        <v>255.78</v>
      </c>
    </row>
    <row r="1731" spans="1:4" ht="13.5">
      <c r="A1731" s="37">
        <v>98051</v>
      </c>
      <c r="B1731" s="37" t="s">
        <v>7489</v>
      </c>
      <c r="C1731" s="37" t="s">
        <v>6</v>
      </c>
      <c r="D1731" s="326">
        <v>850.61</v>
      </c>
    </row>
    <row r="1732" spans="1:4" ht="13.5">
      <c r="A1732" s="37">
        <v>98405</v>
      </c>
      <c r="B1732" s="37" t="s">
        <v>16896</v>
      </c>
      <c r="C1732" s="37" t="s">
        <v>7</v>
      </c>
      <c r="D1732" s="38">
        <v>2444.1799999999998</v>
      </c>
    </row>
    <row r="1733" spans="1:4" ht="13.5">
      <c r="A1733" s="37">
        <v>98406</v>
      </c>
      <c r="B1733" s="37" t="s">
        <v>16897</v>
      </c>
      <c r="C1733" s="37" t="s">
        <v>7</v>
      </c>
      <c r="D1733" s="38">
        <v>6026.85</v>
      </c>
    </row>
    <row r="1734" spans="1:4" ht="13.5">
      <c r="A1734" s="37">
        <v>98407</v>
      </c>
      <c r="B1734" s="37" t="s">
        <v>16898</v>
      </c>
      <c r="C1734" s="37" t="s">
        <v>7</v>
      </c>
      <c r="D1734" s="38">
        <v>3945.94</v>
      </c>
    </row>
    <row r="1735" spans="1:4" ht="13.5">
      <c r="A1735" s="37">
        <v>98408</v>
      </c>
      <c r="B1735" s="37" t="s">
        <v>16899</v>
      </c>
      <c r="C1735" s="37" t="s">
        <v>7</v>
      </c>
      <c r="D1735" s="38">
        <v>4627.3599999999997</v>
      </c>
    </row>
    <row r="1736" spans="1:4" ht="13.5">
      <c r="A1736" s="37">
        <v>98409</v>
      </c>
      <c r="B1736" s="37" t="s">
        <v>7490</v>
      </c>
      <c r="C1736" s="37" t="s">
        <v>6</v>
      </c>
      <c r="D1736" s="326">
        <v>351.68</v>
      </c>
    </row>
    <row r="1737" spans="1:4" ht="13.5">
      <c r="A1737" s="37">
        <v>98410</v>
      </c>
      <c r="B1737" s="37" t="s">
        <v>16900</v>
      </c>
      <c r="C1737" s="37" t="s">
        <v>7</v>
      </c>
      <c r="D1737" s="38">
        <v>1195.71</v>
      </c>
    </row>
    <row r="1738" spans="1:4" ht="13.5">
      <c r="A1738" s="37">
        <v>99240</v>
      </c>
      <c r="B1738" s="37" t="s">
        <v>7491</v>
      </c>
      <c r="C1738" s="37" t="s">
        <v>6</v>
      </c>
      <c r="D1738" s="326">
        <v>612.08000000000004</v>
      </c>
    </row>
    <row r="1739" spans="1:4" ht="13.5">
      <c r="A1739" s="37">
        <v>99241</v>
      </c>
      <c r="B1739" s="37" t="s">
        <v>7492</v>
      </c>
      <c r="C1739" s="37" t="s">
        <v>6</v>
      </c>
      <c r="D1739" s="38">
        <v>1648.6</v>
      </c>
    </row>
    <row r="1740" spans="1:4" ht="13.5">
      <c r="A1740" s="37">
        <v>99242</v>
      </c>
      <c r="B1740" s="37" t="s">
        <v>16901</v>
      </c>
      <c r="C1740" s="37" t="s">
        <v>7</v>
      </c>
      <c r="D1740" s="38">
        <v>2821.65</v>
      </c>
    </row>
    <row r="1741" spans="1:4" ht="13.5">
      <c r="A1741" s="37">
        <v>99243</v>
      </c>
      <c r="B1741" s="37" t="s">
        <v>7493</v>
      </c>
      <c r="C1741" s="37" t="s">
        <v>6</v>
      </c>
      <c r="D1741" s="38">
        <v>1395.26</v>
      </c>
    </row>
    <row r="1742" spans="1:4" ht="13.5">
      <c r="A1742" s="37">
        <v>99244</v>
      </c>
      <c r="B1742" s="37" t="s">
        <v>16902</v>
      </c>
      <c r="C1742" s="37" t="s">
        <v>7</v>
      </c>
      <c r="D1742" s="38">
        <v>4829.6099999999997</v>
      </c>
    </row>
    <row r="1743" spans="1:4" ht="13.5">
      <c r="A1743" s="37">
        <v>99246</v>
      </c>
      <c r="B1743" s="37" t="s">
        <v>7494</v>
      </c>
      <c r="C1743" s="37" t="s">
        <v>6</v>
      </c>
      <c r="D1743" s="326">
        <v>838.18</v>
      </c>
    </row>
    <row r="1744" spans="1:4" ht="13.5">
      <c r="A1744" s="37">
        <v>99247</v>
      </c>
      <c r="B1744" s="37" t="s">
        <v>7495</v>
      </c>
      <c r="C1744" s="37" t="s">
        <v>6</v>
      </c>
      <c r="D1744" s="38">
        <v>1878.48</v>
      </c>
    </row>
    <row r="1745" spans="1:4" ht="13.5">
      <c r="A1745" s="37">
        <v>99248</v>
      </c>
      <c r="B1745" s="37" t="s">
        <v>16903</v>
      </c>
      <c r="C1745" s="37" t="s">
        <v>7</v>
      </c>
      <c r="D1745" s="38">
        <v>3622.68</v>
      </c>
    </row>
    <row r="1746" spans="1:4" ht="13.5">
      <c r="A1746" s="37">
        <v>99249</v>
      </c>
      <c r="B1746" s="37" t="s">
        <v>7496</v>
      </c>
      <c r="C1746" s="37" t="s">
        <v>6</v>
      </c>
      <c r="D1746" s="38">
        <v>1702.53</v>
      </c>
    </row>
    <row r="1747" spans="1:4" ht="13.5">
      <c r="A1747" s="37">
        <v>99252</v>
      </c>
      <c r="B1747" s="37" t="s">
        <v>16904</v>
      </c>
      <c r="C1747" s="37" t="s">
        <v>7</v>
      </c>
      <c r="D1747" s="38">
        <v>2527.7199999999998</v>
      </c>
    </row>
    <row r="1748" spans="1:4" ht="13.5">
      <c r="A1748" s="37">
        <v>99254</v>
      </c>
      <c r="B1748" s="37" t="s">
        <v>7497</v>
      </c>
      <c r="C1748" s="37" t="s">
        <v>6</v>
      </c>
      <c r="D1748" s="38">
        <v>1188.81</v>
      </c>
    </row>
    <row r="1749" spans="1:4" ht="13.5">
      <c r="A1749" s="37">
        <v>99256</v>
      </c>
      <c r="B1749" s="37" t="s">
        <v>16905</v>
      </c>
      <c r="C1749" s="37" t="s">
        <v>7</v>
      </c>
      <c r="D1749" s="38">
        <v>5673.54</v>
      </c>
    </row>
    <row r="1750" spans="1:4" ht="13.5">
      <c r="A1750" s="37">
        <v>99259</v>
      </c>
      <c r="B1750" s="37" t="s">
        <v>16906</v>
      </c>
      <c r="C1750" s="37" t="s">
        <v>7</v>
      </c>
      <c r="D1750" s="38">
        <v>3193.87</v>
      </c>
    </row>
    <row r="1751" spans="1:4" ht="13.5">
      <c r="A1751" s="37">
        <v>99261</v>
      </c>
      <c r="B1751" s="37" t="s">
        <v>7498</v>
      </c>
      <c r="C1751" s="37" t="s">
        <v>6</v>
      </c>
      <c r="D1751" s="38">
        <v>1418.69</v>
      </c>
    </row>
    <row r="1752" spans="1:4" ht="13.5">
      <c r="A1752" s="37">
        <v>99263</v>
      </c>
      <c r="B1752" s="37" t="s">
        <v>7499</v>
      </c>
      <c r="C1752" s="37" t="s">
        <v>6</v>
      </c>
      <c r="D1752" s="38">
        <v>2108.4</v>
      </c>
    </row>
    <row r="1753" spans="1:4" ht="13.5">
      <c r="A1753" s="37">
        <v>99265</v>
      </c>
      <c r="B1753" s="37" t="s">
        <v>16907</v>
      </c>
      <c r="C1753" s="37" t="s">
        <v>7</v>
      </c>
      <c r="D1753" s="38">
        <v>3860.01</v>
      </c>
    </row>
    <row r="1754" spans="1:4" ht="13.5">
      <c r="A1754" s="37">
        <v>99266</v>
      </c>
      <c r="B1754" s="37" t="s">
        <v>7500</v>
      </c>
      <c r="C1754" s="37" t="s">
        <v>6</v>
      </c>
      <c r="D1754" s="38">
        <v>1648.6</v>
      </c>
    </row>
    <row r="1755" spans="1:4" ht="13.5">
      <c r="A1755" s="37">
        <v>99267</v>
      </c>
      <c r="B1755" s="37" t="s">
        <v>16908</v>
      </c>
      <c r="C1755" s="37" t="s">
        <v>7</v>
      </c>
      <c r="D1755" s="38">
        <v>4526.1400000000003</v>
      </c>
    </row>
    <row r="1756" spans="1:4" ht="13.5">
      <c r="A1756" s="37">
        <v>99268</v>
      </c>
      <c r="B1756" s="37" t="s">
        <v>16909</v>
      </c>
      <c r="C1756" s="37" t="s">
        <v>7</v>
      </c>
      <c r="D1756" s="326">
        <v>475.51</v>
      </c>
    </row>
    <row r="1757" spans="1:4" ht="13.5">
      <c r="A1757" s="37">
        <v>99269</v>
      </c>
      <c r="B1757" s="37" t="s">
        <v>7501</v>
      </c>
      <c r="C1757" s="37" t="s">
        <v>6</v>
      </c>
      <c r="D1757" s="38">
        <v>1878.48</v>
      </c>
    </row>
    <row r="1758" spans="1:4" ht="13.5">
      <c r="A1758" s="37">
        <v>99270</v>
      </c>
      <c r="B1758" s="37" t="s">
        <v>16910</v>
      </c>
      <c r="C1758" s="37" t="s">
        <v>7</v>
      </c>
      <c r="D1758" s="326">
        <v>606.36</v>
      </c>
    </row>
    <row r="1759" spans="1:4" ht="13.5">
      <c r="A1759" s="37">
        <v>99271</v>
      </c>
      <c r="B1759" s="37" t="s">
        <v>16911</v>
      </c>
      <c r="C1759" s="37" t="s">
        <v>7</v>
      </c>
      <c r="D1759" s="38">
        <v>6517.35</v>
      </c>
    </row>
    <row r="1760" spans="1:4" ht="13.5">
      <c r="A1760" s="37">
        <v>99272</v>
      </c>
      <c r="B1760" s="37" t="s">
        <v>16912</v>
      </c>
      <c r="C1760" s="37" t="s">
        <v>7</v>
      </c>
      <c r="D1760" s="38">
        <v>1053.1500000000001</v>
      </c>
    </row>
    <row r="1761" spans="1:4" ht="13.5">
      <c r="A1761" s="37">
        <v>99273</v>
      </c>
      <c r="B1761" s="37" t="s">
        <v>16913</v>
      </c>
      <c r="C1761" s="37" t="s">
        <v>7</v>
      </c>
      <c r="D1761" s="38">
        <v>1446.25</v>
      </c>
    </row>
    <row r="1762" spans="1:4" ht="13.5">
      <c r="A1762" s="37">
        <v>99274</v>
      </c>
      <c r="B1762" s="37" t="s">
        <v>16914</v>
      </c>
      <c r="C1762" s="37" t="s">
        <v>7</v>
      </c>
      <c r="D1762" s="38">
        <v>5224.88</v>
      </c>
    </row>
    <row r="1763" spans="1:4" ht="13.5">
      <c r="A1763" s="37">
        <v>99275</v>
      </c>
      <c r="B1763" s="37" t="s">
        <v>16915</v>
      </c>
      <c r="C1763" s="37" t="s">
        <v>7</v>
      </c>
      <c r="D1763" s="326">
        <v>932.31</v>
      </c>
    </row>
    <row r="1764" spans="1:4" ht="13.5">
      <c r="A1764" s="37">
        <v>99276</v>
      </c>
      <c r="B1764" s="37" t="s">
        <v>7502</v>
      </c>
      <c r="C1764" s="37" t="s">
        <v>6</v>
      </c>
      <c r="D1764" s="38">
        <v>2338.33</v>
      </c>
    </row>
    <row r="1765" spans="1:4" ht="13.5">
      <c r="A1765" s="37">
        <v>99277</v>
      </c>
      <c r="B1765" s="37" t="s">
        <v>7503</v>
      </c>
      <c r="C1765" s="37" t="s">
        <v>6</v>
      </c>
      <c r="D1765" s="38">
        <v>2108.4</v>
      </c>
    </row>
    <row r="1766" spans="1:4" ht="13.5">
      <c r="A1766" s="37">
        <v>99278</v>
      </c>
      <c r="B1766" s="37" t="s">
        <v>7504</v>
      </c>
      <c r="C1766" s="37" t="s">
        <v>6</v>
      </c>
      <c r="D1766" s="326">
        <v>349.8</v>
      </c>
    </row>
    <row r="1767" spans="1:4" ht="13.5">
      <c r="A1767" s="37">
        <v>99279</v>
      </c>
      <c r="B1767" s="37" t="s">
        <v>16916</v>
      </c>
      <c r="C1767" s="37" t="s">
        <v>7</v>
      </c>
      <c r="D1767" s="38">
        <v>5895.07</v>
      </c>
    </row>
    <row r="1768" spans="1:4" ht="13.5">
      <c r="A1768" s="37">
        <v>99280</v>
      </c>
      <c r="B1768" s="37" t="s">
        <v>16917</v>
      </c>
      <c r="C1768" s="37" t="s">
        <v>7</v>
      </c>
      <c r="D1768" s="38">
        <v>1913.69</v>
      </c>
    </row>
    <row r="1769" spans="1:4" ht="13.5">
      <c r="A1769" s="37">
        <v>99281</v>
      </c>
      <c r="B1769" s="37" t="s">
        <v>7505</v>
      </c>
      <c r="C1769" s="37" t="s">
        <v>6</v>
      </c>
      <c r="D1769" s="38">
        <v>2338.33</v>
      </c>
    </row>
    <row r="1770" spans="1:4" ht="13.5">
      <c r="A1770" s="37">
        <v>99282</v>
      </c>
      <c r="B1770" s="37" t="s">
        <v>7506</v>
      </c>
      <c r="C1770" s="37" t="s">
        <v>6</v>
      </c>
      <c r="D1770" s="38">
        <v>2591.0100000000002</v>
      </c>
    </row>
    <row r="1771" spans="1:4" ht="13.5">
      <c r="A1771" s="37">
        <v>99283</v>
      </c>
      <c r="B1771" s="37" t="s">
        <v>7507</v>
      </c>
      <c r="C1771" s="37" t="s">
        <v>6</v>
      </c>
      <c r="D1771" s="326">
        <v>985.68</v>
      </c>
    </row>
    <row r="1772" spans="1:4" ht="13.5">
      <c r="A1772" s="37">
        <v>99284</v>
      </c>
      <c r="B1772" s="37" t="s">
        <v>16918</v>
      </c>
      <c r="C1772" s="37" t="s">
        <v>7</v>
      </c>
      <c r="D1772" s="38">
        <v>7361.34</v>
      </c>
    </row>
    <row r="1773" spans="1:4" ht="13.5">
      <c r="A1773" s="37">
        <v>99285</v>
      </c>
      <c r="B1773" s="37" t="s">
        <v>16919</v>
      </c>
      <c r="C1773" s="37" t="s">
        <v>7</v>
      </c>
      <c r="D1773" s="38">
        <v>1225.9000000000001</v>
      </c>
    </row>
    <row r="1774" spans="1:4" ht="13.5">
      <c r="A1774" s="37">
        <v>99286</v>
      </c>
      <c r="B1774" s="37" t="s">
        <v>16920</v>
      </c>
      <c r="C1774" s="37" t="s">
        <v>7</v>
      </c>
      <c r="D1774" s="38">
        <v>6565.41</v>
      </c>
    </row>
    <row r="1775" spans="1:4" ht="13.5">
      <c r="A1775" s="37">
        <v>99287</v>
      </c>
      <c r="B1775" s="37" t="s">
        <v>16921</v>
      </c>
      <c r="C1775" s="37" t="s">
        <v>7</v>
      </c>
      <c r="D1775" s="38">
        <v>9316.6200000000008</v>
      </c>
    </row>
    <row r="1776" spans="1:4" ht="13.5">
      <c r="A1776" s="37">
        <v>99288</v>
      </c>
      <c r="B1776" s="37" t="s">
        <v>7508</v>
      </c>
      <c r="C1776" s="37" t="s">
        <v>6</v>
      </c>
      <c r="D1776" s="326">
        <v>460.81</v>
      </c>
    </row>
    <row r="1777" spans="1:4" ht="13.5">
      <c r="A1777" s="37">
        <v>99289</v>
      </c>
      <c r="B1777" s="37" t="s">
        <v>7509</v>
      </c>
      <c r="C1777" s="37" t="s">
        <v>6</v>
      </c>
      <c r="D1777" s="38">
        <v>2568.19</v>
      </c>
    </row>
    <row r="1778" spans="1:4" ht="13.5">
      <c r="A1778" s="37">
        <v>99290</v>
      </c>
      <c r="B1778" s="37" t="s">
        <v>16922</v>
      </c>
      <c r="C1778" s="37" t="s">
        <v>7</v>
      </c>
      <c r="D1778" s="38">
        <v>3959.91</v>
      </c>
    </row>
    <row r="1779" spans="1:4" ht="13.5">
      <c r="A1779" s="37">
        <v>99291</v>
      </c>
      <c r="B1779" s="37" t="s">
        <v>7510</v>
      </c>
      <c r="C1779" s="37" t="s">
        <v>6</v>
      </c>
      <c r="D1779" s="38">
        <v>2568.19</v>
      </c>
    </row>
    <row r="1780" spans="1:4" ht="13.5">
      <c r="A1780" s="37">
        <v>99292</v>
      </c>
      <c r="B1780" s="37" t="s">
        <v>16923</v>
      </c>
      <c r="C1780" s="37" t="s">
        <v>7</v>
      </c>
      <c r="D1780" s="38">
        <v>2364.67</v>
      </c>
    </row>
    <row r="1781" spans="1:4" ht="13.5">
      <c r="A1781" s="37">
        <v>99293</v>
      </c>
      <c r="B1781" s="37" t="s">
        <v>7511</v>
      </c>
      <c r="C1781" s="37" t="s">
        <v>6</v>
      </c>
      <c r="D1781" s="38">
        <v>1190.51</v>
      </c>
    </row>
    <row r="1782" spans="1:4" ht="13.5">
      <c r="A1782" s="37">
        <v>99294</v>
      </c>
      <c r="B1782" s="37" t="s">
        <v>16924</v>
      </c>
      <c r="C1782" s="37" t="s">
        <v>7</v>
      </c>
      <c r="D1782" s="38">
        <v>8205.18</v>
      </c>
    </row>
    <row r="1783" spans="1:4" ht="13.5">
      <c r="A1783" s="37">
        <v>99296</v>
      </c>
      <c r="B1783" s="37" t="s">
        <v>7512</v>
      </c>
      <c r="C1783" s="37" t="s">
        <v>6</v>
      </c>
      <c r="D1783" s="38">
        <v>2820.87</v>
      </c>
    </row>
    <row r="1784" spans="1:4" ht="13.5">
      <c r="A1784" s="37">
        <v>99297</v>
      </c>
      <c r="B1784" s="37" t="s">
        <v>7513</v>
      </c>
      <c r="C1784" s="37" t="s">
        <v>6</v>
      </c>
      <c r="D1784" s="38">
        <v>2816.94</v>
      </c>
    </row>
    <row r="1785" spans="1:4" ht="13.5">
      <c r="A1785" s="37">
        <v>99298</v>
      </c>
      <c r="B1785" s="37" t="s">
        <v>16925</v>
      </c>
      <c r="C1785" s="37" t="s">
        <v>7</v>
      </c>
      <c r="D1785" s="38">
        <v>10537.5</v>
      </c>
    </row>
    <row r="1786" spans="1:4" ht="13.5">
      <c r="A1786" s="37">
        <v>99299</v>
      </c>
      <c r="B1786" s="37" t="s">
        <v>7514</v>
      </c>
      <c r="C1786" s="37" t="s">
        <v>6</v>
      </c>
      <c r="D1786" s="38">
        <v>3050.7</v>
      </c>
    </row>
    <row r="1787" spans="1:4" ht="13.5">
      <c r="A1787" s="37">
        <v>99300</v>
      </c>
      <c r="B1787" s="37" t="s">
        <v>16926</v>
      </c>
      <c r="C1787" s="37" t="s">
        <v>7</v>
      </c>
      <c r="D1787" s="38">
        <v>11758.35</v>
      </c>
    </row>
    <row r="1788" spans="1:4" ht="13.5">
      <c r="A1788" s="37">
        <v>99301</v>
      </c>
      <c r="B1788" s="37" t="s">
        <v>16927</v>
      </c>
      <c r="C1788" s="37" t="s">
        <v>7</v>
      </c>
      <c r="D1788" s="38">
        <v>5835.65</v>
      </c>
    </row>
    <row r="1789" spans="1:4" ht="13.5">
      <c r="A1789" s="37">
        <v>99302</v>
      </c>
      <c r="B1789" s="37" t="s">
        <v>7515</v>
      </c>
      <c r="C1789" s="37" t="s">
        <v>6</v>
      </c>
      <c r="D1789" s="38">
        <v>3284.49</v>
      </c>
    </row>
    <row r="1790" spans="1:4" ht="13.5">
      <c r="A1790" s="37">
        <v>99303</v>
      </c>
      <c r="B1790" s="37" t="s">
        <v>16928</v>
      </c>
      <c r="C1790" s="37" t="s">
        <v>7</v>
      </c>
      <c r="D1790" s="38">
        <v>10761.2</v>
      </c>
    </row>
    <row r="1791" spans="1:4" ht="13.5">
      <c r="A1791" s="37">
        <v>99304</v>
      </c>
      <c r="B1791" s="37" t="s">
        <v>7516</v>
      </c>
      <c r="C1791" s="37" t="s">
        <v>6</v>
      </c>
      <c r="D1791" s="38">
        <v>3054.64</v>
      </c>
    </row>
    <row r="1792" spans="1:4" ht="13.5">
      <c r="A1792" s="37">
        <v>99305</v>
      </c>
      <c r="B1792" s="37" t="s">
        <v>16929</v>
      </c>
      <c r="C1792" s="37" t="s">
        <v>7</v>
      </c>
      <c r="D1792" s="38">
        <v>12165.88</v>
      </c>
    </row>
    <row r="1793" spans="1:4" ht="13.5">
      <c r="A1793" s="37">
        <v>99306</v>
      </c>
      <c r="B1793" s="37" t="s">
        <v>7517</v>
      </c>
      <c r="C1793" s="37" t="s">
        <v>6</v>
      </c>
      <c r="D1793" s="38">
        <v>3284.49</v>
      </c>
    </row>
    <row r="1794" spans="1:4" ht="13.5">
      <c r="A1794" s="37">
        <v>99307</v>
      </c>
      <c r="B1794" s="37" t="s">
        <v>7518</v>
      </c>
      <c r="C1794" s="37" t="s">
        <v>6</v>
      </c>
      <c r="D1794" s="38">
        <v>2127.2800000000002</v>
      </c>
    </row>
    <row r="1795" spans="1:4" ht="13.5">
      <c r="A1795" s="37">
        <v>99308</v>
      </c>
      <c r="B1795" s="37" t="s">
        <v>16930</v>
      </c>
      <c r="C1795" s="37" t="s">
        <v>7</v>
      </c>
      <c r="D1795" s="38">
        <v>13570.6</v>
      </c>
    </row>
    <row r="1796" spans="1:4" ht="13.5">
      <c r="A1796" s="37">
        <v>99309</v>
      </c>
      <c r="B1796" s="37" t="s">
        <v>7519</v>
      </c>
      <c r="C1796" s="37" t="s">
        <v>6</v>
      </c>
      <c r="D1796" s="38">
        <v>3518.35</v>
      </c>
    </row>
    <row r="1797" spans="1:4" ht="13.5">
      <c r="A1797" s="37">
        <v>99310</v>
      </c>
      <c r="B1797" s="37" t="s">
        <v>16931</v>
      </c>
      <c r="C1797" s="37" t="s">
        <v>7</v>
      </c>
      <c r="D1797" s="38">
        <v>13794.35</v>
      </c>
    </row>
    <row r="1798" spans="1:4" ht="13.5">
      <c r="A1798" s="37">
        <v>99311</v>
      </c>
      <c r="B1798" s="37" t="s">
        <v>7520</v>
      </c>
      <c r="C1798" s="37" t="s">
        <v>6</v>
      </c>
      <c r="D1798" s="38">
        <v>3518.35</v>
      </c>
    </row>
    <row r="1799" spans="1:4" ht="13.5">
      <c r="A1799" s="37">
        <v>99312</v>
      </c>
      <c r="B1799" s="37" t="s">
        <v>16932</v>
      </c>
      <c r="C1799" s="37" t="s">
        <v>7</v>
      </c>
      <c r="D1799" s="38">
        <v>6841.38</v>
      </c>
    </row>
    <row r="1800" spans="1:4" ht="13.5">
      <c r="A1800" s="37">
        <v>99313</v>
      </c>
      <c r="B1800" s="37" t="s">
        <v>16933</v>
      </c>
      <c r="C1800" s="37" t="s">
        <v>7</v>
      </c>
      <c r="D1800" s="38">
        <v>15382.75</v>
      </c>
    </row>
    <row r="1801" spans="1:4" ht="13.5">
      <c r="A1801" s="37">
        <v>99314</v>
      </c>
      <c r="B1801" s="37" t="s">
        <v>7521</v>
      </c>
      <c r="C1801" s="37" t="s">
        <v>6</v>
      </c>
      <c r="D1801" s="38">
        <v>3752.16</v>
      </c>
    </row>
    <row r="1802" spans="1:4" ht="13.5">
      <c r="A1802" s="37">
        <v>99315</v>
      </c>
      <c r="B1802" s="37" t="s">
        <v>16934</v>
      </c>
      <c r="C1802" s="37" t="s">
        <v>7</v>
      </c>
      <c r="D1802" s="38">
        <v>17195</v>
      </c>
    </row>
    <row r="1803" spans="1:4" ht="13.5">
      <c r="A1803" s="37">
        <v>99317</v>
      </c>
      <c r="B1803" s="37" t="s">
        <v>7522</v>
      </c>
      <c r="C1803" s="37" t="s">
        <v>6</v>
      </c>
      <c r="D1803" s="38">
        <v>2357.15</v>
      </c>
    </row>
    <row r="1804" spans="1:4" ht="13.5">
      <c r="A1804" s="37">
        <v>99318</v>
      </c>
      <c r="B1804" s="37" t="s">
        <v>7523</v>
      </c>
      <c r="C1804" s="37" t="s">
        <v>6</v>
      </c>
      <c r="D1804" s="326">
        <v>254.94</v>
      </c>
    </row>
    <row r="1805" spans="1:4" ht="13.5">
      <c r="A1805" s="37">
        <v>99319</v>
      </c>
      <c r="B1805" s="37" t="s">
        <v>7524</v>
      </c>
      <c r="C1805" s="37" t="s">
        <v>6</v>
      </c>
      <c r="D1805" s="326">
        <v>795.09</v>
      </c>
    </row>
    <row r="1806" spans="1:4" ht="13.5">
      <c r="A1806" s="37">
        <v>99320</v>
      </c>
      <c r="B1806" s="37" t="s">
        <v>16935</v>
      </c>
      <c r="C1806" s="37" t="s">
        <v>7</v>
      </c>
      <c r="D1806" s="38">
        <v>7904.25</v>
      </c>
    </row>
    <row r="1807" spans="1:4" ht="13.5">
      <c r="A1807" s="37">
        <v>99321</v>
      </c>
      <c r="B1807" s="37" t="s">
        <v>7525</v>
      </c>
      <c r="C1807" s="37" t="s">
        <v>6</v>
      </c>
      <c r="D1807" s="38">
        <v>2587.0700000000002</v>
      </c>
    </row>
    <row r="1808" spans="1:4" ht="13.5">
      <c r="A1808" s="37">
        <v>99322</v>
      </c>
      <c r="B1808" s="37" t="s">
        <v>16936</v>
      </c>
      <c r="C1808" s="37" t="s">
        <v>7</v>
      </c>
      <c r="D1808" s="38">
        <v>8917.18</v>
      </c>
    </row>
    <row r="1809" spans="1:4" ht="13.5">
      <c r="A1809" s="37">
        <v>99323</v>
      </c>
      <c r="B1809" s="37" t="s">
        <v>7526</v>
      </c>
      <c r="C1809" s="37" t="s">
        <v>6</v>
      </c>
      <c r="D1809" s="38">
        <v>2816.94</v>
      </c>
    </row>
    <row r="1810" spans="1:4" ht="13.5">
      <c r="A1810" s="37">
        <v>99324</v>
      </c>
      <c r="B1810" s="37" t="s">
        <v>16937</v>
      </c>
      <c r="C1810" s="37" t="s">
        <v>7</v>
      </c>
      <c r="D1810" s="38">
        <v>9930.15</v>
      </c>
    </row>
    <row r="1811" spans="1:4" ht="13.5">
      <c r="A1811" s="37">
        <v>99325</v>
      </c>
      <c r="B1811" s="37" t="s">
        <v>7527</v>
      </c>
      <c r="C1811" s="37" t="s">
        <v>6</v>
      </c>
      <c r="D1811" s="38">
        <v>3050.7</v>
      </c>
    </row>
    <row r="1812" spans="1:4" ht="13.5">
      <c r="A1812" s="37">
        <v>99326</v>
      </c>
      <c r="B1812" s="37" t="s">
        <v>16938</v>
      </c>
      <c r="C1812" s="37" t="s">
        <v>7</v>
      </c>
      <c r="D1812" s="38">
        <v>8095.79</v>
      </c>
    </row>
    <row r="1813" spans="1:4" ht="13.5">
      <c r="A1813" s="37">
        <v>99327</v>
      </c>
      <c r="B1813" s="37" t="s">
        <v>7528</v>
      </c>
      <c r="C1813" s="37" t="s">
        <v>6</v>
      </c>
      <c r="D1813" s="38">
        <v>3947.54</v>
      </c>
    </row>
    <row r="1814" spans="1:4" ht="13.5">
      <c r="A1814" s="37">
        <v>101800</v>
      </c>
      <c r="B1814" s="37" t="s">
        <v>7529</v>
      </c>
      <c r="C1814" s="37" t="s">
        <v>7</v>
      </c>
      <c r="D1814" s="38">
        <v>1365.96</v>
      </c>
    </row>
    <row r="1815" spans="1:4" ht="13.5">
      <c r="A1815" s="37">
        <v>101801</v>
      </c>
      <c r="B1815" s="37" t="s">
        <v>7530</v>
      </c>
      <c r="C1815" s="37" t="s">
        <v>7</v>
      </c>
      <c r="D1815" s="38">
        <v>1036.93</v>
      </c>
    </row>
    <row r="1816" spans="1:4" ht="13.5">
      <c r="A1816" s="37">
        <v>101806</v>
      </c>
      <c r="B1816" s="37" t="s">
        <v>15338</v>
      </c>
      <c r="C1816" s="37" t="s">
        <v>7</v>
      </c>
      <c r="D1816" s="326">
        <v>492.22</v>
      </c>
    </row>
    <row r="1817" spans="1:4" ht="13.5">
      <c r="A1817" s="37">
        <v>101807</v>
      </c>
      <c r="B1817" s="37" t="s">
        <v>15339</v>
      </c>
      <c r="C1817" s="37" t="s">
        <v>7</v>
      </c>
      <c r="D1817" s="326">
        <v>466.01</v>
      </c>
    </row>
    <row r="1818" spans="1:4" ht="13.5">
      <c r="A1818" s="37">
        <v>101808</v>
      </c>
      <c r="B1818" s="37" t="s">
        <v>15340</v>
      </c>
      <c r="C1818" s="37" t="s">
        <v>7</v>
      </c>
      <c r="D1818" s="326">
        <v>486.16</v>
      </c>
    </row>
    <row r="1819" spans="1:4" ht="13.5">
      <c r="A1819" s="37">
        <v>101809</v>
      </c>
      <c r="B1819" s="37" t="s">
        <v>16939</v>
      </c>
      <c r="C1819" s="37" t="s">
        <v>7</v>
      </c>
      <c r="D1819" s="38">
        <v>2961.24</v>
      </c>
    </row>
    <row r="1820" spans="1:4" ht="13.5">
      <c r="A1820" s="37">
        <v>102139</v>
      </c>
      <c r="B1820" s="37" t="s">
        <v>16940</v>
      </c>
      <c r="C1820" s="37" t="s">
        <v>7</v>
      </c>
      <c r="D1820" s="38">
        <v>1630.22</v>
      </c>
    </row>
    <row r="1821" spans="1:4" ht="13.5">
      <c r="A1821" s="37">
        <v>102141</v>
      </c>
      <c r="B1821" s="37" t="s">
        <v>16941</v>
      </c>
      <c r="C1821" s="37" t="s">
        <v>7</v>
      </c>
      <c r="D1821" s="38">
        <v>2490.2199999999998</v>
      </c>
    </row>
    <row r="1822" spans="1:4" ht="13.5">
      <c r="A1822" s="37">
        <v>102142</v>
      </c>
      <c r="B1822" s="37" t="s">
        <v>16942</v>
      </c>
      <c r="C1822" s="37" t="s">
        <v>7</v>
      </c>
      <c r="D1822" s="38">
        <v>2455.15</v>
      </c>
    </row>
    <row r="1823" spans="1:4" ht="13.5">
      <c r="A1823" s="37">
        <v>102457</v>
      </c>
      <c r="B1823" s="37" t="s">
        <v>16943</v>
      </c>
      <c r="C1823" s="37" t="s">
        <v>7</v>
      </c>
      <c r="D1823" s="38">
        <v>1535.13</v>
      </c>
    </row>
    <row r="1824" spans="1:4" ht="13.5">
      <c r="A1824" s="37">
        <v>94263</v>
      </c>
      <c r="B1824" s="37" t="s">
        <v>3464</v>
      </c>
      <c r="C1824" s="37" t="s">
        <v>6</v>
      </c>
      <c r="D1824" s="326">
        <v>33.74</v>
      </c>
    </row>
    <row r="1825" spans="1:4" ht="13.5">
      <c r="A1825" s="37">
        <v>94264</v>
      </c>
      <c r="B1825" s="37" t="s">
        <v>3465</v>
      </c>
      <c r="C1825" s="37" t="s">
        <v>6</v>
      </c>
      <c r="D1825" s="326">
        <v>37.130000000000003</v>
      </c>
    </row>
    <row r="1826" spans="1:4" ht="13.5">
      <c r="A1826" s="37">
        <v>94265</v>
      </c>
      <c r="B1826" s="37" t="s">
        <v>3466</v>
      </c>
      <c r="C1826" s="37" t="s">
        <v>6</v>
      </c>
      <c r="D1826" s="326">
        <v>45.34</v>
      </c>
    </row>
    <row r="1827" spans="1:4" ht="13.5">
      <c r="A1827" s="37">
        <v>94266</v>
      </c>
      <c r="B1827" s="37" t="s">
        <v>3467</v>
      </c>
      <c r="C1827" s="37" t="s">
        <v>6</v>
      </c>
      <c r="D1827" s="326">
        <v>49.22</v>
      </c>
    </row>
    <row r="1828" spans="1:4" ht="13.5">
      <c r="A1828" s="37">
        <v>94267</v>
      </c>
      <c r="B1828" s="37" t="s">
        <v>3468</v>
      </c>
      <c r="C1828" s="37" t="s">
        <v>6</v>
      </c>
      <c r="D1828" s="326">
        <v>54.2</v>
      </c>
    </row>
    <row r="1829" spans="1:4" ht="13.5">
      <c r="A1829" s="37">
        <v>94268</v>
      </c>
      <c r="B1829" s="37" t="s">
        <v>3469</v>
      </c>
      <c r="C1829" s="37" t="s">
        <v>6</v>
      </c>
      <c r="D1829" s="326">
        <v>58.47</v>
      </c>
    </row>
    <row r="1830" spans="1:4" ht="13.5">
      <c r="A1830" s="37">
        <v>94269</v>
      </c>
      <c r="B1830" s="37" t="s">
        <v>3470</v>
      </c>
      <c r="C1830" s="37" t="s">
        <v>6</v>
      </c>
      <c r="D1830" s="326">
        <v>78.349999999999994</v>
      </c>
    </row>
    <row r="1831" spans="1:4" ht="13.5">
      <c r="A1831" s="37">
        <v>94270</v>
      </c>
      <c r="B1831" s="37" t="s">
        <v>3471</v>
      </c>
      <c r="C1831" s="37" t="s">
        <v>6</v>
      </c>
      <c r="D1831" s="326">
        <v>84.29</v>
      </c>
    </row>
    <row r="1832" spans="1:4" ht="13.5">
      <c r="A1832" s="37">
        <v>94271</v>
      </c>
      <c r="B1832" s="37" t="s">
        <v>16944</v>
      </c>
      <c r="C1832" s="37" t="s">
        <v>6</v>
      </c>
      <c r="D1832" s="326">
        <v>95.62</v>
      </c>
    </row>
    <row r="1833" spans="1:4" ht="13.5">
      <c r="A1833" s="37">
        <v>94272</v>
      </c>
      <c r="B1833" s="37" t="s">
        <v>3472</v>
      </c>
      <c r="C1833" s="37" t="s">
        <v>6</v>
      </c>
      <c r="D1833" s="326">
        <v>103.55</v>
      </c>
    </row>
    <row r="1834" spans="1:4" ht="13.5">
      <c r="A1834" s="37">
        <v>94273</v>
      </c>
      <c r="B1834" s="37" t="s">
        <v>3473</v>
      </c>
      <c r="C1834" s="37" t="s">
        <v>6</v>
      </c>
      <c r="D1834" s="326">
        <v>56.87</v>
      </c>
    </row>
    <row r="1835" spans="1:4" ht="13.5">
      <c r="A1835" s="37">
        <v>94274</v>
      </c>
      <c r="B1835" s="37" t="s">
        <v>3474</v>
      </c>
      <c r="C1835" s="37" t="s">
        <v>6</v>
      </c>
      <c r="D1835" s="326">
        <v>60.86</v>
      </c>
    </row>
    <row r="1836" spans="1:4" ht="13.5">
      <c r="A1836" s="37">
        <v>94275</v>
      </c>
      <c r="B1836" s="37" t="s">
        <v>16945</v>
      </c>
      <c r="C1836" s="37" t="s">
        <v>6</v>
      </c>
      <c r="D1836" s="326">
        <v>51.22</v>
      </c>
    </row>
    <row r="1837" spans="1:4" ht="13.5">
      <c r="A1837" s="37">
        <v>94276</v>
      </c>
      <c r="B1837" s="37" t="s">
        <v>16946</v>
      </c>
      <c r="C1837" s="37" t="s">
        <v>6</v>
      </c>
      <c r="D1837" s="326">
        <v>55.19</v>
      </c>
    </row>
    <row r="1838" spans="1:4" ht="13.5">
      <c r="A1838" s="37">
        <v>94277</v>
      </c>
      <c r="B1838" s="37" t="s">
        <v>7531</v>
      </c>
      <c r="C1838" s="37" t="s">
        <v>6</v>
      </c>
      <c r="D1838" s="326">
        <v>45.05</v>
      </c>
    </row>
    <row r="1839" spans="1:4" ht="13.5">
      <c r="A1839" s="37">
        <v>94278</v>
      </c>
      <c r="B1839" s="37" t="s">
        <v>7532</v>
      </c>
      <c r="C1839" s="37" t="s">
        <v>6</v>
      </c>
      <c r="D1839" s="326">
        <v>49.03</v>
      </c>
    </row>
    <row r="1840" spans="1:4" ht="13.5">
      <c r="A1840" s="37">
        <v>94279</v>
      </c>
      <c r="B1840" s="37" t="s">
        <v>7533</v>
      </c>
      <c r="C1840" s="37" t="s">
        <v>6</v>
      </c>
      <c r="D1840" s="326">
        <v>52.87</v>
      </c>
    </row>
    <row r="1841" spans="1:4" ht="13.5">
      <c r="A1841" s="37">
        <v>94280</v>
      </c>
      <c r="B1841" s="37" t="s">
        <v>7534</v>
      </c>
      <c r="C1841" s="37" t="s">
        <v>6</v>
      </c>
      <c r="D1841" s="326">
        <v>56.85</v>
      </c>
    </row>
    <row r="1842" spans="1:4" ht="13.5">
      <c r="A1842" s="37">
        <v>94281</v>
      </c>
      <c r="B1842" s="37" t="s">
        <v>3475</v>
      </c>
      <c r="C1842" s="37" t="s">
        <v>6</v>
      </c>
      <c r="D1842" s="326">
        <v>56.26</v>
      </c>
    </row>
    <row r="1843" spans="1:4" ht="13.5">
      <c r="A1843" s="37">
        <v>94282</v>
      </c>
      <c r="B1843" s="37" t="s">
        <v>3476</v>
      </c>
      <c r="C1843" s="37" t="s">
        <v>6</v>
      </c>
      <c r="D1843" s="326">
        <v>68.39</v>
      </c>
    </row>
    <row r="1844" spans="1:4" ht="13.5">
      <c r="A1844" s="37">
        <v>94283</v>
      </c>
      <c r="B1844" s="37" t="s">
        <v>3477</v>
      </c>
      <c r="C1844" s="37" t="s">
        <v>6</v>
      </c>
      <c r="D1844" s="326">
        <v>73.290000000000006</v>
      </c>
    </row>
    <row r="1845" spans="1:4" ht="13.5">
      <c r="A1845" s="37">
        <v>94284</v>
      </c>
      <c r="B1845" s="37" t="s">
        <v>3478</v>
      </c>
      <c r="C1845" s="37" t="s">
        <v>6</v>
      </c>
      <c r="D1845" s="326">
        <v>85.42</v>
      </c>
    </row>
    <row r="1846" spans="1:4" ht="13.5">
      <c r="A1846" s="37">
        <v>94285</v>
      </c>
      <c r="B1846" s="37" t="s">
        <v>3479</v>
      </c>
      <c r="C1846" s="37" t="s">
        <v>6</v>
      </c>
      <c r="D1846" s="326">
        <v>89.75</v>
      </c>
    </row>
    <row r="1847" spans="1:4" ht="13.5">
      <c r="A1847" s="37">
        <v>94286</v>
      </c>
      <c r="B1847" s="37" t="s">
        <v>3480</v>
      </c>
      <c r="C1847" s="37" t="s">
        <v>6</v>
      </c>
      <c r="D1847" s="326">
        <v>101.88</v>
      </c>
    </row>
    <row r="1848" spans="1:4" ht="13.5">
      <c r="A1848" s="37">
        <v>94287</v>
      </c>
      <c r="B1848" s="37" t="s">
        <v>3481</v>
      </c>
      <c r="C1848" s="37" t="s">
        <v>6</v>
      </c>
      <c r="D1848" s="326">
        <v>43.23</v>
      </c>
    </row>
    <row r="1849" spans="1:4" ht="13.5">
      <c r="A1849" s="37">
        <v>94288</v>
      </c>
      <c r="B1849" s="37" t="s">
        <v>3482</v>
      </c>
      <c r="C1849" s="37" t="s">
        <v>6</v>
      </c>
      <c r="D1849" s="326">
        <v>53.84</v>
      </c>
    </row>
    <row r="1850" spans="1:4" ht="13.5">
      <c r="A1850" s="37">
        <v>94289</v>
      </c>
      <c r="B1850" s="37" t="s">
        <v>3483</v>
      </c>
      <c r="C1850" s="37" t="s">
        <v>6</v>
      </c>
      <c r="D1850" s="326">
        <v>55.35</v>
      </c>
    </row>
    <row r="1851" spans="1:4" ht="13.5">
      <c r="A1851" s="37">
        <v>94290</v>
      </c>
      <c r="B1851" s="37" t="s">
        <v>3484</v>
      </c>
      <c r="C1851" s="37" t="s">
        <v>6</v>
      </c>
      <c r="D1851" s="326">
        <v>65.959999999999994</v>
      </c>
    </row>
    <row r="1852" spans="1:4" ht="13.5">
      <c r="A1852" s="37">
        <v>94291</v>
      </c>
      <c r="B1852" s="37" t="s">
        <v>3485</v>
      </c>
      <c r="C1852" s="37" t="s">
        <v>6</v>
      </c>
      <c r="D1852" s="326">
        <v>66.930000000000007</v>
      </c>
    </row>
    <row r="1853" spans="1:4" ht="13.5">
      <c r="A1853" s="37">
        <v>94292</v>
      </c>
      <c r="B1853" s="37" t="s">
        <v>3486</v>
      </c>
      <c r="C1853" s="37" t="s">
        <v>6</v>
      </c>
      <c r="D1853" s="326">
        <v>77.53</v>
      </c>
    </row>
    <row r="1854" spans="1:4" ht="13.5">
      <c r="A1854" s="37">
        <v>94293</v>
      </c>
      <c r="B1854" s="37" t="s">
        <v>3487</v>
      </c>
      <c r="C1854" s="37" t="s">
        <v>6</v>
      </c>
      <c r="D1854" s="326">
        <v>180.63</v>
      </c>
    </row>
    <row r="1855" spans="1:4" ht="13.5">
      <c r="A1855" s="37">
        <v>94294</v>
      </c>
      <c r="B1855" s="37" t="s">
        <v>3488</v>
      </c>
      <c r="C1855" s="37" t="s">
        <v>6</v>
      </c>
      <c r="D1855" s="326">
        <v>8.8000000000000007</v>
      </c>
    </row>
    <row r="1856" spans="1:4" ht="13.5">
      <c r="A1856" s="37">
        <v>104491</v>
      </c>
      <c r="B1856" s="37" t="s">
        <v>16947</v>
      </c>
      <c r="C1856" s="37" t="s">
        <v>6</v>
      </c>
      <c r="D1856" s="38">
        <v>3457.89</v>
      </c>
    </row>
    <row r="1857" spans="1:4" ht="13.5">
      <c r="A1857" s="37">
        <v>104492</v>
      </c>
      <c r="B1857" s="37" t="s">
        <v>16948</v>
      </c>
      <c r="C1857" s="37" t="s">
        <v>6</v>
      </c>
      <c r="D1857" s="38">
        <v>4321.8599999999997</v>
      </c>
    </row>
    <row r="1858" spans="1:4" ht="13.5">
      <c r="A1858" s="37">
        <v>104494</v>
      </c>
      <c r="B1858" s="37" t="s">
        <v>16949</v>
      </c>
      <c r="C1858" s="37" t="s">
        <v>6</v>
      </c>
      <c r="D1858" s="38">
        <v>5835.15</v>
      </c>
    </row>
    <row r="1859" spans="1:4" ht="13.5">
      <c r="A1859" s="37">
        <v>104497</v>
      </c>
      <c r="B1859" s="37" t="s">
        <v>16950</v>
      </c>
      <c r="C1859" s="37" t="s">
        <v>6</v>
      </c>
      <c r="D1859" s="38">
        <v>7011.53</v>
      </c>
    </row>
    <row r="1860" spans="1:4" ht="13.5">
      <c r="A1860" s="37">
        <v>104515</v>
      </c>
      <c r="B1860" s="37" t="s">
        <v>16951</v>
      </c>
      <c r="C1860" s="37" t="s">
        <v>9</v>
      </c>
      <c r="D1860" s="326">
        <v>27.78</v>
      </c>
    </row>
    <row r="1861" spans="1:4" ht="13.5">
      <c r="A1861" s="37">
        <v>102727</v>
      </c>
      <c r="B1861" s="37" t="s">
        <v>7535</v>
      </c>
      <c r="C1861" s="37" t="s">
        <v>9</v>
      </c>
      <c r="D1861" s="326">
        <v>101.11</v>
      </c>
    </row>
    <row r="1862" spans="1:4" ht="13.5">
      <c r="A1862" s="37">
        <v>102728</v>
      </c>
      <c r="B1862" s="37" t="s">
        <v>7536</v>
      </c>
      <c r="C1862" s="37" t="s">
        <v>8</v>
      </c>
      <c r="D1862" s="326">
        <v>17.690000000000001</v>
      </c>
    </row>
    <row r="1863" spans="1:4" ht="13.5">
      <c r="A1863" s="37">
        <v>102729</v>
      </c>
      <c r="B1863" s="37" t="s">
        <v>7537</v>
      </c>
      <c r="C1863" s="37" t="s">
        <v>8</v>
      </c>
      <c r="D1863" s="326">
        <v>16.89</v>
      </c>
    </row>
    <row r="1864" spans="1:4" ht="13.5">
      <c r="A1864" s="37">
        <v>102730</v>
      </c>
      <c r="B1864" s="37" t="s">
        <v>7538</v>
      </c>
      <c r="C1864" s="37" t="s">
        <v>8</v>
      </c>
      <c r="D1864" s="326">
        <v>15.22</v>
      </c>
    </row>
    <row r="1865" spans="1:4" ht="13.5">
      <c r="A1865" s="37">
        <v>102731</v>
      </c>
      <c r="B1865" s="37" t="s">
        <v>7539</v>
      </c>
      <c r="C1865" s="37" t="s">
        <v>8</v>
      </c>
      <c r="D1865" s="326">
        <v>12.91</v>
      </c>
    </row>
    <row r="1866" spans="1:4" ht="13.5">
      <c r="A1866" s="37">
        <v>102732</v>
      </c>
      <c r="B1866" s="37" t="s">
        <v>7540</v>
      </c>
      <c r="C1866" s="37" t="s">
        <v>8</v>
      </c>
      <c r="D1866" s="326">
        <v>12.35</v>
      </c>
    </row>
    <row r="1867" spans="1:4" ht="13.5">
      <c r="A1867" s="37">
        <v>102733</v>
      </c>
      <c r="B1867" s="37" t="s">
        <v>7541</v>
      </c>
      <c r="C1867" s="37" t="s">
        <v>8</v>
      </c>
      <c r="D1867" s="326">
        <v>13.93</v>
      </c>
    </row>
    <row r="1868" spans="1:4" ht="13.5">
      <c r="A1868" s="37">
        <v>102734</v>
      </c>
      <c r="B1868" s="37" t="s">
        <v>7542</v>
      </c>
      <c r="C1868" s="37" t="s">
        <v>8</v>
      </c>
      <c r="D1868" s="326">
        <v>16.850000000000001</v>
      </c>
    </row>
    <row r="1869" spans="1:4" ht="13.5">
      <c r="A1869" s="37">
        <v>102735</v>
      </c>
      <c r="B1869" s="37" t="s">
        <v>7543</v>
      </c>
      <c r="C1869" s="37" t="s">
        <v>8</v>
      </c>
      <c r="D1869" s="326">
        <v>16.13</v>
      </c>
    </row>
    <row r="1870" spans="1:4" ht="13.5">
      <c r="A1870" s="37">
        <v>102736</v>
      </c>
      <c r="B1870" s="37" t="s">
        <v>7544</v>
      </c>
      <c r="C1870" s="37" t="s">
        <v>12</v>
      </c>
      <c r="D1870" s="326">
        <v>663.5</v>
      </c>
    </row>
    <row r="1871" spans="1:4" ht="13.5">
      <c r="A1871" s="37">
        <v>102737</v>
      </c>
      <c r="B1871" s="37" t="s">
        <v>7545</v>
      </c>
      <c r="C1871" s="37" t="s">
        <v>7</v>
      </c>
      <c r="D1871" s="38">
        <v>1183.08</v>
      </c>
    </row>
    <row r="1872" spans="1:4" ht="13.5">
      <c r="A1872" s="37">
        <v>102738</v>
      </c>
      <c r="B1872" s="37" t="s">
        <v>7546</v>
      </c>
      <c r="C1872" s="37" t="s">
        <v>7</v>
      </c>
      <c r="D1872" s="38">
        <v>2435.41</v>
      </c>
    </row>
    <row r="1873" spans="1:4" ht="13.5">
      <c r="A1873" s="37">
        <v>102739</v>
      </c>
      <c r="B1873" s="37" t="s">
        <v>7547</v>
      </c>
      <c r="C1873" s="37" t="s">
        <v>7</v>
      </c>
      <c r="D1873" s="38">
        <v>4093.71</v>
      </c>
    </row>
    <row r="1874" spans="1:4" ht="13.5">
      <c r="A1874" s="37">
        <v>102740</v>
      </c>
      <c r="B1874" s="37" t="s">
        <v>7548</v>
      </c>
      <c r="C1874" s="37" t="s">
        <v>7</v>
      </c>
      <c r="D1874" s="38">
        <v>6154.78</v>
      </c>
    </row>
    <row r="1875" spans="1:4" ht="13.5">
      <c r="A1875" s="37">
        <v>102741</v>
      </c>
      <c r="B1875" s="37" t="s">
        <v>7549</v>
      </c>
      <c r="C1875" s="37" t="s">
        <v>7</v>
      </c>
      <c r="D1875" s="38">
        <v>8661.86</v>
      </c>
    </row>
    <row r="1876" spans="1:4" ht="13.5">
      <c r="A1876" s="37">
        <v>102742</v>
      </c>
      <c r="B1876" s="37" t="s">
        <v>7550</v>
      </c>
      <c r="C1876" s="37" t="s">
        <v>7</v>
      </c>
      <c r="D1876" s="38">
        <v>15036.78</v>
      </c>
    </row>
    <row r="1877" spans="1:4" ht="13.5">
      <c r="A1877" s="37">
        <v>102743</v>
      </c>
      <c r="B1877" s="37" t="s">
        <v>7551</v>
      </c>
      <c r="C1877" s="37" t="s">
        <v>7</v>
      </c>
      <c r="D1877" s="38">
        <v>4950.41</v>
      </c>
    </row>
    <row r="1878" spans="1:4" ht="13.5">
      <c r="A1878" s="37">
        <v>102744</v>
      </c>
      <c r="B1878" s="37" t="s">
        <v>7552</v>
      </c>
      <c r="C1878" s="37" t="s">
        <v>7</v>
      </c>
      <c r="D1878" s="38">
        <v>7440.76</v>
      </c>
    </row>
    <row r="1879" spans="1:4" ht="13.5">
      <c r="A1879" s="37">
        <v>102745</v>
      </c>
      <c r="B1879" s="37" t="s">
        <v>7553</v>
      </c>
      <c r="C1879" s="37" t="s">
        <v>7</v>
      </c>
      <c r="D1879" s="38">
        <v>10488.52</v>
      </c>
    </row>
    <row r="1880" spans="1:4" ht="13.5">
      <c r="A1880" s="37">
        <v>102746</v>
      </c>
      <c r="B1880" s="37" t="s">
        <v>7554</v>
      </c>
      <c r="C1880" s="37" t="s">
        <v>7</v>
      </c>
      <c r="D1880" s="38">
        <v>18232.54</v>
      </c>
    </row>
    <row r="1881" spans="1:4" ht="13.5">
      <c r="A1881" s="37">
        <v>102747</v>
      </c>
      <c r="B1881" s="37" t="s">
        <v>7555</v>
      </c>
      <c r="C1881" s="37" t="s">
        <v>7</v>
      </c>
      <c r="D1881" s="38">
        <v>9239.67</v>
      </c>
    </row>
    <row r="1882" spans="1:4" ht="13.5">
      <c r="A1882" s="37">
        <v>102748</v>
      </c>
      <c r="B1882" s="37" t="s">
        <v>7556</v>
      </c>
      <c r="C1882" s="37" t="s">
        <v>7</v>
      </c>
      <c r="D1882" s="38">
        <v>12966.64</v>
      </c>
    </row>
    <row r="1883" spans="1:4" ht="13.5">
      <c r="A1883" s="37">
        <v>102749</v>
      </c>
      <c r="B1883" s="37" t="s">
        <v>7557</v>
      </c>
      <c r="C1883" s="37" t="s">
        <v>7</v>
      </c>
      <c r="D1883" s="38">
        <v>22321.03</v>
      </c>
    </row>
    <row r="1884" spans="1:4" ht="13.5">
      <c r="A1884" s="37">
        <v>102750</v>
      </c>
      <c r="B1884" s="37" t="s">
        <v>7558</v>
      </c>
      <c r="C1884" s="37" t="s">
        <v>7</v>
      </c>
      <c r="D1884" s="38">
        <v>2975.74</v>
      </c>
    </row>
    <row r="1885" spans="1:4" ht="13.5">
      <c r="A1885" s="37">
        <v>102751</v>
      </c>
      <c r="B1885" s="37" t="s">
        <v>7559</v>
      </c>
      <c r="C1885" s="37" t="s">
        <v>7</v>
      </c>
      <c r="D1885" s="38">
        <v>5202.2299999999996</v>
      </c>
    </row>
    <row r="1886" spans="1:4" ht="13.5">
      <c r="A1886" s="37">
        <v>102752</v>
      </c>
      <c r="B1886" s="37" t="s">
        <v>7560</v>
      </c>
      <c r="C1886" s="37" t="s">
        <v>7</v>
      </c>
      <c r="D1886" s="38">
        <v>8324.9599999999991</v>
      </c>
    </row>
    <row r="1887" spans="1:4" ht="13.5">
      <c r="A1887" s="37">
        <v>102753</v>
      </c>
      <c r="B1887" s="37" t="s">
        <v>7561</v>
      </c>
      <c r="C1887" s="37" t="s">
        <v>7</v>
      </c>
      <c r="D1887" s="38">
        <v>12371.34</v>
      </c>
    </row>
    <row r="1888" spans="1:4" ht="13.5">
      <c r="A1888" s="37">
        <v>102754</v>
      </c>
      <c r="B1888" s="37" t="s">
        <v>7562</v>
      </c>
      <c r="C1888" s="37" t="s">
        <v>7</v>
      </c>
      <c r="D1888" s="38">
        <v>23582.35</v>
      </c>
    </row>
    <row r="1889" spans="1:4" ht="13.5">
      <c r="A1889" s="37">
        <v>102755</v>
      </c>
      <c r="B1889" s="37" t="s">
        <v>7563</v>
      </c>
      <c r="C1889" s="37" t="s">
        <v>7</v>
      </c>
      <c r="D1889" s="38">
        <v>11646.94</v>
      </c>
    </row>
    <row r="1890" spans="1:4" ht="13.5">
      <c r="A1890" s="37">
        <v>102756</v>
      </c>
      <c r="B1890" s="37" t="s">
        <v>7564</v>
      </c>
      <c r="C1890" s="37" t="s">
        <v>7</v>
      </c>
      <c r="D1890" s="38">
        <v>17364.86</v>
      </c>
    </row>
    <row r="1891" spans="1:4" ht="13.5">
      <c r="A1891" s="37">
        <v>102757</v>
      </c>
      <c r="B1891" s="37" t="s">
        <v>7565</v>
      </c>
      <c r="C1891" s="37" t="s">
        <v>7</v>
      </c>
      <c r="D1891" s="38">
        <v>32390.33</v>
      </c>
    </row>
    <row r="1892" spans="1:4" ht="13.5">
      <c r="A1892" s="37">
        <v>102758</v>
      </c>
      <c r="B1892" s="37" t="s">
        <v>7566</v>
      </c>
      <c r="C1892" s="37" t="s">
        <v>7</v>
      </c>
      <c r="D1892" s="38">
        <v>14984.97</v>
      </c>
    </row>
    <row r="1893" spans="1:4" ht="13.5">
      <c r="A1893" s="37">
        <v>102759</v>
      </c>
      <c r="B1893" s="37" t="s">
        <v>7567</v>
      </c>
      <c r="C1893" s="37" t="s">
        <v>7</v>
      </c>
      <c r="D1893" s="38">
        <v>22382.799999999999</v>
      </c>
    </row>
    <row r="1894" spans="1:4" ht="13.5">
      <c r="A1894" s="37">
        <v>102760</v>
      </c>
      <c r="B1894" s="37" t="s">
        <v>7568</v>
      </c>
      <c r="C1894" s="37" t="s">
        <v>7</v>
      </c>
      <c r="D1894" s="38">
        <v>41364.42</v>
      </c>
    </row>
    <row r="1895" spans="1:4" ht="13.5">
      <c r="A1895" s="37">
        <v>102761</v>
      </c>
      <c r="B1895" s="37" t="s">
        <v>7569</v>
      </c>
      <c r="C1895" s="37" t="s">
        <v>7</v>
      </c>
      <c r="D1895" s="38">
        <v>14119.66</v>
      </c>
    </row>
    <row r="1896" spans="1:4" ht="13.5">
      <c r="A1896" s="37">
        <v>102762</v>
      </c>
      <c r="B1896" s="37" t="s">
        <v>7570</v>
      </c>
      <c r="C1896" s="37" t="s">
        <v>7</v>
      </c>
      <c r="D1896" s="38">
        <v>21951.25</v>
      </c>
    </row>
    <row r="1897" spans="1:4" ht="13.5">
      <c r="A1897" s="37">
        <v>102763</v>
      </c>
      <c r="B1897" s="37" t="s">
        <v>7571</v>
      </c>
      <c r="C1897" s="37" t="s">
        <v>7</v>
      </c>
      <c r="D1897" s="38">
        <v>30626.560000000001</v>
      </c>
    </row>
    <row r="1898" spans="1:4" ht="13.5">
      <c r="A1898" s="37">
        <v>102764</v>
      </c>
      <c r="B1898" s="37" t="s">
        <v>7572</v>
      </c>
      <c r="C1898" s="37" t="s">
        <v>7</v>
      </c>
      <c r="D1898" s="38">
        <v>43495.58</v>
      </c>
    </row>
    <row r="1899" spans="1:4" ht="13.5">
      <c r="A1899" s="37">
        <v>102765</v>
      </c>
      <c r="B1899" s="37" t="s">
        <v>7573</v>
      </c>
      <c r="C1899" s="37" t="s">
        <v>7</v>
      </c>
      <c r="D1899" s="38">
        <v>17526.21</v>
      </c>
    </row>
    <row r="1900" spans="1:4" ht="13.5">
      <c r="A1900" s="37">
        <v>102766</v>
      </c>
      <c r="B1900" s="37" t="s">
        <v>7574</v>
      </c>
      <c r="C1900" s="37" t="s">
        <v>7</v>
      </c>
      <c r="D1900" s="38">
        <v>26576.66</v>
      </c>
    </row>
    <row r="1901" spans="1:4" ht="13.5">
      <c r="A1901" s="37">
        <v>102767</v>
      </c>
      <c r="B1901" s="37" t="s">
        <v>7575</v>
      </c>
      <c r="C1901" s="37" t="s">
        <v>7</v>
      </c>
      <c r="D1901" s="38">
        <v>37373.120000000003</v>
      </c>
    </row>
    <row r="1902" spans="1:4" ht="13.5">
      <c r="A1902" s="37">
        <v>102768</v>
      </c>
      <c r="B1902" s="37" t="s">
        <v>7576</v>
      </c>
      <c r="C1902" s="37" t="s">
        <v>7</v>
      </c>
      <c r="D1902" s="38">
        <v>52618.879999999997</v>
      </c>
    </row>
    <row r="1903" spans="1:4" ht="13.5">
      <c r="A1903" s="37">
        <v>102769</v>
      </c>
      <c r="B1903" s="37" t="s">
        <v>7577</v>
      </c>
      <c r="C1903" s="37" t="s">
        <v>7</v>
      </c>
      <c r="D1903" s="38">
        <v>20261.57</v>
      </c>
    </row>
    <row r="1904" spans="1:4" ht="13.5">
      <c r="A1904" s="37">
        <v>102770</v>
      </c>
      <c r="B1904" s="37" t="s">
        <v>7578</v>
      </c>
      <c r="C1904" s="37" t="s">
        <v>7</v>
      </c>
      <c r="D1904" s="38">
        <v>31270.400000000001</v>
      </c>
    </row>
    <row r="1905" spans="1:4" ht="13.5">
      <c r="A1905" s="37">
        <v>102771</v>
      </c>
      <c r="B1905" s="37" t="s">
        <v>7579</v>
      </c>
      <c r="C1905" s="37" t="s">
        <v>7</v>
      </c>
      <c r="D1905" s="38">
        <v>43947.37</v>
      </c>
    </row>
    <row r="1906" spans="1:4" ht="13.5">
      <c r="A1906" s="37">
        <v>102772</v>
      </c>
      <c r="B1906" s="37" t="s">
        <v>7580</v>
      </c>
      <c r="C1906" s="37" t="s">
        <v>7</v>
      </c>
      <c r="D1906" s="38">
        <v>62417.16</v>
      </c>
    </row>
    <row r="1907" spans="1:4" ht="13.5">
      <c r="A1907" s="37">
        <v>102773</v>
      </c>
      <c r="B1907" s="37" t="s">
        <v>7581</v>
      </c>
      <c r="C1907" s="37" t="s">
        <v>7</v>
      </c>
      <c r="D1907" s="38">
        <v>8741.2000000000007</v>
      </c>
    </row>
    <row r="1908" spans="1:4" ht="13.5">
      <c r="A1908" s="37">
        <v>102774</v>
      </c>
      <c r="B1908" s="37" t="s">
        <v>7582</v>
      </c>
      <c r="C1908" s="37" t="s">
        <v>7</v>
      </c>
      <c r="D1908" s="38">
        <v>8741.2000000000007</v>
      </c>
    </row>
    <row r="1909" spans="1:4" ht="13.5">
      <c r="A1909" s="37">
        <v>102775</v>
      </c>
      <c r="B1909" s="37" t="s">
        <v>7583</v>
      </c>
      <c r="C1909" s="37" t="s">
        <v>7</v>
      </c>
      <c r="D1909" s="38">
        <v>13094.2</v>
      </c>
    </row>
    <row r="1910" spans="1:4" ht="13.5">
      <c r="A1910" s="37">
        <v>102776</v>
      </c>
      <c r="B1910" s="37" t="s">
        <v>7584</v>
      </c>
      <c r="C1910" s="37" t="s">
        <v>7</v>
      </c>
      <c r="D1910" s="38">
        <v>13094.2</v>
      </c>
    </row>
    <row r="1911" spans="1:4" ht="13.5">
      <c r="A1911" s="37">
        <v>102777</v>
      </c>
      <c r="B1911" s="37" t="s">
        <v>7585</v>
      </c>
      <c r="C1911" s="37" t="s">
        <v>7</v>
      </c>
      <c r="D1911" s="38">
        <v>19848.39</v>
      </c>
    </row>
    <row r="1912" spans="1:4" ht="13.5">
      <c r="A1912" s="37">
        <v>102778</v>
      </c>
      <c r="B1912" s="37" t="s">
        <v>7586</v>
      </c>
      <c r="C1912" s="37" t="s">
        <v>7</v>
      </c>
      <c r="D1912" s="38">
        <v>29959.78</v>
      </c>
    </row>
    <row r="1913" spans="1:4" ht="13.5">
      <c r="A1913" s="37">
        <v>102779</v>
      </c>
      <c r="B1913" s="37" t="s">
        <v>7587</v>
      </c>
      <c r="C1913" s="37" t="s">
        <v>7</v>
      </c>
      <c r="D1913" s="38">
        <v>8741.2000000000007</v>
      </c>
    </row>
    <row r="1914" spans="1:4" ht="13.5">
      <c r="A1914" s="37">
        <v>102780</v>
      </c>
      <c r="B1914" s="37" t="s">
        <v>7588</v>
      </c>
      <c r="C1914" s="37" t="s">
        <v>7</v>
      </c>
      <c r="D1914" s="38">
        <v>10054.14</v>
      </c>
    </row>
    <row r="1915" spans="1:4" ht="13.5">
      <c r="A1915" s="37">
        <v>102781</v>
      </c>
      <c r="B1915" s="37" t="s">
        <v>7589</v>
      </c>
      <c r="C1915" s="37" t="s">
        <v>7</v>
      </c>
      <c r="D1915" s="38">
        <v>14951.26</v>
      </c>
    </row>
    <row r="1916" spans="1:4" ht="13.5">
      <c r="A1916" s="37">
        <v>102782</v>
      </c>
      <c r="B1916" s="37" t="s">
        <v>7590</v>
      </c>
      <c r="C1916" s="37" t="s">
        <v>7</v>
      </c>
      <c r="D1916" s="38">
        <v>16701.41</v>
      </c>
    </row>
    <row r="1917" spans="1:4" ht="13.5">
      <c r="A1917" s="37">
        <v>102783</v>
      </c>
      <c r="B1917" s="37" t="s">
        <v>7591</v>
      </c>
      <c r="C1917" s="37" t="s">
        <v>7</v>
      </c>
      <c r="D1917" s="38">
        <v>22142.66</v>
      </c>
    </row>
    <row r="1918" spans="1:4" ht="13.5">
      <c r="A1918" s="37">
        <v>102784</v>
      </c>
      <c r="B1918" s="37" t="s">
        <v>7592</v>
      </c>
      <c r="C1918" s="37" t="s">
        <v>7</v>
      </c>
      <c r="D1918" s="38">
        <v>35015.47</v>
      </c>
    </row>
    <row r="1919" spans="1:4" ht="13.5">
      <c r="A1919" s="37">
        <v>102785</v>
      </c>
      <c r="B1919" s="37" t="s">
        <v>7593</v>
      </c>
      <c r="C1919" s="37" t="s">
        <v>7</v>
      </c>
      <c r="D1919" s="38">
        <v>10054.14</v>
      </c>
    </row>
    <row r="1920" spans="1:4" ht="13.5">
      <c r="A1920" s="37">
        <v>102786</v>
      </c>
      <c r="B1920" s="37" t="s">
        <v>7594</v>
      </c>
      <c r="C1920" s="37" t="s">
        <v>7</v>
      </c>
      <c r="D1920" s="38">
        <v>11260.16</v>
      </c>
    </row>
    <row r="1921" spans="1:4" ht="13.5">
      <c r="A1921" s="37">
        <v>102787</v>
      </c>
      <c r="B1921" s="37" t="s">
        <v>7595</v>
      </c>
      <c r="C1921" s="37" t="s">
        <v>7</v>
      </c>
      <c r="D1921" s="38">
        <v>16701.41</v>
      </c>
    </row>
    <row r="1922" spans="1:4" ht="13.5">
      <c r="A1922" s="37">
        <v>102788</v>
      </c>
      <c r="B1922" s="37" t="s">
        <v>7596</v>
      </c>
      <c r="C1922" s="37" t="s">
        <v>7</v>
      </c>
      <c r="D1922" s="38">
        <v>18431.5</v>
      </c>
    </row>
    <row r="1923" spans="1:4" ht="13.5">
      <c r="A1923" s="37">
        <v>102789</v>
      </c>
      <c r="B1923" s="37" t="s">
        <v>7597</v>
      </c>
      <c r="C1923" s="37" t="s">
        <v>7</v>
      </c>
      <c r="D1923" s="38">
        <v>24316.639999999999</v>
      </c>
    </row>
    <row r="1924" spans="1:4" ht="13.5">
      <c r="A1924" s="37">
        <v>102790</v>
      </c>
      <c r="B1924" s="37" t="s">
        <v>7598</v>
      </c>
      <c r="C1924" s="37" t="s">
        <v>7</v>
      </c>
      <c r="D1924" s="38">
        <v>40405.29</v>
      </c>
    </row>
    <row r="1925" spans="1:4" ht="13.5">
      <c r="A1925" s="37">
        <v>102791</v>
      </c>
      <c r="B1925" s="37" t="s">
        <v>7599</v>
      </c>
      <c r="C1925" s="37" t="s">
        <v>7</v>
      </c>
      <c r="D1925" s="38">
        <v>32174.48</v>
      </c>
    </row>
    <row r="1926" spans="1:4" ht="13.5">
      <c r="A1926" s="37">
        <v>102792</v>
      </c>
      <c r="B1926" s="37" t="s">
        <v>7600</v>
      </c>
      <c r="C1926" s="37" t="s">
        <v>7</v>
      </c>
      <c r="D1926" s="38">
        <v>52528.79</v>
      </c>
    </row>
    <row r="1927" spans="1:4" ht="13.5">
      <c r="A1927" s="37">
        <v>102793</v>
      </c>
      <c r="B1927" s="37" t="s">
        <v>7601</v>
      </c>
      <c r="C1927" s="37" t="s">
        <v>7</v>
      </c>
      <c r="D1927" s="38">
        <v>70955.509999999995</v>
      </c>
    </row>
    <row r="1928" spans="1:4" ht="13.5">
      <c r="A1928" s="37">
        <v>102794</v>
      </c>
      <c r="B1928" s="37" t="s">
        <v>7602</v>
      </c>
      <c r="C1928" s="37" t="s">
        <v>7</v>
      </c>
      <c r="D1928" s="38">
        <v>101922.99</v>
      </c>
    </row>
    <row r="1929" spans="1:4" ht="13.5">
      <c r="A1929" s="37">
        <v>102795</v>
      </c>
      <c r="B1929" s="37" t="s">
        <v>7603</v>
      </c>
      <c r="C1929" s="37" t="s">
        <v>7</v>
      </c>
      <c r="D1929" s="38">
        <v>34286.18</v>
      </c>
    </row>
    <row r="1930" spans="1:4" ht="13.5">
      <c r="A1930" s="37">
        <v>102796</v>
      </c>
      <c r="B1930" s="37" t="s">
        <v>7604</v>
      </c>
      <c r="C1930" s="37" t="s">
        <v>7</v>
      </c>
      <c r="D1930" s="38">
        <v>55537.22</v>
      </c>
    </row>
    <row r="1931" spans="1:4" ht="13.5">
      <c r="A1931" s="37">
        <v>102797</v>
      </c>
      <c r="B1931" s="37" t="s">
        <v>7605</v>
      </c>
      <c r="C1931" s="37" t="s">
        <v>7</v>
      </c>
      <c r="D1931" s="38">
        <v>78805.23</v>
      </c>
    </row>
    <row r="1932" spans="1:4" ht="13.5">
      <c r="A1932" s="37">
        <v>102798</v>
      </c>
      <c r="B1932" s="37" t="s">
        <v>7606</v>
      </c>
      <c r="C1932" s="37" t="s">
        <v>7</v>
      </c>
      <c r="D1932" s="38">
        <v>96641.77</v>
      </c>
    </row>
    <row r="1933" spans="1:4" ht="13.5">
      <c r="A1933" s="37">
        <v>102799</v>
      </c>
      <c r="B1933" s="37" t="s">
        <v>7607</v>
      </c>
      <c r="C1933" s="37" t="s">
        <v>7</v>
      </c>
      <c r="D1933" s="38">
        <v>35011.68</v>
      </c>
    </row>
    <row r="1934" spans="1:4" ht="13.5">
      <c r="A1934" s="37">
        <v>102800</v>
      </c>
      <c r="B1934" s="37" t="s">
        <v>7608</v>
      </c>
      <c r="C1934" s="37" t="s">
        <v>7</v>
      </c>
      <c r="D1934" s="38">
        <v>60916.9</v>
      </c>
    </row>
    <row r="1935" spans="1:4" ht="13.5">
      <c r="A1935" s="37">
        <v>102801</v>
      </c>
      <c r="B1935" s="37" t="s">
        <v>7609</v>
      </c>
      <c r="C1935" s="37" t="s">
        <v>7</v>
      </c>
      <c r="D1935" s="38">
        <v>85417.66</v>
      </c>
    </row>
    <row r="1936" spans="1:4" ht="13.5">
      <c r="A1936" s="37">
        <v>102802</v>
      </c>
      <c r="B1936" s="37" t="s">
        <v>7610</v>
      </c>
      <c r="C1936" s="37" t="s">
        <v>7</v>
      </c>
      <c r="D1936" s="38">
        <v>102530.73</v>
      </c>
    </row>
    <row r="1937" spans="1:4" ht="13.5">
      <c r="A1937" s="37">
        <v>101570</v>
      </c>
      <c r="B1937" s="37" t="s">
        <v>7611</v>
      </c>
      <c r="C1937" s="37" t="s">
        <v>9</v>
      </c>
      <c r="D1937" s="326">
        <v>22.98</v>
      </c>
    </row>
    <row r="1938" spans="1:4" ht="13.5">
      <c r="A1938" s="37">
        <v>101571</v>
      </c>
      <c r="B1938" s="37" t="s">
        <v>7612</v>
      </c>
      <c r="C1938" s="37" t="s">
        <v>9</v>
      </c>
      <c r="D1938" s="326">
        <v>31.35</v>
      </c>
    </row>
    <row r="1939" spans="1:4" ht="13.5">
      <c r="A1939" s="37">
        <v>101572</v>
      </c>
      <c r="B1939" s="37" t="s">
        <v>7613</v>
      </c>
      <c r="C1939" s="37" t="s">
        <v>9</v>
      </c>
      <c r="D1939" s="326">
        <v>18.010000000000002</v>
      </c>
    </row>
    <row r="1940" spans="1:4" ht="13.5">
      <c r="A1940" s="37">
        <v>101573</v>
      </c>
      <c r="B1940" s="37" t="s">
        <v>7614</v>
      </c>
      <c r="C1940" s="37" t="s">
        <v>9</v>
      </c>
      <c r="D1940" s="326">
        <v>26.39</v>
      </c>
    </row>
    <row r="1941" spans="1:4" ht="13.5">
      <c r="A1941" s="37">
        <v>101574</v>
      </c>
      <c r="B1941" s="37" t="s">
        <v>7615</v>
      </c>
      <c r="C1941" s="37" t="s">
        <v>9</v>
      </c>
      <c r="D1941" s="326">
        <v>13.76</v>
      </c>
    </row>
    <row r="1942" spans="1:4" ht="13.5">
      <c r="A1942" s="37">
        <v>101575</v>
      </c>
      <c r="B1942" s="37" t="s">
        <v>7616</v>
      </c>
      <c r="C1942" s="37" t="s">
        <v>9</v>
      </c>
      <c r="D1942" s="326">
        <v>22.3</v>
      </c>
    </row>
    <row r="1943" spans="1:4" ht="13.5">
      <c r="A1943" s="37">
        <v>101576</v>
      </c>
      <c r="B1943" s="37" t="s">
        <v>7617</v>
      </c>
      <c r="C1943" s="37" t="s">
        <v>9</v>
      </c>
      <c r="D1943" s="326">
        <v>40.64</v>
      </c>
    </row>
    <row r="1944" spans="1:4" ht="13.5">
      <c r="A1944" s="37">
        <v>101577</v>
      </c>
      <c r="B1944" s="37" t="s">
        <v>7618</v>
      </c>
      <c r="C1944" s="37" t="s">
        <v>9</v>
      </c>
      <c r="D1944" s="326">
        <v>51.36</v>
      </c>
    </row>
    <row r="1945" spans="1:4" ht="13.5">
      <c r="A1945" s="37">
        <v>101578</v>
      </c>
      <c r="B1945" s="37" t="s">
        <v>7619</v>
      </c>
      <c r="C1945" s="37" t="s">
        <v>9</v>
      </c>
      <c r="D1945" s="326">
        <v>33.5</v>
      </c>
    </row>
    <row r="1946" spans="1:4" ht="13.5">
      <c r="A1946" s="37">
        <v>101579</v>
      </c>
      <c r="B1946" s="37" t="s">
        <v>7620</v>
      </c>
      <c r="C1946" s="37" t="s">
        <v>9</v>
      </c>
      <c r="D1946" s="326">
        <v>44.23</v>
      </c>
    </row>
    <row r="1947" spans="1:4" ht="13.5">
      <c r="A1947" s="37">
        <v>101580</v>
      </c>
      <c r="B1947" s="37" t="s">
        <v>7621</v>
      </c>
      <c r="C1947" s="37" t="s">
        <v>9</v>
      </c>
      <c r="D1947" s="326">
        <v>29.48</v>
      </c>
    </row>
    <row r="1948" spans="1:4" ht="13.5">
      <c r="A1948" s="37">
        <v>101581</v>
      </c>
      <c r="B1948" s="37" t="s">
        <v>7622</v>
      </c>
      <c r="C1948" s="37" t="s">
        <v>9</v>
      </c>
      <c r="D1948" s="326">
        <v>40.36</v>
      </c>
    </row>
    <row r="1949" spans="1:4" ht="13.5">
      <c r="A1949" s="37">
        <v>101582</v>
      </c>
      <c r="B1949" s="37" t="s">
        <v>7623</v>
      </c>
      <c r="C1949" s="37" t="s">
        <v>9</v>
      </c>
      <c r="D1949" s="326">
        <v>66.67</v>
      </c>
    </row>
    <row r="1950" spans="1:4" ht="13.5">
      <c r="A1950" s="37">
        <v>101583</v>
      </c>
      <c r="B1950" s="37" t="s">
        <v>7624</v>
      </c>
      <c r="C1950" s="37" t="s">
        <v>9</v>
      </c>
      <c r="D1950" s="326">
        <v>83.36</v>
      </c>
    </row>
    <row r="1951" spans="1:4" ht="13.5">
      <c r="A1951" s="37">
        <v>101584</v>
      </c>
      <c r="B1951" s="37" t="s">
        <v>7625</v>
      </c>
      <c r="C1951" s="37" t="s">
        <v>9</v>
      </c>
      <c r="D1951" s="326">
        <v>54.66</v>
      </c>
    </row>
    <row r="1952" spans="1:4" ht="13.5">
      <c r="A1952" s="37">
        <v>101585</v>
      </c>
      <c r="B1952" s="37" t="s">
        <v>7626</v>
      </c>
      <c r="C1952" s="37" t="s">
        <v>9</v>
      </c>
      <c r="D1952" s="326">
        <v>71.36</v>
      </c>
    </row>
    <row r="1953" spans="1:4" ht="13.5">
      <c r="A1953" s="37">
        <v>101586</v>
      </c>
      <c r="B1953" s="37" t="s">
        <v>7627</v>
      </c>
      <c r="C1953" s="37" t="s">
        <v>9</v>
      </c>
      <c r="D1953" s="326">
        <v>47</v>
      </c>
    </row>
    <row r="1954" spans="1:4" ht="13.5">
      <c r="A1954" s="37">
        <v>101587</v>
      </c>
      <c r="B1954" s="37" t="s">
        <v>7628</v>
      </c>
      <c r="C1954" s="37" t="s">
        <v>9</v>
      </c>
      <c r="D1954" s="326">
        <v>63.86</v>
      </c>
    </row>
    <row r="1955" spans="1:4" ht="13.5">
      <c r="A1955" s="37">
        <v>101588</v>
      </c>
      <c r="B1955" s="37" t="s">
        <v>7629</v>
      </c>
      <c r="C1955" s="37" t="s">
        <v>9</v>
      </c>
      <c r="D1955" s="326">
        <v>89.23</v>
      </c>
    </row>
    <row r="1956" spans="1:4" ht="13.5">
      <c r="A1956" s="37">
        <v>101589</v>
      </c>
      <c r="B1956" s="37" t="s">
        <v>7630</v>
      </c>
      <c r="C1956" s="37" t="s">
        <v>9</v>
      </c>
      <c r="D1956" s="326">
        <v>130.08000000000001</v>
      </c>
    </row>
    <row r="1957" spans="1:4" ht="13.5">
      <c r="A1957" s="37">
        <v>101590</v>
      </c>
      <c r="B1957" s="37" t="s">
        <v>7631</v>
      </c>
      <c r="C1957" s="37" t="s">
        <v>9</v>
      </c>
      <c r="D1957" s="326">
        <v>67.540000000000006</v>
      </c>
    </row>
    <row r="1958" spans="1:4" ht="13.5">
      <c r="A1958" s="37">
        <v>101591</v>
      </c>
      <c r="B1958" s="37" t="s">
        <v>7632</v>
      </c>
      <c r="C1958" s="37" t="s">
        <v>9</v>
      </c>
      <c r="D1958" s="326">
        <v>108.39</v>
      </c>
    </row>
    <row r="1959" spans="1:4" ht="13.5">
      <c r="A1959" s="37">
        <v>101592</v>
      </c>
      <c r="B1959" s="37" t="s">
        <v>7633</v>
      </c>
      <c r="C1959" s="37" t="s">
        <v>9</v>
      </c>
      <c r="D1959" s="326">
        <v>47.46</v>
      </c>
    </row>
    <row r="1960" spans="1:4" ht="13.5">
      <c r="A1960" s="37">
        <v>101593</v>
      </c>
      <c r="B1960" s="37" t="s">
        <v>7634</v>
      </c>
      <c r="C1960" s="37" t="s">
        <v>9</v>
      </c>
      <c r="D1960" s="326">
        <v>88.44</v>
      </c>
    </row>
    <row r="1961" spans="1:4" ht="13.5">
      <c r="A1961" s="37">
        <v>101600</v>
      </c>
      <c r="B1961" s="37" t="s">
        <v>7635</v>
      </c>
      <c r="C1961" s="37" t="s">
        <v>9</v>
      </c>
      <c r="D1961" s="326">
        <v>16.73</v>
      </c>
    </row>
    <row r="1962" spans="1:4" ht="13.5">
      <c r="A1962" s="37">
        <v>101601</v>
      </c>
      <c r="B1962" s="37" t="s">
        <v>7636</v>
      </c>
      <c r="C1962" s="37" t="s">
        <v>9</v>
      </c>
      <c r="D1962" s="326">
        <v>24.78</v>
      </c>
    </row>
    <row r="1963" spans="1:4" ht="13.5">
      <c r="A1963" s="37">
        <v>101602</v>
      </c>
      <c r="B1963" s="37" t="s">
        <v>7637</v>
      </c>
      <c r="C1963" s="37" t="s">
        <v>9</v>
      </c>
      <c r="D1963" s="326">
        <v>12.41</v>
      </c>
    </row>
    <row r="1964" spans="1:4" ht="13.5">
      <c r="A1964" s="37">
        <v>101603</v>
      </c>
      <c r="B1964" s="37" t="s">
        <v>7638</v>
      </c>
      <c r="C1964" s="37" t="s">
        <v>9</v>
      </c>
      <c r="D1964" s="326">
        <v>20.440000000000001</v>
      </c>
    </row>
    <row r="1965" spans="1:4" ht="13.5">
      <c r="A1965" s="37">
        <v>101604</v>
      </c>
      <c r="B1965" s="37" t="s">
        <v>7639</v>
      </c>
      <c r="C1965" s="37" t="s">
        <v>9</v>
      </c>
      <c r="D1965" s="326">
        <v>8.1199999999999992</v>
      </c>
    </row>
    <row r="1966" spans="1:4" ht="13.5">
      <c r="A1966" s="37">
        <v>101605</v>
      </c>
      <c r="B1966" s="37" t="s">
        <v>7640</v>
      </c>
      <c r="C1966" s="37" t="s">
        <v>9</v>
      </c>
      <c r="D1966" s="326">
        <v>16.16</v>
      </c>
    </row>
    <row r="1967" spans="1:4" ht="13.5">
      <c r="A1967" s="37">
        <v>90788</v>
      </c>
      <c r="B1967" s="37" t="s">
        <v>3490</v>
      </c>
      <c r="C1967" s="37" t="s">
        <v>7</v>
      </c>
      <c r="D1967" s="326">
        <v>747.72</v>
      </c>
    </row>
    <row r="1968" spans="1:4" ht="13.5">
      <c r="A1968" s="37">
        <v>90789</v>
      </c>
      <c r="B1968" s="37" t="s">
        <v>3491</v>
      </c>
      <c r="C1968" s="37" t="s">
        <v>7</v>
      </c>
      <c r="D1968" s="326">
        <v>749.52</v>
      </c>
    </row>
    <row r="1969" spans="1:4" ht="13.5">
      <c r="A1969" s="37">
        <v>90790</v>
      </c>
      <c r="B1969" s="37" t="s">
        <v>3492</v>
      </c>
      <c r="C1969" s="37" t="s">
        <v>7</v>
      </c>
      <c r="D1969" s="326">
        <v>773.17</v>
      </c>
    </row>
    <row r="1970" spans="1:4" ht="13.5">
      <c r="A1970" s="37">
        <v>90791</v>
      </c>
      <c r="B1970" s="37" t="s">
        <v>7641</v>
      </c>
      <c r="C1970" s="37" t="s">
        <v>7</v>
      </c>
      <c r="D1970" s="326">
        <v>906.43</v>
      </c>
    </row>
    <row r="1971" spans="1:4" ht="13.5">
      <c r="A1971" s="37">
        <v>90793</v>
      </c>
      <c r="B1971" s="37" t="s">
        <v>7642</v>
      </c>
      <c r="C1971" s="37" t="s">
        <v>7</v>
      </c>
      <c r="D1971" s="326">
        <v>962.14</v>
      </c>
    </row>
    <row r="1972" spans="1:4" ht="13.5">
      <c r="A1972" s="37">
        <v>90794</v>
      </c>
      <c r="B1972" s="37" t="s">
        <v>7643</v>
      </c>
      <c r="C1972" s="37" t="s">
        <v>7</v>
      </c>
      <c r="D1972" s="326">
        <v>646.91</v>
      </c>
    </row>
    <row r="1973" spans="1:4" ht="13.5">
      <c r="A1973" s="37">
        <v>90795</v>
      </c>
      <c r="B1973" s="37" t="s">
        <v>7644</v>
      </c>
      <c r="C1973" s="37" t="s">
        <v>7</v>
      </c>
      <c r="D1973" s="326">
        <v>653.94000000000005</v>
      </c>
    </row>
    <row r="1974" spans="1:4" ht="13.5">
      <c r="A1974" s="37">
        <v>90796</v>
      </c>
      <c r="B1974" s="37" t="s">
        <v>7645</v>
      </c>
      <c r="C1974" s="37" t="s">
        <v>7</v>
      </c>
      <c r="D1974" s="326">
        <v>660.96</v>
      </c>
    </row>
    <row r="1975" spans="1:4" ht="13.5">
      <c r="A1975" s="37">
        <v>90797</v>
      </c>
      <c r="B1975" s="37" t="s">
        <v>7646</v>
      </c>
      <c r="C1975" s="37" t="s">
        <v>7</v>
      </c>
      <c r="D1975" s="326">
        <v>667.97</v>
      </c>
    </row>
    <row r="1976" spans="1:4" ht="13.5">
      <c r="A1976" s="37">
        <v>90798</v>
      </c>
      <c r="B1976" s="37" t="s">
        <v>16952</v>
      </c>
      <c r="C1976" s="37" t="s">
        <v>7</v>
      </c>
      <c r="D1976" s="326">
        <v>966.01</v>
      </c>
    </row>
    <row r="1977" spans="1:4" ht="13.5">
      <c r="A1977" s="37">
        <v>90799</v>
      </c>
      <c r="B1977" s="37" t="s">
        <v>16953</v>
      </c>
      <c r="C1977" s="37" t="s">
        <v>7</v>
      </c>
      <c r="D1977" s="326">
        <v>997.37</v>
      </c>
    </row>
    <row r="1978" spans="1:4" ht="13.5">
      <c r="A1978" s="37">
        <v>90801</v>
      </c>
      <c r="B1978" s="37" t="s">
        <v>3493</v>
      </c>
      <c r="C1978" s="37" t="s">
        <v>7</v>
      </c>
      <c r="D1978" s="326">
        <v>297.70999999999998</v>
      </c>
    </row>
    <row r="1979" spans="1:4" ht="13.5">
      <c r="A1979" s="37">
        <v>90806</v>
      </c>
      <c r="B1979" s="37" t="s">
        <v>15341</v>
      </c>
      <c r="C1979" s="37" t="s">
        <v>7</v>
      </c>
      <c r="D1979" s="326">
        <v>385.13</v>
      </c>
    </row>
    <row r="1980" spans="1:4" ht="13.5">
      <c r="A1980" s="37">
        <v>90820</v>
      </c>
      <c r="B1980" s="37" t="s">
        <v>3494</v>
      </c>
      <c r="C1980" s="37" t="s">
        <v>7</v>
      </c>
      <c r="D1980" s="326">
        <v>292.14</v>
      </c>
    </row>
    <row r="1981" spans="1:4" ht="13.5">
      <c r="A1981" s="37">
        <v>90821</v>
      </c>
      <c r="B1981" s="37" t="s">
        <v>3495</v>
      </c>
      <c r="C1981" s="37" t="s">
        <v>7</v>
      </c>
      <c r="D1981" s="326">
        <v>298.70999999999998</v>
      </c>
    </row>
    <row r="1982" spans="1:4" ht="13.5">
      <c r="A1982" s="37">
        <v>90822</v>
      </c>
      <c r="B1982" s="37" t="s">
        <v>3496</v>
      </c>
      <c r="C1982" s="37" t="s">
        <v>7</v>
      </c>
      <c r="D1982" s="326">
        <v>320.66000000000003</v>
      </c>
    </row>
    <row r="1983" spans="1:4" ht="13.5">
      <c r="A1983" s="37">
        <v>90823</v>
      </c>
      <c r="B1983" s="37" t="s">
        <v>3497</v>
      </c>
      <c r="C1983" s="37" t="s">
        <v>7</v>
      </c>
      <c r="D1983" s="326">
        <v>393.21</v>
      </c>
    </row>
    <row r="1984" spans="1:4" ht="13.5">
      <c r="A1984" s="37">
        <v>90824</v>
      </c>
      <c r="B1984" s="37" t="s">
        <v>3498</v>
      </c>
      <c r="C1984" s="37" t="s">
        <v>7</v>
      </c>
      <c r="D1984" s="326">
        <v>561.45000000000005</v>
      </c>
    </row>
    <row r="1985" spans="1:4" ht="13.5">
      <c r="A1985" s="37">
        <v>90825</v>
      </c>
      <c r="B1985" s="37" t="s">
        <v>3499</v>
      </c>
      <c r="C1985" s="37" t="s">
        <v>7</v>
      </c>
      <c r="D1985" s="326">
        <v>625.1</v>
      </c>
    </row>
    <row r="1986" spans="1:4" ht="13.5">
      <c r="A1986" s="37">
        <v>90830</v>
      </c>
      <c r="B1986" s="37" t="s">
        <v>3500</v>
      </c>
      <c r="C1986" s="37" t="s">
        <v>7</v>
      </c>
      <c r="D1986" s="326">
        <v>164.86</v>
      </c>
    </row>
    <row r="1987" spans="1:4" ht="13.5">
      <c r="A1987" s="37">
        <v>90831</v>
      </c>
      <c r="B1987" s="37" t="s">
        <v>3501</v>
      </c>
      <c r="C1987" s="37" t="s">
        <v>7</v>
      </c>
      <c r="D1987" s="326">
        <v>144.13999999999999</v>
      </c>
    </row>
    <row r="1988" spans="1:4" ht="13.5">
      <c r="A1988" s="37">
        <v>90841</v>
      </c>
      <c r="B1988" s="37" t="s">
        <v>3502</v>
      </c>
      <c r="C1988" s="37" t="s">
        <v>7</v>
      </c>
      <c r="D1988" s="326">
        <v>926.05</v>
      </c>
    </row>
    <row r="1989" spans="1:4" ht="13.5">
      <c r="A1989" s="37">
        <v>90842</v>
      </c>
      <c r="B1989" s="37" t="s">
        <v>3503</v>
      </c>
      <c r="C1989" s="37" t="s">
        <v>7</v>
      </c>
      <c r="D1989" s="326">
        <v>934.8</v>
      </c>
    </row>
    <row r="1990" spans="1:4" ht="13.5">
      <c r="A1990" s="37">
        <v>90843</v>
      </c>
      <c r="B1990" s="37" t="s">
        <v>3504</v>
      </c>
      <c r="C1990" s="37" t="s">
        <v>7</v>
      </c>
      <c r="D1990" s="326">
        <v>979.65</v>
      </c>
    </row>
    <row r="1991" spans="1:4" ht="13.5">
      <c r="A1991" s="37">
        <v>90844</v>
      </c>
      <c r="B1991" s="37" t="s">
        <v>3505</v>
      </c>
      <c r="C1991" s="37" t="s">
        <v>7</v>
      </c>
      <c r="D1991" s="38">
        <v>1054.3800000000001</v>
      </c>
    </row>
    <row r="1992" spans="1:4" ht="13.5">
      <c r="A1992" s="37">
        <v>90845</v>
      </c>
      <c r="B1992" s="37" t="s">
        <v>7647</v>
      </c>
      <c r="C1992" s="37" t="s">
        <v>7</v>
      </c>
      <c r="D1992" s="38">
        <v>1220.44</v>
      </c>
    </row>
    <row r="1993" spans="1:4" ht="13.5">
      <c r="A1993" s="37">
        <v>90846</v>
      </c>
      <c r="B1993" s="37" t="s">
        <v>7648</v>
      </c>
      <c r="C1993" s="37" t="s">
        <v>7</v>
      </c>
      <c r="D1993" s="38">
        <v>1286.27</v>
      </c>
    </row>
    <row r="1994" spans="1:4" ht="13.5">
      <c r="A1994" s="37">
        <v>90847</v>
      </c>
      <c r="B1994" s="37" t="s">
        <v>3506</v>
      </c>
      <c r="C1994" s="37" t="s">
        <v>7</v>
      </c>
      <c r="D1994" s="326">
        <v>781.91</v>
      </c>
    </row>
    <row r="1995" spans="1:4" ht="13.5">
      <c r="A1995" s="37">
        <v>90848</v>
      </c>
      <c r="B1995" s="37" t="s">
        <v>3507</v>
      </c>
      <c r="C1995" s="37" t="s">
        <v>7</v>
      </c>
      <c r="D1995" s="326">
        <v>790.66</v>
      </c>
    </row>
    <row r="1996" spans="1:4" ht="13.5">
      <c r="A1996" s="37">
        <v>90849</v>
      </c>
      <c r="B1996" s="37" t="s">
        <v>3508</v>
      </c>
      <c r="C1996" s="37" t="s">
        <v>7</v>
      </c>
      <c r="D1996" s="326">
        <v>814.79</v>
      </c>
    </row>
    <row r="1997" spans="1:4" ht="13.5">
      <c r="A1997" s="37">
        <v>90850</v>
      </c>
      <c r="B1997" s="37" t="s">
        <v>3509</v>
      </c>
      <c r="C1997" s="37" t="s">
        <v>7</v>
      </c>
      <c r="D1997" s="326">
        <v>889.52</v>
      </c>
    </row>
    <row r="1998" spans="1:4" ht="13.5">
      <c r="A1998" s="37">
        <v>90851</v>
      </c>
      <c r="B1998" s="37" t="s">
        <v>7649</v>
      </c>
      <c r="C1998" s="37" t="s">
        <v>7</v>
      </c>
      <c r="D1998" s="38">
        <v>1055.58</v>
      </c>
    </row>
    <row r="1999" spans="1:4" ht="13.5">
      <c r="A1999" s="37">
        <v>90852</v>
      </c>
      <c r="B1999" s="37" t="s">
        <v>7650</v>
      </c>
      <c r="C1999" s="37" t="s">
        <v>7</v>
      </c>
      <c r="D1999" s="38">
        <v>1121.4100000000001</v>
      </c>
    </row>
    <row r="2000" spans="1:4" ht="13.5">
      <c r="A2000" s="37">
        <v>91009</v>
      </c>
      <c r="B2000" s="37" t="s">
        <v>3510</v>
      </c>
      <c r="C2000" s="37" t="s">
        <v>7</v>
      </c>
      <c r="D2000" s="326">
        <v>302.27</v>
      </c>
    </row>
    <row r="2001" spans="1:4" ht="13.5">
      <c r="A2001" s="37">
        <v>91010</v>
      </c>
      <c r="B2001" s="37" t="s">
        <v>3511</v>
      </c>
      <c r="C2001" s="37" t="s">
        <v>7</v>
      </c>
      <c r="D2001" s="326">
        <v>309.32</v>
      </c>
    </row>
    <row r="2002" spans="1:4" ht="13.5">
      <c r="A2002" s="37">
        <v>91011</v>
      </c>
      <c r="B2002" s="37" t="s">
        <v>3512</v>
      </c>
      <c r="C2002" s="37" t="s">
        <v>7</v>
      </c>
      <c r="D2002" s="326">
        <v>361.78</v>
      </c>
    </row>
    <row r="2003" spans="1:4" ht="13.5">
      <c r="A2003" s="37">
        <v>91012</v>
      </c>
      <c r="B2003" s="37" t="s">
        <v>3513</v>
      </c>
      <c r="C2003" s="37" t="s">
        <v>7</v>
      </c>
      <c r="D2003" s="326">
        <v>402.19</v>
      </c>
    </row>
    <row r="2004" spans="1:4" ht="13.5">
      <c r="A2004" s="37">
        <v>91013</v>
      </c>
      <c r="B2004" s="37" t="s">
        <v>3514</v>
      </c>
      <c r="C2004" s="37" t="s">
        <v>7</v>
      </c>
      <c r="D2004" s="326">
        <v>792.04</v>
      </c>
    </row>
    <row r="2005" spans="1:4" ht="13.5">
      <c r="A2005" s="37">
        <v>91014</v>
      </c>
      <c r="B2005" s="37" t="s">
        <v>3515</v>
      </c>
      <c r="C2005" s="37" t="s">
        <v>7</v>
      </c>
      <c r="D2005" s="326">
        <v>801.27</v>
      </c>
    </row>
    <row r="2006" spans="1:4" ht="13.5">
      <c r="A2006" s="37">
        <v>91015</v>
      </c>
      <c r="B2006" s="37" t="s">
        <v>3516</v>
      </c>
      <c r="C2006" s="37" t="s">
        <v>7</v>
      </c>
      <c r="D2006" s="326">
        <v>855.91</v>
      </c>
    </row>
    <row r="2007" spans="1:4" ht="13.5">
      <c r="A2007" s="37">
        <v>91016</v>
      </c>
      <c r="B2007" s="37" t="s">
        <v>3517</v>
      </c>
      <c r="C2007" s="37" t="s">
        <v>7</v>
      </c>
      <c r="D2007" s="326">
        <v>898.5</v>
      </c>
    </row>
    <row r="2008" spans="1:4" ht="13.5">
      <c r="A2008" s="37">
        <v>91287</v>
      </c>
      <c r="B2008" s="37" t="s">
        <v>3518</v>
      </c>
      <c r="C2008" s="37" t="s">
        <v>7</v>
      </c>
      <c r="D2008" s="326">
        <v>223.83</v>
      </c>
    </row>
    <row r="2009" spans="1:4" ht="13.5">
      <c r="A2009" s="37">
        <v>91292</v>
      </c>
      <c r="B2009" s="37" t="s">
        <v>15342</v>
      </c>
      <c r="C2009" s="37" t="s">
        <v>7</v>
      </c>
      <c r="D2009" s="326">
        <v>311.25</v>
      </c>
    </row>
    <row r="2010" spans="1:4" ht="13.5">
      <c r="A2010" s="37">
        <v>91295</v>
      </c>
      <c r="B2010" s="37" t="s">
        <v>3519</v>
      </c>
      <c r="C2010" s="37" t="s">
        <v>7</v>
      </c>
      <c r="D2010" s="326">
        <v>311.02999999999997</v>
      </c>
    </row>
    <row r="2011" spans="1:4" ht="13.5">
      <c r="A2011" s="37">
        <v>91296</v>
      </c>
      <c r="B2011" s="37" t="s">
        <v>3520</v>
      </c>
      <c r="C2011" s="37" t="s">
        <v>7</v>
      </c>
      <c r="D2011" s="326">
        <v>333.82</v>
      </c>
    </row>
    <row r="2012" spans="1:4" ht="13.5">
      <c r="A2012" s="37">
        <v>91297</v>
      </c>
      <c r="B2012" s="37" t="s">
        <v>3521</v>
      </c>
      <c r="C2012" s="37" t="s">
        <v>7</v>
      </c>
      <c r="D2012" s="326">
        <v>367.63</v>
      </c>
    </row>
    <row r="2013" spans="1:4" ht="13.5">
      <c r="A2013" s="37">
        <v>91298</v>
      </c>
      <c r="B2013" s="37" t="s">
        <v>3522</v>
      </c>
      <c r="C2013" s="37" t="s">
        <v>7</v>
      </c>
      <c r="D2013" s="326">
        <v>881.23</v>
      </c>
    </row>
    <row r="2014" spans="1:4" ht="13.5">
      <c r="A2014" s="37">
        <v>91299</v>
      </c>
      <c r="B2014" s="37" t="s">
        <v>3523</v>
      </c>
      <c r="C2014" s="37" t="s">
        <v>7</v>
      </c>
      <c r="D2014" s="38">
        <v>1238.0999999999999</v>
      </c>
    </row>
    <row r="2015" spans="1:4" ht="13.5">
      <c r="A2015" s="37">
        <v>91304</v>
      </c>
      <c r="B2015" s="37" t="s">
        <v>3524</v>
      </c>
      <c r="C2015" s="37" t="s">
        <v>7</v>
      </c>
      <c r="D2015" s="326">
        <v>101.8</v>
      </c>
    </row>
    <row r="2016" spans="1:4" ht="13.5">
      <c r="A2016" s="37">
        <v>91305</v>
      </c>
      <c r="B2016" s="37" t="s">
        <v>3525</v>
      </c>
      <c r="C2016" s="37" t="s">
        <v>7</v>
      </c>
      <c r="D2016" s="326">
        <v>100.76</v>
      </c>
    </row>
    <row r="2017" spans="1:4" ht="13.5">
      <c r="A2017" s="37">
        <v>91306</v>
      </c>
      <c r="B2017" s="37" t="s">
        <v>3526</v>
      </c>
      <c r="C2017" s="37" t="s">
        <v>7</v>
      </c>
      <c r="D2017" s="326">
        <v>144.13999999999999</v>
      </c>
    </row>
    <row r="2018" spans="1:4" ht="13.5">
      <c r="A2018" s="37">
        <v>91307</v>
      </c>
      <c r="B2018" s="37" t="s">
        <v>3527</v>
      </c>
      <c r="C2018" s="37" t="s">
        <v>7</v>
      </c>
      <c r="D2018" s="326">
        <v>86.12</v>
      </c>
    </row>
    <row r="2019" spans="1:4" ht="13.5">
      <c r="A2019" s="37">
        <v>91312</v>
      </c>
      <c r="B2019" s="37" t="s">
        <v>3528</v>
      </c>
      <c r="C2019" s="37" t="s">
        <v>7</v>
      </c>
      <c r="D2019" s="326">
        <v>776.82</v>
      </c>
    </row>
    <row r="2020" spans="1:4" ht="13.5">
      <c r="A2020" s="37">
        <v>91313</v>
      </c>
      <c r="B2020" s="37" t="s">
        <v>3529</v>
      </c>
      <c r="C2020" s="37" t="s">
        <v>7</v>
      </c>
      <c r="D2020" s="326">
        <v>770.26</v>
      </c>
    </row>
    <row r="2021" spans="1:4" ht="13.5">
      <c r="A2021" s="37">
        <v>91314</v>
      </c>
      <c r="B2021" s="37" t="s">
        <v>3530</v>
      </c>
      <c r="C2021" s="37" t="s">
        <v>7</v>
      </c>
      <c r="D2021" s="326">
        <v>809.41</v>
      </c>
    </row>
    <row r="2022" spans="1:4" ht="13.5">
      <c r="A2022" s="37">
        <v>91315</v>
      </c>
      <c r="B2022" s="37" t="s">
        <v>3531</v>
      </c>
      <c r="C2022" s="37" t="s">
        <v>7</v>
      </c>
      <c r="D2022" s="326">
        <v>883.47</v>
      </c>
    </row>
    <row r="2023" spans="1:4" ht="13.5">
      <c r="A2023" s="37">
        <v>91316</v>
      </c>
      <c r="B2023" s="37" t="s">
        <v>7651</v>
      </c>
      <c r="C2023" s="37" t="s">
        <v>7</v>
      </c>
      <c r="D2023" s="38">
        <v>1050.2</v>
      </c>
    </row>
    <row r="2024" spans="1:4" ht="13.5">
      <c r="A2024" s="37">
        <v>91317</v>
      </c>
      <c r="B2024" s="37" t="s">
        <v>7652</v>
      </c>
      <c r="C2024" s="37" t="s">
        <v>7</v>
      </c>
      <c r="D2024" s="38">
        <v>1115.3599999999999</v>
      </c>
    </row>
    <row r="2025" spans="1:4" ht="13.5">
      <c r="A2025" s="37">
        <v>91318</v>
      </c>
      <c r="B2025" s="37" t="s">
        <v>3532</v>
      </c>
      <c r="C2025" s="37" t="s">
        <v>7</v>
      </c>
      <c r="D2025" s="326">
        <v>676.06</v>
      </c>
    </row>
    <row r="2026" spans="1:4" ht="13.5">
      <c r="A2026" s="37">
        <v>91319</v>
      </c>
      <c r="B2026" s="37" t="s">
        <v>3533</v>
      </c>
      <c r="C2026" s="37" t="s">
        <v>7</v>
      </c>
      <c r="D2026" s="326">
        <v>684.14</v>
      </c>
    </row>
    <row r="2027" spans="1:4" ht="13.5">
      <c r="A2027" s="37">
        <v>91320</v>
      </c>
      <c r="B2027" s="37" t="s">
        <v>3534</v>
      </c>
      <c r="C2027" s="37" t="s">
        <v>7</v>
      </c>
      <c r="D2027" s="326">
        <v>707.61</v>
      </c>
    </row>
    <row r="2028" spans="1:4" ht="13.5">
      <c r="A2028" s="37">
        <v>91321</v>
      </c>
      <c r="B2028" s="37" t="s">
        <v>3535</v>
      </c>
      <c r="C2028" s="37" t="s">
        <v>7</v>
      </c>
      <c r="D2028" s="326">
        <v>781.67</v>
      </c>
    </row>
    <row r="2029" spans="1:4" ht="13.5">
      <c r="A2029" s="37">
        <v>91322</v>
      </c>
      <c r="B2029" s="37" t="s">
        <v>7653</v>
      </c>
      <c r="C2029" s="37" t="s">
        <v>7</v>
      </c>
      <c r="D2029" s="326">
        <v>948.4</v>
      </c>
    </row>
    <row r="2030" spans="1:4" ht="13.5">
      <c r="A2030" s="37">
        <v>91323</v>
      </c>
      <c r="B2030" s="37" t="s">
        <v>7654</v>
      </c>
      <c r="C2030" s="37" t="s">
        <v>7</v>
      </c>
      <c r="D2030" s="38">
        <v>1013.56</v>
      </c>
    </row>
    <row r="2031" spans="1:4" ht="13.5">
      <c r="A2031" s="37">
        <v>91324</v>
      </c>
      <c r="B2031" s="37" t="s">
        <v>3536</v>
      </c>
      <c r="C2031" s="37" t="s">
        <v>7</v>
      </c>
      <c r="D2031" s="326">
        <v>686.19</v>
      </c>
    </row>
    <row r="2032" spans="1:4" ht="13.5">
      <c r="A2032" s="37">
        <v>91325</v>
      </c>
      <c r="B2032" s="37" t="s">
        <v>3537</v>
      </c>
      <c r="C2032" s="37" t="s">
        <v>7</v>
      </c>
      <c r="D2032" s="326">
        <v>694.75</v>
      </c>
    </row>
    <row r="2033" spans="1:4" ht="13.5">
      <c r="A2033" s="37">
        <v>91326</v>
      </c>
      <c r="B2033" s="37" t="s">
        <v>3538</v>
      </c>
      <c r="C2033" s="37" t="s">
        <v>7</v>
      </c>
      <c r="D2033" s="326">
        <v>748.73</v>
      </c>
    </row>
    <row r="2034" spans="1:4" ht="13.5">
      <c r="A2034" s="37">
        <v>91327</v>
      </c>
      <c r="B2034" s="37" t="s">
        <v>3539</v>
      </c>
      <c r="C2034" s="37" t="s">
        <v>7</v>
      </c>
      <c r="D2034" s="326">
        <v>790.65</v>
      </c>
    </row>
    <row r="2035" spans="1:4" ht="13.5">
      <c r="A2035" s="37">
        <v>91328</v>
      </c>
      <c r="B2035" s="37" t="s">
        <v>3540</v>
      </c>
      <c r="C2035" s="37" t="s">
        <v>7</v>
      </c>
      <c r="D2035" s="326">
        <v>800.8</v>
      </c>
    </row>
    <row r="2036" spans="1:4" ht="13.5">
      <c r="A2036" s="37">
        <v>91329</v>
      </c>
      <c r="B2036" s="37" t="s">
        <v>3541</v>
      </c>
      <c r="C2036" s="37" t="s">
        <v>7</v>
      </c>
      <c r="D2036" s="326">
        <v>694.95</v>
      </c>
    </row>
    <row r="2037" spans="1:4" ht="13.5">
      <c r="A2037" s="37">
        <v>91330</v>
      </c>
      <c r="B2037" s="37" t="s">
        <v>3542</v>
      </c>
      <c r="C2037" s="37" t="s">
        <v>7</v>
      </c>
      <c r="D2037" s="326">
        <v>825.77</v>
      </c>
    </row>
    <row r="2038" spans="1:4" ht="13.5">
      <c r="A2038" s="37">
        <v>91331</v>
      </c>
      <c r="B2038" s="37" t="s">
        <v>3543</v>
      </c>
      <c r="C2038" s="37" t="s">
        <v>7</v>
      </c>
      <c r="D2038" s="326">
        <v>719.25</v>
      </c>
    </row>
    <row r="2039" spans="1:4" ht="13.5">
      <c r="A2039" s="37">
        <v>91332</v>
      </c>
      <c r="B2039" s="37" t="s">
        <v>3544</v>
      </c>
      <c r="C2039" s="37" t="s">
        <v>7</v>
      </c>
      <c r="D2039" s="326">
        <v>861.76</v>
      </c>
    </row>
    <row r="2040" spans="1:4" ht="13.5">
      <c r="A2040" s="37">
        <v>91333</v>
      </c>
      <c r="B2040" s="37" t="s">
        <v>3545</v>
      </c>
      <c r="C2040" s="37" t="s">
        <v>7</v>
      </c>
      <c r="D2040" s="326">
        <v>754.58</v>
      </c>
    </row>
    <row r="2041" spans="1:4" ht="13.5">
      <c r="A2041" s="37">
        <v>91334</v>
      </c>
      <c r="B2041" s="37" t="s">
        <v>3546</v>
      </c>
      <c r="C2041" s="37" t="s">
        <v>7</v>
      </c>
      <c r="D2041" s="38">
        <v>1375.36</v>
      </c>
    </row>
    <row r="2042" spans="1:4" ht="13.5">
      <c r="A2042" s="37">
        <v>91335</v>
      </c>
      <c r="B2042" s="37" t="s">
        <v>3547</v>
      </c>
      <c r="C2042" s="37" t="s">
        <v>7</v>
      </c>
      <c r="D2042" s="38">
        <v>1268.18</v>
      </c>
    </row>
    <row r="2043" spans="1:4" ht="13.5">
      <c r="A2043" s="37">
        <v>91336</v>
      </c>
      <c r="B2043" s="37" t="s">
        <v>3548</v>
      </c>
      <c r="C2043" s="37" t="s">
        <v>7</v>
      </c>
      <c r="D2043" s="38">
        <v>1732.23</v>
      </c>
    </row>
    <row r="2044" spans="1:4" ht="13.5">
      <c r="A2044" s="37">
        <v>91337</v>
      </c>
      <c r="B2044" s="37" t="s">
        <v>3549</v>
      </c>
      <c r="C2044" s="37" t="s">
        <v>7</v>
      </c>
      <c r="D2044" s="38">
        <v>1625.05</v>
      </c>
    </row>
    <row r="2045" spans="1:4" ht="13.5">
      <c r="A2045" s="37">
        <v>100659</v>
      </c>
      <c r="B2045" s="37" t="s">
        <v>3550</v>
      </c>
      <c r="C2045" s="37" t="s">
        <v>6</v>
      </c>
      <c r="D2045" s="326">
        <v>10.9</v>
      </c>
    </row>
    <row r="2046" spans="1:4" ht="13.5">
      <c r="A2046" s="37">
        <v>100660</v>
      </c>
      <c r="B2046" s="37" t="s">
        <v>3551</v>
      </c>
      <c r="C2046" s="37" t="s">
        <v>6</v>
      </c>
      <c r="D2046" s="326">
        <v>7.57</v>
      </c>
    </row>
    <row r="2047" spans="1:4" ht="13.5">
      <c r="A2047" s="37">
        <v>100675</v>
      </c>
      <c r="B2047" s="37" t="s">
        <v>3552</v>
      </c>
      <c r="C2047" s="37" t="s">
        <v>7</v>
      </c>
      <c r="D2047" s="326">
        <v>857.21</v>
      </c>
    </row>
    <row r="2048" spans="1:4" ht="13.5">
      <c r="A2048" s="37">
        <v>100676</v>
      </c>
      <c r="B2048" s="37" t="s">
        <v>3553</v>
      </c>
      <c r="C2048" s="37" t="s">
        <v>7</v>
      </c>
      <c r="D2048" s="326">
        <v>186.05</v>
      </c>
    </row>
    <row r="2049" spans="1:4" ht="13.5">
      <c r="A2049" s="37">
        <v>100678</v>
      </c>
      <c r="B2049" s="37" t="s">
        <v>3554</v>
      </c>
      <c r="C2049" s="37" t="s">
        <v>7</v>
      </c>
      <c r="D2049" s="326">
        <v>936.18</v>
      </c>
    </row>
    <row r="2050" spans="1:4" ht="13.5">
      <c r="A2050" s="37">
        <v>100679</v>
      </c>
      <c r="B2050" s="37" t="s">
        <v>3555</v>
      </c>
      <c r="C2050" s="37" t="s">
        <v>7</v>
      </c>
      <c r="D2050" s="326">
        <v>786.95</v>
      </c>
    </row>
    <row r="2051" spans="1:4" ht="13.5">
      <c r="A2051" s="37">
        <v>100680</v>
      </c>
      <c r="B2051" s="37" t="s">
        <v>3556</v>
      </c>
      <c r="C2051" s="37" t="s">
        <v>7</v>
      </c>
      <c r="D2051" s="326">
        <v>945.41</v>
      </c>
    </row>
    <row r="2052" spans="1:4" ht="13.5">
      <c r="A2052" s="37">
        <v>100681</v>
      </c>
      <c r="B2052" s="37" t="s">
        <v>3557</v>
      </c>
      <c r="C2052" s="37" t="s">
        <v>7</v>
      </c>
      <c r="D2052" s="326">
        <v>969.91</v>
      </c>
    </row>
    <row r="2053" spans="1:4" ht="13.5">
      <c r="A2053" s="37">
        <v>100682</v>
      </c>
      <c r="B2053" s="37" t="s">
        <v>3558</v>
      </c>
      <c r="C2053" s="37" t="s">
        <v>7</v>
      </c>
      <c r="D2053" s="326">
        <v>805.37</v>
      </c>
    </row>
    <row r="2054" spans="1:4" ht="13.5">
      <c r="A2054" s="37">
        <v>100683</v>
      </c>
      <c r="B2054" s="37" t="s">
        <v>3559</v>
      </c>
      <c r="C2054" s="37" t="s">
        <v>7</v>
      </c>
      <c r="D2054" s="38">
        <v>1020.77</v>
      </c>
    </row>
    <row r="2055" spans="1:4" ht="13.5">
      <c r="A2055" s="37">
        <v>100684</v>
      </c>
      <c r="B2055" s="37" t="s">
        <v>3561</v>
      </c>
      <c r="C2055" s="37" t="s">
        <v>7</v>
      </c>
      <c r="D2055" s="326">
        <v>850.53</v>
      </c>
    </row>
    <row r="2056" spans="1:4" ht="13.5">
      <c r="A2056" s="37">
        <v>100685</v>
      </c>
      <c r="B2056" s="37" t="s">
        <v>3562</v>
      </c>
      <c r="C2056" s="37" t="s">
        <v>7</v>
      </c>
      <c r="D2056" s="38">
        <v>1063.3599999999999</v>
      </c>
    </row>
    <row r="2057" spans="1:4" ht="13.5">
      <c r="A2057" s="37">
        <v>100686</v>
      </c>
      <c r="B2057" s="37" t="s">
        <v>3563</v>
      </c>
      <c r="C2057" s="37" t="s">
        <v>7</v>
      </c>
      <c r="D2057" s="326">
        <v>892.45</v>
      </c>
    </row>
    <row r="2058" spans="1:4" ht="13.5">
      <c r="A2058" s="37">
        <v>100687</v>
      </c>
      <c r="B2058" s="37" t="s">
        <v>3564</v>
      </c>
      <c r="C2058" s="37" t="s">
        <v>7</v>
      </c>
      <c r="D2058" s="326">
        <v>944.94</v>
      </c>
    </row>
    <row r="2059" spans="1:4" ht="13.5">
      <c r="A2059" s="37">
        <v>100688</v>
      </c>
      <c r="B2059" s="37" t="s">
        <v>3565</v>
      </c>
      <c r="C2059" s="37" t="s">
        <v>7</v>
      </c>
      <c r="D2059" s="326">
        <v>795.71</v>
      </c>
    </row>
    <row r="2060" spans="1:4" ht="13.5">
      <c r="A2060" s="37">
        <v>100689</v>
      </c>
      <c r="B2060" s="37" t="s">
        <v>3566</v>
      </c>
      <c r="C2060" s="37" t="s">
        <v>7</v>
      </c>
      <c r="D2060" s="38">
        <v>1026.6199999999999</v>
      </c>
    </row>
    <row r="2061" spans="1:4" ht="13.5">
      <c r="A2061" s="37">
        <v>100690</v>
      </c>
      <c r="B2061" s="37" t="s">
        <v>3567</v>
      </c>
      <c r="C2061" s="37" t="s">
        <v>7</v>
      </c>
      <c r="D2061" s="326">
        <v>856.38</v>
      </c>
    </row>
    <row r="2062" spans="1:4" ht="13.5">
      <c r="A2062" s="37">
        <v>100691</v>
      </c>
      <c r="B2062" s="37" t="s">
        <v>3568</v>
      </c>
      <c r="C2062" s="37" t="s">
        <v>7</v>
      </c>
      <c r="D2062" s="38">
        <v>1540.22</v>
      </c>
    </row>
    <row r="2063" spans="1:4" ht="13.5">
      <c r="A2063" s="37">
        <v>100692</v>
      </c>
      <c r="B2063" s="37" t="s">
        <v>3569</v>
      </c>
      <c r="C2063" s="37" t="s">
        <v>7</v>
      </c>
      <c r="D2063" s="38">
        <v>1369.98</v>
      </c>
    </row>
    <row r="2064" spans="1:4" ht="13.5">
      <c r="A2064" s="37">
        <v>100693</v>
      </c>
      <c r="B2064" s="37" t="s">
        <v>3570</v>
      </c>
      <c r="C2064" s="37" t="s">
        <v>7</v>
      </c>
      <c r="D2064" s="38">
        <v>1897.09</v>
      </c>
    </row>
    <row r="2065" spans="1:4" ht="13.5">
      <c r="A2065" s="37">
        <v>100694</v>
      </c>
      <c r="B2065" s="37" t="s">
        <v>3571</v>
      </c>
      <c r="C2065" s="37" t="s">
        <v>7</v>
      </c>
      <c r="D2065" s="38">
        <v>1726.85</v>
      </c>
    </row>
    <row r="2066" spans="1:4" ht="13.5">
      <c r="A2066" s="37">
        <v>100695</v>
      </c>
      <c r="B2066" s="37" t="s">
        <v>3572</v>
      </c>
      <c r="C2066" s="37" t="s">
        <v>7</v>
      </c>
      <c r="D2066" s="326">
        <v>60.07</v>
      </c>
    </row>
    <row r="2067" spans="1:4" ht="13.5">
      <c r="A2067" s="37">
        <v>100696</v>
      </c>
      <c r="B2067" s="37" t="s">
        <v>3573</v>
      </c>
      <c r="C2067" s="37" t="s">
        <v>7</v>
      </c>
      <c r="D2067" s="326">
        <v>66.72</v>
      </c>
    </row>
    <row r="2068" spans="1:4" ht="13.5">
      <c r="A2068" s="37">
        <v>100697</v>
      </c>
      <c r="B2068" s="37" t="s">
        <v>3574</v>
      </c>
      <c r="C2068" s="37" t="s">
        <v>7</v>
      </c>
      <c r="D2068" s="326">
        <v>73.41</v>
      </c>
    </row>
    <row r="2069" spans="1:4" ht="13.5">
      <c r="A2069" s="37">
        <v>100698</v>
      </c>
      <c r="B2069" s="37" t="s">
        <v>3575</v>
      </c>
      <c r="C2069" s="37" t="s">
        <v>7</v>
      </c>
      <c r="D2069" s="326">
        <v>80.08</v>
      </c>
    </row>
    <row r="2070" spans="1:4" ht="13.5">
      <c r="A2070" s="37">
        <v>100699</v>
      </c>
      <c r="B2070" s="37" t="s">
        <v>3576</v>
      </c>
      <c r="C2070" s="37" t="s">
        <v>7</v>
      </c>
      <c r="D2070" s="326">
        <v>95.74</v>
      </c>
    </row>
    <row r="2071" spans="1:4" ht="13.5">
      <c r="A2071" s="37">
        <v>100700</v>
      </c>
      <c r="B2071" s="37" t="s">
        <v>3577</v>
      </c>
      <c r="C2071" s="37" t="s">
        <v>7</v>
      </c>
      <c r="D2071" s="326">
        <v>777.46</v>
      </c>
    </row>
    <row r="2072" spans="1:4" ht="13.5">
      <c r="A2072" s="37">
        <v>100712</v>
      </c>
      <c r="B2072" s="37" t="s">
        <v>3578</v>
      </c>
      <c r="C2072" s="37" t="s">
        <v>7</v>
      </c>
      <c r="D2072" s="326">
        <v>780.87</v>
      </c>
    </row>
    <row r="2073" spans="1:4" ht="13.5">
      <c r="A2073" s="37">
        <v>100665</v>
      </c>
      <c r="B2073" s="37" t="s">
        <v>3579</v>
      </c>
      <c r="C2073" s="37" t="s">
        <v>9</v>
      </c>
      <c r="D2073" s="38">
        <v>1190.42</v>
      </c>
    </row>
    <row r="2074" spans="1:4" ht="13.5">
      <c r="A2074" s="37">
        <v>100666</v>
      </c>
      <c r="B2074" s="37" t="s">
        <v>3580</v>
      </c>
      <c r="C2074" s="37" t="s">
        <v>9</v>
      </c>
      <c r="D2074" s="326">
        <v>935.19</v>
      </c>
    </row>
    <row r="2075" spans="1:4" ht="13.5">
      <c r="A2075" s="37">
        <v>100667</v>
      </c>
      <c r="B2075" s="37" t="s">
        <v>3581</v>
      </c>
      <c r="C2075" s="37" t="s">
        <v>9</v>
      </c>
      <c r="D2075" s="38">
        <v>1551.24</v>
      </c>
    </row>
    <row r="2076" spans="1:4" ht="13.5">
      <c r="A2076" s="37">
        <v>100668</v>
      </c>
      <c r="B2076" s="37" t="s">
        <v>3582</v>
      </c>
      <c r="C2076" s="37" t="s">
        <v>9</v>
      </c>
      <c r="D2076" s="38">
        <v>1821.7</v>
      </c>
    </row>
    <row r="2077" spans="1:4" ht="13.5">
      <c r="A2077" s="37">
        <v>100669</v>
      </c>
      <c r="B2077" s="37" t="s">
        <v>3583</v>
      </c>
      <c r="C2077" s="37" t="s">
        <v>9</v>
      </c>
      <c r="D2077" s="38">
        <v>1104.57</v>
      </c>
    </row>
    <row r="2078" spans="1:4" ht="13.5">
      <c r="A2078" s="37">
        <v>100670</v>
      </c>
      <c r="B2078" s="37" t="s">
        <v>3584</v>
      </c>
      <c r="C2078" s="37" t="s">
        <v>9</v>
      </c>
      <c r="D2078" s="38">
        <v>1493.47</v>
      </c>
    </row>
    <row r="2079" spans="1:4" ht="13.5">
      <c r="A2079" s="37">
        <v>100671</v>
      </c>
      <c r="B2079" s="37" t="s">
        <v>3585</v>
      </c>
      <c r="C2079" s="37" t="s">
        <v>9</v>
      </c>
      <c r="D2079" s="38">
        <v>1860.25</v>
      </c>
    </row>
    <row r="2080" spans="1:4" ht="13.5">
      <c r="A2080" s="37">
        <v>100672</v>
      </c>
      <c r="B2080" s="37" t="s">
        <v>3586</v>
      </c>
      <c r="C2080" s="37" t="s">
        <v>9</v>
      </c>
      <c r="D2080" s="38">
        <v>1191.07</v>
      </c>
    </row>
    <row r="2081" spans="1:4" ht="13.5">
      <c r="A2081" s="37">
        <v>100701</v>
      </c>
      <c r="B2081" s="37" t="s">
        <v>3587</v>
      </c>
      <c r="C2081" s="37" t="s">
        <v>9</v>
      </c>
      <c r="D2081" s="326">
        <v>603.08000000000004</v>
      </c>
    </row>
    <row r="2082" spans="1:4" ht="13.5">
      <c r="A2082" s="37">
        <v>94559</v>
      </c>
      <c r="B2082" s="37" t="s">
        <v>3588</v>
      </c>
      <c r="C2082" s="37" t="s">
        <v>9</v>
      </c>
      <c r="D2082" s="326">
        <v>649.14</v>
      </c>
    </row>
    <row r="2083" spans="1:4" ht="13.5">
      <c r="A2083" s="37">
        <v>94562</v>
      </c>
      <c r="B2083" s="37" t="s">
        <v>3589</v>
      </c>
      <c r="C2083" s="37" t="s">
        <v>9</v>
      </c>
      <c r="D2083" s="326">
        <v>604.13</v>
      </c>
    </row>
    <row r="2084" spans="1:4" ht="13.5">
      <c r="A2084" s="37">
        <v>94587</v>
      </c>
      <c r="B2084" s="37" t="s">
        <v>3590</v>
      </c>
      <c r="C2084" s="37" t="s">
        <v>6</v>
      </c>
      <c r="D2084" s="326">
        <v>57.96</v>
      </c>
    </row>
    <row r="2085" spans="1:4" ht="13.5">
      <c r="A2085" s="37">
        <v>94588</v>
      </c>
      <c r="B2085" s="37" t="s">
        <v>3591</v>
      </c>
      <c r="C2085" s="37" t="s">
        <v>6</v>
      </c>
      <c r="D2085" s="326">
        <v>50.44</v>
      </c>
    </row>
    <row r="2086" spans="1:4" ht="13.5">
      <c r="A2086" s="37">
        <v>99837</v>
      </c>
      <c r="B2086" s="37" t="s">
        <v>16954</v>
      </c>
      <c r="C2086" s="37" t="s">
        <v>6</v>
      </c>
      <c r="D2086" s="326">
        <v>807.11</v>
      </c>
    </row>
    <row r="2087" spans="1:4" ht="13.5">
      <c r="A2087" s="37">
        <v>99839</v>
      </c>
      <c r="B2087" s="37" t="s">
        <v>16955</v>
      </c>
      <c r="C2087" s="37" t="s">
        <v>6</v>
      </c>
      <c r="D2087" s="326">
        <v>565.54999999999995</v>
      </c>
    </row>
    <row r="2088" spans="1:4" ht="13.5">
      <c r="A2088" s="37">
        <v>99841</v>
      </c>
      <c r="B2088" s="37" t="s">
        <v>16956</v>
      </c>
      <c r="C2088" s="37" t="s">
        <v>6</v>
      </c>
      <c r="D2088" s="38">
        <v>1103.17</v>
      </c>
    </row>
    <row r="2089" spans="1:4" ht="13.5">
      <c r="A2089" s="37">
        <v>99855</v>
      </c>
      <c r="B2089" s="37" t="s">
        <v>16957</v>
      </c>
      <c r="C2089" s="37" t="s">
        <v>6</v>
      </c>
      <c r="D2089" s="326">
        <v>146.88999999999999</v>
      </c>
    </row>
    <row r="2090" spans="1:4" ht="13.5">
      <c r="A2090" s="37">
        <v>99857</v>
      </c>
      <c r="B2090" s="37" t="s">
        <v>16958</v>
      </c>
      <c r="C2090" s="37" t="s">
        <v>6</v>
      </c>
      <c r="D2090" s="326">
        <v>90.51</v>
      </c>
    </row>
    <row r="2091" spans="1:4" ht="13.5">
      <c r="A2091" s="37">
        <v>99861</v>
      </c>
      <c r="B2091" s="37" t="s">
        <v>3592</v>
      </c>
      <c r="C2091" s="37" t="s">
        <v>9</v>
      </c>
      <c r="D2091" s="326">
        <v>593.32000000000005</v>
      </c>
    </row>
    <row r="2092" spans="1:4" ht="13.5">
      <c r="A2092" s="37">
        <v>99862</v>
      </c>
      <c r="B2092" s="37" t="s">
        <v>3593</v>
      </c>
      <c r="C2092" s="37" t="s">
        <v>9</v>
      </c>
      <c r="D2092" s="326">
        <v>576.35</v>
      </c>
    </row>
    <row r="2093" spans="1:4" ht="13.5">
      <c r="A2093" s="37">
        <v>90838</v>
      </c>
      <c r="B2093" s="37" t="s">
        <v>3594</v>
      </c>
      <c r="C2093" s="37" t="s">
        <v>7</v>
      </c>
      <c r="D2093" s="38">
        <v>1516.13</v>
      </c>
    </row>
    <row r="2094" spans="1:4" ht="13.5">
      <c r="A2094" s="37">
        <v>91338</v>
      </c>
      <c r="B2094" s="37" t="s">
        <v>3595</v>
      </c>
      <c r="C2094" s="37" t="s">
        <v>9</v>
      </c>
      <c r="D2094" s="326">
        <v>814.21</v>
      </c>
    </row>
    <row r="2095" spans="1:4" ht="13.5">
      <c r="A2095" s="37">
        <v>91341</v>
      </c>
      <c r="B2095" s="37" t="s">
        <v>3596</v>
      </c>
      <c r="C2095" s="37" t="s">
        <v>9</v>
      </c>
      <c r="D2095" s="326">
        <v>632.97</v>
      </c>
    </row>
    <row r="2096" spans="1:4" ht="13.5">
      <c r="A2096" s="37">
        <v>94805</v>
      </c>
      <c r="B2096" s="37" t="s">
        <v>3597</v>
      </c>
      <c r="C2096" s="37" t="s">
        <v>7</v>
      </c>
      <c r="D2096" s="326">
        <v>807.91</v>
      </c>
    </row>
    <row r="2097" spans="1:4" ht="13.5">
      <c r="A2097" s="37">
        <v>94806</v>
      </c>
      <c r="B2097" s="37" t="s">
        <v>3598</v>
      </c>
      <c r="C2097" s="37" t="s">
        <v>7</v>
      </c>
      <c r="D2097" s="326">
        <v>704.31</v>
      </c>
    </row>
    <row r="2098" spans="1:4" ht="13.5">
      <c r="A2098" s="37">
        <v>94807</v>
      </c>
      <c r="B2098" s="37" t="s">
        <v>3599</v>
      </c>
      <c r="C2098" s="37" t="s">
        <v>7</v>
      </c>
      <c r="D2098" s="326">
        <v>641.73</v>
      </c>
    </row>
    <row r="2099" spans="1:4" ht="13.5">
      <c r="A2099" s="37">
        <v>100702</v>
      </c>
      <c r="B2099" s="37" t="s">
        <v>3600</v>
      </c>
      <c r="C2099" s="37" t="s">
        <v>9</v>
      </c>
      <c r="D2099" s="326">
        <v>451.55</v>
      </c>
    </row>
    <row r="2100" spans="1:4" ht="13.5">
      <c r="A2100" s="37">
        <v>102188</v>
      </c>
      <c r="B2100" s="37" t="s">
        <v>7655</v>
      </c>
      <c r="C2100" s="37" t="s">
        <v>7</v>
      </c>
      <c r="D2100" s="326">
        <v>874.31</v>
      </c>
    </row>
    <row r="2101" spans="1:4" ht="13.5">
      <c r="A2101" s="37">
        <v>102189</v>
      </c>
      <c r="B2101" s="37" t="s">
        <v>7656</v>
      </c>
      <c r="C2101" s="37" t="s">
        <v>7</v>
      </c>
      <c r="D2101" s="326">
        <v>230.56</v>
      </c>
    </row>
    <row r="2102" spans="1:4" ht="13.5">
      <c r="A2102" s="37">
        <v>100703</v>
      </c>
      <c r="B2102" s="37" t="s">
        <v>3601</v>
      </c>
      <c r="C2102" s="37" t="s">
        <v>7</v>
      </c>
      <c r="D2102" s="326">
        <v>32.130000000000003</v>
      </c>
    </row>
    <row r="2103" spans="1:4" ht="13.5">
      <c r="A2103" s="37">
        <v>100704</v>
      </c>
      <c r="B2103" s="37" t="s">
        <v>3602</v>
      </c>
      <c r="C2103" s="37" t="s">
        <v>7</v>
      </c>
      <c r="D2103" s="326">
        <v>67.73</v>
      </c>
    </row>
    <row r="2104" spans="1:4" ht="13.5">
      <c r="A2104" s="37">
        <v>100705</v>
      </c>
      <c r="B2104" s="37" t="s">
        <v>3603</v>
      </c>
      <c r="C2104" s="37" t="s">
        <v>7</v>
      </c>
      <c r="D2104" s="326">
        <v>78.680000000000007</v>
      </c>
    </row>
    <row r="2105" spans="1:4" ht="13.5">
      <c r="A2105" s="37">
        <v>100706</v>
      </c>
      <c r="B2105" s="37" t="s">
        <v>3604</v>
      </c>
      <c r="C2105" s="37" t="s">
        <v>7</v>
      </c>
      <c r="D2105" s="326">
        <v>71</v>
      </c>
    </row>
    <row r="2106" spans="1:4" ht="13.5">
      <c r="A2106" s="37">
        <v>100707</v>
      </c>
      <c r="B2106" s="37" t="s">
        <v>3605</v>
      </c>
      <c r="C2106" s="37" t="s">
        <v>7</v>
      </c>
      <c r="D2106" s="326">
        <v>143.29</v>
      </c>
    </row>
    <row r="2107" spans="1:4" ht="13.5">
      <c r="A2107" s="37">
        <v>100708</v>
      </c>
      <c r="B2107" s="37" t="s">
        <v>3606</v>
      </c>
      <c r="C2107" s="37" t="s">
        <v>7</v>
      </c>
      <c r="D2107" s="326">
        <v>179.05</v>
      </c>
    </row>
    <row r="2108" spans="1:4" ht="13.5">
      <c r="A2108" s="37">
        <v>100709</v>
      </c>
      <c r="B2108" s="37" t="s">
        <v>3607</v>
      </c>
      <c r="C2108" s="37" t="s">
        <v>7</v>
      </c>
      <c r="D2108" s="326">
        <v>45.02</v>
      </c>
    </row>
    <row r="2109" spans="1:4" ht="13.5">
      <c r="A2109" s="37">
        <v>100710</v>
      </c>
      <c r="B2109" s="37" t="s">
        <v>3608</v>
      </c>
      <c r="C2109" s="37" t="s">
        <v>7</v>
      </c>
      <c r="D2109" s="326">
        <v>103.17</v>
      </c>
    </row>
    <row r="2110" spans="1:4" ht="13.5">
      <c r="A2110" s="37">
        <v>102151</v>
      </c>
      <c r="B2110" s="37" t="s">
        <v>7657</v>
      </c>
      <c r="C2110" s="37" t="s">
        <v>9</v>
      </c>
      <c r="D2110" s="326">
        <v>173.69</v>
      </c>
    </row>
    <row r="2111" spans="1:4" ht="13.5">
      <c r="A2111" s="37">
        <v>102152</v>
      </c>
      <c r="B2111" s="37" t="s">
        <v>7658</v>
      </c>
      <c r="C2111" s="37" t="s">
        <v>9</v>
      </c>
      <c r="D2111" s="326">
        <v>193.01</v>
      </c>
    </row>
    <row r="2112" spans="1:4" ht="13.5">
      <c r="A2112" s="37">
        <v>102153</v>
      </c>
      <c r="B2112" s="37" t="s">
        <v>7659</v>
      </c>
      <c r="C2112" s="37" t="s">
        <v>9</v>
      </c>
      <c r="D2112" s="326">
        <v>244.5</v>
      </c>
    </row>
    <row r="2113" spans="1:4" ht="13.5">
      <c r="A2113" s="37">
        <v>102154</v>
      </c>
      <c r="B2113" s="37" t="s">
        <v>7660</v>
      </c>
      <c r="C2113" s="37" t="s">
        <v>9</v>
      </c>
      <c r="D2113" s="326">
        <v>211.21</v>
      </c>
    </row>
    <row r="2114" spans="1:4" ht="13.5">
      <c r="A2114" s="37">
        <v>102155</v>
      </c>
      <c r="B2114" s="37" t="s">
        <v>7661</v>
      </c>
      <c r="C2114" s="37" t="s">
        <v>9</v>
      </c>
      <c r="D2114" s="326">
        <v>253.33</v>
      </c>
    </row>
    <row r="2115" spans="1:4" ht="13.5">
      <c r="A2115" s="37">
        <v>102156</v>
      </c>
      <c r="B2115" s="37" t="s">
        <v>7662</v>
      </c>
      <c r="C2115" s="37" t="s">
        <v>9</v>
      </c>
      <c r="D2115" s="326">
        <v>242.62</v>
      </c>
    </row>
    <row r="2116" spans="1:4" ht="13.5">
      <c r="A2116" s="37">
        <v>102157</v>
      </c>
      <c r="B2116" s="37" t="s">
        <v>7663</v>
      </c>
      <c r="C2116" s="37" t="s">
        <v>9</v>
      </c>
      <c r="D2116" s="326">
        <v>332.75</v>
      </c>
    </row>
    <row r="2117" spans="1:4" ht="13.5">
      <c r="A2117" s="37">
        <v>102158</v>
      </c>
      <c r="B2117" s="37" t="s">
        <v>7664</v>
      </c>
      <c r="C2117" s="37" t="s">
        <v>9</v>
      </c>
      <c r="D2117" s="326">
        <v>336.93</v>
      </c>
    </row>
    <row r="2118" spans="1:4" ht="13.5">
      <c r="A2118" s="37">
        <v>102159</v>
      </c>
      <c r="B2118" s="37" t="s">
        <v>7665</v>
      </c>
      <c r="C2118" s="37" t="s">
        <v>9</v>
      </c>
      <c r="D2118" s="326">
        <v>401.68</v>
      </c>
    </row>
    <row r="2119" spans="1:4" ht="13.5">
      <c r="A2119" s="37">
        <v>102160</v>
      </c>
      <c r="B2119" s="37" t="s">
        <v>7666</v>
      </c>
      <c r="C2119" s="37" t="s">
        <v>9</v>
      </c>
      <c r="D2119" s="326">
        <v>167.25</v>
      </c>
    </row>
    <row r="2120" spans="1:4" ht="13.5">
      <c r="A2120" s="37">
        <v>102161</v>
      </c>
      <c r="B2120" s="37" t="s">
        <v>16959</v>
      </c>
      <c r="C2120" s="37" t="s">
        <v>9</v>
      </c>
      <c r="D2120" s="326">
        <v>278.93</v>
      </c>
    </row>
    <row r="2121" spans="1:4" ht="13.5">
      <c r="A2121" s="37">
        <v>102162</v>
      </c>
      <c r="B2121" s="37" t="s">
        <v>16960</v>
      </c>
      <c r="C2121" s="37" t="s">
        <v>9</v>
      </c>
      <c r="D2121" s="326">
        <v>298.25</v>
      </c>
    </row>
    <row r="2122" spans="1:4" ht="13.5">
      <c r="A2122" s="37">
        <v>102163</v>
      </c>
      <c r="B2122" s="37" t="s">
        <v>16961</v>
      </c>
      <c r="C2122" s="37" t="s">
        <v>9</v>
      </c>
      <c r="D2122" s="326">
        <v>349.74</v>
      </c>
    </row>
    <row r="2123" spans="1:4" ht="13.5">
      <c r="A2123" s="37">
        <v>102164</v>
      </c>
      <c r="B2123" s="37" t="s">
        <v>16962</v>
      </c>
      <c r="C2123" s="37" t="s">
        <v>9</v>
      </c>
      <c r="D2123" s="326">
        <v>297.11</v>
      </c>
    </row>
    <row r="2124" spans="1:4" ht="13.5">
      <c r="A2124" s="37">
        <v>102165</v>
      </c>
      <c r="B2124" s="37" t="s">
        <v>16963</v>
      </c>
      <c r="C2124" s="37" t="s">
        <v>9</v>
      </c>
      <c r="D2124" s="326">
        <v>339.23</v>
      </c>
    </row>
    <row r="2125" spans="1:4" ht="13.5">
      <c r="A2125" s="37">
        <v>102166</v>
      </c>
      <c r="B2125" s="37" t="s">
        <v>16964</v>
      </c>
      <c r="C2125" s="37" t="s">
        <v>9</v>
      </c>
      <c r="D2125" s="326">
        <v>309.14</v>
      </c>
    </row>
    <row r="2126" spans="1:4" ht="13.5">
      <c r="A2126" s="37">
        <v>102167</v>
      </c>
      <c r="B2126" s="37" t="s">
        <v>16965</v>
      </c>
      <c r="C2126" s="37" t="s">
        <v>9</v>
      </c>
      <c r="D2126" s="326">
        <v>399.27</v>
      </c>
    </row>
    <row r="2127" spans="1:4" ht="13.5">
      <c r="A2127" s="37">
        <v>102168</v>
      </c>
      <c r="B2127" s="37" t="s">
        <v>16966</v>
      </c>
      <c r="C2127" s="37" t="s">
        <v>9</v>
      </c>
      <c r="D2127" s="326">
        <v>386.23</v>
      </c>
    </row>
    <row r="2128" spans="1:4" ht="13.5">
      <c r="A2128" s="37">
        <v>102169</v>
      </c>
      <c r="B2128" s="37" t="s">
        <v>16967</v>
      </c>
      <c r="C2128" s="37" t="s">
        <v>9</v>
      </c>
      <c r="D2128" s="326">
        <v>444.61</v>
      </c>
    </row>
    <row r="2129" spans="1:4" ht="13.5">
      <c r="A2129" s="37">
        <v>102170</v>
      </c>
      <c r="B2129" s="37" t="s">
        <v>16968</v>
      </c>
      <c r="C2129" s="37" t="s">
        <v>9</v>
      </c>
      <c r="D2129" s="326">
        <v>272.49</v>
      </c>
    </row>
    <row r="2130" spans="1:4" ht="13.5">
      <c r="A2130" s="37">
        <v>102171</v>
      </c>
      <c r="B2130" s="37" t="s">
        <v>16969</v>
      </c>
      <c r="C2130" s="37" t="s">
        <v>9</v>
      </c>
      <c r="D2130" s="326">
        <v>503.11</v>
      </c>
    </row>
    <row r="2131" spans="1:4" ht="13.5">
      <c r="A2131" s="37">
        <v>102172</v>
      </c>
      <c r="B2131" s="37" t="s">
        <v>16970</v>
      </c>
      <c r="C2131" s="37" t="s">
        <v>9</v>
      </c>
      <c r="D2131" s="326">
        <v>489.39</v>
      </c>
    </row>
    <row r="2132" spans="1:4" ht="13.5">
      <c r="A2132" s="37">
        <v>102176</v>
      </c>
      <c r="B2132" s="37" t="s">
        <v>16971</v>
      </c>
      <c r="C2132" s="37" t="s">
        <v>9</v>
      </c>
      <c r="D2132" s="326">
        <v>895.96</v>
      </c>
    </row>
    <row r="2133" spans="1:4" ht="13.5">
      <c r="A2133" s="37">
        <v>102177</v>
      </c>
      <c r="B2133" s="37" t="s">
        <v>16972</v>
      </c>
      <c r="C2133" s="37" t="s">
        <v>9</v>
      </c>
      <c r="D2133" s="38">
        <v>1812.45</v>
      </c>
    </row>
    <row r="2134" spans="1:4" ht="13.5">
      <c r="A2134" s="37">
        <v>102178</v>
      </c>
      <c r="B2134" s="37" t="s">
        <v>16973</v>
      </c>
      <c r="C2134" s="37" t="s">
        <v>9</v>
      </c>
      <c r="D2134" s="38">
        <v>2082.1799999999998</v>
      </c>
    </row>
    <row r="2135" spans="1:4" ht="13.5">
      <c r="A2135" s="37">
        <v>102179</v>
      </c>
      <c r="B2135" s="37" t="s">
        <v>16974</v>
      </c>
      <c r="C2135" s="37" t="s">
        <v>9</v>
      </c>
      <c r="D2135" s="326">
        <v>351.7</v>
      </c>
    </row>
    <row r="2136" spans="1:4" ht="13.5">
      <c r="A2136" s="37">
        <v>102180</v>
      </c>
      <c r="B2136" s="37" t="s">
        <v>16975</v>
      </c>
      <c r="C2136" s="37" t="s">
        <v>9</v>
      </c>
      <c r="D2136" s="326">
        <v>413.5</v>
      </c>
    </row>
    <row r="2137" spans="1:4" ht="13.5">
      <c r="A2137" s="37">
        <v>102181</v>
      </c>
      <c r="B2137" s="37" t="s">
        <v>16976</v>
      </c>
      <c r="C2137" s="37" t="s">
        <v>9</v>
      </c>
      <c r="D2137" s="326">
        <v>496.05</v>
      </c>
    </row>
    <row r="2138" spans="1:4" ht="13.5">
      <c r="A2138" s="37">
        <v>102182</v>
      </c>
      <c r="B2138" s="37" t="s">
        <v>7667</v>
      </c>
      <c r="C2138" s="37" t="s">
        <v>7</v>
      </c>
      <c r="D2138" s="38">
        <v>1039.17</v>
      </c>
    </row>
    <row r="2139" spans="1:4" ht="13.5">
      <c r="A2139" s="37">
        <v>102183</v>
      </c>
      <c r="B2139" s="37" t="s">
        <v>7668</v>
      </c>
      <c r="C2139" s="37" t="s">
        <v>7</v>
      </c>
      <c r="D2139" s="38">
        <v>2088.92</v>
      </c>
    </row>
    <row r="2140" spans="1:4" ht="13.5">
      <c r="A2140" s="37">
        <v>102184</v>
      </c>
      <c r="B2140" s="37" t="s">
        <v>7669</v>
      </c>
      <c r="C2140" s="37" t="s">
        <v>7</v>
      </c>
      <c r="D2140" s="38">
        <v>1893.8</v>
      </c>
    </row>
    <row r="2141" spans="1:4" ht="13.5">
      <c r="A2141" s="37">
        <v>102185</v>
      </c>
      <c r="B2141" s="37" t="s">
        <v>7670</v>
      </c>
      <c r="C2141" s="37" t="s">
        <v>7</v>
      </c>
      <c r="D2141" s="38">
        <v>3797.88</v>
      </c>
    </row>
    <row r="2142" spans="1:4" ht="13.5">
      <c r="A2142" s="37">
        <v>102190</v>
      </c>
      <c r="B2142" s="37" t="s">
        <v>7671</v>
      </c>
      <c r="C2142" s="37" t="s">
        <v>9</v>
      </c>
      <c r="D2142" s="326">
        <v>16.27</v>
      </c>
    </row>
    <row r="2143" spans="1:4" ht="13.5">
      <c r="A2143" s="37">
        <v>102191</v>
      </c>
      <c r="B2143" s="37" t="s">
        <v>7672</v>
      </c>
      <c r="C2143" s="37" t="s">
        <v>9</v>
      </c>
      <c r="D2143" s="326">
        <v>19.760000000000002</v>
      </c>
    </row>
    <row r="2144" spans="1:4" ht="13.5">
      <c r="A2144" s="37">
        <v>102192</v>
      </c>
      <c r="B2144" s="37" t="s">
        <v>7673</v>
      </c>
      <c r="C2144" s="37" t="s">
        <v>9</v>
      </c>
      <c r="D2144" s="326">
        <v>14.1</v>
      </c>
    </row>
    <row r="2145" spans="1:4" ht="13.5">
      <c r="A2145" s="37">
        <v>94569</v>
      </c>
      <c r="B2145" s="37" t="s">
        <v>3609</v>
      </c>
      <c r="C2145" s="37" t="s">
        <v>9</v>
      </c>
      <c r="D2145" s="326">
        <v>638.91</v>
      </c>
    </row>
    <row r="2146" spans="1:4" ht="13.5">
      <c r="A2146" s="37">
        <v>94570</v>
      </c>
      <c r="B2146" s="37" t="s">
        <v>3610</v>
      </c>
      <c r="C2146" s="37" t="s">
        <v>9</v>
      </c>
      <c r="D2146" s="326">
        <v>330.84</v>
      </c>
    </row>
    <row r="2147" spans="1:4" ht="13.5">
      <c r="A2147" s="37">
        <v>94572</v>
      </c>
      <c r="B2147" s="37" t="s">
        <v>3611</v>
      </c>
      <c r="C2147" s="37" t="s">
        <v>9</v>
      </c>
      <c r="D2147" s="326">
        <v>471.69</v>
      </c>
    </row>
    <row r="2148" spans="1:4" ht="13.5">
      <c r="A2148" s="37">
        <v>94573</v>
      </c>
      <c r="B2148" s="37" t="s">
        <v>3612</v>
      </c>
      <c r="C2148" s="37" t="s">
        <v>9</v>
      </c>
      <c r="D2148" s="326">
        <v>383.6</v>
      </c>
    </row>
    <row r="2149" spans="1:4" ht="13.5">
      <c r="A2149" s="37">
        <v>94580</v>
      </c>
      <c r="B2149" s="37" t="s">
        <v>3613</v>
      </c>
      <c r="C2149" s="37" t="s">
        <v>9</v>
      </c>
      <c r="D2149" s="326">
        <v>526.04</v>
      </c>
    </row>
    <row r="2150" spans="1:4" ht="13.5">
      <c r="A2150" s="37">
        <v>94589</v>
      </c>
      <c r="B2150" s="37" t="s">
        <v>12302</v>
      </c>
      <c r="C2150" s="37" t="s">
        <v>6</v>
      </c>
      <c r="D2150" s="326">
        <v>20.25</v>
      </c>
    </row>
    <row r="2151" spans="1:4" ht="13.5">
      <c r="A2151" s="37">
        <v>94590</v>
      </c>
      <c r="B2151" s="37" t="s">
        <v>12303</v>
      </c>
      <c r="C2151" s="37" t="s">
        <v>6</v>
      </c>
      <c r="D2151" s="326">
        <v>16.829999999999998</v>
      </c>
    </row>
    <row r="2152" spans="1:4" ht="13.5">
      <c r="A2152" s="37">
        <v>100674</v>
      </c>
      <c r="B2152" s="37" t="s">
        <v>3614</v>
      </c>
      <c r="C2152" s="37" t="s">
        <v>9</v>
      </c>
      <c r="D2152" s="326">
        <v>689.82</v>
      </c>
    </row>
    <row r="2153" spans="1:4" ht="13.5">
      <c r="A2153" s="37">
        <v>101096</v>
      </c>
      <c r="B2153" s="37" t="s">
        <v>16977</v>
      </c>
      <c r="C2153" s="37" t="s">
        <v>12</v>
      </c>
      <c r="D2153" s="38">
        <v>1297.49</v>
      </c>
    </row>
    <row r="2154" spans="1:4" ht="13.5">
      <c r="A2154" s="37">
        <v>101097</v>
      </c>
      <c r="B2154" s="37" t="s">
        <v>16978</v>
      </c>
      <c r="C2154" s="37" t="s">
        <v>12</v>
      </c>
      <c r="D2154" s="38">
        <v>1230.03</v>
      </c>
    </row>
    <row r="2155" spans="1:4" ht="13.5">
      <c r="A2155" s="37">
        <v>101098</v>
      </c>
      <c r="B2155" s="37" t="s">
        <v>16979</v>
      </c>
      <c r="C2155" s="37" t="s">
        <v>12</v>
      </c>
      <c r="D2155" s="38">
        <v>1147.3</v>
      </c>
    </row>
    <row r="2156" spans="1:4" ht="13.5">
      <c r="A2156" s="37">
        <v>101099</v>
      </c>
      <c r="B2156" s="37" t="s">
        <v>16980</v>
      </c>
      <c r="C2156" s="37" t="s">
        <v>12</v>
      </c>
      <c r="D2156" s="38">
        <v>1048.56</v>
      </c>
    </row>
    <row r="2157" spans="1:4" ht="13.5">
      <c r="A2157" s="37">
        <v>101100</v>
      </c>
      <c r="B2157" s="37" t="s">
        <v>16981</v>
      </c>
      <c r="C2157" s="37" t="s">
        <v>12</v>
      </c>
      <c r="D2157" s="326">
        <v>963.3</v>
      </c>
    </row>
    <row r="2158" spans="1:4" ht="13.5">
      <c r="A2158" s="37">
        <v>101101</v>
      </c>
      <c r="B2158" s="37" t="s">
        <v>16982</v>
      </c>
      <c r="C2158" s="37" t="s">
        <v>12</v>
      </c>
      <c r="D2158" s="326">
        <v>942.68</v>
      </c>
    </row>
    <row r="2159" spans="1:4" ht="13.5">
      <c r="A2159" s="37">
        <v>101102</v>
      </c>
      <c r="B2159" s="37" t="s">
        <v>16983</v>
      </c>
      <c r="C2159" s="37" t="s">
        <v>12</v>
      </c>
      <c r="D2159" s="326">
        <v>924.6</v>
      </c>
    </row>
    <row r="2160" spans="1:4" ht="13.5">
      <c r="A2160" s="37">
        <v>101103</v>
      </c>
      <c r="B2160" s="37" t="s">
        <v>16984</v>
      </c>
      <c r="C2160" s="37" t="s">
        <v>12</v>
      </c>
      <c r="D2160" s="326">
        <v>867.84</v>
      </c>
    </row>
    <row r="2161" spans="1:4" ht="13.5">
      <c r="A2161" s="37">
        <v>101104</v>
      </c>
      <c r="B2161" s="37" t="s">
        <v>16985</v>
      </c>
      <c r="C2161" s="37" t="s">
        <v>12</v>
      </c>
      <c r="D2161" s="38">
        <v>1369.5</v>
      </c>
    </row>
    <row r="2162" spans="1:4" ht="13.5">
      <c r="A2162" s="37">
        <v>101105</v>
      </c>
      <c r="B2162" s="37" t="s">
        <v>16986</v>
      </c>
      <c r="C2162" s="37" t="s">
        <v>12</v>
      </c>
      <c r="D2162" s="38">
        <v>1301.03</v>
      </c>
    </row>
    <row r="2163" spans="1:4" ht="13.5">
      <c r="A2163" s="37">
        <v>101106</v>
      </c>
      <c r="B2163" s="37" t="s">
        <v>16987</v>
      </c>
      <c r="C2163" s="37" t="s">
        <v>12</v>
      </c>
      <c r="D2163" s="38">
        <v>1217.21</v>
      </c>
    </row>
    <row r="2164" spans="1:4" ht="13.5">
      <c r="A2164" s="37">
        <v>101107</v>
      </c>
      <c r="B2164" s="37" t="s">
        <v>16988</v>
      </c>
      <c r="C2164" s="37" t="s">
        <v>12</v>
      </c>
      <c r="D2164" s="38">
        <v>1116.46</v>
      </c>
    </row>
    <row r="2165" spans="1:4" ht="13.5">
      <c r="A2165" s="37">
        <v>101108</v>
      </c>
      <c r="B2165" s="37" t="s">
        <v>16989</v>
      </c>
      <c r="C2165" s="37" t="s">
        <v>12</v>
      </c>
      <c r="D2165" s="38">
        <v>1029.24</v>
      </c>
    </row>
    <row r="2166" spans="1:4" ht="13.5">
      <c r="A2166" s="37">
        <v>101109</v>
      </c>
      <c r="B2166" s="37" t="s">
        <v>16990</v>
      </c>
      <c r="C2166" s="37" t="s">
        <v>12</v>
      </c>
      <c r="D2166" s="38">
        <v>1007.95</v>
      </c>
    </row>
    <row r="2167" spans="1:4" ht="13.5">
      <c r="A2167" s="37">
        <v>101110</v>
      </c>
      <c r="B2167" s="37" t="s">
        <v>16991</v>
      </c>
      <c r="C2167" s="37" t="s">
        <v>12</v>
      </c>
      <c r="D2167" s="326">
        <v>989.46</v>
      </c>
    </row>
    <row r="2168" spans="1:4" ht="13.5">
      <c r="A2168" s="37">
        <v>101111</v>
      </c>
      <c r="B2168" s="37" t="s">
        <v>16992</v>
      </c>
      <c r="C2168" s="37" t="s">
        <v>12</v>
      </c>
      <c r="D2168" s="326">
        <v>931.38</v>
      </c>
    </row>
    <row r="2169" spans="1:4" ht="13.5">
      <c r="A2169" s="37">
        <v>101112</v>
      </c>
      <c r="B2169" s="37" t="s">
        <v>7674</v>
      </c>
      <c r="C2169" s="37" t="s">
        <v>12</v>
      </c>
      <c r="D2169" s="326">
        <v>890.51</v>
      </c>
    </row>
    <row r="2170" spans="1:4" ht="13.5">
      <c r="A2170" s="37">
        <v>101113</v>
      </c>
      <c r="B2170" s="37" t="s">
        <v>16993</v>
      </c>
      <c r="C2170" s="37" t="s">
        <v>12</v>
      </c>
      <c r="D2170" s="326">
        <v>967.87</v>
      </c>
    </row>
    <row r="2171" spans="1:4" ht="13.5">
      <c r="A2171" s="37">
        <v>95601</v>
      </c>
      <c r="B2171" s="37" t="s">
        <v>7675</v>
      </c>
      <c r="C2171" s="37" t="s">
        <v>7</v>
      </c>
      <c r="D2171" s="326">
        <v>15.74</v>
      </c>
    </row>
    <row r="2172" spans="1:4" ht="13.5">
      <c r="A2172" s="37">
        <v>95602</v>
      </c>
      <c r="B2172" s="37" t="s">
        <v>7676</v>
      </c>
      <c r="C2172" s="37" t="s">
        <v>7</v>
      </c>
      <c r="D2172" s="326">
        <v>25.18</v>
      </c>
    </row>
    <row r="2173" spans="1:4" ht="13.5">
      <c r="A2173" s="37">
        <v>95603</v>
      </c>
      <c r="B2173" s="37" t="s">
        <v>7677</v>
      </c>
      <c r="C2173" s="37" t="s">
        <v>7</v>
      </c>
      <c r="D2173" s="326">
        <v>42.98</v>
      </c>
    </row>
    <row r="2174" spans="1:4" ht="13.5">
      <c r="A2174" s="37">
        <v>95604</v>
      </c>
      <c r="B2174" s="37" t="s">
        <v>7678</v>
      </c>
      <c r="C2174" s="37" t="s">
        <v>7</v>
      </c>
      <c r="D2174" s="326">
        <v>66.69</v>
      </c>
    </row>
    <row r="2175" spans="1:4" ht="13.5">
      <c r="A2175" s="37">
        <v>95605</v>
      </c>
      <c r="B2175" s="37" t="s">
        <v>7679</v>
      </c>
      <c r="C2175" s="37" t="s">
        <v>7</v>
      </c>
      <c r="D2175" s="326">
        <v>122.46</v>
      </c>
    </row>
    <row r="2176" spans="1:4" ht="13.5">
      <c r="A2176" s="37">
        <v>95607</v>
      </c>
      <c r="B2176" s="37" t="s">
        <v>7680</v>
      </c>
      <c r="C2176" s="37" t="s">
        <v>7</v>
      </c>
      <c r="D2176" s="326">
        <v>21.77</v>
      </c>
    </row>
    <row r="2177" spans="1:4" ht="13.5">
      <c r="A2177" s="37">
        <v>95608</v>
      </c>
      <c r="B2177" s="37" t="s">
        <v>7681</v>
      </c>
      <c r="C2177" s="37" t="s">
        <v>7</v>
      </c>
      <c r="D2177" s="326">
        <v>31.59</v>
      </c>
    </row>
    <row r="2178" spans="1:4" ht="13.5">
      <c r="A2178" s="37">
        <v>95609</v>
      </c>
      <c r="B2178" s="37" t="s">
        <v>7682</v>
      </c>
      <c r="C2178" s="37" t="s">
        <v>7</v>
      </c>
      <c r="D2178" s="326">
        <v>40.06</v>
      </c>
    </row>
    <row r="2179" spans="1:4" ht="13.5">
      <c r="A2179" s="37">
        <v>100651</v>
      </c>
      <c r="B2179" s="37" t="s">
        <v>16994</v>
      </c>
      <c r="C2179" s="37" t="s">
        <v>6</v>
      </c>
      <c r="D2179" s="326">
        <v>148.88999999999999</v>
      </c>
    </row>
    <row r="2180" spans="1:4" ht="13.5">
      <c r="A2180" s="37">
        <v>100652</v>
      </c>
      <c r="B2180" s="37" t="s">
        <v>16995</v>
      </c>
      <c r="C2180" s="37" t="s">
        <v>6</v>
      </c>
      <c r="D2180" s="326">
        <v>284.61</v>
      </c>
    </row>
    <row r="2181" spans="1:4" ht="13.5">
      <c r="A2181" s="37">
        <v>100653</v>
      </c>
      <c r="B2181" s="37" t="s">
        <v>16996</v>
      </c>
      <c r="C2181" s="37" t="s">
        <v>6</v>
      </c>
      <c r="D2181" s="326">
        <v>474.84</v>
      </c>
    </row>
    <row r="2182" spans="1:4" ht="13.5">
      <c r="A2182" s="37">
        <v>100654</v>
      </c>
      <c r="B2182" s="37" t="s">
        <v>16997</v>
      </c>
      <c r="C2182" s="37" t="s">
        <v>6</v>
      </c>
      <c r="D2182" s="326">
        <v>647.21</v>
      </c>
    </row>
    <row r="2183" spans="1:4" ht="13.5">
      <c r="A2183" s="37">
        <v>100655</v>
      </c>
      <c r="B2183" s="37" t="s">
        <v>16998</v>
      </c>
      <c r="C2183" s="37" t="s">
        <v>6</v>
      </c>
      <c r="D2183" s="326">
        <v>748.11</v>
      </c>
    </row>
    <row r="2184" spans="1:4" ht="13.5">
      <c r="A2184" s="37">
        <v>100656</v>
      </c>
      <c r="B2184" s="37" t="s">
        <v>3615</v>
      </c>
      <c r="C2184" s="37" t="s">
        <v>6</v>
      </c>
      <c r="D2184" s="326">
        <v>117.68</v>
      </c>
    </row>
    <row r="2185" spans="1:4" ht="13.5">
      <c r="A2185" s="37">
        <v>100657</v>
      </c>
      <c r="B2185" s="37" t="s">
        <v>3616</v>
      </c>
      <c r="C2185" s="37" t="s">
        <v>6</v>
      </c>
      <c r="D2185" s="326">
        <v>151.99</v>
      </c>
    </row>
    <row r="2186" spans="1:4" ht="13.5">
      <c r="A2186" s="37">
        <v>100658</v>
      </c>
      <c r="B2186" s="37" t="s">
        <v>3617</v>
      </c>
      <c r="C2186" s="37" t="s">
        <v>6</v>
      </c>
      <c r="D2186" s="326">
        <v>351.39</v>
      </c>
    </row>
    <row r="2187" spans="1:4" ht="13.5">
      <c r="A2187" s="37">
        <v>100889</v>
      </c>
      <c r="B2187" s="37" t="s">
        <v>3618</v>
      </c>
      <c r="C2187" s="37" t="s">
        <v>8</v>
      </c>
      <c r="D2187" s="326">
        <v>11.97</v>
      </c>
    </row>
    <row r="2188" spans="1:4" ht="13.5">
      <c r="A2188" s="37">
        <v>100890</v>
      </c>
      <c r="B2188" s="37" t="s">
        <v>3619</v>
      </c>
      <c r="C2188" s="37" t="s">
        <v>8</v>
      </c>
      <c r="D2188" s="326">
        <v>11.78</v>
      </c>
    </row>
    <row r="2189" spans="1:4" ht="13.5">
      <c r="A2189" s="37">
        <v>100892</v>
      </c>
      <c r="B2189" s="37" t="s">
        <v>3620</v>
      </c>
      <c r="C2189" s="37" t="s">
        <v>8</v>
      </c>
      <c r="D2189" s="326">
        <v>11.49</v>
      </c>
    </row>
    <row r="2190" spans="1:4" ht="13.5">
      <c r="A2190" s="37">
        <v>100893</v>
      </c>
      <c r="B2190" s="37" t="s">
        <v>3621</v>
      </c>
      <c r="C2190" s="37" t="s">
        <v>8</v>
      </c>
      <c r="D2190" s="326">
        <v>11.31</v>
      </c>
    </row>
    <row r="2191" spans="1:4" ht="13.5">
      <c r="A2191" s="37">
        <v>100894</v>
      </c>
      <c r="B2191" s="37" t="s">
        <v>3622</v>
      </c>
      <c r="C2191" s="37" t="s">
        <v>8</v>
      </c>
      <c r="D2191" s="326">
        <v>11.17</v>
      </c>
    </row>
    <row r="2192" spans="1:4" ht="13.5">
      <c r="A2192" s="37">
        <v>100896</v>
      </c>
      <c r="B2192" s="37" t="s">
        <v>16999</v>
      </c>
      <c r="C2192" s="37" t="s">
        <v>6</v>
      </c>
      <c r="D2192" s="326">
        <v>65.760000000000005</v>
      </c>
    </row>
    <row r="2193" spans="1:4" ht="13.5">
      <c r="A2193" s="37">
        <v>100897</v>
      </c>
      <c r="B2193" s="37" t="s">
        <v>17000</v>
      </c>
      <c r="C2193" s="37" t="s">
        <v>6</v>
      </c>
      <c r="D2193" s="326">
        <v>128.51</v>
      </c>
    </row>
    <row r="2194" spans="1:4" ht="13.5">
      <c r="A2194" s="37">
        <v>100898</v>
      </c>
      <c r="B2194" s="37" t="s">
        <v>17001</v>
      </c>
      <c r="C2194" s="37" t="s">
        <v>6</v>
      </c>
      <c r="D2194" s="326">
        <v>248.76</v>
      </c>
    </row>
    <row r="2195" spans="1:4" ht="13.5">
      <c r="A2195" s="37">
        <v>100899</v>
      </c>
      <c r="B2195" s="37" t="s">
        <v>17002</v>
      </c>
      <c r="C2195" s="37" t="s">
        <v>6</v>
      </c>
      <c r="D2195" s="326">
        <v>87.5</v>
      </c>
    </row>
    <row r="2196" spans="1:4" ht="13.5">
      <c r="A2196" s="37">
        <v>100900</v>
      </c>
      <c r="B2196" s="37" t="s">
        <v>17003</v>
      </c>
      <c r="C2196" s="37" t="s">
        <v>6</v>
      </c>
      <c r="D2196" s="326">
        <v>284.62</v>
      </c>
    </row>
    <row r="2197" spans="1:4" ht="13.5">
      <c r="A2197" s="37">
        <v>101173</v>
      </c>
      <c r="B2197" s="37" t="s">
        <v>7683</v>
      </c>
      <c r="C2197" s="37" t="s">
        <v>6</v>
      </c>
      <c r="D2197" s="326">
        <v>61.56</v>
      </c>
    </row>
    <row r="2198" spans="1:4" ht="13.5">
      <c r="A2198" s="37">
        <v>101174</v>
      </c>
      <c r="B2198" s="37" t="s">
        <v>7684</v>
      </c>
      <c r="C2198" s="37" t="s">
        <v>6</v>
      </c>
      <c r="D2198" s="326">
        <v>84.42</v>
      </c>
    </row>
    <row r="2199" spans="1:4" ht="13.5">
      <c r="A2199" s="37">
        <v>101175</v>
      </c>
      <c r="B2199" s="37" t="s">
        <v>7685</v>
      </c>
      <c r="C2199" s="37" t="s">
        <v>6</v>
      </c>
      <c r="D2199" s="326">
        <v>115.3</v>
      </c>
    </row>
    <row r="2200" spans="1:4" ht="13.5">
      <c r="A2200" s="37">
        <v>101176</v>
      </c>
      <c r="B2200" s="37" t="s">
        <v>17004</v>
      </c>
      <c r="C2200" s="37" t="s">
        <v>6</v>
      </c>
      <c r="D2200" s="326">
        <v>149.84</v>
      </c>
    </row>
    <row r="2201" spans="1:4" ht="13.5">
      <c r="A2201" s="37">
        <v>102521</v>
      </c>
      <c r="B2201" s="37" t="s">
        <v>7686</v>
      </c>
      <c r="C2201" s="37" t="s">
        <v>7</v>
      </c>
      <c r="D2201" s="326">
        <v>101.03</v>
      </c>
    </row>
    <row r="2202" spans="1:4" ht="13.5">
      <c r="A2202" s="37">
        <v>102522</v>
      </c>
      <c r="B2202" s="37" t="s">
        <v>7687</v>
      </c>
      <c r="C2202" s="37" t="s">
        <v>7</v>
      </c>
      <c r="D2202" s="326">
        <v>148.21</v>
      </c>
    </row>
    <row r="2203" spans="1:4" ht="13.5">
      <c r="A2203" s="37">
        <v>102523</v>
      </c>
      <c r="B2203" s="37" t="s">
        <v>7688</v>
      </c>
      <c r="C2203" s="37" t="s">
        <v>7</v>
      </c>
      <c r="D2203" s="326">
        <v>195.4</v>
      </c>
    </row>
    <row r="2204" spans="1:4" ht="13.5">
      <c r="A2204" s="37">
        <v>95240</v>
      </c>
      <c r="B2204" s="37" t="s">
        <v>7689</v>
      </c>
      <c r="C2204" s="37" t="s">
        <v>9</v>
      </c>
      <c r="D2204" s="326">
        <v>17.82</v>
      </c>
    </row>
    <row r="2205" spans="1:4" ht="13.5">
      <c r="A2205" s="37">
        <v>95241</v>
      </c>
      <c r="B2205" s="37" t="s">
        <v>7690</v>
      </c>
      <c r="C2205" s="37" t="s">
        <v>9</v>
      </c>
      <c r="D2205" s="326">
        <v>29.73</v>
      </c>
    </row>
    <row r="2206" spans="1:4" ht="13.5">
      <c r="A2206" s="37">
        <v>96616</v>
      </c>
      <c r="B2206" s="37" t="s">
        <v>3623</v>
      </c>
      <c r="C2206" s="37" t="s">
        <v>12</v>
      </c>
      <c r="D2206" s="326">
        <v>618.63</v>
      </c>
    </row>
    <row r="2207" spans="1:4" ht="13.5">
      <c r="A2207" s="37">
        <v>96617</v>
      </c>
      <c r="B2207" s="37" t="s">
        <v>3624</v>
      </c>
      <c r="C2207" s="37" t="s">
        <v>9</v>
      </c>
      <c r="D2207" s="326">
        <v>18.54</v>
      </c>
    </row>
    <row r="2208" spans="1:4" ht="13.5">
      <c r="A2208" s="37">
        <v>96619</v>
      </c>
      <c r="B2208" s="37" t="s">
        <v>3625</v>
      </c>
      <c r="C2208" s="37" t="s">
        <v>9</v>
      </c>
      <c r="D2208" s="326">
        <v>30.93</v>
      </c>
    </row>
    <row r="2209" spans="1:4" ht="13.5">
      <c r="A2209" s="37">
        <v>96620</v>
      </c>
      <c r="B2209" s="37" t="s">
        <v>7691</v>
      </c>
      <c r="C2209" s="37" t="s">
        <v>12</v>
      </c>
      <c r="D2209" s="326">
        <v>594.80999999999995</v>
      </c>
    </row>
    <row r="2210" spans="1:4" ht="13.5">
      <c r="A2210" s="37">
        <v>96621</v>
      </c>
      <c r="B2210" s="37" t="s">
        <v>3626</v>
      </c>
      <c r="C2210" s="37" t="s">
        <v>12</v>
      </c>
      <c r="D2210" s="326">
        <v>267.82</v>
      </c>
    </row>
    <row r="2211" spans="1:4" ht="13.5">
      <c r="A2211" s="37">
        <v>96622</v>
      </c>
      <c r="B2211" s="37" t="s">
        <v>7692</v>
      </c>
      <c r="C2211" s="37" t="s">
        <v>12</v>
      </c>
      <c r="D2211" s="326">
        <v>197.79</v>
      </c>
    </row>
    <row r="2212" spans="1:4" ht="13.5">
      <c r="A2212" s="37">
        <v>96623</v>
      </c>
      <c r="B2212" s="37" t="s">
        <v>3627</v>
      </c>
      <c r="C2212" s="37" t="s">
        <v>12</v>
      </c>
      <c r="D2212" s="326">
        <v>251.52</v>
      </c>
    </row>
    <row r="2213" spans="1:4" ht="13.5">
      <c r="A2213" s="37">
        <v>96624</v>
      </c>
      <c r="B2213" s="37" t="s">
        <v>7693</v>
      </c>
      <c r="C2213" s="37" t="s">
        <v>12</v>
      </c>
      <c r="D2213" s="326">
        <v>192.04</v>
      </c>
    </row>
    <row r="2214" spans="1:4" ht="13.5">
      <c r="A2214" s="37">
        <v>97082</v>
      </c>
      <c r="B2214" s="37" t="s">
        <v>12304</v>
      </c>
      <c r="C2214" s="37" t="s">
        <v>12</v>
      </c>
      <c r="D2214" s="326">
        <v>55.93</v>
      </c>
    </row>
    <row r="2215" spans="1:4" ht="13.5">
      <c r="A2215" s="37">
        <v>97083</v>
      </c>
      <c r="B2215" s="37" t="s">
        <v>12305</v>
      </c>
      <c r="C2215" s="37" t="s">
        <v>9</v>
      </c>
      <c r="D2215" s="326">
        <v>3.04</v>
      </c>
    </row>
    <row r="2216" spans="1:4" ht="13.5">
      <c r="A2216" s="37">
        <v>97084</v>
      </c>
      <c r="B2216" s="37" t="s">
        <v>12306</v>
      </c>
      <c r="C2216" s="37" t="s">
        <v>9</v>
      </c>
      <c r="D2216" s="326">
        <v>0.62</v>
      </c>
    </row>
    <row r="2217" spans="1:4" ht="13.5">
      <c r="A2217" s="37">
        <v>97086</v>
      </c>
      <c r="B2217" s="37" t="s">
        <v>12307</v>
      </c>
      <c r="C2217" s="37" t="s">
        <v>9</v>
      </c>
      <c r="D2217" s="326">
        <v>127.31</v>
      </c>
    </row>
    <row r="2218" spans="1:4" ht="13.5">
      <c r="A2218" s="37">
        <v>97087</v>
      </c>
      <c r="B2218" s="37" t="s">
        <v>12308</v>
      </c>
      <c r="C2218" s="37" t="s">
        <v>9</v>
      </c>
      <c r="D2218" s="326">
        <v>2.57</v>
      </c>
    </row>
    <row r="2219" spans="1:4" ht="13.5">
      <c r="A2219" s="37">
        <v>97088</v>
      </c>
      <c r="B2219" s="37" t="s">
        <v>12309</v>
      </c>
      <c r="C2219" s="37" t="s">
        <v>8</v>
      </c>
      <c r="D2219" s="326">
        <v>19.510000000000002</v>
      </c>
    </row>
    <row r="2220" spans="1:4" ht="13.5">
      <c r="A2220" s="37">
        <v>97089</v>
      </c>
      <c r="B2220" s="37" t="s">
        <v>12310</v>
      </c>
      <c r="C2220" s="37" t="s">
        <v>8</v>
      </c>
      <c r="D2220" s="326">
        <v>17.84</v>
      </c>
    </row>
    <row r="2221" spans="1:4" ht="13.5">
      <c r="A2221" s="37">
        <v>97090</v>
      </c>
      <c r="B2221" s="37" t="s">
        <v>12311</v>
      </c>
      <c r="C2221" s="37" t="s">
        <v>8</v>
      </c>
      <c r="D2221" s="326">
        <v>17.53</v>
      </c>
    </row>
    <row r="2222" spans="1:4" ht="13.5">
      <c r="A2222" s="37">
        <v>97091</v>
      </c>
      <c r="B2222" s="37" t="s">
        <v>12312</v>
      </c>
      <c r="C2222" s="37" t="s">
        <v>8</v>
      </c>
      <c r="D2222" s="326">
        <v>16.989999999999998</v>
      </c>
    </row>
    <row r="2223" spans="1:4" ht="13.5">
      <c r="A2223" s="37">
        <v>97092</v>
      </c>
      <c r="B2223" s="37" t="s">
        <v>12313</v>
      </c>
      <c r="C2223" s="37" t="s">
        <v>8</v>
      </c>
      <c r="D2223" s="326">
        <v>16.45</v>
      </c>
    </row>
    <row r="2224" spans="1:4" ht="13.5">
      <c r="A2224" s="37">
        <v>97093</v>
      </c>
      <c r="B2224" s="37" t="s">
        <v>12314</v>
      </c>
      <c r="C2224" s="37" t="s">
        <v>8</v>
      </c>
      <c r="D2224" s="326">
        <v>15.44</v>
      </c>
    </row>
    <row r="2225" spans="1:4" ht="13.5">
      <c r="A2225" s="37">
        <v>97096</v>
      </c>
      <c r="B2225" s="37" t="s">
        <v>12315</v>
      </c>
      <c r="C2225" s="37" t="s">
        <v>12</v>
      </c>
      <c r="D2225" s="326">
        <v>653.75</v>
      </c>
    </row>
    <row r="2226" spans="1:4" ht="13.5">
      <c r="A2226" s="37">
        <v>97097</v>
      </c>
      <c r="B2226" s="37" t="s">
        <v>12316</v>
      </c>
      <c r="C2226" s="37" t="s">
        <v>9</v>
      </c>
      <c r="D2226" s="326">
        <v>34.1</v>
      </c>
    </row>
    <row r="2227" spans="1:4" ht="13.5">
      <c r="A2227" s="37">
        <v>97101</v>
      </c>
      <c r="B2227" s="37" t="s">
        <v>12317</v>
      </c>
      <c r="C2227" s="37" t="s">
        <v>9</v>
      </c>
      <c r="D2227" s="326">
        <v>190.02</v>
      </c>
    </row>
    <row r="2228" spans="1:4" ht="13.5">
      <c r="A2228" s="37">
        <v>97102</v>
      </c>
      <c r="B2228" s="37" t="s">
        <v>12318</v>
      </c>
      <c r="C2228" s="37" t="s">
        <v>9</v>
      </c>
      <c r="D2228" s="326">
        <v>238.17</v>
      </c>
    </row>
    <row r="2229" spans="1:4" ht="13.5">
      <c r="A2229" s="37">
        <v>97103</v>
      </c>
      <c r="B2229" s="37" t="s">
        <v>12319</v>
      </c>
      <c r="C2229" s="37" t="s">
        <v>9</v>
      </c>
      <c r="D2229" s="326">
        <v>281.89</v>
      </c>
    </row>
    <row r="2230" spans="1:4" ht="13.5">
      <c r="A2230" s="37">
        <v>100322</v>
      </c>
      <c r="B2230" s="37" t="s">
        <v>7694</v>
      </c>
      <c r="C2230" s="37" t="s">
        <v>12</v>
      </c>
      <c r="D2230" s="326">
        <v>182.45</v>
      </c>
    </row>
    <row r="2231" spans="1:4" ht="13.5">
      <c r="A2231" s="37">
        <v>100323</v>
      </c>
      <c r="B2231" s="37" t="s">
        <v>7695</v>
      </c>
      <c r="C2231" s="37" t="s">
        <v>12</v>
      </c>
      <c r="D2231" s="326">
        <v>124.51</v>
      </c>
    </row>
    <row r="2232" spans="1:4" ht="13.5">
      <c r="A2232" s="37">
        <v>100324</v>
      </c>
      <c r="B2232" s="37" t="s">
        <v>7696</v>
      </c>
      <c r="C2232" s="37" t="s">
        <v>12</v>
      </c>
      <c r="D2232" s="326">
        <v>191.62</v>
      </c>
    </row>
    <row r="2233" spans="1:4" ht="13.5">
      <c r="A2233" s="37">
        <v>103072</v>
      </c>
      <c r="B2233" s="37" t="s">
        <v>12320</v>
      </c>
      <c r="C2233" s="37" t="s">
        <v>9</v>
      </c>
      <c r="D2233" s="326">
        <v>333.81</v>
      </c>
    </row>
    <row r="2234" spans="1:4" ht="13.5">
      <c r="A2234" s="37">
        <v>103073</v>
      </c>
      <c r="B2234" s="37" t="s">
        <v>12321</v>
      </c>
      <c r="C2234" s="37" t="s">
        <v>9</v>
      </c>
      <c r="D2234" s="326">
        <v>405.07</v>
      </c>
    </row>
    <row r="2235" spans="1:4" ht="13.5">
      <c r="A2235" s="37">
        <v>103074</v>
      </c>
      <c r="B2235" s="37" t="s">
        <v>12322</v>
      </c>
      <c r="C2235" s="37" t="s">
        <v>9</v>
      </c>
      <c r="D2235" s="326">
        <v>186.75</v>
      </c>
    </row>
    <row r="2236" spans="1:4" ht="13.5">
      <c r="A2236" s="37">
        <v>103075</v>
      </c>
      <c r="B2236" s="37" t="s">
        <v>12323</v>
      </c>
      <c r="C2236" s="37" t="s">
        <v>9</v>
      </c>
      <c r="D2236" s="326">
        <v>220.85</v>
      </c>
    </row>
    <row r="2237" spans="1:4" ht="13.5">
      <c r="A2237" s="37">
        <v>103076</v>
      </c>
      <c r="B2237" s="37" t="s">
        <v>12324</v>
      </c>
      <c r="C2237" s="37" t="s">
        <v>9</v>
      </c>
      <c r="D2237" s="326">
        <v>164.58</v>
      </c>
    </row>
    <row r="2238" spans="1:4" ht="13.5">
      <c r="A2238" s="37">
        <v>103077</v>
      </c>
      <c r="B2238" s="37" t="s">
        <v>12325</v>
      </c>
      <c r="C2238" s="37" t="s">
        <v>9</v>
      </c>
      <c r="D2238" s="326">
        <v>212.73</v>
      </c>
    </row>
    <row r="2239" spans="1:4" ht="13.5">
      <c r="A2239" s="37">
        <v>103078</v>
      </c>
      <c r="B2239" s="37" t="s">
        <v>12326</v>
      </c>
      <c r="C2239" s="37" t="s">
        <v>9</v>
      </c>
      <c r="D2239" s="326">
        <v>256.45</v>
      </c>
    </row>
    <row r="2240" spans="1:4" ht="13.5">
      <c r="A2240" s="37">
        <v>103079</v>
      </c>
      <c r="B2240" s="37" t="s">
        <v>12327</v>
      </c>
      <c r="C2240" s="37" t="s">
        <v>9</v>
      </c>
      <c r="D2240" s="326">
        <v>308.37</v>
      </c>
    </row>
    <row r="2241" spans="1:4" ht="13.5">
      <c r="A2241" s="37">
        <v>103080</v>
      </c>
      <c r="B2241" s="37" t="s">
        <v>12328</v>
      </c>
      <c r="C2241" s="37" t="s">
        <v>9</v>
      </c>
      <c r="D2241" s="326">
        <v>379.63</v>
      </c>
    </row>
    <row r="2242" spans="1:4" ht="13.5">
      <c r="A2242" s="37">
        <v>92263</v>
      </c>
      <c r="B2242" s="37" t="s">
        <v>7697</v>
      </c>
      <c r="C2242" s="37" t="s">
        <v>9</v>
      </c>
      <c r="D2242" s="326">
        <v>173.98</v>
      </c>
    </row>
    <row r="2243" spans="1:4" ht="13.5">
      <c r="A2243" s="37">
        <v>92264</v>
      </c>
      <c r="B2243" s="37" t="s">
        <v>7698</v>
      </c>
      <c r="C2243" s="37" t="s">
        <v>9</v>
      </c>
      <c r="D2243" s="326">
        <v>227.58</v>
      </c>
    </row>
    <row r="2244" spans="1:4" ht="13.5">
      <c r="A2244" s="37">
        <v>92265</v>
      </c>
      <c r="B2244" s="37" t="s">
        <v>7699</v>
      </c>
      <c r="C2244" s="37" t="s">
        <v>9</v>
      </c>
      <c r="D2244" s="326">
        <v>128.99</v>
      </c>
    </row>
    <row r="2245" spans="1:4" ht="13.5">
      <c r="A2245" s="37">
        <v>92266</v>
      </c>
      <c r="B2245" s="37" t="s">
        <v>7700</v>
      </c>
      <c r="C2245" s="37" t="s">
        <v>9</v>
      </c>
      <c r="D2245" s="326">
        <v>174.97</v>
      </c>
    </row>
    <row r="2246" spans="1:4" ht="13.5">
      <c r="A2246" s="37">
        <v>92267</v>
      </c>
      <c r="B2246" s="37" t="s">
        <v>7701</v>
      </c>
      <c r="C2246" s="37" t="s">
        <v>9</v>
      </c>
      <c r="D2246" s="326">
        <v>61.84</v>
      </c>
    </row>
    <row r="2247" spans="1:4" ht="13.5">
      <c r="A2247" s="37">
        <v>92268</v>
      </c>
      <c r="B2247" s="37" t="s">
        <v>7702</v>
      </c>
      <c r="C2247" s="37" t="s">
        <v>9</v>
      </c>
      <c r="D2247" s="326">
        <v>103.96</v>
      </c>
    </row>
    <row r="2248" spans="1:4" ht="13.5">
      <c r="A2248" s="37">
        <v>92269</v>
      </c>
      <c r="B2248" s="37" t="s">
        <v>7703</v>
      </c>
      <c r="C2248" s="37" t="s">
        <v>9</v>
      </c>
      <c r="D2248" s="326">
        <v>128.9</v>
      </c>
    </row>
    <row r="2249" spans="1:4" ht="13.5">
      <c r="A2249" s="37">
        <v>92270</v>
      </c>
      <c r="B2249" s="37" t="s">
        <v>7704</v>
      </c>
      <c r="C2249" s="37" t="s">
        <v>9</v>
      </c>
      <c r="D2249" s="326">
        <v>169.75</v>
      </c>
    </row>
    <row r="2250" spans="1:4" ht="13.5">
      <c r="A2250" s="37">
        <v>92271</v>
      </c>
      <c r="B2250" s="37" t="s">
        <v>7705</v>
      </c>
      <c r="C2250" s="37" t="s">
        <v>9</v>
      </c>
      <c r="D2250" s="326">
        <v>105.11</v>
      </c>
    </row>
    <row r="2251" spans="1:4" ht="13.5">
      <c r="A2251" s="37">
        <v>92272</v>
      </c>
      <c r="B2251" s="37" t="s">
        <v>7706</v>
      </c>
      <c r="C2251" s="37" t="s">
        <v>6</v>
      </c>
      <c r="D2251" s="326">
        <v>38.869999999999997</v>
      </c>
    </row>
    <row r="2252" spans="1:4" ht="13.5">
      <c r="A2252" s="37">
        <v>92273</v>
      </c>
      <c r="B2252" s="37" t="s">
        <v>7707</v>
      </c>
      <c r="C2252" s="37" t="s">
        <v>6</v>
      </c>
      <c r="D2252" s="326">
        <v>15.1</v>
      </c>
    </row>
    <row r="2253" spans="1:4" ht="13.5">
      <c r="A2253" s="37">
        <v>92409</v>
      </c>
      <c r="B2253" s="37" t="s">
        <v>7708</v>
      </c>
      <c r="C2253" s="37" t="s">
        <v>9</v>
      </c>
      <c r="D2253" s="326">
        <v>227.29</v>
      </c>
    </row>
    <row r="2254" spans="1:4" ht="13.5">
      <c r="A2254" s="37">
        <v>92411</v>
      </c>
      <c r="B2254" s="37" t="s">
        <v>7709</v>
      </c>
      <c r="C2254" s="37" t="s">
        <v>9</v>
      </c>
      <c r="D2254" s="326">
        <v>152.97</v>
      </c>
    </row>
    <row r="2255" spans="1:4" ht="13.5">
      <c r="A2255" s="37">
        <v>92413</v>
      </c>
      <c r="B2255" s="37" t="s">
        <v>7710</v>
      </c>
      <c r="C2255" s="37" t="s">
        <v>9</v>
      </c>
      <c r="D2255" s="326">
        <v>100.72</v>
      </c>
    </row>
    <row r="2256" spans="1:4" ht="13.5">
      <c r="A2256" s="37">
        <v>92415</v>
      </c>
      <c r="B2256" s="37" t="s">
        <v>7711</v>
      </c>
      <c r="C2256" s="37" t="s">
        <v>9</v>
      </c>
      <c r="D2256" s="326">
        <v>145.29</v>
      </c>
    </row>
    <row r="2257" spans="1:4" ht="13.5">
      <c r="A2257" s="37">
        <v>92417</v>
      </c>
      <c r="B2257" s="37" t="s">
        <v>7712</v>
      </c>
      <c r="C2257" s="37" t="s">
        <v>9</v>
      </c>
      <c r="D2257" s="326">
        <v>168.17</v>
      </c>
    </row>
    <row r="2258" spans="1:4" ht="13.5">
      <c r="A2258" s="37">
        <v>92419</v>
      </c>
      <c r="B2258" s="37" t="s">
        <v>7713</v>
      </c>
      <c r="C2258" s="37" t="s">
        <v>9</v>
      </c>
      <c r="D2258" s="326">
        <v>91.58</v>
      </c>
    </row>
    <row r="2259" spans="1:4" ht="13.5">
      <c r="A2259" s="37">
        <v>92421</v>
      </c>
      <c r="B2259" s="37" t="s">
        <v>7714</v>
      </c>
      <c r="C2259" s="37" t="s">
        <v>9</v>
      </c>
      <c r="D2259" s="326">
        <v>109.12</v>
      </c>
    </row>
    <row r="2260" spans="1:4" ht="13.5">
      <c r="A2260" s="37">
        <v>92423</v>
      </c>
      <c r="B2260" s="37" t="s">
        <v>7715</v>
      </c>
      <c r="C2260" s="37" t="s">
        <v>9</v>
      </c>
      <c r="D2260" s="326">
        <v>74.95</v>
      </c>
    </row>
    <row r="2261" spans="1:4" ht="13.5">
      <c r="A2261" s="37">
        <v>92425</v>
      </c>
      <c r="B2261" s="37" t="s">
        <v>7716</v>
      </c>
      <c r="C2261" s="37" t="s">
        <v>9</v>
      </c>
      <c r="D2261" s="326">
        <v>90.2</v>
      </c>
    </row>
    <row r="2262" spans="1:4" ht="13.5">
      <c r="A2262" s="37">
        <v>92427</v>
      </c>
      <c r="B2262" s="37" t="s">
        <v>7717</v>
      </c>
      <c r="C2262" s="37" t="s">
        <v>9</v>
      </c>
      <c r="D2262" s="326">
        <v>66.53</v>
      </c>
    </row>
    <row r="2263" spans="1:4" ht="13.5">
      <c r="A2263" s="37">
        <v>92429</v>
      </c>
      <c r="B2263" s="37" t="s">
        <v>7718</v>
      </c>
      <c r="C2263" s="37" t="s">
        <v>9</v>
      </c>
      <c r="D2263" s="326">
        <v>80.67</v>
      </c>
    </row>
    <row r="2264" spans="1:4" ht="13.5">
      <c r="A2264" s="37">
        <v>92431</v>
      </c>
      <c r="B2264" s="37" t="s">
        <v>7719</v>
      </c>
      <c r="C2264" s="37" t="s">
        <v>9</v>
      </c>
      <c r="D2264" s="326">
        <v>63.23</v>
      </c>
    </row>
    <row r="2265" spans="1:4" ht="13.5">
      <c r="A2265" s="37">
        <v>92433</v>
      </c>
      <c r="B2265" s="37" t="s">
        <v>7720</v>
      </c>
      <c r="C2265" s="37" t="s">
        <v>9</v>
      </c>
      <c r="D2265" s="326">
        <v>76.650000000000006</v>
      </c>
    </row>
    <row r="2266" spans="1:4" ht="13.5">
      <c r="A2266" s="37">
        <v>92435</v>
      </c>
      <c r="B2266" s="37" t="s">
        <v>7721</v>
      </c>
      <c r="C2266" s="37" t="s">
        <v>9</v>
      </c>
      <c r="D2266" s="326">
        <v>60</v>
      </c>
    </row>
    <row r="2267" spans="1:4" ht="13.5">
      <c r="A2267" s="37">
        <v>92437</v>
      </c>
      <c r="B2267" s="37" t="s">
        <v>7722</v>
      </c>
      <c r="C2267" s="37" t="s">
        <v>9</v>
      </c>
      <c r="D2267" s="326">
        <v>72.97</v>
      </c>
    </row>
    <row r="2268" spans="1:4" ht="13.5">
      <c r="A2268" s="37">
        <v>92439</v>
      </c>
      <c r="B2268" s="37" t="s">
        <v>7723</v>
      </c>
      <c r="C2268" s="37" t="s">
        <v>9</v>
      </c>
      <c r="D2268" s="326">
        <v>57.68</v>
      </c>
    </row>
    <row r="2269" spans="1:4" ht="13.5">
      <c r="A2269" s="37">
        <v>92441</v>
      </c>
      <c r="B2269" s="37" t="s">
        <v>7724</v>
      </c>
      <c r="C2269" s="37" t="s">
        <v>9</v>
      </c>
      <c r="D2269" s="326">
        <v>70.33</v>
      </c>
    </row>
    <row r="2270" spans="1:4" ht="13.5">
      <c r="A2270" s="37">
        <v>92443</v>
      </c>
      <c r="B2270" s="37" t="s">
        <v>7725</v>
      </c>
      <c r="C2270" s="37" t="s">
        <v>9</v>
      </c>
      <c r="D2270" s="326">
        <v>52.66</v>
      </c>
    </row>
    <row r="2271" spans="1:4" ht="13.5">
      <c r="A2271" s="37">
        <v>92445</v>
      </c>
      <c r="B2271" s="37" t="s">
        <v>7726</v>
      </c>
      <c r="C2271" s="37" t="s">
        <v>9</v>
      </c>
      <c r="D2271" s="326">
        <v>64.86</v>
      </c>
    </row>
    <row r="2272" spans="1:4" ht="13.5">
      <c r="A2272" s="37">
        <v>92446</v>
      </c>
      <c r="B2272" s="37" t="s">
        <v>7727</v>
      </c>
      <c r="C2272" s="37" t="s">
        <v>9</v>
      </c>
      <c r="D2272" s="326">
        <v>295.24</v>
      </c>
    </row>
    <row r="2273" spans="1:4" ht="13.5">
      <c r="A2273" s="37">
        <v>92447</v>
      </c>
      <c r="B2273" s="37" t="s">
        <v>7728</v>
      </c>
      <c r="C2273" s="37" t="s">
        <v>9</v>
      </c>
      <c r="D2273" s="326">
        <v>205.21</v>
      </c>
    </row>
    <row r="2274" spans="1:4" ht="13.5">
      <c r="A2274" s="37">
        <v>92448</v>
      </c>
      <c r="B2274" s="37" t="s">
        <v>7729</v>
      </c>
      <c r="C2274" s="37" t="s">
        <v>9</v>
      </c>
      <c r="D2274" s="326">
        <v>160.32</v>
      </c>
    </row>
    <row r="2275" spans="1:4" ht="13.5">
      <c r="A2275" s="37">
        <v>92449</v>
      </c>
      <c r="B2275" s="37" t="s">
        <v>7730</v>
      </c>
      <c r="C2275" s="37" t="s">
        <v>9</v>
      </c>
      <c r="D2275" s="326">
        <v>288.24</v>
      </c>
    </row>
    <row r="2276" spans="1:4" ht="13.5">
      <c r="A2276" s="37">
        <v>92450</v>
      </c>
      <c r="B2276" s="37" t="s">
        <v>7731</v>
      </c>
      <c r="C2276" s="37" t="s">
        <v>9</v>
      </c>
      <c r="D2276" s="326">
        <v>324.22000000000003</v>
      </c>
    </row>
    <row r="2277" spans="1:4" ht="13.5">
      <c r="A2277" s="37">
        <v>92451</v>
      </c>
      <c r="B2277" s="37" t="s">
        <v>7732</v>
      </c>
      <c r="C2277" s="37" t="s">
        <v>9</v>
      </c>
      <c r="D2277" s="326">
        <v>196.59</v>
      </c>
    </row>
    <row r="2278" spans="1:4" ht="13.5">
      <c r="A2278" s="37">
        <v>92452</v>
      </c>
      <c r="B2278" s="37" t="s">
        <v>7733</v>
      </c>
      <c r="C2278" s="37" t="s">
        <v>9</v>
      </c>
      <c r="D2278" s="326">
        <v>189.7</v>
      </c>
    </row>
    <row r="2279" spans="1:4" ht="13.5">
      <c r="A2279" s="37">
        <v>92453</v>
      </c>
      <c r="B2279" s="37" t="s">
        <v>7734</v>
      </c>
      <c r="C2279" s="37" t="s">
        <v>9</v>
      </c>
      <c r="D2279" s="326">
        <v>246.24</v>
      </c>
    </row>
    <row r="2280" spans="1:4" ht="13.5">
      <c r="A2280" s="37">
        <v>92454</v>
      </c>
      <c r="B2280" s="37" t="s">
        <v>7735</v>
      </c>
      <c r="C2280" s="37" t="s">
        <v>9</v>
      </c>
      <c r="D2280" s="326">
        <v>291.3</v>
      </c>
    </row>
    <row r="2281" spans="1:4" ht="13.5">
      <c r="A2281" s="37">
        <v>92455</v>
      </c>
      <c r="B2281" s="37" t="s">
        <v>7736</v>
      </c>
      <c r="C2281" s="37" t="s">
        <v>9</v>
      </c>
      <c r="D2281" s="326">
        <v>160.51</v>
      </c>
    </row>
    <row r="2282" spans="1:4" ht="13.5">
      <c r="A2282" s="37">
        <v>92456</v>
      </c>
      <c r="B2282" s="37" t="s">
        <v>7737</v>
      </c>
      <c r="C2282" s="37" t="s">
        <v>9</v>
      </c>
      <c r="D2282" s="326">
        <v>156.51</v>
      </c>
    </row>
    <row r="2283" spans="1:4" ht="13.5">
      <c r="A2283" s="37">
        <v>92457</v>
      </c>
      <c r="B2283" s="37" t="s">
        <v>7738</v>
      </c>
      <c r="C2283" s="37" t="s">
        <v>9</v>
      </c>
      <c r="D2283" s="326">
        <v>213.64</v>
      </c>
    </row>
    <row r="2284" spans="1:4" ht="13.5">
      <c r="A2284" s="37">
        <v>92458</v>
      </c>
      <c r="B2284" s="37" t="s">
        <v>3630</v>
      </c>
      <c r="C2284" s="37" t="s">
        <v>9</v>
      </c>
      <c r="D2284" s="326">
        <v>271</v>
      </c>
    </row>
    <row r="2285" spans="1:4" ht="13.5">
      <c r="A2285" s="37">
        <v>92459</v>
      </c>
      <c r="B2285" s="37" t="s">
        <v>7739</v>
      </c>
      <c r="C2285" s="37" t="s">
        <v>9</v>
      </c>
      <c r="D2285" s="326">
        <v>136.03</v>
      </c>
    </row>
    <row r="2286" spans="1:4" ht="13.5">
      <c r="A2286" s="37">
        <v>92460</v>
      </c>
      <c r="B2286" s="37" t="s">
        <v>7740</v>
      </c>
      <c r="C2286" s="37" t="s">
        <v>9</v>
      </c>
      <c r="D2286" s="326">
        <v>130.81</v>
      </c>
    </row>
    <row r="2287" spans="1:4" ht="13.5">
      <c r="A2287" s="37">
        <v>92461</v>
      </c>
      <c r="B2287" s="37" t="s">
        <v>7741</v>
      </c>
      <c r="C2287" s="37" t="s">
        <v>9</v>
      </c>
      <c r="D2287" s="326">
        <v>197.06</v>
      </c>
    </row>
    <row r="2288" spans="1:4" ht="13.5">
      <c r="A2288" s="37">
        <v>92462</v>
      </c>
      <c r="B2288" s="37" t="s">
        <v>7742</v>
      </c>
      <c r="C2288" s="37" t="s">
        <v>9</v>
      </c>
      <c r="D2288" s="326">
        <v>258.32</v>
      </c>
    </row>
    <row r="2289" spans="1:4" ht="13.5">
      <c r="A2289" s="37">
        <v>92463</v>
      </c>
      <c r="B2289" s="37" t="s">
        <v>7743</v>
      </c>
      <c r="C2289" s="37" t="s">
        <v>9</v>
      </c>
      <c r="D2289" s="326">
        <v>123.19</v>
      </c>
    </row>
    <row r="2290" spans="1:4" ht="13.5">
      <c r="A2290" s="37">
        <v>92464</v>
      </c>
      <c r="B2290" s="37" t="s">
        <v>7744</v>
      </c>
      <c r="C2290" s="37" t="s">
        <v>9</v>
      </c>
      <c r="D2290" s="326">
        <v>124.26</v>
      </c>
    </row>
    <row r="2291" spans="1:4" ht="13.5">
      <c r="A2291" s="37">
        <v>92465</v>
      </c>
      <c r="B2291" s="37" t="s">
        <v>7745</v>
      </c>
      <c r="C2291" s="37" t="s">
        <v>9</v>
      </c>
      <c r="D2291" s="326">
        <v>157.78</v>
      </c>
    </row>
    <row r="2292" spans="1:4" ht="13.5">
      <c r="A2292" s="37">
        <v>92466</v>
      </c>
      <c r="B2292" s="37" t="s">
        <v>7746</v>
      </c>
      <c r="C2292" s="37" t="s">
        <v>9</v>
      </c>
      <c r="D2292" s="326">
        <v>252.3</v>
      </c>
    </row>
    <row r="2293" spans="1:4" ht="13.5">
      <c r="A2293" s="37">
        <v>92467</v>
      </c>
      <c r="B2293" s="37" t="s">
        <v>7747</v>
      </c>
      <c r="C2293" s="37" t="s">
        <v>9</v>
      </c>
      <c r="D2293" s="326">
        <v>102.22</v>
      </c>
    </row>
    <row r="2294" spans="1:4" ht="13.5">
      <c r="A2294" s="37">
        <v>92468</v>
      </c>
      <c r="B2294" s="37" t="s">
        <v>7748</v>
      </c>
      <c r="C2294" s="37" t="s">
        <v>9</v>
      </c>
      <c r="D2294" s="326">
        <v>118.62</v>
      </c>
    </row>
    <row r="2295" spans="1:4" ht="13.5">
      <c r="A2295" s="37">
        <v>92469</v>
      </c>
      <c r="B2295" s="37" t="s">
        <v>7749</v>
      </c>
      <c r="C2295" s="37" t="s">
        <v>9</v>
      </c>
      <c r="D2295" s="326">
        <v>143.58000000000001</v>
      </c>
    </row>
    <row r="2296" spans="1:4" ht="13.5">
      <c r="A2296" s="37">
        <v>92470</v>
      </c>
      <c r="B2296" s="37" t="s">
        <v>7750</v>
      </c>
      <c r="C2296" s="37" t="s">
        <v>9</v>
      </c>
      <c r="D2296" s="326">
        <v>245.23</v>
      </c>
    </row>
    <row r="2297" spans="1:4" ht="13.5">
      <c r="A2297" s="37">
        <v>92471</v>
      </c>
      <c r="B2297" s="37" t="s">
        <v>7751</v>
      </c>
      <c r="C2297" s="37" t="s">
        <v>9</v>
      </c>
      <c r="D2297" s="326">
        <v>93.14</v>
      </c>
    </row>
    <row r="2298" spans="1:4" ht="13.5">
      <c r="A2298" s="37">
        <v>92472</v>
      </c>
      <c r="B2298" s="37" t="s">
        <v>7752</v>
      </c>
      <c r="C2298" s="37" t="s">
        <v>9</v>
      </c>
      <c r="D2298" s="326">
        <v>112.39</v>
      </c>
    </row>
    <row r="2299" spans="1:4" ht="13.5">
      <c r="A2299" s="37">
        <v>92473</v>
      </c>
      <c r="B2299" s="37" t="s">
        <v>7753</v>
      </c>
      <c r="C2299" s="37" t="s">
        <v>9</v>
      </c>
      <c r="D2299" s="326">
        <v>132.13999999999999</v>
      </c>
    </row>
    <row r="2300" spans="1:4" ht="13.5">
      <c r="A2300" s="37">
        <v>92474</v>
      </c>
      <c r="B2300" s="37" t="s">
        <v>7754</v>
      </c>
      <c r="C2300" s="37" t="s">
        <v>9</v>
      </c>
      <c r="D2300" s="326">
        <v>239.18</v>
      </c>
    </row>
    <row r="2301" spans="1:4" ht="13.5">
      <c r="A2301" s="37">
        <v>92475</v>
      </c>
      <c r="B2301" s="37" t="s">
        <v>7755</v>
      </c>
      <c r="C2301" s="37" t="s">
        <v>9</v>
      </c>
      <c r="D2301" s="326">
        <v>85.81</v>
      </c>
    </row>
    <row r="2302" spans="1:4" ht="13.5">
      <c r="A2302" s="37">
        <v>92476</v>
      </c>
      <c r="B2302" s="37" t="s">
        <v>7756</v>
      </c>
      <c r="C2302" s="37" t="s">
        <v>9</v>
      </c>
      <c r="D2302" s="326">
        <v>107.14</v>
      </c>
    </row>
    <row r="2303" spans="1:4" ht="13.5">
      <c r="A2303" s="37">
        <v>92477</v>
      </c>
      <c r="B2303" s="37" t="s">
        <v>7757</v>
      </c>
      <c r="C2303" s="37" t="s">
        <v>9</v>
      </c>
      <c r="D2303" s="326">
        <v>107.57</v>
      </c>
    </row>
    <row r="2304" spans="1:4" ht="13.5">
      <c r="A2304" s="37">
        <v>92478</v>
      </c>
      <c r="B2304" s="37" t="s">
        <v>7758</v>
      </c>
      <c r="C2304" s="37" t="s">
        <v>9</v>
      </c>
      <c r="D2304" s="326">
        <v>227.16</v>
      </c>
    </row>
    <row r="2305" spans="1:4" ht="13.5">
      <c r="A2305" s="37">
        <v>92479</v>
      </c>
      <c r="B2305" s="37" t="s">
        <v>7759</v>
      </c>
      <c r="C2305" s="37" t="s">
        <v>9</v>
      </c>
      <c r="D2305" s="326">
        <v>70.03</v>
      </c>
    </row>
    <row r="2306" spans="1:4" ht="13.5">
      <c r="A2306" s="37">
        <v>92480</v>
      </c>
      <c r="B2306" s="37" t="s">
        <v>7760</v>
      </c>
      <c r="C2306" s="37" t="s">
        <v>9</v>
      </c>
      <c r="D2306" s="326">
        <v>96.54</v>
      </c>
    </row>
    <row r="2307" spans="1:4" ht="13.5">
      <c r="A2307" s="37">
        <v>92482</v>
      </c>
      <c r="B2307" s="37" t="s">
        <v>7761</v>
      </c>
      <c r="C2307" s="37" t="s">
        <v>9</v>
      </c>
      <c r="D2307" s="326">
        <v>325.89</v>
      </c>
    </row>
    <row r="2308" spans="1:4" ht="13.5">
      <c r="A2308" s="37">
        <v>92484</v>
      </c>
      <c r="B2308" s="37" t="s">
        <v>7762</v>
      </c>
      <c r="C2308" s="37" t="s">
        <v>9</v>
      </c>
      <c r="D2308" s="326">
        <v>225.6</v>
      </c>
    </row>
    <row r="2309" spans="1:4" ht="13.5">
      <c r="A2309" s="37">
        <v>92486</v>
      </c>
      <c r="B2309" s="37" t="s">
        <v>7763</v>
      </c>
      <c r="C2309" s="37" t="s">
        <v>9</v>
      </c>
      <c r="D2309" s="326">
        <v>161.5</v>
      </c>
    </row>
    <row r="2310" spans="1:4" ht="13.5">
      <c r="A2310" s="37">
        <v>92488</v>
      </c>
      <c r="B2310" s="37" t="s">
        <v>7764</v>
      </c>
      <c r="C2310" s="37" t="s">
        <v>9</v>
      </c>
      <c r="D2310" s="326">
        <v>109.97</v>
      </c>
    </row>
    <row r="2311" spans="1:4" ht="13.5">
      <c r="A2311" s="37">
        <v>92490</v>
      </c>
      <c r="B2311" s="37" t="s">
        <v>7765</v>
      </c>
      <c r="C2311" s="37" t="s">
        <v>9</v>
      </c>
      <c r="D2311" s="326">
        <v>72.75</v>
      </c>
    </row>
    <row r="2312" spans="1:4" ht="13.5">
      <c r="A2312" s="37">
        <v>92492</v>
      </c>
      <c r="B2312" s="37" t="s">
        <v>7766</v>
      </c>
      <c r="C2312" s="37" t="s">
        <v>9</v>
      </c>
      <c r="D2312" s="326">
        <v>104.06</v>
      </c>
    </row>
    <row r="2313" spans="1:4" ht="13.5">
      <c r="A2313" s="37">
        <v>92494</v>
      </c>
      <c r="B2313" s="37" t="s">
        <v>7767</v>
      </c>
      <c r="C2313" s="37" t="s">
        <v>9</v>
      </c>
      <c r="D2313" s="326">
        <v>67.92</v>
      </c>
    </row>
    <row r="2314" spans="1:4" ht="13.5">
      <c r="A2314" s="37">
        <v>92496</v>
      </c>
      <c r="B2314" s="37" t="s">
        <v>7768</v>
      </c>
      <c r="C2314" s="37" t="s">
        <v>9</v>
      </c>
      <c r="D2314" s="326">
        <v>99.16</v>
      </c>
    </row>
    <row r="2315" spans="1:4" ht="13.5">
      <c r="A2315" s="37">
        <v>92498</v>
      </c>
      <c r="B2315" s="37" t="s">
        <v>7769</v>
      </c>
      <c r="C2315" s="37" t="s">
        <v>9</v>
      </c>
      <c r="D2315" s="326">
        <v>63.96</v>
      </c>
    </row>
    <row r="2316" spans="1:4" ht="13.5">
      <c r="A2316" s="37">
        <v>92500</v>
      </c>
      <c r="B2316" s="37" t="s">
        <v>7770</v>
      </c>
      <c r="C2316" s="37" t="s">
        <v>9</v>
      </c>
      <c r="D2316" s="326">
        <v>95.32</v>
      </c>
    </row>
    <row r="2317" spans="1:4" ht="13.5">
      <c r="A2317" s="37">
        <v>92502</v>
      </c>
      <c r="B2317" s="37" t="s">
        <v>7771</v>
      </c>
      <c r="C2317" s="37" t="s">
        <v>9</v>
      </c>
      <c r="D2317" s="326">
        <v>61.02</v>
      </c>
    </row>
    <row r="2318" spans="1:4" ht="13.5">
      <c r="A2318" s="37">
        <v>92504</v>
      </c>
      <c r="B2318" s="37" t="s">
        <v>7772</v>
      </c>
      <c r="C2318" s="37" t="s">
        <v>9</v>
      </c>
      <c r="D2318" s="326">
        <v>88.29</v>
      </c>
    </row>
    <row r="2319" spans="1:4" ht="13.5">
      <c r="A2319" s="37">
        <v>92506</v>
      </c>
      <c r="B2319" s="37" t="s">
        <v>7773</v>
      </c>
      <c r="C2319" s="37" t="s">
        <v>9</v>
      </c>
      <c r="D2319" s="326">
        <v>55.56</v>
      </c>
    </row>
    <row r="2320" spans="1:4" ht="13.5">
      <c r="A2320" s="37">
        <v>92508</v>
      </c>
      <c r="B2320" s="37" t="s">
        <v>7774</v>
      </c>
      <c r="C2320" s="37" t="s">
        <v>9</v>
      </c>
      <c r="D2320" s="326">
        <v>110.38</v>
      </c>
    </row>
    <row r="2321" spans="1:4" ht="13.5">
      <c r="A2321" s="37">
        <v>92510</v>
      </c>
      <c r="B2321" s="37" t="s">
        <v>7775</v>
      </c>
      <c r="C2321" s="37" t="s">
        <v>9</v>
      </c>
      <c r="D2321" s="326">
        <v>71.260000000000005</v>
      </c>
    </row>
    <row r="2322" spans="1:4" ht="13.5">
      <c r="A2322" s="37">
        <v>92512</v>
      </c>
      <c r="B2322" s="37" t="s">
        <v>7776</v>
      </c>
      <c r="C2322" s="37" t="s">
        <v>9</v>
      </c>
      <c r="D2322" s="326">
        <v>92.97</v>
      </c>
    </row>
    <row r="2323" spans="1:4" ht="13.5">
      <c r="A2323" s="37">
        <v>92514</v>
      </c>
      <c r="B2323" s="37" t="s">
        <v>7777</v>
      </c>
      <c r="C2323" s="37" t="s">
        <v>9</v>
      </c>
      <c r="D2323" s="326">
        <v>55.02</v>
      </c>
    </row>
    <row r="2324" spans="1:4" ht="13.5">
      <c r="A2324" s="37">
        <v>92515</v>
      </c>
      <c r="B2324" s="37" t="s">
        <v>7778</v>
      </c>
      <c r="C2324" s="37" t="s">
        <v>9</v>
      </c>
      <c r="D2324" s="326">
        <v>84.43</v>
      </c>
    </row>
    <row r="2325" spans="1:4" ht="13.5">
      <c r="A2325" s="37">
        <v>92518</v>
      </c>
      <c r="B2325" s="37" t="s">
        <v>7779</v>
      </c>
      <c r="C2325" s="37" t="s">
        <v>9</v>
      </c>
      <c r="D2325" s="326">
        <v>47.59</v>
      </c>
    </row>
    <row r="2326" spans="1:4" ht="13.5">
      <c r="A2326" s="37">
        <v>92520</v>
      </c>
      <c r="B2326" s="37" t="s">
        <v>7780</v>
      </c>
      <c r="C2326" s="37" t="s">
        <v>9</v>
      </c>
      <c r="D2326" s="326">
        <v>78.91</v>
      </c>
    </row>
    <row r="2327" spans="1:4" ht="13.5">
      <c r="A2327" s="37">
        <v>92522</v>
      </c>
      <c r="B2327" s="37" t="s">
        <v>7781</v>
      </c>
      <c r="C2327" s="37" t="s">
        <v>9</v>
      </c>
      <c r="D2327" s="326">
        <v>43.09</v>
      </c>
    </row>
    <row r="2328" spans="1:4" ht="13.5">
      <c r="A2328" s="37">
        <v>92524</v>
      </c>
      <c r="B2328" s="37" t="s">
        <v>13794</v>
      </c>
      <c r="C2328" s="37" t="s">
        <v>9</v>
      </c>
      <c r="D2328" s="326">
        <v>78.709999999999994</v>
      </c>
    </row>
    <row r="2329" spans="1:4" ht="13.5">
      <c r="A2329" s="37">
        <v>92526</v>
      </c>
      <c r="B2329" s="37" t="s">
        <v>7782</v>
      </c>
      <c r="C2329" s="37" t="s">
        <v>9</v>
      </c>
      <c r="D2329" s="326">
        <v>43.86</v>
      </c>
    </row>
    <row r="2330" spans="1:4" ht="13.5">
      <c r="A2330" s="37">
        <v>92528</v>
      </c>
      <c r="B2330" s="37" t="s">
        <v>7783</v>
      </c>
      <c r="C2330" s="37" t="s">
        <v>9</v>
      </c>
      <c r="D2330" s="326">
        <v>75.19</v>
      </c>
    </row>
    <row r="2331" spans="1:4" ht="13.5">
      <c r="A2331" s="37">
        <v>92530</v>
      </c>
      <c r="B2331" s="37" t="s">
        <v>7784</v>
      </c>
      <c r="C2331" s="37" t="s">
        <v>9</v>
      </c>
      <c r="D2331" s="326">
        <v>41.21</v>
      </c>
    </row>
    <row r="2332" spans="1:4" ht="13.5">
      <c r="A2332" s="37">
        <v>92532</v>
      </c>
      <c r="B2332" s="37" t="s">
        <v>7785</v>
      </c>
      <c r="C2332" s="37" t="s">
        <v>9</v>
      </c>
      <c r="D2332" s="326">
        <v>72.16</v>
      </c>
    </row>
    <row r="2333" spans="1:4" ht="13.5">
      <c r="A2333" s="37">
        <v>92534</v>
      </c>
      <c r="B2333" s="37" t="s">
        <v>7786</v>
      </c>
      <c r="C2333" s="37" t="s">
        <v>9</v>
      </c>
      <c r="D2333" s="326">
        <v>38.97</v>
      </c>
    </row>
    <row r="2334" spans="1:4" ht="13.5">
      <c r="A2334" s="37">
        <v>92536</v>
      </c>
      <c r="B2334" s="37" t="s">
        <v>7787</v>
      </c>
      <c r="C2334" s="37" t="s">
        <v>9</v>
      </c>
      <c r="D2334" s="326">
        <v>66.260000000000005</v>
      </c>
    </row>
    <row r="2335" spans="1:4" ht="13.5">
      <c r="A2335" s="37">
        <v>92538</v>
      </c>
      <c r="B2335" s="37" t="s">
        <v>7788</v>
      </c>
      <c r="C2335" s="37" t="s">
        <v>9</v>
      </c>
      <c r="D2335" s="326">
        <v>34.49</v>
      </c>
    </row>
    <row r="2336" spans="1:4" ht="13.5">
      <c r="A2336" s="37">
        <v>96252</v>
      </c>
      <c r="B2336" s="37" t="s">
        <v>3634</v>
      </c>
      <c r="C2336" s="37" t="s">
        <v>9</v>
      </c>
      <c r="D2336" s="326">
        <v>256.67</v>
      </c>
    </row>
    <row r="2337" spans="1:4" ht="13.5">
      <c r="A2337" s="37">
        <v>96257</v>
      </c>
      <c r="B2337" s="37" t="s">
        <v>3635</v>
      </c>
      <c r="C2337" s="37" t="s">
        <v>9</v>
      </c>
      <c r="D2337" s="326">
        <v>209.54</v>
      </c>
    </row>
    <row r="2338" spans="1:4" ht="13.5">
      <c r="A2338" s="37">
        <v>96258</v>
      </c>
      <c r="B2338" s="37" t="s">
        <v>3636</v>
      </c>
      <c r="C2338" s="37" t="s">
        <v>9</v>
      </c>
      <c r="D2338" s="326">
        <v>196.3</v>
      </c>
    </row>
    <row r="2339" spans="1:4" ht="13.5">
      <c r="A2339" s="37">
        <v>96259</v>
      </c>
      <c r="B2339" s="37" t="s">
        <v>3637</v>
      </c>
      <c r="C2339" s="37" t="s">
        <v>9</v>
      </c>
      <c r="D2339" s="326">
        <v>232.73</v>
      </c>
    </row>
    <row r="2340" spans="1:4" ht="13.5">
      <c r="A2340" s="37">
        <v>96529</v>
      </c>
      <c r="B2340" s="37" t="s">
        <v>3638</v>
      </c>
      <c r="C2340" s="37" t="s">
        <v>9</v>
      </c>
      <c r="D2340" s="326">
        <v>346.5</v>
      </c>
    </row>
    <row r="2341" spans="1:4" ht="13.5">
      <c r="A2341" s="37">
        <v>96530</v>
      </c>
      <c r="B2341" s="37" t="s">
        <v>3639</v>
      </c>
      <c r="C2341" s="37" t="s">
        <v>9</v>
      </c>
      <c r="D2341" s="326">
        <v>186.86</v>
      </c>
    </row>
    <row r="2342" spans="1:4" ht="13.5">
      <c r="A2342" s="37">
        <v>96531</v>
      </c>
      <c r="B2342" s="37" t="s">
        <v>3640</v>
      </c>
      <c r="C2342" s="37" t="s">
        <v>9</v>
      </c>
      <c r="D2342" s="326">
        <v>129.88999999999999</v>
      </c>
    </row>
    <row r="2343" spans="1:4" ht="13.5">
      <c r="A2343" s="37">
        <v>96532</v>
      </c>
      <c r="B2343" s="37" t="s">
        <v>3641</v>
      </c>
      <c r="C2343" s="37" t="s">
        <v>9</v>
      </c>
      <c r="D2343" s="326">
        <v>218.86</v>
      </c>
    </row>
    <row r="2344" spans="1:4" ht="13.5">
      <c r="A2344" s="37">
        <v>96533</v>
      </c>
      <c r="B2344" s="37" t="s">
        <v>3642</v>
      </c>
      <c r="C2344" s="37" t="s">
        <v>9</v>
      </c>
      <c r="D2344" s="326">
        <v>115.1</v>
      </c>
    </row>
    <row r="2345" spans="1:4" ht="13.5">
      <c r="A2345" s="37">
        <v>96534</v>
      </c>
      <c r="B2345" s="37" t="s">
        <v>3643</v>
      </c>
      <c r="C2345" s="37" t="s">
        <v>9</v>
      </c>
      <c r="D2345" s="326">
        <v>90.18</v>
      </c>
    </row>
    <row r="2346" spans="1:4" ht="13.5">
      <c r="A2346" s="37">
        <v>96535</v>
      </c>
      <c r="B2346" s="37" t="s">
        <v>3644</v>
      </c>
      <c r="C2346" s="37" t="s">
        <v>9</v>
      </c>
      <c r="D2346" s="326">
        <v>152.38999999999999</v>
      </c>
    </row>
    <row r="2347" spans="1:4" ht="13.5">
      <c r="A2347" s="37">
        <v>96536</v>
      </c>
      <c r="B2347" s="37" t="s">
        <v>3645</v>
      </c>
      <c r="C2347" s="37" t="s">
        <v>9</v>
      </c>
      <c r="D2347" s="326">
        <v>77.760000000000005</v>
      </c>
    </row>
    <row r="2348" spans="1:4" ht="13.5">
      <c r="A2348" s="37">
        <v>96537</v>
      </c>
      <c r="B2348" s="37" t="s">
        <v>3646</v>
      </c>
      <c r="C2348" s="37" t="s">
        <v>9</v>
      </c>
      <c r="D2348" s="326">
        <v>198.31</v>
      </c>
    </row>
    <row r="2349" spans="1:4" ht="13.5">
      <c r="A2349" s="37">
        <v>96538</v>
      </c>
      <c r="B2349" s="37" t="s">
        <v>3647</v>
      </c>
      <c r="C2349" s="37" t="s">
        <v>9</v>
      </c>
      <c r="D2349" s="326">
        <v>281.83</v>
      </c>
    </row>
    <row r="2350" spans="1:4" ht="13.5">
      <c r="A2350" s="37">
        <v>96539</v>
      </c>
      <c r="B2350" s="37" t="s">
        <v>3648</v>
      </c>
      <c r="C2350" s="37" t="s">
        <v>9</v>
      </c>
      <c r="D2350" s="326">
        <v>129.85</v>
      </c>
    </row>
    <row r="2351" spans="1:4" ht="13.5">
      <c r="A2351" s="37">
        <v>96540</v>
      </c>
      <c r="B2351" s="37" t="s">
        <v>3650</v>
      </c>
      <c r="C2351" s="37" t="s">
        <v>9</v>
      </c>
      <c r="D2351" s="326">
        <v>136.74</v>
      </c>
    </row>
    <row r="2352" spans="1:4" ht="13.5">
      <c r="A2352" s="37">
        <v>96541</v>
      </c>
      <c r="B2352" s="37" t="s">
        <v>3651</v>
      </c>
      <c r="C2352" s="37" t="s">
        <v>9</v>
      </c>
      <c r="D2352" s="326">
        <v>197.14</v>
      </c>
    </row>
    <row r="2353" spans="1:4" ht="13.5">
      <c r="A2353" s="37">
        <v>96542</v>
      </c>
      <c r="B2353" s="37" t="s">
        <v>3652</v>
      </c>
      <c r="C2353" s="37" t="s">
        <v>9</v>
      </c>
      <c r="D2353" s="326">
        <v>95.69</v>
      </c>
    </row>
    <row r="2354" spans="1:4" ht="13.5">
      <c r="A2354" s="37">
        <v>96543</v>
      </c>
      <c r="B2354" s="37" t="s">
        <v>3653</v>
      </c>
      <c r="C2354" s="37" t="s">
        <v>8</v>
      </c>
      <c r="D2354" s="326">
        <v>20.21</v>
      </c>
    </row>
    <row r="2355" spans="1:4" ht="13.5">
      <c r="A2355" s="37">
        <v>97747</v>
      </c>
      <c r="B2355" s="37" t="s">
        <v>3654</v>
      </c>
      <c r="C2355" s="37" t="s">
        <v>9</v>
      </c>
      <c r="D2355" s="326">
        <v>216.51</v>
      </c>
    </row>
    <row r="2356" spans="1:4" ht="13.5">
      <c r="A2356" s="37">
        <v>101791</v>
      </c>
      <c r="B2356" s="37" t="s">
        <v>7789</v>
      </c>
      <c r="C2356" s="37" t="s">
        <v>6</v>
      </c>
      <c r="D2356" s="326">
        <v>25.52</v>
      </c>
    </row>
    <row r="2357" spans="1:4" ht="13.5">
      <c r="A2357" s="37">
        <v>101792</v>
      </c>
      <c r="B2357" s="37" t="s">
        <v>7790</v>
      </c>
      <c r="C2357" s="37" t="s">
        <v>12</v>
      </c>
      <c r="D2357" s="326">
        <v>16.53</v>
      </c>
    </row>
    <row r="2358" spans="1:4" ht="13.5">
      <c r="A2358" s="37">
        <v>101793</v>
      </c>
      <c r="B2358" s="37" t="s">
        <v>7791</v>
      </c>
      <c r="C2358" s="37" t="s">
        <v>12</v>
      </c>
      <c r="D2358" s="326">
        <v>25.11</v>
      </c>
    </row>
    <row r="2359" spans="1:4" ht="13.5">
      <c r="A2359" s="37">
        <v>101969</v>
      </c>
      <c r="B2359" s="37" t="s">
        <v>7792</v>
      </c>
      <c r="C2359" s="37" t="s">
        <v>9</v>
      </c>
      <c r="D2359" s="326">
        <v>205.74</v>
      </c>
    </row>
    <row r="2360" spans="1:4" ht="13.5">
      <c r="A2360" s="37">
        <v>101971</v>
      </c>
      <c r="B2360" s="37" t="s">
        <v>7793</v>
      </c>
      <c r="C2360" s="37" t="s">
        <v>9</v>
      </c>
      <c r="D2360" s="326">
        <v>157.68</v>
      </c>
    </row>
    <row r="2361" spans="1:4" ht="13.5">
      <c r="A2361" s="37">
        <v>101973</v>
      </c>
      <c r="B2361" s="37" t="s">
        <v>7794</v>
      </c>
      <c r="C2361" s="37" t="s">
        <v>9</v>
      </c>
      <c r="D2361" s="326">
        <v>205.78</v>
      </c>
    </row>
    <row r="2362" spans="1:4" ht="13.5">
      <c r="A2362" s="37">
        <v>101974</v>
      </c>
      <c r="B2362" s="37" t="s">
        <v>7795</v>
      </c>
      <c r="C2362" s="37" t="s">
        <v>9</v>
      </c>
      <c r="D2362" s="326">
        <v>480.01</v>
      </c>
    </row>
    <row r="2363" spans="1:4" ht="13.5">
      <c r="A2363" s="37">
        <v>101975</v>
      </c>
      <c r="B2363" s="37" t="s">
        <v>7796</v>
      </c>
      <c r="C2363" s="37" t="s">
        <v>9</v>
      </c>
      <c r="D2363" s="326">
        <v>407.59</v>
      </c>
    </row>
    <row r="2364" spans="1:4" ht="13.5">
      <c r="A2364" s="37">
        <v>101977</v>
      </c>
      <c r="B2364" s="37" t="s">
        <v>7797</v>
      </c>
      <c r="C2364" s="37" t="s">
        <v>9</v>
      </c>
      <c r="D2364" s="326">
        <v>316.60000000000002</v>
      </c>
    </row>
    <row r="2365" spans="1:4" ht="13.5">
      <c r="A2365" s="37">
        <v>101980</v>
      </c>
      <c r="B2365" s="37" t="s">
        <v>7798</v>
      </c>
      <c r="C2365" s="37" t="s">
        <v>9</v>
      </c>
      <c r="D2365" s="326">
        <v>295.14</v>
      </c>
    </row>
    <row r="2366" spans="1:4" ht="13.5">
      <c r="A2366" s="37">
        <v>101981</v>
      </c>
      <c r="B2366" s="37" t="s">
        <v>7799</v>
      </c>
      <c r="C2366" s="37" t="s">
        <v>9</v>
      </c>
      <c r="D2366" s="326">
        <v>257.48</v>
      </c>
    </row>
    <row r="2367" spans="1:4" ht="13.5">
      <c r="A2367" s="37">
        <v>101982</v>
      </c>
      <c r="B2367" s="37" t="s">
        <v>7800</v>
      </c>
      <c r="C2367" s="37" t="s">
        <v>9</v>
      </c>
      <c r="D2367" s="326">
        <v>229.38</v>
      </c>
    </row>
    <row r="2368" spans="1:4" ht="13.5">
      <c r="A2368" s="37">
        <v>101983</v>
      </c>
      <c r="B2368" s="37" t="s">
        <v>7801</v>
      </c>
      <c r="C2368" s="37" t="s">
        <v>9</v>
      </c>
      <c r="D2368" s="326">
        <v>211.7</v>
      </c>
    </row>
    <row r="2369" spans="1:4" ht="13.5">
      <c r="A2369" s="37">
        <v>101985</v>
      </c>
      <c r="B2369" s="37" t="s">
        <v>7802</v>
      </c>
      <c r="C2369" s="37" t="s">
        <v>9</v>
      </c>
      <c r="D2369" s="326">
        <v>219.22</v>
      </c>
    </row>
    <row r="2370" spans="1:4" ht="13.5">
      <c r="A2370" s="37">
        <v>101986</v>
      </c>
      <c r="B2370" s="37" t="s">
        <v>7803</v>
      </c>
      <c r="C2370" s="37" t="s">
        <v>9</v>
      </c>
      <c r="D2370" s="326">
        <v>158.12</v>
      </c>
    </row>
    <row r="2371" spans="1:4" ht="13.5">
      <c r="A2371" s="37">
        <v>101987</v>
      </c>
      <c r="B2371" s="37" t="s">
        <v>7804</v>
      </c>
      <c r="C2371" s="37" t="s">
        <v>9</v>
      </c>
      <c r="D2371" s="326">
        <v>241.45</v>
      </c>
    </row>
    <row r="2372" spans="1:4" ht="13.5">
      <c r="A2372" s="37">
        <v>101988</v>
      </c>
      <c r="B2372" s="37" t="s">
        <v>7805</v>
      </c>
      <c r="C2372" s="37" t="s">
        <v>9</v>
      </c>
      <c r="D2372" s="326">
        <v>213.14</v>
      </c>
    </row>
    <row r="2373" spans="1:4" ht="13.5">
      <c r="A2373" s="37">
        <v>101989</v>
      </c>
      <c r="B2373" s="37" t="s">
        <v>7806</v>
      </c>
      <c r="C2373" s="37" t="s">
        <v>9</v>
      </c>
      <c r="D2373" s="326">
        <v>165.68</v>
      </c>
    </row>
    <row r="2374" spans="1:4" ht="13.5">
      <c r="A2374" s="37">
        <v>101990</v>
      </c>
      <c r="B2374" s="37" t="s">
        <v>7807</v>
      </c>
      <c r="C2374" s="37" t="s">
        <v>9</v>
      </c>
      <c r="D2374" s="326">
        <v>221.47</v>
      </c>
    </row>
    <row r="2375" spans="1:4" ht="13.5">
      <c r="A2375" s="37">
        <v>101991</v>
      </c>
      <c r="B2375" s="37" t="s">
        <v>7808</v>
      </c>
      <c r="C2375" s="37" t="s">
        <v>9</v>
      </c>
      <c r="D2375" s="326">
        <v>218.84</v>
      </c>
    </row>
    <row r="2376" spans="1:4" ht="13.5">
      <c r="A2376" s="37">
        <v>101992</v>
      </c>
      <c r="B2376" s="37" t="s">
        <v>7809</v>
      </c>
      <c r="C2376" s="37" t="s">
        <v>9</v>
      </c>
      <c r="D2376" s="326">
        <v>160.41999999999999</v>
      </c>
    </row>
    <row r="2377" spans="1:4" ht="13.5">
      <c r="A2377" s="37">
        <v>101993</v>
      </c>
      <c r="B2377" s="37" t="s">
        <v>7810</v>
      </c>
      <c r="C2377" s="37" t="s">
        <v>9</v>
      </c>
      <c r="D2377" s="326">
        <v>283.02999999999997</v>
      </c>
    </row>
    <row r="2378" spans="1:4" ht="13.5">
      <c r="A2378" s="37">
        <v>101994</v>
      </c>
      <c r="B2378" s="37" t="s">
        <v>7811</v>
      </c>
      <c r="C2378" s="37" t="s">
        <v>9</v>
      </c>
      <c r="D2378" s="326">
        <v>226.92</v>
      </c>
    </row>
    <row r="2379" spans="1:4" ht="13.5">
      <c r="A2379" s="37">
        <v>101995</v>
      </c>
      <c r="B2379" s="37" t="s">
        <v>7812</v>
      </c>
      <c r="C2379" s="37" t="s">
        <v>9</v>
      </c>
      <c r="D2379" s="326">
        <v>173.64</v>
      </c>
    </row>
    <row r="2380" spans="1:4" ht="13.5">
      <c r="A2380" s="37">
        <v>101996</v>
      </c>
      <c r="B2380" s="37" t="s">
        <v>7813</v>
      </c>
      <c r="C2380" s="37" t="s">
        <v>9</v>
      </c>
      <c r="D2380" s="326">
        <v>237.79</v>
      </c>
    </row>
    <row r="2381" spans="1:4" ht="13.5">
      <c r="A2381" s="37">
        <v>101997</v>
      </c>
      <c r="B2381" s="37" t="s">
        <v>7814</v>
      </c>
      <c r="C2381" s="37" t="s">
        <v>9</v>
      </c>
      <c r="D2381" s="326">
        <v>219.04</v>
      </c>
    </row>
    <row r="2382" spans="1:4" ht="13.5">
      <c r="A2382" s="37">
        <v>101998</v>
      </c>
      <c r="B2382" s="37" t="s">
        <v>7815</v>
      </c>
      <c r="C2382" s="37" t="s">
        <v>9</v>
      </c>
      <c r="D2382" s="326">
        <v>159.30000000000001</v>
      </c>
    </row>
    <row r="2383" spans="1:4" ht="13.5">
      <c r="A2383" s="37">
        <v>101999</v>
      </c>
      <c r="B2383" s="37" t="s">
        <v>7816</v>
      </c>
      <c r="C2383" s="37" t="s">
        <v>9</v>
      </c>
      <c r="D2383" s="326">
        <v>303.07</v>
      </c>
    </row>
    <row r="2384" spans="1:4" ht="13.5">
      <c r="A2384" s="37">
        <v>102000</v>
      </c>
      <c r="B2384" s="37" t="s">
        <v>7817</v>
      </c>
      <c r="C2384" s="37" t="s">
        <v>9</v>
      </c>
      <c r="D2384" s="326">
        <v>489.67</v>
      </c>
    </row>
    <row r="2385" spans="1:4" ht="13.5">
      <c r="A2385" s="37">
        <v>102001</v>
      </c>
      <c r="B2385" s="37" t="s">
        <v>7818</v>
      </c>
      <c r="C2385" s="37" t="s">
        <v>9</v>
      </c>
      <c r="D2385" s="326">
        <v>420.99</v>
      </c>
    </row>
    <row r="2386" spans="1:4" ht="13.5">
      <c r="A2386" s="37">
        <v>102002</v>
      </c>
      <c r="B2386" s="37" t="s">
        <v>7819</v>
      </c>
      <c r="C2386" s="37" t="s">
        <v>9</v>
      </c>
      <c r="D2386" s="326">
        <v>310.25</v>
      </c>
    </row>
    <row r="2387" spans="1:4" ht="13.5">
      <c r="A2387" s="37">
        <v>102003</v>
      </c>
      <c r="B2387" s="37" t="s">
        <v>7820</v>
      </c>
      <c r="C2387" s="37" t="s">
        <v>9</v>
      </c>
      <c r="D2387" s="326">
        <v>287.55</v>
      </c>
    </row>
    <row r="2388" spans="1:4" ht="13.5">
      <c r="A2388" s="37">
        <v>102004</v>
      </c>
      <c r="B2388" s="37" t="s">
        <v>7821</v>
      </c>
      <c r="C2388" s="37" t="s">
        <v>9</v>
      </c>
      <c r="D2388" s="326">
        <v>255.1</v>
      </c>
    </row>
    <row r="2389" spans="1:4" ht="13.5">
      <c r="A2389" s="37">
        <v>102005</v>
      </c>
      <c r="B2389" s="37" t="s">
        <v>7822</v>
      </c>
      <c r="C2389" s="37" t="s">
        <v>9</v>
      </c>
      <c r="D2389" s="326">
        <v>225.52</v>
      </c>
    </row>
    <row r="2390" spans="1:4" ht="13.5">
      <c r="A2390" s="37">
        <v>102006</v>
      </c>
      <c r="B2390" s="37" t="s">
        <v>7823</v>
      </c>
      <c r="C2390" s="37" t="s">
        <v>9</v>
      </c>
      <c r="D2390" s="326">
        <v>206.89</v>
      </c>
    </row>
    <row r="2391" spans="1:4" ht="13.5">
      <c r="A2391" s="37">
        <v>102007</v>
      </c>
      <c r="B2391" s="37" t="s">
        <v>7824</v>
      </c>
      <c r="C2391" s="37" t="s">
        <v>9</v>
      </c>
      <c r="D2391" s="326">
        <v>474.46</v>
      </c>
    </row>
    <row r="2392" spans="1:4" ht="13.5">
      <c r="A2392" s="37">
        <v>102008</v>
      </c>
      <c r="B2392" s="37" t="s">
        <v>7825</v>
      </c>
      <c r="C2392" s="37" t="s">
        <v>9</v>
      </c>
      <c r="D2392" s="326">
        <v>395.83</v>
      </c>
    </row>
    <row r="2393" spans="1:4" ht="13.5">
      <c r="A2393" s="37">
        <v>102009</v>
      </c>
      <c r="B2393" s="37" t="s">
        <v>7826</v>
      </c>
      <c r="C2393" s="37" t="s">
        <v>9</v>
      </c>
      <c r="D2393" s="326">
        <v>317.69</v>
      </c>
    </row>
    <row r="2394" spans="1:4" ht="13.5">
      <c r="A2394" s="37">
        <v>102010</v>
      </c>
      <c r="B2394" s="37" t="s">
        <v>7827</v>
      </c>
      <c r="C2394" s="37" t="s">
        <v>9</v>
      </c>
      <c r="D2394" s="326">
        <v>293.14999999999998</v>
      </c>
    </row>
    <row r="2395" spans="1:4" ht="13.5">
      <c r="A2395" s="37">
        <v>102011</v>
      </c>
      <c r="B2395" s="37" t="s">
        <v>7828</v>
      </c>
      <c r="C2395" s="37" t="s">
        <v>9</v>
      </c>
      <c r="D2395" s="326">
        <v>253.14</v>
      </c>
    </row>
    <row r="2396" spans="1:4" ht="13.5">
      <c r="A2396" s="37">
        <v>102012</v>
      </c>
      <c r="B2396" s="37" t="s">
        <v>7829</v>
      </c>
      <c r="C2396" s="37" t="s">
        <v>9</v>
      </c>
      <c r="D2396" s="326">
        <v>224.23</v>
      </c>
    </row>
    <row r="2397" spans="1:4" ht="13.5">
      <c r="A2397" s="37">
        <v>102013</v>
      </c>
      <c r="B2397" s="37" t="s">
        <v>7830</v>
      </c>
      <c r="C2397" s="37" t="s">
        <v>9</v>
      </c>
      <c r="D2397" s="326">
        <v>208.16</v>
      </c>
    </row>
    <row r="2398" spans="1:4" ht="13.5">
      <c r="A2398" s="37">
        <v>102014</v>
      </c>
      <c r="B2398" s="37" t="s">
        <v>7831</v>
      </c>
      <c r="C2398" s="37" t="s">
        <v>9</v>
      </c>
      <c r="D2398" s="326">
        <v>531.25</v>
      </c>
    </row>
    <row r="2399" spans="1:4" ht="13.5">
      <c r="A2399" s="37">
        <v>102015</v>
      </c>
      <c r="B2399" s="37" t="s">
        <v>7832</v>
      </c>
      <c r="C2399" s="37" t="s">
        <v>9</v>
      </c>
      <c r="D2399" s="326">
        <v>444.64</v>
      </c>
    </row>
    <row r="2400" spans="1:4" ht="13.5">
      <c r="A2400" s="37">
        <v>102016</v>
      </c>
      <c r="B2400" s="37" t="s">
        <v>7833</v>
      </c>
      <c r="C2400" s="37" t="s">
        <v>9</v>
      </c>
      <c r="D2400" s="326">
        <v>307.64999999999998</v>
      </c>
    </row>
    <row r="2401" spans="1:4" ht="13.5">
      <c r="A2401" s="37">
        <v>102017</v>
      </c>
      <c r="B2401" s="37" t="s">
        <v>7834</v>
      </c>
      <c r="C2401" s="37" t="s">
        <v>9</v>
      </c>
      <c r="D2401" s="326">
        <v>282.64</v>
      </c>
    </row>
    <row r="2402" spans="1:4" ht="13.5">
      <c r="A2402" s="37">
        <v>102036</v>
      </c>
      <c r="B2402" s="37" t="s">
        <v>7835</v>
      </c>
      <c r="C2402" s="37" t="s">
        <v>9</v>
      </c>
      <c r="D2402" s="326">
        <v>248.25</v>
      </c>
    </row>
    <row r="2403" spans="1:4" ht="13.5">
      <c r="A2403" s="37">
        <v>102037</v>
      </c>
      <c r="B2403" s="37" t="s">
        <v>7836</v>
      </c>
      <c r="C2403" s="37" t="s">
        <v>9</v>
      </c>
      <c r="D2403" s="326">
        <v>218.7</v>
      </c>
    </row>
    <row r="2404" spans="1:4" ht="13.5">
      <c r="A2404" s="37">
        <v>102038</v>
      </c>
      <c r="B2404" s="37" t="s">
        <v>7837</v>
      </c>
      <c r="C2404" s="37" t="s">
        <v>9</v>
      </c>
      <c r="D2404" s="326">
        <v>202.29</v>
      </c>
    </row>
    <row r="2405" spans="1:4" ht="13.5">
      <c r="A2405" s="37">
        <v>102039</v>
      </c>
      <c r="B2405" s="37" t="s">
        <v>7838</v>
      </c>
      <c r="C2405" s="37" t="s">
        <v>9</v>
      </c>
      <c r="D2405" s="326">
        <v>496.02</v>
      </c>
    </row>
    <row r="2406" spans="1:4" ht="13.5">
      <c r="A2406" s="37">
        <v>102040</v>
      </c>
      <c r="B2406" s="37" t="s">
        <v>7839</v>
      </c>
      <c r="C2406" s="37" t="s">
        <v>9</v>
      </c>
      <c r="D2406" s="326">
        <v>412.65</v>
      </c>
    </row>
    <row r="2407" spans="1:4" ht="13.5">
      <c r="A2407" s="37">
        <v>102041</v>
      </c>
      <c r="B2407" s="37" t="s">
        <v>7840</v>
      </c>
      <c r="C2407" s="37" t="s">
        <v>9</v>
      </c>
      <c r="D2407" s="326">
        <v>318.57</v>
      </c>
    </row>
    <row r="2408" spans="1:4" ht="13.5">
      <c r="A2408" s="37">
        <v>102042</v>
      </c>
      <c r="B2408" s="37" t="s">
        <v>7841</v>
      </c>
      <c r="C2408" s="37" t="s">
        <v>9</v>
      </c>
      <c r="D2408" s="326">
        <v>290.83</v>
      </c>
    </row>
    <row r="2409" spans="1:4" ht="13.5">
      <c r="A2409" s="37">
        <v>102043</v>
      </c>
      <c r="B2409" s="37" t="s">
        <v>7842</v>
      </c>
      <c r="C2409" s="37" t="s">
        <v>9</v>
      </c>
      <c r="D2409" s="326">
        <v>252.01</v>
      </c>
    </row>
    <row r="2410" spans="1:4" ht="13.5">
      <c r="A2410" s="37">
        <v>102044</v>
      </c>
      <c r="B2410" s="37" t="s">
        <v>7843</v>
      </c>
      <c r="C2410" s="37" t="s">
        <v>9</v>
      </c>
      <c r="D2410" s="326">
        <v>223.85</v>
      </c>
    </row>
    <row r="2411" spans="1:4" ht="13.5">
      <c r="A2411" s="37">
        <v>102045</v>
      </c>
      <c r="B2411" s="37" t="s">
        <v>7844</v>
      </c>
      <c r="C2411" s="37" t="s">
        <v>9</v>
      </c>
      <c r="D2411" s="326">
        <v>206.96</v>
      </c>
    </row>
    <row r="2412" spans="1:4" ht="13.5">
      <c r="A2412" s="37">
        <v>102046</v>
      </c>
      <c r="B2412" s="37" t="s">
        <v>7845</v>
      </c>
      <c r="C2412" s="37" t="s">
        <v>9</v>
      </c>
      <c r="D2412" s="326">
        <v>541.04999999999995</v>
      </c>
    </row>
    <row r="2413" spans="1:4" ht="13.5">
      <c r="A2413" s="37">
        <v>102047</v>
      </c>
      <c r="B2413" s="37" t="s">
        <v>7846</v>
      </c>
      <c r="C2413" s="37" t="s">
        <v>9</v>
      </c>
      <c r="D2413" s="326">
        <v>460.62</v>
      </c>
    </row>
    <row r="2414" spans="1:4" ht="13.5">
      <c r="A2414" s="37">
        <v>102048</v>
      </c>
      <c r="B2414" s="37" t="s">
        <v>7847</v>
      </c>
      <c r="C2414" s="37" t="s">
        <v>9</v>
      </c>
      <c r="D2414" s="326">
        <v>299.55</v>
      </c>
    </row>
    <row r="2415" spans="1:4" ht="13.5">
      <c r="A2415" s="37">
        <v>102049</v>
      </c>
      <c r="B2415" s="37" t="s">
        <v>7848</v>
      </c>
      <c r="C2415" s="37" t="s">
        <v>9</v>
      </c>
      <c r="D2415" s="326">
        <v>270.44</v>
      </c>
    </row>
    <row r="2416" spans="1:4" ht="13.5">
      <c r="A2416" s="37">
        <v>102050</v>
      </c>
      <c r="B2416" s="37" t="s">
        <v>7849</v>
      </c>
      <c r="C2416" s="37" t="s">
        <v>9</v>
      </c>
      <c r="D2416" s="326">
        <v>238.18</v>
      </c>
    </row>
    <row r="2417" spans="1:4" ht="13.5">
      <c r="A2417" s="37">
        <v>102051</v>
      </c>
      <c r="B2417" s="37" t="s">
        <v>7850</v>
      </c>
      <c r="C2417" s="37" t="s">
        <v>9</v>
      </c>
      <c r="D2417" s="326">
        <v>208.61</v>
      </c>
    </row>
    <row r="2418" spans="1:4" ht="13.5">
      <c r="A2418" s="37">
        <v>102052</v>
      </c>
      <c r="B2418" s="37" t="s">
        <v>7851</v>
      </c>
      <c r="C2418" s="37" t="s">
        <v>9</v>
      </c>
      <c r="D2418" s="326">
        <v>192.19</v>
      </c>
    </row>
    <row r="2419" spans="1:4" ht="13.5">
      <c r="A2419" s="37">
        <v>102059</v>
      </c>
      <c r="B2419" s="37" t="s">
        <v>7852</v>
      </c>
      <c r="C2419" s="37" t="s">
        <v>9</v>
      </c>
      <c r="D2419" s="326">
        <v>461.49</v>
      </c>
    </row>
    <row r="2420" spans="1:4" ht="13.5">
      <c r="A2420" s="37">
        <v>102060</v>
      </c>
      <c r="B2420" s="37" t="s">
        <v>7853</v>
      </c>
      <c r="C2420" s="37" t="s">
        <v>9</v>
      </c>
      <c r="D2420" s="326">
        <v>387.25</v>
      </c>
    </row>
    <row r="2421" spans="1:4" ht="13.5">
      <c r="A2421" s="37">
        <v>102061</v>
      </c>
      <c r="B2421" s="37" t="s">
        <v>7854</v>
      </c>
      <c r="C2421" s="37" t="s">
        <v>9</v>
      </c>
      <c r="D2421" s="326">
        <v>296.35000000000002</v>
      </c>
    </row>
    <row r="2422" spans="1:4" ht="13.5">
      <c r="A2422" s="37">
        <v>102062</v>
      </c>
      <c r="B2422" s="37" t="s">
        <v>7855</v>
      </c>
      <c r="C2422" s="37" t="s">
        <v>9</v>
      </c>
      <c r="D2422" s="326">
        <v>277.11</v>
      </c>
    </row>
    <row r="2423" spans="1:4" ht="13.5">
      <c r="A2423" s="37">
        <v>102063</v>
      </c>
      <c r="B2423" s="37" t="s">
        <v>7856</v>
      </c>
      <c r="C2423" s="37" t="s">
        <v>9</v>
      </c>
      <c r="D2423" s="326">
        <v>239.58</v>
      </c>
    </row>
    <row r="2424" spans="1:4" ht="13.5">
      <c r="A2424" s="37">
        <v>102064</v>
      </c>
      <c r="B2424" s="37" t="s">
        <v>7857</v>
      </c>
      <c r="C2424" s="37" t="s">
        <v>9</v>
      </c>
      <c r="D2424" s="326">
        <v>211.1</v>
      </c>
    </row>
    <row r="2425" spans="1:4" ht="13.5">
      <c r="A2425" s="37">
        <v>102065</v>
      </c>
      <c r="B2425" s="37" t="s">
        <v>7858</v>
      </c>
      <c r="C2425" s="37" t="s">
        <v>9</v>
      </c>
      <c r="D2425" s="326">
        <v>195.32</v>
      </c>
    </row>
    <row r="2426" spans="1:4" ht="13.5">
      <c r="A2426" s="37">
        <v>102066</v>
      </c>
      <c r="B2426" s="37" t="s">
        <v>7859</v>
      </c>
      <c r="C2426" s="37" t="s">
        <v>9</v>
      </c>
      <c r="D2426" s="326">
        <v>481.63</v>
      </c>
    </row>
    <row r="2427" spans="1:4" ht="13.5">
      <c r="A2427" s="37">
        <v>102067</v>
      </c>
      <c r="B2427" s="37" t="s">
        <v>7860</v>
      </c>
      <c r="C2427" s="37" t="s">
        <v>9</v>
      </c>
      <c r="D2427" s="326">
        <v>411.98</v>
      </c>
    </row>
    <row r="2428" spans="1:4" ht="13.5">
      <c r="A2428" s="37">
        <v>102068</v>
      </c>
      <c r="B2428" s="37" t="s">
        <v>7861</v>
      </c>
      <c r="C2428" s="37" t="s">
        <v>9</v>
      </c>
      <c r="D2428" s="326">
        <v>276.43</v>
      </c>
    </row>
    <row r="2429" spans="1:4" ht="13.5">
      <c r="A2429" s="37">
        <v>102069</v>
      </c>
      <c r="B2429" s="37" t="s">
        <v>7862</v>
      </c>
      <c r="C2429" s="37" t="s">
        <v>9</v>
      </c>
      <c r="D2429" s="326">
        <v>256.75</v>
      </c>
    </row>
    <row r="2430" spans="1:4" ht="13.5">
      <c r="A2430" s="37">
        <v>102070</v>
      </c>
      <c r="B2430" s="37" t="s">
        <v>7863</v>
      </c>
      <c r="C2430" s="37" t="s">
        <v>9</v>
      </c>
      <c r="D2430" s="326">
        <v>226.26</v>
      </c>
    </row>
    <row r="2431" spans="1:4" ht="13.5">
      <c r="A2431" s="37">
        <v>102071</v>
      </c>
      <c r="B2431" s="37" t="s">
        <v>7864</v>
      </c>
      <c r="C2431" s="37" t="s">
        <v>9</v>
      </c>
      <c r="D2431" s="326">
        <v>198.82</v>
      </c>
    </row>
    <row r="2432" spans="1:4" ht="13.5">
      <c r="A2432" s="37">
        <v>102072</v>
      </c>
      <c r="B2432" s="37" t="s">
        <v>7865</v>
      </c>
      <c r="C2432" s="37" t="s">
        <v>9</v>
      </c>
      <c r="D2432" s="326">
        <v>187.06</v>
      </c>
    </row>
    <row r="2433" spans="1:4" ht="13.5">
      <c r="A2433" s="37">
        <v>102073</v>
      </c>
      <c r="B2433" s="37" t="s">
        <v>17005</v>
      </c>
      <c r="C2433" s="37" t="s">
        <v>12</v>
      </c>
      <c r="D2433" s="38">
        <v>3968.62</v>
      </c>
    </row>
    <row r="2434" spans="1:4" ht="13.5">
      <c r="A2434" s="37">
        <v>102074</v>
      </c>
      <c r="B2434" s="37" t="s">
        <v>17006</v>
      </c>
      <c r="C2434" s="37" t="s">
        <v>12</v>
      </c>
      <c r="D2434" s="38">
        <v>4848.03</v>
      </c>
    </row>
    <row r="2435" spans="1:4" ht="13.5">
      <c r="A2435" s="37">
        <v>102075</v>
      </c>
      <c r="B2435" s="37" t="s">
        <v>17007</v>
      </c>
      <c r="C2435" s="37" t="s">
        <v>12</v>
      </c>
      <c r="D2435" s="38">
        <v>5069.99</v>
      </c>
    </row>
    <row r="2436" spans="1:4" ht="13.5">
      <c r="A2436" s="37">
        <v>102076</v>
      </c>
      <c r="B2436" s="37" t="s">
        <v>17008</v>
      </c>
      <c r="C2436" s="37" t="s">
        <v>12</v>
      </c>
      <c r="D2436" s="38">
        <v>5206.28</v>
      </c>
    </row>
    <row r="2437" spans="1:4" ht="13.5">
      <c r="A2437" s="37">
        <v>102077</v>
      </c>
      <c r="B2437" s="37" t="s">
        <v>17009</v>
      </c>
      <c r="C2437" s="37" t="s">
        <v>12</v>
      </c>
      <c r="D2437" s="38">
        <v>5616.53</v>
      </c>
    </row>
    <row r="2438" spans="1:4" ht="13.5">
      <c r="A2438" s="37">
        <v>102078</v>
      </c>
      <c r="B2438" s="37" t="s">
        <v>17010</v>
      </c>
      <c r="C2438" s="37" t="s">
        <v>12</v>
      </c>
      <c r="D2438" s="38">
        <v>5739.89</v>
      </c>
    </row>
    <row r="2439" spans="1:4" ht="13.5">
      <c r="A2439" s="37">
        <v>102079</v>
      </c>
      <c r="B2439" s="37" t="s">
        <v>17011</v>
      </c>
      <c r="C2439" s="37" t="s">
        <v>12</v>
      </c>
      <c r="D2439" s="38">
        <v>5531.5</v>
      </c>
    </row>
    <row r="2440" spans="1:4" ht="13.5">
      <c r="A2440" s="37">
        <v>102080</v>
      </c>
      <c r="B2440" s="37" t="s">
        <v>17012</v>
      </c>
      <c r="C2440" s="37" t="s">
        <v>12</v>
      </c>
      <c r="D2440" s="38">
        <v>4891.9799999999996</v>
      </c>
    </row>
    <row r="2441" spans="1:4" ht="13.5">
      <c r="A2441" s="37">
        <v>102086</v>
      </c>
      <c r="B2441" s="37" t="s">
        <v>7866</v>
      </c>
      <c r="C2441" s="37" t="s">
        <v>9</v>
      </c>
      <c r="D2441" s="326">
        <v>217.24</v>
      </c>
    </row>
    <row r="2442" spans="1:4" ht="13.5">
      <c r="A2442" s="37">
        <v>102087</v>
      </c>
      <c r="B2442" s="37" t="s">
        <v>7867</v>
      </c>
      <c r="C2442" s="37" t="s">
        <v>9</v>
      </c>
      <c r="D2442" s="326">
        <v>167.41</v>
      </c>
    </row>
    <row r="2443" spans="1:4" ht="13.5">
      <c r="A2443" s="37">
        <v>102088</v>
      </c>
      <c r="B2443" s="37" t="s">
        <v>7868</v>
      </c>
      <c r="C2443" s="37" t="s">
        <v>9</v>
      </c>
      <c r="D2443" s="326">
        <v>221.6</v>
      </c>
    </row>
    <row r="2444" spans="1:4" ht="13.5">
      <c r="A2444" s="37">
        <v>102089</v>
      </c>
      <c r="B2444" s="37" t="s">
        <v>7869</v>
      </c>
      <c r="C2444" s="37" t="s">
        <v>9</v>
      </c>
      <c r="D2444" s="326">
        <v>207.8</v>
      </c>
    </row>
    <row r="2445" spans="1:4" ht="13.5">
      <c r="A2445" s="37">
        <v>102090</v>
      </c>
      <c r="B2445" s="37" t="s">
        <v>7870</v>
      </c>
      <c r="C2445" s="37" t="s">
        <v>9</v>
      </c>
      <c r="D2445" s="326">
        <v>151.28</v>
      </c>
    </row>
    <row r="2446" spans="1:4" ht="13.5">
      <c r="A2446" s="37">
        <v>102091</v>
      </c>
      <c r="B2446" s="37" t="s">
        <v>7871</v>
      </c>
      <c r="C2446" s="37" t="s">
        <v>9</v>
      </c>
      <c r="D2446" s="326">
        <v>256.95</v>
      </c>
    </row>
    <row r="2447" spans="1:4" ht="13.5">
      <c r="A2447" s="37">
        <v>103760</v>
      </c>
      <c r="B2447" s="37" t="s">
        <v>15343</v>
      </c>
      <c r="C2447" s="37" t="s">
        <v>9</v>
      </c>
      <c r="D2447" s="326">
        <v>120.57</v>
      </c>
    </row>
    <row r="2448" spans="1:4" ht="13.5">
      <c r="A2448" s="37">
        <v>103761</v>
      </c>
      <c r="B2448" s="37" t="s">
        <v>15344</v>
      </c>
      <c r="C2448" s="37" t="s">
        <v>9</v>
      </c>
      <c r="D2448" s="326">
        <v>81.73</v>
      </c>
    </row>
    <row r="2449" spans="1:4" ht="13.5">
      <c r="A2449" s="37">
        <v>103762</v>
      </c>
      <c r="B2449" s="37" t="s">
        <v>15345</v>
      </c>
      <c r="C2449" s="37" t="s">
        <v>9</v>
      </c>
      <c r="D2449" s="326">
        <v>69.42</v>
      </c>
    </row>
    <row r="2450" spans="1:4" ht="13.5">
      <c r="A2450" s="37">
        <v>103763</v>
      </c>
      <c r="B2450" s="37" t="s">
        <v>15346</v>
      </c>
      <c r="C2450" s="37" t="s">
        <v>9</v>
      </c>
      <c r="D2450" s="326">
        <v>61.04</v>
      </c>
    </row>
    <row r="2451" spans="1:4" ht="13.5">
      <c r="A2451" s="37">
        <v>89996</v>
      </c>
      <c r="B2451" s="37" t="s">
        <v>12329</v>
      </c>
      <c r="C2451" s="37" t="s">
        <v>8</v>
      </c>
      <c r="D2451" s="326">
        <v>13.48</v>
      </c>
    </row>
    <row r="2452" spans="1:4" ht="13.5">
      <c r="A2452" s="37">
        <v>89997</v>
      </c>
      <c r="B2452" s="37" t="s">
        <v>12330</v>
      </c>
      <c r="C2452" s="37" t="s">
        <v>8</v>
      </c>
      <c r="D2452" s="326">
        <v>11.13</v>
      </c>
    </row>
    <row r="2453" spans="1:4" ht="13.5">
      <c r="A2453" s="37">
        <v>89998</v>
      </c>
      <c r="B2453" s="37" t="s">
        <v>12331</v>
      </c>
      <c r="C2453" s="37" t="s">
        <v>8</v>
      </c>
      <c r="D2453" s="326">
        <v>12.98</v>
      </c>
    </row>
    <row r="2454" spans="1:4" ht="13.5">
      <c r="A2454" s="37">
        <v>89999</v>
      </c>
      <c r="B2454" s="37" t="s">
        <v>12332</v>
      </c>
      <c r="C2454" s="37" t="s">
        <v>8</v>
      </c>
      <c r="D2454" s="326">
        <v>18.8</v>
      </c>
    </row>
    <row r="2455" spans="1:4" ht="13.5">
      <c r="A2455" s="37">
        <v>90000</v>
      </c>
      <c r="B2455" s="37" t="s">
        <v>12333</v>
      </c>
      <c r="C2455" s="37" t="s">
        <v>8</v>
      </c>
      <c r="D2455" s="326">
        <v>15.58</v>
      </c>
    </row>
    <row r="2456" spans="1:4" ht="13.5">
      <c r="A2456" s="37">
        <v>91593</v>
      </c>
      <c r="B2456" s="37" t="s">
        <v>3655</v>
      </c>
      <c r="C2456" s="37" t="s">
        <v>8</v>
      </c>
      <c r="D2456" s="326">
        <v>12.29</v>
      </c>
    </row>
    <row r="2457" spans="1:4" ht="13.5">
      <c r="A2457" s="37">
        <v>91594</v>
      </c>
      <c r="B2457" s="37" t="s">
        <v>3656</v>
      </c>
      <c r="C2457" s="37" t="s">
        <v>8</v>
      </c>
      <c r="D2457" s="326">
        <v>12.7</v>
      </c>
    </row>
    <row r="2458" spans="1:4" ht="13.5">
      <c r="A2458" s="37">
        <v>91595</v>
      </c>
      <c r="B2458" s="37" t="s">
        <v>3658</v>
      </c>
      <c r="C2458" s="37" t="s">
        <v>8</v>
      </c>
      <c r="D2458" s="326">
        <v>13.37</v>
      </c>
    </row>
    <row r="2459" spans="1:4" ht="13.5">
      <c r="A2459" s="37">
        <v>91596</v>
      </c>
      <c r="B2459" s="37" t="s">
        <v>3659</v>
      </c>
      <c r="C2459" s="37" t="s">
        <v>8</v>
      </c>
      <c r="D2459" s="326">
        <v>12.59</v>
      </c>
    </row>
    <row r="2460" spans="1:4" ht="13.5">
      <c r="A2460" s="37">
        <v>91597</v>
      </c>
      <c r="B2460" s="37" t="s">
        <v>3660</v>
      </c>
      <c r="C2460" s="37" t="s">
        <v>8</v>
      </c>
      <c r="D2460" s="326">
        <v>8.91</v>
      </c>
    </row>
    <row r="2461" spans="1:4" ht="13.5">
      <c r="A2461" s="37">
        <v>91598</v>
      </c>
      <c r="B2461" s="37" t="s">
        <v>3661</v>
      </c>
      <c r="C2461" s="37" t="s">
        <v>8</v>
      </c>
      <c r="D2461" s="326">
        <v>12.32</v>
      </c>
    </row>
    <row r="2462" spans="1:4" ht="13.5">
      <c r="A2462" s="37">
        <v>91599</v>
      </c>
      <c r="B2462" s="37" t="s">
        <v>3662</v>
      </c>
      <c r="C2462" s="37" t="s">
        <v>8</v>
      </c>
      <c r="D2462" s="326">
        <v>9.2799999999999994</v>
      </c>
    </row>
    <row r="2463" spans="1:4" ht="13.5">
      <c r="A2463" s="37">
        <v>91600</v>
      </c>
      <c r="B2463" s="37" t="s">
        <v>3663</v>
      </c>
      <c r="C2463" s="37" t="s">
        <v>8</v>
      </c>
      <c r="D2463" s="326">
        <v>15.06</v>
      </c>
    </row>
    <row r="2464" spans="1:4" ht="13.5">
      <c r="A2464" s="37">
        <v>91601</v>
      </c>
      <c r="B2464" s="37" t="s">
        <v>3664</v>
      </c>
      <c r="C2464" s="37" t="s">
        <v>8</v>
      </c>
      <c r="D2464" s="326">
        <v>15.71</v>
      </c>
    </row>
    <row r="2465" spans="1:4" ht="13.5">
      <c r="A2465" s="37">
        <v>91602</v>
      </c>
      <c r="B2465" s="37" t="s">
        <v>3665</v>
      </c>
      <c r="C2465" s="37" t="s">
        <v>8</v>
      </c>
      <c r="D2465" s="326">
        <v>14.8</v>
      </c>
    </row>
    <row r="2466" spans="1:4" ht="13.5">
      <c r="A2466" s="37">
        <v>91603</v>
      </c>
      <c r="B2466" s="37" t="s">
        <v>3666</v>
      </c>
      <c r="C2466" s="37" t="s">
        <v>8</v>
      </c>
      <c r="D2466" s="326">
        <v>13.96</v>
      </c>
    </row>
    <row r="2467" spans="1:4" ht="13.5">
      <c r="A2467" s="37">
        <v>92759</v>
      </c>
      <c r="B2467" s="37" t="s">
        <v>15347</v>
      </c>
      <c r="C2467" s="37" t="s">
        <v>8</v>
      </c>
      <c r="D2467" s="326">
        <v>16.86</v>
      </c>
    </row>
    <row r="2468" spans="1:4" ht="13.5">
      <c r="A2468" s="37">
        <v>92760</v>
      </c>
      <c r="B2468" s="37" t="s">
        <v>15348</v>
      </c>
      <c r="C2468" s="37" t="s">
        <v>8</v>
      </c>
      <c r="D2468" s="326">
        <v>16.5</v>
      </c>
    </row>
    <row r="2469" spans="1:4" ht="13.5">
      <c r="A2469" s="37">
        <v>92761</v>
      </c>
      <c r="B2469" s="37" t="s">
        <v>15349</v>
      </c>
      <c r="C2469" s="37" t="s">
        <v>8</v>
      </c>
      <c r="D2469" s="326">
        <v>15.91</v>
      </c>
    </row>
    <row r="2470" spans="1:4" ht="13.5">
      <c r="A2470" s="37">
        <v>92762</v>
      </c>
      <c r="B2470" s="37" t="s">
        <v>15350</v>
      </c>
      <c r="C2470" s="37" t="s">
        <v>8</v>
      </c>
      <c r="D2470" s="326">
        <v>14.41</v>
      </c>
    </row>
    <row r="2471" spans="1:4" ht="13.5">
      <c r="A2471" s="37">
        <v>92763</v>
      </c>
      <c r="B2471" s="37" t="s">
        <v>15351</v>
      </c>
      <c r="C2471" s="37" t="s">
        <v>8</v>
      </c>
      <c r="D2471" s="326">
        <v>12.23</v>
      </c>
    </row>
    <row r="2472" spans="1:4" ht="13.5">
      <c r="A2472" s="37">
        <v>92764</v>
      </c>
      <c r="B2472" s="37" t="s">
        <v>15352</v>
      </c>
      <c r="C2472" s="37" t="s">
        <v>8</v>
      </c>
      <c r="D2472" s="326">
        <v>11.95</v>
      </c>
    </row>
    <row r="2473" spans="1:4" ht="13.5">
      <c r="A2473" s="37">
        <v>92765</v>
      </c>
      <c r="B2473" s="37" t="s">
        <v>15353</v>
      </c>
      <c r="C2473" s="37" t="s">
        <v>8</v>
      </c>
      <c r="D2473" s="326">
        <v>13.74</v>
      </c>
    </row>
    <row r="2474" spans="1:4" ht="13.5">
      <c r="A2474" s="37">
        <v>92766</v>
      </c>
      <c r="B2474" s="37" t="s">
        <v>15354</v>
      </c>
      <c r="C2474" s="37" t="s">
        <v>8</v>
      </c>
      <c r="D2474" s="326">
        <v>13.63</v>
      </c>
    </row>
    <row r="2475" spans="1:4" ht="13.5">
      <c r="A2475" s="37">
        <v>92767</v>
      </c>
      <c r="B2475" s="37" t="s">
        <v>15355</v>
      </c>
      <c r="C2475" s="37" t="s">
        <v>8</v>
      </c>
      <c r="D2475" s="326">
        <v>18.170000000000002</v>
      </c>
    </row>
    <row r="2476" spans="1:4" ht="13.5">
      <c r="A2476" s="37">
        <v>92768</v>
      </c>
      <c r="B2476" s="37" t="s">
        <v>15356</v>
      </c>
      <c r="C2476" s="37" t="s">
        <v>8</v>
      </c>
      <c r="D2476" s="326">
        <v>16.38</v>
      </c>
    </row>
    <row r="2477" spans="1:4" ht="13.5">
      <c r="A2477" s="37">
        <v>92769</v>
      </c>
      <c r="B2477" s="37" t="s">
        <v>15357</v>
      </c>
      <c r="C2477" s="37" t="s">
        <v>8</v>
      </c>
      <c r="D2477" s="326">
        <v>16.02</v>
      </c>
    </row>
    <row r="2478" spans="1:4" ht="13.5">
      <c r="A2478" s="37">
        <v>92770</v>
      </c>
      <c r="B2478" s="37" t="s">
        <v>15358</v>
      </c>
      <c r="C2478" s="37" t="s">
        <v>8</v>
      </c>
      <c r="D2478" s="326">
        <v>15.45</v>
      </c>
    </row>
    <row r="2479" spans="1:4" ht="13.5">
      <c r="A2479" s="37">
        <v>92771</v>
      </c>
      <c r="B2479" s="37" t="s">
        <v>15359</v>
      </c>
      <c r="C2479" s="37" t="s">
        <v>8</v>
      </c>
      <c r="D2479" s="326">
        <v>13.98</v>
      </c>
    </row>
    <row r="2480" spans="1:4" ht="13.5">
      <c r="A2480" s="37">
        <v>92772</v>
      </c>
      <c r="B2480" s="37" t="s">
        <v>15360</v>
      </c>
      <c r="C2480" s="37" t="s">
        <v>8</v>
      </c>
      <c r="D2480" s="326">
        <v>11.86</v>
      </c>
    </row>
    <row r="2481" spans="1:4" ht="13.5">
      <c r="A2481" s="37">
        <v>92773</v>
      </c>
      <c r="B2481" s="37" t="s">
        <v>15361</v>
      </c>
      <c r="C2481" s="37" t="s">
        <v>8</v>
      </c>
      <c r="D2481" s="326">
        <v>11.7</v>
      </c>
    </row>
    <row r="2482" spans="1:4" ht="13.5">
      <c r="A2482" s="37">
        <v>92774</v>
      </c>
      <c r="B2482" s="37" t="s">
        <v>15362</v>
      </c>
      <c r="C2482" s="37" t="s">
        <v>8</v>
      </c>
      <c r="D2482" s="326">
        <v>13.59</v>
      </c>
    </row>
    <row r="2483" spans="1:4" ht="13.5">
      <c r="A2483" s="37">
        <v>92798</v>
      </c>
      <c r="B2483" s="37" t="s">
        <v>15363</v>
      </c>
      <c r="C2483" s="37" t="s">
        <v>8</v>
      </c>
      <c r="D2483" s="326">
        <v>12.62</v>
      </c>
    </row>
    <row r="2484" spans="1:4" ht="13.5">
      <c r="A2484" s="37">
        <v>92799</v>
      </c>
      <c r="B2484" s="37" t="s">
        <v>15364</v>
      </c>
      <c r="C2484" s="37" t="s">
        <v>8</v>
      </c>
      <c r="D2484" s="326">
        <v>13.88</v>
      </c>
    </row>
    <row r="2485" spans="1:4" ht="13.5">
      <c r="A2485" s="37">
        <v>92800</v>
      </c>
      <c r="B2485" s="37" t="s">
        <v>15365</v>
      </c>
      <c r="C2485" s="37" t="s">
        <v>8</v>
      </c>
      <c r="D2485" s="326">
        <v>12.87</v>
      </c>
    </row>
    <row r="2486" spans="1:4" ht="13.5">
      <c r="A2486" s="37">
        <v>92801</v>
      </c>
      <c r="B2486" s="37" t="s">
        <v>15366</v>
      </c>
      <c r="C2486" s="37" t="s">
        <v>8</v>
      </c>
      <c r="D2486" s="326">
        <v>13.37</v>
      </c>
    </row>
    <row r="2487" spans="1:4" ht="13.5">
      <c r="A2487" s="37">
        <v>92802</v>
      </c>
      <c r="B2487" s="37" t="s">
        <v>15367</v>
      </c>
      <c r="C2487" s="37" t="s">
        <v>8</v>
      </c>
      <c r="D2487" s="326">
        <v>13.49</v>
      </c>
    </row>
    <row r="2488" spans="1:4" ht="13.5">
      <c r="A2488" s="37">
        <v>92803</v>
      </c>
      <c r="B2488" s="37" t="s">
        <v>15368</v>
      </c>
      <c r="C2488" s="37" t="s">
        <v>8</v>
      </c>
      <c r="D2488" s="326">
        <v>12.52</v>
      </c>
    </row>
    <row r="2489" spans="1:4" ht="13.5">
      <c r="A2489" s="37">
        <v>92804</v>
      </c>
      <c r="B2489" s="37" t="s">
        <v>15369</v>
      </c>
      <c r="C2489" s="37" t="s">
        <v>8</v>
      </c>
      <c r="D2489" s="326">
        <v>10.77</v>
      </c>
    </row>
    <row r="2490" spans="1:4" ht="13.5">
      <c r="A2490" s="37">
        <v>92805</v>
      </c>
      <c r="B2490" s="37" t="s">
        <v>15370</v>
      </c>
      <c r="C2490" s="37" t="s">
        <v>8</v>
      </c>
      <c r="D2490" s="326">
        <v>10.7</v>
      </c>
    </row>
    <row r="2491" spans="1:4" ht="13.5">
      <c r="A2491" s="37">
        <v>92806</v>
      </c>
      <c r="B2491" s="37" t="s">
        <v>15371</v>
      </c>
      <c r="C2491" s="37" t="s">
        <v>8</v>
      </c>
      <c r="D2491" s="326">
        <v>12.63</v>
      </c>
    </row>
    <row r="2492" spans="1:4" ht="13.5">
      <c r="A2492" s="37">
        <v>92875</v>
      </c>
      <c r="B2492" s="37" t="s">
        <v>15372</v>
      </c>
      <c r="C2492" s="37" t="s">
        <v>8</v>
      </c>
      <c r="D2492" s="326">
        <v>12.55</v>
      </c>
    </row>
    <row r="2493" spans="1:4" ht="13.5">
      <c r="A2493" s="37">
        <v>92876</v>
      </c>
      <c r="B2493" s="37" t="s">
        <v>15373</v>
      </c>
      <c r="C2493" s="37" t="s">
        <v>8</v>
      </c>
      <c r="D2493" s="326">
        <v>12.41</v>
      </c>
    </row>
    <row r="2494" spans="1:4" ht="13.5">
      <c r="A2494" s="37">
        <v>92877</v>
      </c>
      <c r="B2494" s="37" t="s">
        <v>15374</v>
      </c>
      <c r="C2494" s="37" t="s">
        <v>8</v>
      </c>
      <c r="D2494" s="326">
        <v>13.53</v>
      </c>
    </row>
    <row r="2495" spans="1:4" ht="13.5">
      <c r="A2495" s="37">
        <v>92878</v>
      </c>
      <c r="B2495" s="37" t="s">
        <v>15375</v>
      </c>
      <c r="C2495" s="37" t="s">
        <v>8</v>
      </c>
      <c r="D2495" s="326">
        <v>13.38</v>
      </c>
    </row>
    <row r="2496" spans="1:4" ht="13.5">
      <c r="A2496" s="37">
        <v>92879</v>
      </c>
      <c r="B2496" s="37" t="s">
        <v>15376</v>
      </c>
      <c r="C2496" s="37" t="s">
        <v>8</v>
      </c>
      <c r="D2496" s="326">
        <v>13.28</v>
      </c>
    </row>
    <row r="2497" spans="1:4" ht="13.5">
      <c r="A2497" s="37">
        <v>92880</v>
      </c>
      <c r="B2497" s="37" t="s">
        <v>15377</v>
      </c>
      <c r="C2497" s="37" t="s">
        <v>8</v>
      </c>
      <c r="D2497" s="326">
        <v>13.6</v>
      </c>
    </row>
    <row r="2498" spans="1:4" ht="13.5">
      <c r="A2498" s="37">
        <v>92881</v>
      </c>
      <c r="B2498" s="37" t="s">
        <v>15378</v>
      </c>
      <c r="C2498" s="37" t="s">
        <v>8</v>
      </c>
      <c r="D2498" s="326">
        <v>13.57</v>
      </c>
    </row>
    <row r="2499" spans="1:4" ht="13.5">
      <c r="A2499" s="37">
        <v>92882</v>
      </c>
      <c r="B2499" s="37" t="s">
        <v>15379</v>
      </c>
      <c r="C2499" s="37" t="s">
        <v>8</v>
      </c>
      <c r="D2499" s="326">
        <v>16.13</v>
      </c>
    </row>
    <row r="2500" spans="1:4" ht="13.5">
      <c r="A2500" s="37">
        <v>92883</v>
      </c>
      <c r="B2500" s="37" t="s">
        <v>15380</v>
      </c>
      <c r="C2500" s="37" t="s">
        <v>8</v>
      </c>
      <c r="D2500" s="326">
        <v>15.25</v>
      </c>
    </row>
    <row r="2501" spans="1:4" ht="13.5">
      <c r="A2501" s="37">
        <v>92884</v>
      </c>
      <c r="B2501" s="37" t="s">
        <v>15381</v>
      </c>
      <c r="C2501" s="37" t="s">
        <v>8</v>
      </c>
      <c r="D2501" s="326">
        <v>15.81</v>
      </c>
    </row>
    <row r="2502" spans="1:4" ht="13.5">
      <c r="A2502" s="37">
        <v>92885</v>
      </c>
      <c r="B2502" s="37" t="s">
        <v>15382</v>
      </c>
      <c r="C2502" s="37" t="s">
        <v>8</v>
      </c>
      <c r="D2502" s="326">
        <v>15.22</v>
      </c>
    </row>
    <row r="2503" spans="1:4" ht="13.5">
      <c r="A2503" s="37">
        <v>92886</v>
      </c>
      <c r="B2503" s="37" t="s">
        <v>15383</v>
      </c>
      <c r="C2503" s="37" t="s">
        <v>8</v>
      </c>
      <c r="D2503" s="326">
        <v>14.72</v>
      </c>
    </row>
    <row r="2504" spans="1:4" ht="13.5">
      <c r="A2504" s="37">
        <v>92887</v>
      </c>
      <c r="B2504" s="37" t="s">
        <v>15384</v>
      </c>
      <c r="C2504" s="37" t="s">
        <v>8</v>
      </c>
      <c r="D2504" s="326">
        <v>14.76</v>
      </c>
    </row>
    <row r="2505" spans="1:4" ht="13.5">
      <c r="A2505" s="37">
        <v>92888</v>
      </c>
      <c r="B2505" s="37" t="s">
        <v>15385</v>
      </c>
      <c r="C2505" s="37" t="s">
        <v>8</v>
      </c>
      <c r="D2505" s="326">
        <v>14.51</v>
      </c>
    </row>
    <row r="2506" spans="1:4" ht="13.5">
      <c r="A2506" s="37">
        <v>92915</v>
      </c>
      <c r="B2506" s="37" t="s">
        <v>15386</v>
      </c>
      <c r="C2506" s="37" t="s">
        <v>8</v>
      </c>
      <c r="D2506" s="326">
        <v>19.329999999999998</v>
      </c>
    </row>
    <row r="2507" spans="1:4" ht="13.5">
      <c r="A2507" s="37">
        <v>92916</v>
      </c>
      <c r="B2507" s="37" t="s">
        <v>15387</v>
      </c>
      <c r="C2507" s="37" t="s">
        <v>8</v>
      </c>
      <c r="D2507" s="326">
        <v>18.329999999999998</v>
      </c>
    </row>
    <row r="2508" spans="1:4" ht="13.5">
      <c r="A2508" s="37">
        <v>92917</v>
      </c>
      <c r="B2508" s="37" t="s">
        <v>15388</v>
      </c>
      <c r="C2508" s="37" t="s">
        <v>8</v>
      </c>
      <c r="D2508" s="326">
        <v>17.22</v>
      </c>
    </row>
    <row r="2509" spans="1:4" ht="13.5">
      <c r="A2509" s="37">
        <v>92919</v>
      </c>
      <c r="B2509" s="37" t="s">
        <v>15389</v>
      </c>
      <c r="C2509" s="37" t="s">
        <v>8</v>
      </c>
      <c r="D2509" s="326">
        <v>15.32</v>
      </c>
    </row>
    <row r="2510" spans="1:4" ht="13.5">
      <c r="A2510" s="37">
        <v>92921</v>
      </c>
      <c r="B2510" s="37" t="s">
        <v>15390</v>
      </c>
      <c r="C2510" s="37" t="s">
        <v>8</v>
      </c>
      <c r="D2510" s="326">
        <v>12.84</v>
      </c>
    </row>
    <row r="2511" spans="1:4" ht="13.5">
      <c r="A2511" s="37">
        <v>92922</v>
      </c>
      <c r="B2511" s="37" t="s">
        <v>15391</v>
      </c>
      <c r="C2511" s="37" t="s">
        <v>8</v>
      </c>
      <c r="D2511" s="326">
        <v>12.4</v>
      </c>
    </row>
    <row r="2512" spans="1:4" ht="13.5">
      <c r="A2512" s="37">
        <v>92923</v>
      </c>
      <c r="B2512" s="37" t="s">
        <v>15392</v>
      </c>
      <c r="C2512" s="37" t="s">
        <v>8</v>
      </c>
      <c r="D2512" s="326">
        <v>14.09</v>
      </c>
    </row>
    <row r="2513" spans="1:4" ht="13.5">
      <c r="A2513" s="37">
        <v>92924</v>
      </c>
      <c r="B2513" s="37" t="s">
        <v>15393</v>
      </c>
      <c r="C2513" s="37" t="s">
        <v>8</v>
      </c>
      <c r="D2513" s="326">
        <v>13.9</v>
      </c>
    </row>
    <row r="2514" spans="1:4" ht="13.5">
      <c r="A2514" s="37">
        <v>95448</v>
      </c>
      <c r="B2514" s="37" t="s">
        <v>15394</v>
      </c>
      <c r="C2514" s="37" t="s">
        <v>8</v>
      </c>
      <c r="D2514" s="326">
        <v>13.86</v>
      </c>
    </row>
    <row r="2515" spans="1:4" ht="13.5">
      <c r="A2515" s="37">
        <v>95576</v>
      </c>
      <c r="B2515" s="37" t="s">
        <v>17013</v>
      </c>
      <c r="C2515" s="37" t="s">
        <v>8</v>
      </c>
      <c r="D2515" s="326">
        <v>16.07</v>
      </c>
    </row>
    <row r="2516" spans="1:4" ht="13.5">
      <c r="A2516" s="37">
        <v>95577</v>
      </c>
      <c r="B2516" s="37" t="s">
        <v>17014</v>
      </c>
      <c r="C2516" s="37" t="s">
        <v>8</v>
      </c>
      <c r="D2516" s="326">
        <v>14.05</v>
      </c>
    </row>
    <row r="2517" spans="1:4" ht="13.5">
      <c r="A2517" s="37">
        <v>95578</v>
      </c>
      <c r="B2517" s="37" t="s">
        <v>17015</v>
      </c>
      <c r="C2517" s="37" t="s">
        <v>8</v>
      </c>
      <c r="D2517" s="326">
        <v>11.86</v>
      </c>
    </row>
    <row r="2518" spans="1:4" ht="13.5">
      <c r="A2518" s="37">
        <v>95579</v>
      </c>
      <c r="B2518" s="37" t="s">
        <v>17016</v>
      </c>
      <c r="C2518" s="37" t="s">
        <v>8</v>
      </c>
      <c r="D2518" s="326">
        <v>11.57</v>
      </c>
    </row>
    <row r="2519" spans="1:4" ht="13.5">
      <c r="A2519" s="37">
        <v>95580</v>
      </c>
      <c r="B2519" s="37" t="s">
        <v>17017</v>
      </c>
      <c r="C2519" s="37" t="s">
        <v>8</v>
      </c>
      <c r="D2519" s="326">
        <v>13.42</v>
      </c>
    </row>
    <row r="2520" spans="1:4" ht="13.5">
      <c r="A2520" s="37">
        <v>95581</v>
      </c>
      <c r="B2520" s="37" t="s">
        <v>17018</v>
      </c>
      <c r="C2520" s="37" t="s">
        <v>8</v>
      </c>
      <c r="D2520" s="326">
        <v>13.38</v>
      </c>
    </row>
    <row r="2521" spans="1:4" ht="13.5">
      <c r="A2521" s="37">
        <v>95582</v>
      </c>
      <c r="B2521" s="37" t="s">
        <v>17019</v>
      </c>
      <c r="C2521" s="37" t="s">
        <v>8</v>
      </c>
      <c r="D2521" s="326">
        <v>14.6</v>
      </c>
    </row>
    <row r="2522" spans="1:4" ht="13.5">
      <c r="A2522" s="37">
        <v>95583</v>
      </c>
      <c r="B2522" s="37" t="s">
        <v>17020</v>
      </c>
      <c r="C2522" s="37" t="s">
        <v>8</v>
      </c>
      <c r="D2522" s="326">
        <v>18.52</v>
      </c>
    </row>
    <row r="2523" spans="1:4" ht="13.5">
      <c r="A2523" s="37">
        <v>95584</v>
      </c>
      <c r="B2523" s="37" t="s">
        <v>17021</v>
      </c>
      <c r="C2523" s="37" t="s">
        <v>8</v>
      </c>
      <c r="D2523" s="326">
        <v>17.170000000000002</v>
      </c>
    </row>
    <row r="2524" spans="1:4" ht="13.5">
      <c r="A2524" s="37">
        <v>95592</v>
      </c>
      <c r="B2524" s="37" t="s">
        <v>17022</v>
      </c>
      <c r="C2524" s="37" t="s">
        <v>8</v>
      </c>
      <c r="D2524" s="326">
        <v>18.52</v>
      </c>
    </row>
    <row r="2525" spans="1:4" ht="13.5">
      <c r="A2525" s="37">
        <v>95593</v>
      </c>
      <c r="B2525" s="37" t="s">
        <v>17023</v>
      </c>
      <c r="C2525" s="37" t="s">
        <v>8</v>
      </c>
      <c r="D2525" s="326">
        <v>17.170000000000002</v>
      </c>
    </row>
    <row r="2526" spans="1:4" ht="13.5">
      <c r="A2526" s="37">
        <v>95943</v>
      </c>
      <c r="B2526" s="37" t="s">
        <v>7872</v>
      </c>
      <c r="C2526" s="37" t="s">
        <v>8</v>
      </c>
      <c r="D2526" s="326">
        <v>24.21</v>
      </c>
    </row>
    <row r="2527" spans="1:4" ht="13.5">
      <c r="A2527" s="37">
        <v>95944</v>
      </c>
      <c r="B2527" s="37" t="s">
        <v>7873</v>
      </c>
      <c r="C2527" s="37" t="s">
        <v>8</v>
      </c>
      <c r="D2527" s="326">
        <v>22.7</v>
      </c>
    </row>
    <row r="2528" spans="1:4" ht="13.5">
      <c r="A2528" s="37">
        <v>95945</v>
      </c>
      <c r="B2528" s="37" t="s">
        <v>7874</v>
      </c>
      <c r="C2528" s="37" t="s">
        <v>8</v>
      </c>
      <c r="D2528" s="326">
        <v>19.29</v>
      </c>
    </row>
    <row r="2529" spans="1:4" ht="13.5">
      <c r="A2529" s="37">
        <v>95946</v>
      </c>
      <c r="B2529" s="37" t="s">
        <v>7875</v>
      </c>
      <c r="C2529" s="37" t="s">
        <v>8</v>
      </c>
      <c r="D2529" s="326">
        <v>15.95</v>
      </c>
    </row>
    <row r="2530" spans="1:4" ht="13.5">
      <c r="A2530" s="37">
        <v>95947</v>
      </c>
      <c r="B2530" s="37" t="s">
        <v>7876</v>
      </c>
      <c r="C2530" s="37" t="s">
        <v>8</v>
      </c>
      <c r="D2530" s="326">
        <v>12.69</v>
      </c>
    </row>
    <row r="2531" spans="1:4" ht="13.5">
      <c r="A2531" s="37">
        <v>95948</v>
      </c>
      <c r="B2531" s="37" t="s">
        <v>7877</v>
      </c>
      <c r="C2531" s="37" t="s">
        <v>8</v>
      </c>
      <c r="D2531" s="326">
        <v>11.58</v>
      </c>
    </row>
    <row r="2532" spans="1:4" ht="13.5">
      <c r="A2532" s="37">
        <v>96544</v>
      </c>
      <c r="B2532" s="37" t="s">
        <v>3670</v>
      </c>
      <c r="C2532" s="37" t="s">
        <v>8</v>
      </c>
      <c r="D2532" s="326">
        <v>19.13</v>
      </c>
    </row>
    <row r="2533" spans="1:4" ht="13.5">
      <c r="A2533" s="37">
        <v>96545</v>
      </c>
      <c r="B2533" s="37" t="s">
        <v>3671</v>
      </c>
      <c r="C2533" s="37" t="s">
        <v>8</v>
      </c>
      <c r="D2533" s="326">
        <v>18</v>
      </c>
    </row>
    <row r="2534" spans="1:4" ht="13.5">
      <c r="A2534" s="37">
        <v>96546</v>
      </c>
      <c r="B2534" s="37" t="s">
        <v>3672</v>
      </c>
      <c r="C2534" s="37" t="s">
        <v>8</v>
      </c>
      <c r="D2534" s="326">
        <v>16.13</v>
      </c>
    </row>
    <row r="2535" spans="1:4" ht="13.5">
      <c r="A2535" s="37">
        <v>96547</v>
      </c>
      <c r="B2535" s="37" t="s">
        <v>3673</v>
      </c>
      <c r="C2535" s="37" t="s">
        <v>8</v>
      </c>
      <c r="D2535" s="326">
        <v>13.66</v>
      </c>
    </row>
    <row r="2536" spans="1:4" ht="13.5">
      <c r="A2536" s="37">
        <v>96548</v>
      </c>
      <c r="B2536" s="37" t="s">
        <v>3674</v>
      </c>
      <c r="C2536" s="37" t="s">
        <v>8</v>
      </c>
      <c r="D2536" s="326">
        <v>12.98</v>
      </c>
    </row>
    <row r="2537" spans="1:4" ht="13.5">
      <c r="A2537" s="37">
        <v>96549</v>
      </c>
      <c r="B2537" s="37" t="s">
        <v>3675</v>
      </c>
      <c r="C2537" s="37" t="s">
        <v>8</v>
      </c>
      <c r="D2537" s="326">
        <v>14.48</v>
      </c>
    </row>
    <row r="2538" spans="1:4" ht="13.5">
      <c r="A2538" s="37">
        <v>96550</v>
      </c>
      <c r="B2538" s="37" t="s">
        <v>3676</v>
      </c>
      <c r="C2538" s="37" t="s">
        <v>8</v>
      </c>
      <c r="D2538" s="326">
        <v>14.13</v>
      </c>
    </row>
    <row r="2539" spans="1:4" ht="13.5">
      <c r="A2539" s="37">
        <v>100064</v>
      </c>
      <c r="B2539" s="37" t="s">
        <v>7878</v>
      </c>
      <c r="C2539" s="37" t="s">
        <v>8</v>
      </c>
      <c r="D2539" s="326">
        <v>12.55</v>
      </c>
    </row>
    <row r="2540" spans="1:4" ht="13.5">
      <c r="A2540" s="37">
        <v>100066</v>
      </c>
      <c r="B2540" s="37" t="s">
        <v>3677</v>
      </c>
      <c r="C2540" s="37" t="s">
        <v>8</v>
      </c>
      <c r="D2540" s="326">
        <v>12.48</v>
      </c>
    </row>
    <row r="2541" spans="1:4" ht="13.5">
      <c r="A2541" s="37">
        <v>100067</v>
      </c>
      <c r="B2541" s="37" t="s">
        <v>3678</v>
      </c>
      <c r="C2541" s="37" t="s">
        <v>8</v>
      </c>
      <c r="D2541" s="326">
        <v>15</v>
      </c>
    </row>
    <row r="2542" spans="1:4" ht="13.5">
      <c r="A2542" s="37">
        <v>100068</v>
      </c>
      <c r="B2542" s="37" t="s">
        <v>3679</v>
      </c>
      <c r="C2542" s="37" t="s">
        <v>8</v>
      </c>
      <c r="D2542" s="326">
        <v>12.01</v>
      </c>
    </row>
    <row r="2543" spans="1:4" ht="13.5">
      <c r="A2543" s="37">
        <v>102920</v>
      </c>
      <c r="B2543" s="37" t="s">
        <v>12334</v>
      </c>
      <c r="C2543" s="37" t="s">
        <v>8</v>
      </c>
      <c r="D2543" s="326">
        <v>10.82</v>
      </c>
    </row>
    <row r="2544" spans="1:4" ht="13.5">
      <c r="A2544" s="37">
        <v>102921</v>
      </c>
      <c r="B2544" s="37" t="s">
        <v>12335</v>
      </c>
      <c r="C2544" s="37" t="s">
        <v>8</v>
      </c>
      <c r="D2544" s="326">
        <v>10.52</v>
      </c>
    </row>
    <row r="2545" spans="1:4" ht="13.5">
      <c r="A2545" s="37">
        <v>102922</v>
      </c>
      <c r="B2545" s="37" t="s">
        <v>12336</v>
      </c>
      <c r="C2545" s="37" t="s">
        <v>8</v>
      </c>
      <c r="D2545" s="326">
        <v>11.35</v>
      </c>
    </row>
    <row r="2546" spans="1:4" ht="13.5">
      <c r="A2546" s="37">
        <v>102923</v>
      </c>
      <c r="B2546" s="37" t="s">
        <v>12337</v>
      </c>
      <c r="C2546" s="37" t="s">
        <v>8</v>
      </c>
      <c r="D2546" s="326">
        <v>10.33</v>
      </c>
    </row>
    <row r="2547" spans="1:4" ht="13.5">
      <c r="A2547" s="37">
        <v>103088</v>
      </c>
      <c r="B2547" s="37" t="s">
        <v>12338</v>
      </c>
      <c r="C2547" s="37" t="s">
        <v>8</v>
      </c>
      <c r="D2547" s="326">
        <v>12.47</v>
      </c>
    </row>
    <row r="2548" spans="1:4" ht="13.5">
      <c r="A2548" s="37">
        <v>104104</v>
      </c>
      <c r="B2548" s="37" t="s">
        <v>15395</v>
      </c>
      <c r="C2548" s="37" t="s">
        <v>8</v>
      </c>
      <c r="D2548" s="326">
        <v>14.77</v>
      </c>
    </row>
    <row r="2549" spans="1:4" ht="13.5">
      <c r="A2549" s="37">
        <v>104105</v>
      </c>
      <c r="B2549" s="37" t="s">
        <v>15396</v>
      </c>
      <c r="C2549" s="37" t="s">
        <v>8</v>
      </c>
      <c r="D2549" s="326">
        <v>14.78</v>
      </c>
    </row>
    <row r="2550" spans="1:4" ht="13.5">
      <c r="A2550" s="37">
        <v>104106</v>
      </c>
      <c r="B2550" s="37" t="s">
        <v>15397</v>
      </c>
      <c r="C2550" s="37" t="s">
        <v>8</v>
      </c>
      <c r="D2550" s="326">
        <v>13.01</v>
      </c>
    </row>
    <row r="2551" spans="1:4" ht="13.5">
      <c r="A2551" s="37">
        <v>104107</v>
      </c>
      <c r="B2551" s="37" t="s">
        <v>15398</v>
      </c>
      <c r="C2551" s="37" t="s">
        <v>8</v>
      </c>
      <c r="D2551" s="326">
        <v>13.63</v>
      </c>
    </row>
    <row r="2552" spans="1:4" ht="13.5">
      <c r="A2552" s="37">
        <v>104108</v>
      </c>
      <c r="B2552" s="37" t="s">
        <v>15399</v>
      </c>
      <c r="C2552" s="37" t="s">
        <v>8</v>
      </c>
      <c r="D2552" s="326">
        <v>16.03</v>
      </c>
    </row>
    <row r="2553" spans="1:4" ht="13.5">
      <c r="A2553" s="37">
        <v>104109</v>
      </c>
      <c r="B2553" s="37" t="s">
        <v>15400</v>
      </c>
      <c r="C2553" s="37" t="s">
        <v>8</v>
      </c>
      <c r="D2553" s="326">
        <v>18.97</v>
      </c>
    </row>
    <row r="2554" spans="1:4" ht="13.5">
      <c r="A2554" s="37">
        <v>104110</v>
      </c>
      <c r="B2554" s="37" t="s">
        <v>15401</v>
      </c>
      <c r="C2554" s="37" t="s">
        <v>8</v>
      </c>
      <c r="D2554" s="326">
        <v>20.8</v>
      </c>
    </row>
    <row r="2555" spans="1:4" ht="13.5">
      <c r="A2555" s="37">
        <v>104111</v>
      </c>
      <c r="B2555" s="37" t="s">
        <v>15402</v>
      </c>
      <c r="C2555" s="37" t="s">
        <v>8</v>
      </c>
      <c r="D2555" s="326">
        <v>22.67</v>
      </c>
    </row>
    <row r="2556" spans="1:4" ht="13.5">
      <c r="A2556" s="37">
        <v>89993</v>
      </c>
      <c r="B2556" s="37" t="s">
        <v>12339</v>
      </c>
      <c r="C2556" s="37" t="s">
        <v>12</v>
      </c>
      <c r="D2556" s="326">
        <v>983.03</v>
      </c>
    </row>
    <row r="2557" spans="1:4" ht="13.5">
      <c r="A2557" s="37">
        <v>89994</v>
      </c>
      <c r="B2557" s="37" t="s">
        <v>12340</v>
      </c>
      <c r="C2557" s="37" t="s">
        <v>12</v>
      </c>
      <c r="D2557" s="326">
        <v>850.74</v>
      </c>
    </row>
    <row r="2558" spans="1:4" ht="13.5">
      <c r="A2558" s="37">
        <v>89995</v>
      </c>
      <c r="B2558" s="37" t="s">
        <v>12341</v>
      </c>
      <c r="C2558" s="37" t="s">
        <v>12</v>
      </c>
      <c r="D2558" s="326">
        <v>949.19</v>
      </c>
    </row>
    <row r="2559" spans="1:4" ht="13.5">
      <c r="A2559" s="37">
        <v>90278</v>
      </c>
      <c r="B2559" s="37" t="s">
        <v>12342</v>
      </c>
      <c r="C2559" s="37" t="s">
        <v>12</v>
      </c>
      <c r="D2559" s="326">
        <v>502.37</v>
      </c>
    </row>
    <row r="2560" spans="1:4" ht="13.5">
      <c r="A2560" s="37">
        <v>90279</v>
      </c>
      <c r="B2560" s="37" t="s">
        <v>12343</v>
      </c>
      <c r="C2560" s="37" t="s">
        <v>12</v>
      </c>
      <c r="D2560" s="326">
        <v>552.72</v>
      </c>
    </row>
    <row r="2561" spans="1:4" ht="13.5">
      <c r="A2561" s="37">
        <v>90280</v>
      </c>
      <c r="B2561" s="37" t="s">
        <v>12344</v>
      </c>
      <c r="C2561" s="37" t="s">
        <v>12</v>
      </c>
      <c r="D2561" s="326">
        <v>609.84</v>
      </c>
    </row>
    <row r="2562" spans="1:4" ht="13.5">
      <c r="A2562" s="37">
        <v>90281</v>
      </c>
      <c r="B2562" s="37" t="s">
        <v>12345</v>
      </c>
      <c r="C2562" s="37" t="s">
        <v>12</v>
      </c>
      <c r="D2562" s="326">
        <v>705.27</v>
      </c>
    </row>
    <row r="2563" spans="1:4" ht="13.5">
      <c r="A2563" s="37">
        <v>90282</v>
      </c>
      <c r="B2563" s="37" t="s">
        <v>12346</v>
      </c>
      <c r="C2563" s="37" t="s">
        <v>12</v>
      </c>
      <c r="D2563" s="326">
        <v>490.95</v>
      </c>
    </row>
    <row r="2564" spans="1:4" ht="13.5">
      <c r="A2564" s="37">
        <v>90283</v>
      </c>
      <c r="B2564" s="37" t="s">
        <v>12347</v>
      </c>
      <c r="C2564" s="37" t="s">
        <v>12</v>
      </c>
      <c r="D2564" s="326">
        <v>541.1</v>
      </c>
    </row>
    <row r="2565" spans="1:4" ht="13.5">
      <c r="A2565" s="37">
        <v>90284</v>
      </c>
      <c r="B2565" s="37" t="s">
        <v>12348</v>
      </c>
      <c r="C2565" s="37" t="s">
        <v>12</v>
      </c>
      <c r="D2565" s="326">
        <v>602.25</v>
      </c>
    </row>
    <row r="2566" spans="1:4" ht="13.5">
      <c r="A2566" s="37">
        <v>90285</v>
      </c>
      <c r="B2566" s="37" t="s">
        <v>12349</v>
      </c>
      <c r="C2566" s="37" t="s">
        <v>12</v>
      </c>
      <c r="D2566" s="326">
        <v>702.69</v>
      </c>
    </row>
    <row r="2567" spans="1:4" ht="13.5">
      <c r="A2567" s="37">
        <v>94962</v>
      </c>
      <c r="B2567" s="37" t="s">
        <v>7879</v>
      </c>
      <c r="C2567" s="37" t="s">
        <v>12</v>
      </c>
      <c r="D2567" s="326">
        <v>381.96</v>
      </c>
    </row>
    <row r="2568" spans="1:4" ht="13.5">
      <c r="A2568" s="37">
        <v>94963</v>
      </c>
      <c r="B2568" s="37" t="s">
        <v>7880</v>
      </c>
      <c r="C2568" s="37" t="s">
        <v>12</v>
      </c>
      <c r="D2568" s="326">
        <v>423.03</v>
      </c>
    </row>
    <row r="2569" spans="1:4" ht="13.5">
      <c r="A2569" s="37">
        <v>94964</v>
      </c>
      <c r="B2569" s="37" t="s">
        <v>7881</v>
      </c>
      <c r="C2569" s="37" t="s">
        <v>12</v>
      </c>
      <c r="D2569" s="326">
        <v>463.14</v>
      </c>
    </row>
    <row r="2570" spans="1:4" ht="13.5">
      <c r="A2570" s="37">
        <v>94965</v>
      </c>
      <c r="B2570" s="37" t="s">
        <v>7882</v>
      </c>
      <c r="C2570" s="37" t="s">
        <v>12</v>
      </c>
      <c r="D2570" s="326">
        <v>481.57</v>
      </c>
    </row>
    <row r="2571" spans="1:4" ht="13.5">
      <c r="A2571" s="37">
        <v>94966</v>
      </c>
      <c r="B2571" s="37" t="s">
        <v>7883</v>
      </c>
      <c r="C2571" s="37" t="s">
        <v>12</v>
      </c>
      <c r="D2571" s="326">
        <v>497.69</v>
      </c>
    </row>
    <row r="2572" spans="1:4" ht="13.5">
      <c r="A2572" s="37">
        <v>94967</v>
      </c>
      <c r="B2572" s="37" t="s">
        <v>7884</v>
      </c>
      <c r="C2572" s="37" t="s">
        <v>12</v>
      </c>
      <c r="D2572" s="326">
        <v>565.77</v>
      </c>
    </row>
    <row r="2573" spans="1:4" ht="13.5">
      <c r="A2573" s="37">
        <v>94968</v>
      </c>
      <c r="B2573" s="37" t="s">
        <v>7885</v>
      </c>
      <c r="C2573" s="37" t="s">
        <v>12</v>
      </c>
      <c r="D2573" s="326">
        <v>378.42</v>
      </c>
    </row>
    <row r="2574" spans="1:4" ht="13.5">
      <c r="A2574" s="37">
        <v>94969</v>
      </c>
      <c r="B2574" s="37" t="s">
        <v>7886</v>
      </c>
      <c r="C2574" s="37" t="s">
        <v>12</v>
      </c>
      <c r="D2574" s="326">
        <v>416.42</v>
      </c>
    </row>
    <row r="2575" spans="1:4" ht="13.5">
      <c r="A2575" s="37">
        <v>94970</v>
      </c>
      <c r="B2575" s="37" t="s">
        <v>7887</v>
      </c>
      <c r="C2575" s="37" t="s">
        <v>12</v>
      </c>
      <c r="D2575" s="326">
        <v>450.17</v>
      </c>
    </row>
    <row r="2576" spans="1:4" ht="13.5">
      <c r="A2576" s="37">
        <v>94971</v>
      </c>
      <c r="B2576" s="37" t="s">
        <v>7888</v>
      </c>
      <c r="C2576" s="37" t="s">
        <v>12</v>
      </c>
      <c r="D2576" s="326">
        <v>474.87</v>
      </c>
    </row>
    <row r="2577" spans="1:4" ht="13.5">
      <c r="A2577" s="37">
        <v>94972</v>
      </c>
      <c r="B2577" s="37" t="s">
        <v>7889</v>
      </c>
      <c r="C2577" s="37" t="s">
        <v>12</v>
      </c>
      <c r="D2577" s="326">
        <v>491.01</v>
      </c>
    </row>
    <row r="2578" spans="1:4" ht="13.5">
      <c r="A2578" s="37">
        <v>94973</v>
      </c>
      <c r="B2578" s="37" t="s">
        <v>7890</v>
      </c>
      <c r="C2578" s="37" t="s">
        <v>12</v>
      </c>
      <c r="D2578" s="326">
        <v>557.23</v>
      </c>
    </row>
    <row r="2579" spans="1:4" ht="13.5">
      <c r="A2579" s="37">
        <v>94974</v>
      </c>
      <c r="B2579" s="37" t="s">
        <v>7891</v>
      </c>
      <c r="C2579" s="37" t="s">
        <v>12</v>
      </c>
      <c r="D2579" s="326">
        <v>429.03</v>
      </c>
    </row>
    <row r="2580" spans="1:4" ht="13.5">
      <c r="A2580" s="37">
        <v>94975</v>
      </c>
      <c r="B2580" s="37" t="s">
        <v>7892</v>
      </c>
      <c r="C2580" s="37" t="s">
        <v>12</v>
      </c>
      <c r="D2580" s="326">
        <v>465.41</v>
      </c>
    </row>
    <row r="2581" spans="1:4" ht="13.5">
      <c r="A2581" s="37">
        <v>96555</v>
      </c>
      <c r="B2581" s="37" t="s">
        <v>3680</v>
      </c>
      <c r="C2581" s="37" t="s">
        <v>12</v>
      </c>
      <c r="D2581" s="326">
        <v>673.43</v>
      </c>
    </row>
    <row r="2582" spans="1:4" ht="13.5">
      <c r="A2582" s="37">
        <v>96556</v>
      </c>
      <c r="B2582" s="37" t="s">
        <v>3681</v>
      </c>
      <c r="C2582" s="37" t="s">
        <v>12</v>
      </c>
      <c r="D2582" s="326">
        <v>754.24</v>
      </c>
    </row>
    <row r="2583" spans="1:4" ht="13.5">
      <c r="A2583" s="37">
        <v>96557</v>
      </c>
      <c r="B2583" s="37" t="s">
        <v>3682</v>
      </c>
      <c r="C2583" s="37" t="s">
        <v>12</v>
      </c>
      <c r="D2583" s="326">
        <v>709.07</v>
      </c>
    </row>
    <row r="2584" spans="1:4" ht="13.5">
      <c r="A2584" s="37">
        <v>96558</v>
      </c>
      <c r="B2584" s="37" t="s">
        <v>3683</v>
      </c>
      <c r="C2584" s="37" t="s">
        <v>12</v>
      </c>
      <c r="D2584" s="326">
        <v>716.22</v>
      </c>
    </row>
    <row r="2585" spans="1:4" ht="13.5">
      <c r="A2585" s="37">
        <v>99235</v>
      </c>
      <c r="B2585" s="37" t="s">
        <v>12350</v>
      </c>
      <c r="C2585" s="37" t="s">
        <v>12</v>
      </c>
      <c r="D2585" s="326">
        <v>688.38</v>
      </c>
    </row>
    <row r="2586" spans="1:4" ht="13.5">
      <c r="A2586" s="37">
        <v>99431</v>
      </c>
      <c r="B2586" s="37" t="s">
        <v>12351</v>
      </c>
      <c r="C2586" s="37" t="s">
        <v>12</v>
      </c>
      <c r="D2586" s="326">
        <v>711.05</v>
      </c>
    </row>
    <row r="2587" spans="1:4" ht="13.5">
      <c r="A2587" s="37">
        <v>99432</v>
      </c>
      <c r="B2587" s="37" t="s">
        <v>12352</v>
      </c>
      <c r="C2587" s="37" t="s">
        <v>12</v>
      </c>
      <c r="D2587" s="326">
        <v>690.62</v>
      </c>
    </row>
    <row r="2588" spans="1:4" ht="13.5">
      <c r="A2588" s="37">
        <v>99433</v>
      </c>
      <c r="B2588" s="37" t="s">
        <v>12353</v>
      </c>
      <c r="C2588" s="37" t="s">
        <v>12</v>
      </c>
      <c r="D2588" s="326">
        <v>747.57</v>
      </c>
    </row>
    <row r="2589" spans="1:4" ht="13.5">
      <c r="A2589" s="37">
        <v>99434</v>
      </c>
      <c r="B2589" s="37" t="s">
        <v>12354</v>
      </c>
      <c r="C2589" s="37" t="s">
        <v>12</v>
      </c>
      <c r="D2589" s="326">
        <v>714.96</v>
      </c>
    </row>
    <row r="2590" spans="1:4" ht="13.5">
      <c r="A2590" s="37">
        <v>99435</v>
      </c>
      <c r="B2590" s="37" t="s">
        <v>12355</v>
      </c>
      <c r="C2590" s="37" t="s">
        <v>12</v>
      </c>
      <c r="D2590" s="326">
        <v>693.3</v>
      </c>
    </row>
    <row r="2591" spans="1:4" ht="13.5">
      <c r="A2591" s="37">
        <v>99436</v>
      </c>
      <c r="B2591" s="37" t="s">
        <v>12356</v>
      </c>
      <c r="C2591" s="37" t="s">
        <v>12</v>
      </c>
      <c r="D2591" s="326">
        <v>767.94</v>
      </c>
    </row>
    <row r="2592" spans="1:4" ht="13.5">
      <c r="A2592" s="37">
        <v>99437</v>
      </c>
      <c r="B2592" s="37" t="s">
        <v>12357</v>
      </c>
      <c r="C2592" s="37" t="s">
        <v>12</v>
      </c>
      <c r="D2592" s="326">
        <v>729.6</v>
      </c>
    </row>
    <row r="2593" spans="1:4" ht="13.5">
      <c r="A2593" s="37">
        <v>99438</v>
      </c>
      <c r="B2593" s="37" t="s">
        <v>12358</v>
      </c>
      <c r="C2593" s="37" t="s">
        <v>12</v>
      </c>
      <c r="D2593" s="326">
        <v>735.24</v>
      </c>
    </row>
    <row r="2594" spans="1:4" ht="13.5">
      <c r="A2594" s="37">
        <v>99439</v>
      </c>
      <c r="B2594" s="37" t="s">
        <v>12359</v>
      </c>
      <c r="C2594" s="37" t="s">
        <v>12</v>
      </c>
      <c r="D2594" s="326">
        <v>699.83</v>
      </c>
    </row>
    <row r="2595" spans="1:4" ht="13.5">
      <c r="A2595" s="37">
        <v>102473</v>
      </c>
      <c r="B2595" s="37" t="s">
        <v>7893</v>
      </c>
      <c r="C2595" s="37" t="s">
        <v>12</v>
      </c>
      <c r="D2595" s="326">
        <v>581.97</v>
      </c>
    </row>
    <row r="2596" spans="1:4" ht="13.5">
      <c r="A2596" s="37">
        <v>102474</v>
      </c>
      <c r="B2596" s="37" t="s">
        <v>7894</v>
      </c>
      <c r="C2596" s="37" t="s">
        <v>12</v>
      </c>
      <c r="D2596" s="326">
        <v>617.82000000000005</v>
      </c>
    </row>
    <row r="2597" spans="1:4" ht="13.5">
      <c r="A2597" s="37">
        <v>102475</v>
      </c>
      <c r="B2597" s="37" t="s">
        <v>7895</v>
      </c>
      <c r="C2597" s="37" t="s">
        <v>12</v>
      </c>
      <c r="D2597" s="326">
        <v>664.49</v>
      </c>
    </row>
    <row r="2598" spans="1:4" ht="13.5">
      <c r="A2598" s="37">
        <v>102476</v>
      </c>
      <c r="B2598" s="37" t="s">
        <v>7896</v>
      </c>
      <c r="C2598" s="37" t="s">
        <v>12</v>
      </c>
      <c r="D2598" s="326">
        <v>680.98</v>
      </c>
    </row>
    <row r="2599" spans="1:4" ht="13.5">
      <c r="A2599" s="37">
        <v>102477</v>
      </c>
      <c r="B2599" s="37" t="s">
        <v>7897</v>
      </c>
      <c r="C2599" s="37" t="s">
        <v>12</v>
      </c>
      <c r="D2599" s="326">
        <v>717.02</v>
      </c>
    </row>
    <row r="2600" spans="1:4" ht="13.5">
      <c r="A2600" s="37">
        <v>102478</v>
      </c>
      <c r="B2600" s="37" t="s">
        <v>7898</v>
      </c>
      <c r="C2600" s="37" t="s">
        <v>12</v>
      </c>
      <c r="D2600" s="326">
        <v>764.79</v>
      </c>
    </row>
    <row r="2601" spans="1:4" ht="13.5">
      <c r="A2601" s="37">
        <v>102479</v>
      </c>
      <c r="B2601" s="37" t="s">
        <v>7899</v>
      </c>
      <c r="C2601" s="37" t="s">
        <v>12</v>
      </c>
      <c r="D2601" s="326">
        <v>579.41</v>
      </c>
    </row>
    <row r="2602" spans="1:4" ht="13.5">
      <c r="A2602" s="37">
        <v>102480</v>
      </c>
      <c r="B2602" s="37" t="s">
        <v>7900</v>
      </c>
      <c r="C2602" s="37" t="s">
        <v>12</v>
      </c>
      <c r="D2602" s="326">
        <v>611.88</v>
      </c>
    </row>
    <row r="2603" spans="1:4" ht="13.5">
      <c r="A2603" s="37">
        <v>102481</v>
      </c>
      <c r="B2603" s="37" t="s">
        <v>7901</v>
      </c>
      <c r="C2603" s="37" t="s">
        <v>12</v>
      </c>
      <c r="D2603" s="326">
        <v>652.39</v>
      </c>
    </row>
    <row r="2604" spans="1:4" ht="13.5">
      <c r="A2604" s="37">
        <v>102482</v>
      </c>
      <c r="B2604" s="37" t="s">
        <v>7902</v>
      </c>
      <c r="C2604" s="37" t="s">
        <v>12</v>
      </c>
      <c r="D2604" s="326">
        <v>678.64</v>
      </c>
    </row>
    <row r="2605" spans="1:4" ht="13.5">
      <c r="A2605" s="37">
        <v>102483</v>
      </c>
      <c r="B2605" s="37" t="s">
        <v>7903</v>
      </c>
      <c r="C2605" s="37" t="s">
        <v>12</v>
      </c>
      <c r="D2605" s="326">
        <v>710.65</v>
      </c>
    </row>
    <row r="2606" spans="1:4" ht="13.5">
      <c r="A2606" s="37">
        <v>102484</v>
      </c>
      <c r="B2606" s="37" t="s">
        <v>7904</v>
      </c>
      <c r="C2606" s="37" t="s">
        <v>12</v>
      </c>
      <c r="D2606" s="326">
        <v>764.15</v>
      </c>
    </row>
    <row r="2607" spans="1:4" ht="13.5">
      <c r="A2607" s="37">
        <v>102485</v>
      </c>
      <c r="B2607" s="37" t="s">
        <v>7905</v>
      </c>
      <c r="C2607" s="37" t="s">
        <v>12</v>
      </c>
      <c r="D2607" s="326">
        <v>633.84</v>
      </c>
    </row>
    <row r="2608" spans="1:4" ht="13.5">
      <c r="A2608" s="37">
        <v>102486</v>
      </c>
      <c r="B2608" s="37" t="s">
        <v>7906</v>
      </c>
      <c r="C2608" s="37" t="s">
        <v>12</v>
      </c>
      <c r="D2608" s="326">
        <v>662.13</v>
      </c>
    </row>
    <row r="2609" spans="1:4" ht="13.5">
      <c r="A2609" s="37">
        <v>102487</v>
      </c>
      <c r="B2609" s="37" t="s">
        <v>7907</v>
      </c>
      <c r="C2609" s="37" t="s">
        <v>12</v>
      </c>
      <c r="D2609" s="326">
        <v>567.94000000000005</v>
      </c>
    </row>
    <row r="2610" spans="1:4" ht="13.5">
      <c r="A2610" s="37">
        <v>103183</v>
      </c>
      <c r="B2610" s="37" t="s">
        <v>12360</v>
      </c>
      <c r="C2610" s="37" t="s">
        <v>12</v>
      </c>
      <c r="D2610" s="326">
        <v>738.33</v>
      </c>
    </row>
    <row r="2611" spans="1:4" ht="13.5">
      <c r="A2611" s="37">
        <v>103184</v>
      </c>
      <c r="B2611" s="37" t="s">
        <v>12361</v>
      </c>
      <c r="C2611" s="37" t="s">
        <v>12</v>
      </c>
      <c r="D2611" s="326">
        <v>699.76</v>
      </c>
    </row>
    <row r="2612" spans="1:4" ht="13.5">
      <c r="A2612" s="37">
        <v>103669</v>
      </c>
      <c r="B2612" s="37" t="s">
        <v>15403</v>
      </c>
      <c r="C2612" s="37" t="s">
        <v>12</v>
      </c>
      <c r="D2612" s="326">
        <v>954.87</v>
      </c>
    </row>
    <row r="2613" spans="1:4" ht="13.5">
      <c r="A2613" s="37">
        <v>103670</v>
      </c>
      <c r="B2613" s="37" t="s">
        <v>15404</v>
      </c>
      <c r="C2613" s="37" t="s">
        <v>12</v>
      </c>
      <c r="D2613" s="326">
        <v>274.38</v>
      </c>
    </row>
    <row r="2614" spans="1:4" ht="13.5">
      <c r="A2614" s="37">
        <v>103671</v>
      </c>
      <c r="B2614" s="37" t="s">
        <v>15405</v>
      </c>
      <c r="C2614" s="37" t="s">
        <v>12</v>
      </c>
      <c r="D2614" s="326">
        <v>724.98</v>
      </c>
    </row>
    <row r="2615" spans="1:4" ht="13.5">
      <c r="A2615" s="37">
        <v>103672</v>
      </c>
      <c r="B2615" s="37" t="s">
        <v>17024</v>
      </c>
      <c r="C2615" s="37" t="s">
        <v>12</v>
      </c>
      <c r="D2615" s="326">
        <v>679.25</v>
      </c>
    </row>
    <row r="2616" spans="1:4" ht="13.5">
      <c r="A2616" s="37">
        <v>103673</v>
      </c>
      <c r="B2616" s="37" t="s">
        <v>15406</v>
      </c>
      <c r="C2616" s="37" t="s">
        <v>12</v>
      </c>
      <c r="D2616" s="326">
        <v>37.93</v>
      </c>
    </row>
    <row r="2617" spans="1:4" ht="13.5">
      <c r="A2617" s="37">
        <v>103674</v>
      </c>
      <c r="B2617" s="37" t="s">
        <v>17025</v>
      </c>
      <c r="C2617" s="37" t="s">
        <v>12</v>
      </c>
      <c r="D2617" s="326">
        <v>698.21</v>
      </c>
    </row>
    <row r="2618" spans="1:4" ht="13.5">
      <c r="A2618" s="37">
        <v>103675</v>
      </c>
      <c r="B2618" s="37" t="s">
        <v>17026</v>
      </c>
      <c r="C2618" s="37" t="s">
        <v>12</v>
      </c>
      <c r="D2618" s="326">
        <v>680.04</v>
      </c>
    </row>
    <row r="2619" spans="1:4" ht="13.5">
      <c r="A2619" s="37">
        <v>103676</v>
      </c>
      <c r="B2619" s="37" t="s">
        <v>15407</v>
      </c>
      <c r="C2619" s="37" t="s">
        <v>12</v>
      </c>
      <c r="D2619" s="38">
        <v>1001.17</v>
      </c>
    </row>
    <row r="2620" spans="1:4" ht="13.5">
      <c r="A2620" s="37">
        <v>103677</v>
      </c>
      <c r="B2620" s="37" t="s">
        <v>15408</v>
      </c>
      <c r="C2620" s="37" t="s">
        <v>12</v>
      </c>
      <c r="D2620" s="326">
        <v>846.69</v>
      </c>
    </row>
    <row r="2621" spans="1:4" ht="13.5">
      <c r="A2621" s="37">
        <v>103678</v>
      </c>
      <c r="B2621" s="37" t="s">
        <v>15409</v>
      </c>
      <c r="C2621" s="37" t="s">
        <v>12</v>
      </c>
      <c r="D2621" s="326">
        <v>913.81</v>
      </c>
    </row>
    <row r="2622" spans="1:4" ht="13.5">
      <c r="A2622" s="37">
        <v>103679</v>
      </c>
      <c r="B2622" s="37" t="s">
        <v>15410</v>
      </c>
      <c r="C2622" s="37" t="s">
        <v>12</v>
      </c>
      <c r="D2622" s="326">
        <v>807.84</v>
      </c>
    </row>
    <row r="2623" spans="1:4" ht="13.5">
      <c r="A2623" s="37">
        <v>103680</v>
      </c>
      <c r="B2623" s="37" t="s">
        <v>15411</v>
      </c>
      <c r="C2623" s="37" t="s">
        <v>12</v>
      </c>
      <c r="D2623" s="326">
        <v>854.82</v>
      </c>
    </row>
    <row r="2624" spans="1:4" ht="13.5">
      <c r="A2624" s="37">
        <v>103681</v>
      </c>
      <c r="B2624" s="37" t="s">
        <v>15412</v>
      </c>
      <c r="C2624" s="37" t="s">
        <v>12</v>
      </c>
      <c r="D2624" s="326">
        <v>749.08</v>
      </c>
    </row>
    <row r="2625" spans="1:4" ht="13.5">
      <c r="A2625" s="37">
        <v>103682</v>
      </c>
      <c r="B2625" s="37" t="s">
        <v>15413</v>
      </c>
      <c r="C2625" s="37" t="s">
        <v>12</v>
      </c>
      <c r="D2625" s="326">
        <v>967.46</v>
      </c>
    </row>
    <row r="2626" spans="1:4" ht="13.5">
      <c r="A2626" s="37">
        <v>103683</v>
      </c>
      <c r="B2626" s="37" t="s">
        <v>15414</v>
      </c>
      <c r="C2626" s="37" t="s">
        <v>12</v>
      </c>
      <c r="D2626" s="38">
        <v>1230.23</v>
      </c>
    </row>
    <row r="2627" spans="1:4" ht="13.5">
      <c r="A2627" s="37">
        <v>103684</v>
      </c>
      <c r="B2627" s="37" t="s">
        <v>17027</v>
      </c>
      <c r="C2627" s="37" t="s">
        <v>12</v>
      </c>
      <c r="D2627" s="326">
        <v>695.7</v>
      </c>
    </row>
    <row r="2628" spans="1:4" ht="13.5">
      <c r="A2628" s="37">
        <v>103685</v>
      </c>
      <c r="B2628" s="37" t="s">
        <v>17028</v>
      </c>
      <c r="C2628" s="37" t="s">
        <v>12</v>
      </c>
      <c r="D2628" s="326">
        <v>684.42</v>
      </c>
    </row>
    <row r="2629" spans="1:4" ht="13.5">
      <c r="A2629" s="37">
        <v>103686</v>
      </c>
      <c r="B2629" s="37" t="s">
        <v>17029</v>
      </c>
      <c r="C2629" s="37" t="s">
        <v>12</v>
      </c>
      <c r="D2629" s="326">
        <v>741.52</v>
      </c>
    </row>
    <row r="2630" spans="1:4" ht="13.5">
      <c r="A2630" s="37">
        <v>103687</v>
      </c>
      <c r="B2630" s="37" t="s">
        <v>15415</v>
      </c>
      <c r="C2630" s="37" t="s">
        <v>12</v>
      </c>
      <c r="D2630" s="38">
        <v>1063.76</v>
      </c>
    </row>
    <row r="2631" spans="1:4" ht="13.5">
      <c r="A2631" s="37">
        <v>103688</v>
      </c>
      <c r="B2631" s="37" t="s">
        <v>15416</v>
      </c>
      <c r="C2631" s="37" t="s">
        <v>12</v>
      </c>
      <c r="D2631" s="326">
        <v>841.63</v>
      </c>
    </row>
    <row r="2632" spans="1:4" ht="13.5">
      <c r="A2632" s="37">
        <v>101963</v>
      </c>
      <c r="B2632" s="37" t="s">
        <v>17030</v>
      </c>
      <c r="C2632" s="37" t="s">
        <v>9</v>
      </c>
      <c r="D2632" s="326">
        <v>177.42</v>
      </c>
    </row>
    <row r="2633" spans="1:4" ht="13.5">
      <c r="A2633" s="37">
        <v>101964</v>
      </c>
      <c r="B2633" s="37" t="s">
        <v>17031</v>
      </c>
      <c r="C2633" s="37" t="s">
        <v>9</v>
      </c>
      <c r="D2633" s="326">
        <v>164.7</v>
      </c>
    </row>
    <row r="2634" spans="1:4" ht="13.5">
      <c r="A2634" s="37">
        <v>101165</v>
      </c>
      <c r="B2634" s="37" t="s">
        <v>7908</v>
      </c>
      <c r="C2634" s="37" t="s">
        <v>12</v>
      </c>
      <c r="D2634" s="326">
        <v>892.68</v>
      </c>
    </row>
    <row r="2635" spans="1:4" ht="13.5">
      <c r="A2635" s="37">
        <v>101166</v>
      </c>
      <c r="B2635" s="37" t="s">
        <v>7909</v>
      </c>
      <c r="C2635" s="37" t="s">
        <v>12</v>
      </c>
      <c r="D2635" s="326">
        <v>544.03</v>
      </c>
    </row>
    <row r="2636" spans="1:4" ht="13.5">
      <c r="A2636" s="37">
        <v>98575</v>
      </c>
      <c r="B2636" s="37" t="s">
        <v>17032</v>
      </c>
      <c r="C2636" s="37" t="s">
        <v>6</v>
      </c>
      <c r="D2636" s="326">
        <v>62.69</v>
      </c>
    </row>
    <row r="2637" spans="1:4" ht="13.5">
      <c r="A2637" s="37">
        <v>98576</v>
      </c>
      <c r="B2637" s="37" t="s">
        <v>17033</v>
      </c>
      <c r="C2637" s="37" t="s">
        <v>6</v>
      </c>
      <c r="D2637" s="326">
        <v>25.71</v>
      </c>
    </row>
    <row r="2638" spans="1:4" ht="13.5">
      <c r="A2638" s="37">
        <v>98577</v>
      </c>
      <c r="B2638" s="37" t="s">
        <v>17034</v>
      </c>
      <c r="C2638" s="37" t="s">
        <v>6</v>
      </c>
      <c r="D2638" s="326">
        <v>42.53</v>
      </c>
    </row>
    <row r="2639" spans="1:4" ht="13.5">
      <c r="A2639" s="37">
        <v>93182</v>
      </c>
      <c r="B2639" s="37" t="s">
        <v>3684</v>
      </c>
      <c r="C2639" s="37" t="s">
        <v>6</v>
      </c>
      <c r="D2639" s="326">
        <v>49.91</v>
      </c>
    </row>
    <row r="2640" spans="1:4" ht="13.5">
      <c r="A2640" s="37">
        <v>93183</v>
      </c>
      <c r="B2640" s="37" t="s">
        <v>3685</v>
      </c>
      <c r="C2640" s="37" t="s">
        <v>6</v>
      </c>
      <c r="D2640" s="326">
        <v>64.14</v>
      </c>
    </row>
    <row r="2641" spans="1:4" ht="13.5">
      <c r="A2641" s="37">
        <v>93184</v>
      </c>
      <c r="B2641" s="37" t="s">
        <v>3686</v>
      </c>
      <c r="C2641" s="37" t="s">
        <v>6</v>
      </c>
      <c r="D2641" s="326">
        <v>36.82</v>
      </c>
    </row>
    <row r="2642" spans="1:4" ht="13.5">
      <c r="A2642" s="37">
        <v>93185</v>
      </c>
      <c r="B2642" s="37" t="s">
        <v>3687</v>
      </c>
      <c r="C2642" s="37" t="s">
        <v>6</v>
      </c>
      <c r="D2642" s="326">
        <v>63.21</v>
      </c>
    </row>
    <row r="2643" spans="1:4" ht="13.5">
      <c r="A2643" s="37">
        <v>93186</v>
      </c>
      <c r="B2643" s="37" t="s">
        <v>3688</v>
      </c>
      <c r="C2643" s="37" t="s">
        <v>6</v>
      </c>
      <c r="D2643" s="326">
        <v>91.43</v>
      </c>
    </row>
    <row r="2644" spans="1:4" ht="13.5">
      <c r="A2644" s="37">
        <v>93187</v>
      </c>
      <c r="B2644" s="37" t="s">
        <v>3689</v>
      </c>
      <c r="C2644" s="37" t="s">
        <v>6</v>
      </c>
      <c r="D2644" s="326">
        <v>105.11</v>
      </c>
    </row>
    <row r="2645" spans="1:4" ht="13.5">
      <c r="A2645" s="37">
        <v>93188</v>
      </c>
      <c r="B2645" s="37" t="s">
        <v>3690</v>
      </c>
      <c r="C2645" s="37" t="s">
        <v>6</v>
      </c>
      <c r="D2645" s="326">
        <v>84.98</v>
      </c>
    </row>
    <row r="2646" spans="1:4" ht="13.5">
      <c r="A2646" s="37">
        <v>93189</v>
      </c>
      <c r="B2646" s="37" t="s">
        <v>3691</v>
      </c>
      <c r="C2646" s="37" t="s">
        <v>6</v>
      </c>
      <c r="D2646" s="326">
        <v>106.03</v>
      </c>
    </row>
    <row r="2647" spans="1:4" ht="13.5">
      <c r="A2647" s="37">
        <v>93190</v>
      </c>
      <c r="B2647" s="37" t="s">
        <v>3692</v>
      </c>
      <c r="C2647" s="37" t="s">
        <v>6</v>
      </c>
      <c r="D2647" s="326">
        <v>47.26</v>
      </c>
    </row>
    <row r="2648" spans="1:4" ht="13.5">
      <c r="A2648" s="37">
        <v>93191</v>
      </c>
      <c r="B2648" s="37" t="s">
        <v>3693</v>
      </c>
      <c r="C2648" s="37" t="s">
        <v>6</v>
      </c>
      <c r="D2648" s="326">
        <v>49.87</v>
      </c>
    </row>
    <row r="2649" spans="1:4" ht="13.5">
      <c r="A2649" s="37">
        <v>93192</v>
      </c>
      <c r="B2649" s="37" t="s">
        <v>3694</v>
      </c>
      <c r="C2649" s="37" t="s">
        <v>6</v>
      </c>
      <c r="D2649" s="326">
        <v>51.9</v>
      </c>
    </row>
    <row r="2650" spans="1:4" ht="13.5">
      <c r="A2650" s="37">
        <v>93193</v>
      </c>
      <c r="B2650" s="37" t="s">
        <v>3696</v>
      </c>
      <c r="C2650" s="37" t="s">
        <v>6</v>
      </c>
      <c r="D2650" s="326">
        <v>50.92</v>
      </c>
    </row>
    <row r="2651" spans="1:4" ht="13.5">
      <c r="A2651" s="37">
        <v>93194</v>
      </c>
      <c r="B2651" s="37" t="s">
        <v>3697</v>
      </c>
      <c r="C2651" s="37" t="s">
        <v>6</v>
      </c>
      <c r="D2651" s="326">
        <v>48.89</v>
      </c>
    </row>
    <row r="2652" spans="1:4" ht="13.5">
      <c r="A2652" s="37">
        <v>93195</v>
      </c>
      <c r="B2652" s="37" t="s">
        <v>3698</v>
      </c>
      <c r="C2652" s="37" t="s">
        <v>6</v>
      </c>
      <c r="D2652" s="326">
        <v>59.36</v>
      </c>
    </row>
    <row r="2653" spans="1:4" ht="13.5">
      <c r="A2653" s="37">
        <v>93196</v>
      </c>
      <c r="B2653" s="37" t="s">
        <v>3699</v>
      </c>
      <c r="C2653" s="37" t="s">
        <v>6</v>
      </c>
      <c r="D2653" s="326">
        <v>88.61</v>
      </c>
    </row>
    <row r="2654" spans="1:4" ht="13.5">
      <c r="A2654" s="37">
        <v>93197</v>
      </c>
      <c r="B2654" s="37" t="s">
        <v>3700</v>
      </c>
      <c r="C2654" s="37" t="s">
        <v>6</v>
      </c>
      <c r="D2654" s="326">
        <v>99.25</v>
      </c>
    </row>
    <row r="2655" spans="1:4" ht="13.5">
      <c r="A2655" s="37">
        <v>93198</v>
      </c>
      <c r="B2655" s="37" t="s">
        <v>3701</v>
      </c>
      <c r="C2655" s="37" t="s">
        <v>6</v>
      </c>
      <c r="D2655" s="326">
        <v>41.17</v>
      </c>
    </row>
    <row r="2656" spans="1:4" ht="13.5">
      <c r="A2656" s="37">
        <v>93199</v>
      </c>
      <c r="B2656" s="37" t="s">
        <v>3702</v>
      </c>
      <c r="C2656" s="37" t="s">
        <v>6</v>
      </c>
      <c r="D2656" s="326">
        <v>40.61</v>
      </c>
    </row>
    <row r="2657" spans="1:4" ht="13.5">
      <c r="A2657" s="37">
        <v>93200</v>
      </c>
      <c r="B2657" s="37" t="s">
        <v>3703</v>
      </c>
      <c r="C2657" s="37" t="s">
        <v>6</v>
      </c>
      <c r="D2657" s="326">
        <v>3.03</v>
      </c>
    </row>
    <row r="2658" spans="1:4" ht="13.5">
      <c r="A2658" s="37">
        <v>93201</v>
      </c>
      <c r="B2658" s="37" t="s">
        <v>3704</v>
      </c>
      <c r="C2658" s="37" t="s">
        <v>6</v>
      </c>
      <c r="D2658" s="326">
        <v>6.16</v>
      </c>
    </row>
    <row r="2659" spans="1:4" ht="13.5">
      <c r="A2659" s="37">
        <v>93202</v>
      </c>
      <c r="B2659" s="37" t="s">
        <v>3705</v>
      </c>
      <c r="C2659" s="37" t="s">
        <v>6</v>
      </c>
      <c r="D2659" s="326">
        <v>23.19</v>
      </c>
    </row>
    <row r="2660" spans="1:4" ht="13.5">
      <c r="A2660" s="37">
        <v>93203</v>
      </c>
      <c r="B2660" s="37" t="s">
        <v>3706</v>
      </c>
      <c r="C2660" s="37" t="s">
        <v>6</v>
      </c>
      <c r="D2660" s="326">
        <v>15.83</v>
      </c>
    </row>
    <row r="2661" spans="1:4" ht="13.5">
      <c r="A2661" s="37">
        <v>93204</v>
      </c>
      <c r="B2661" s="37" t="s">
        <v>3708</v>
      </c>
      <c r="C2661" s="37" t="s">
        <v>6</v>
      </c>
      <c r="D2661" s="326">
        <v>65.510000000000005</v>
      </c>
    </row>
    <row r="2662" spans="1:4" ht="13.5">
      <c r="A2662" s="37">
        <v>93205</v>
      </c>
      <c r="B2662" s="37" t="s">
        <v>3709</v>
      </c>
      <c r="C2662" s="37" t="s">
        <v>6</v>
      </c>
      <c r="D2662" s="326">
        <v>40.299999999999997</v>
      </c>
    </row>
    <row r="2663" spans="1:4" ht="13.5">
      <c r="A2663" s="37">
        <v>97733</v>
      </c>
      <c r="B2663" s="37" t="s">
        <v>3710</v>
      </c>
      <c r="C2663" s="37" t="s">
        <v>12</v>
      </c>
      <c r="D2663" s="38">
        <v>3337.26</v>
      </c>
    </row>
    <row r="2664" spans="1:4" ht="13.5">
      <c r="A2664" s="37">
        <v>97734</v>
      </c>
      <c r="B2664" s="37" t="s">
        <v>3711</v>
      </c>
      <c r="C2664" s="37" t="s">
        <v>12</v>
      </c>
      <c r="D2664" s="38">
        <v>2871.6</v>
      </c>
    </row>
    <row r="2665" spans="1:4" ht="13.5">
      <c r="A2665" s="37">
        <v>97735</v>
      </c>
      <c r="B2665" s="37" t="s">
        <v>3712</v>
      </c>
      <c r="C2665" s="37" t="s">
        <v>12</v>
      </c>
      <c r="D2665" s="38">
        <v>2386.52</v>
      </c>
    </row>
    <row r="2666" spans="1:4" ht="13.5">
      <c r="A2666" s="37">
        <v>97736</v>
      </c>
      <c r="B2666" s="37" t="s">
        <v>3713</v>
      </c>
      <c r="C2666" s="37" t="s">
        <v>12</v>
      </c>
      <c r="D2666" s="38">
        <v>1515.28</v>
      </c>
    </row>
    <row r="2667" spans="1:4" ht="13.5">
      <c r="A2667" s="37">
        <v>97737</v>
      </c>
      <c r="B2667" s="37" t="s">
        <v>3714</v>
      </c>
      <c r="C2667" s="37" t="s">
        <v>12</v>
      </c>
      <c r="D2667" s="38">
        <v>3274.04</v>
      </c>
    </row>
    <row r="2668" spans="1:4" ht="13.5">
      <c r="A2668" s="37">
        <v>97738</v>
      </c>
      <c r="B2668" s="37" t="s">
        <v>17035</v>
      </c>
      <c r="C2668" s="37" t="s">
        <v>12</v>
      </c>
      <c r="D2668" s="38">
        <v>5242.2700000000004</v>
      </c>
    </row>
    <row r="2669" spans="1:4" ht="13.5">
      <c r="A2669" s="37">
        <v>97739</v>
      </c>
      <c r="B2669" s="37" t="s">
        <v>3715</v>
      </c>
      <c r="C2669" s="37" t="s">
        <v>12</v>
      </c>
      <c r="D2669" s="38">
        <v>2886.76</v>
      </c>
    </row>
    <row r="2670" spans="1:4" ht="13.5">
      <c r="A2670" s="37">
        <v>97740</v>
      </c>
      <c r="B2670" s="37" t="s">
        <v>3716</v>
      </c>
      <c r="C2670" s="37" t="s">
        <v>12</v>
      </c>
      <c r="D2670" s="38">
        <v>2123.0500000000002</v>
      </c>
    </row>
    <row r="2671" spans="1:4" ht="13.5">
      <c r="A2671" s="37">
        <v>98615</v>
      </c>
      <c r="B2671" s="37" t="s">
        <v>3717</v>
      </c>
      <c r="C2671" s="37" t="s">
        <v>9</v>
      </c>
      <c r="D2671" s="326">
        <v>152.75</v>
      </c>
    </row>
    <row r="2672" spans="1:4" ht="13.5">
      <c r="A2672" s="37">
        <v>98616</v>
      </c>
      <c r="B2672" s="37" t="s">
        <v>3718</v>
      </c>
      <c r="C2672" s="37" t="s">
        <v>9</v>
      </c>
      <c r="D2672" s="326">
        <v>120.62</v>
      </c>
    </row>
    <row r="2673" spans="1:4" ht="13.5">
      <c r="A2673" s="37">
        <v>98617</v>
      </c>
      <c r="B2673" s="37" t="s">
        <v>3719</v>
      </c>
      <c r="C2673" s="37" t="s">
        <v>9</v>
      </c>
      <c r="D2673" s="326">
        <v>111.8</v>
      </c>
    </row>
    <row r="2674" spans="1:4" ht="13.5">
      <c r="A2674" s="37">
        <v>98618</v>
      </c>
      <c r="B2674" s="37" t="s">
        <v>3720</v>
      </c>
      <c r="C2674" s="37" t="s">
        <v>9</v>
      </c>
      <c r="D2674" s="326">
        <v>153.32</v>
      </c>
    </row>
    <row r="2675" spans="1:4" ht="13.5">
      <c r="A2675" s="37">
        <v>98619</v>
      </c>
      <c r="B2675" s="37" t="s">
        <v>3721</v>
      </c>
      <c r="C2675" s="37" t="s">
        <v>9</v>
      </c>
      <c r="D2675" s="326">
        <v>139.94</v>
      </c>
    </row>
    <row r="2676" spans="1:4" ht="13.5">
      <c r="A2676" s="37">
        <v>98620</v>
      </c>
      <c r="B2676" s="37" t="s">
        <v>3722</v>
      </c>
      <c r="C2676" s="37" t="s">
        <v>9</v>
      </c>
      <c r="D2676" s="326">
        <v>133.18</v>
      </c>
    </row>
    <row r="2677" spans="1:4" ht="13.5">
      <c r="A2677" s="37">
        <v>98621</v>
      </c>
      <c r="B2677" s="37" t="s">
        <v>3723</v>
      </c>
      <c r="C2677" s="37" t="s">
        <v>9</v>
      </c>
      <c r="D2677" s="326">
        <v>174.3</v>
      </c>
    </row>
    <row r="2678" spans="1:4" ht="13.5">
      <c r="A2678" s="37">
        <v>98622</v>
      </c>
      <c r="B2678" s="37" t="s">
        <v>3724</v>
      </c>
      <c r="C2678" s="37" t="s">
        <v>9</v>
      </c>
      <c r="D2678" s="326">
        <v>163.53</v>
      </c>
    </row>
    <row r="2679" spans="1:4" ht="13.5">
      <c r="A2679" s="37">
        <v>98623</v>
      </c>
      <c r="B2679" s="37" t="s">
        <v>3725</v>
      </c>
      <c r="C2679" s="37" t="s">
        <v>9</v>
      </c>
      <c r="D2679" s="326">
        <v>158.05000000000001</v>
      </c>
    </row>
    <row r="2680" spans="1:4" ht="13.5">
      <c r="A2680" s="37">
        <v>98624</v>
      </c>
      <c r="B2680" s="37" t="s">
        <v>3726</v>
      </c>
      <c r="C2680" s="37" t="s">
        <v>9</v>
      </c>
      <c r="D2680" s="326">
        <v>197.09</v>
      </c>
    </row>
    <row r="2681" spans="1:4" ht="13.5">
      <c r="A2681" s="37">
        <v>98625</v>
      </c>
      <c r="B2681" s="37" t="s">
        <v>3727</v>
      </c>
      <c r="C2681" s="37" t="s">
        <v>9</v>
      </c>
      <c r="D2681" s="326">
        <v>187.98</v>
      </c>
    </row>
    <row r="2682" spans="1:4" ht="13.5">
      <c r="A2682" s="37">
        <v>98626</v>
      </c>
      <c r="B2682" s="37" t="s">
        <v>3728</v>
      </c>
      <c r="C2682" s="37" t="s">
        <v>9</v>
      </c>
      <c r="D2682" s="326">
        <v>183.29</v>
      </c>
    </row>
    <row r="2683" spans="1:4" ht="13.5">
      <c r="A2683" s="37">
        <v>98655</v>
      </c>
      <c r="B2683" s="37" t="s">
        <v>3729</v>
      </c>
      <c r="C2683" s="37" t="s">
        <v>6</v>
      </c>
      <c r="D2683" s="326">
        <v>695.82</v>
      </c>
    </row>
    <row r="2684" spans="1:4" ht="13.5">
      <c r="A2684" s="37">
        <v>98656</v>
      </c>
      <c r="B2684" s="37" t="s">
        <v>3730</v>
      </c>
      <c r="C2684" s="37" t="s">
        <v>6</v>
      </c>
      <c r="D2684" s="326">
        <v>707.01</v>
      </c>
    </row>
    <row r="2685" spans="1:4" ht="13.5">
      <c r="A2685" s="37">
        <v>98657</v>
      </c>
      <c r="B2685" s="37" t="s">
        <v>3731</v>
      </c>
      <c r="C2685" s="37" t="s">
        <v>6</v>
      </c>
      <c r="D2685" s="326">
        <v>718.22</v>
      </c>
    </row>
    <row r="2686" spans="1:4" ht="13.5">
      <c r="A2686" s="37">
        <v>98658</v>
      </c>
      <c r="B2686" s="37" t="s">
        <v>3732</v>
      </c>
      <c r="C2686" s="37" t="s">
        <v>6</v>
      </c>
      <c r="D2686" s="326">
        <v>729.4</v>
      </c>
    </row>
    <row r="2687" spans="1:4" ht="13.5">
      <c r="A2687" s="37">
        <v>98659</v>
      </c>
      <c r="B2687" s="37" t="s">
        <v>3733</v>
      </c>
      <c r="C2687" s="37" t="s">
        <v>6</v>
      </c>
      <c r="D2687" s="326">
        <v>751.8</v>
      </c>
    </row>
    <row r="2688" spans="1:4" ht="13.5">
      <c r="A2688" s="37">
        <v>98746</v>
      </c>
      <c r="B2688" s="37" t="s">
        <v>3734</v>
      </c>
      <c r="C2688" s="37" t="s">
        <v>6</v>
      </c>
      <c r="D2688" s="326">
        <v>62.93</v>
      </c>
    </row>
    <row r="2689" spans="1:4" ht="13.5">
      <c r="A2689" s="37">
        <v>98749</v>
      </c>
      <c r="B2689" s="37" t="s">
        <v>3735</v>
      </c>
      <c r="C2689" s="37" t="s">
        <v>6</v>
      </c>
      <c r="D2689" s="326">
        <v>73.92</v>
      </c>
    </row>
    <row r="2690" spans="1:4" ht="13.5">
      <c r="A2690" s="37">
        <v>98750</v>
      </c>
      <c r="B2690" s="37" t="s">
        <v>3736</v>
      </c>
      <c r="C2690" s="37" t="s">
        <v>6</v>
      </c>
      <c r="D2690" s="326">
        <v>87.1</v>
      </c>
    </row>
    <row r="2691" spans="1:4" ht="13.5">
      <c r="A2691" s="37">
        <v>98751</v>
      </c>
      <c r="B2691" s="37" t="s">
        <v>3737</v>
      </c>
      <c r="C2691" s="37" t="s">
        <v>6</v>
      </c>
      <c r="D2691" s="326">
        <v>121.46</v>
      </c>
    </row>
    <row r="2692" spans="1:4" ht="13.5">
      <c r="A2692" s="37">
        <v>98752</v>
      </c>
      <c r="B2692" s="37" t="s">
        <v>3738</v>
      </c>
      <c r="C2692" s="37" t="s">
        <v>6</v>
      </c>
      <c r="D2692" s="326">
        <v>162.65</v>
      </c>
    </row>
    <row r="2693" spans="1:4" ht="13.5">
      <c r="A2693" s="37">
        <v>98753</v>
      </c>
      <c r="B2693" s="37" t="s">
        <v>3739</v>
      </c>
      <c r="C2693" s="37" t="s">
        <v>6</v>
      </c>
      <c r="D2693" s="326">
        <v>213.72</v>
      </c>
    </row>
    <row r="2694" spans="1:4" ht="13.5">
      <c r="A2694" s="37">
        <v>100763</v>
      </c>
      <c r="B2694" s="37" t="s">
        <v>17036</v>
      </c>
      <c r="C2694" s="37" t="s">
        <v>8</v>
      </c>
      <c r="D2694" s="326">
        <v>14.97</v>
      </c>
    </row>
    <row r="2695" spans="1:4" ht="13.5">
      <c r="A2695" s="37">
        <v>100764</v>
      </c>
      <c r="B2695" s="37" t="s">
        <v>17037</v>
      </c>
      <c r="C2695" s="37" t="s">
        <v>8</v>
      </c>
      <c r="D2695" s="326">
        <v>14.65</v>
      </c>
    </row>
    <row r="2696" spans="1:4" ht="13.5">
      <c r="A2696" s="37">
        <v>100765</v>
      </c>
      <c r="B2696" s="37" t="s">
        <v>17038</v>
      </c>
      <c r="C2696" s="37" t="s">
        <v>8</v>
      </c>
      <c r="D2696" s="326">
        <v>14.02</v>
      </c>
    </row>
    <row r="2697" spans="1:4" ht="13.5">
      <c r="A2697" s="37">
        <v>100766</v>
      </c>
      <c r="B2697" s="37" t="s">
        <v>17039</v>
      </c>
      <c r="C2697" s="37" t="s">
        <v>8</v>
      </c>
      <c r="D2697" s="326">
        <v>14.15</v>
      </c>
    </row>
    <row r="2698" spans="1:4" ht="13.5">
      <c r="A2698" s="37">
        <v>100767</v>
      </c>
      <c r="B2698" s="37" t="s">
        <v>17040</v>
      </c>
      <c r="C2698" s="37" t="s">
        <v>8</v>
      </c>
      <c r="D2698" s="326">
        <v>16.05</v>
      </c>
    </row>
    <row r="2699" spans="1:4" ht="13.5">
      <c r="A2699" s="37">
        <v>100768</v>
      </c>
      <c r="B2699" s="37" t="s">
        <v>17041</v>
      </c>
      <c r="C2699" s="37" t="s">
        <v>8</v>
      </c>
      <c r="D2699" s="326">
        <v>15.04</v>
      </c>
    </row>
    <row r="2700" spans="1:4" ht="13.5">
      <c r="A2700" s="37">
        <v>100769</v>
      </c>
      <c r="B2700" s="37" t="s">
        <v>17042</v>
      </c>
      <c r="C2700" s="37" t="s">
        <v>8</v>
      </c>
      <c r="D2700" s="326">
        <v>22.09</v>
      </c>
    </row>
    <row r="2701" spans="1:4" ht="13.5">
      <c r="A2701" s="37">
        <v>100770</v>
      </c>
      <c r="B2701" s="37" t="s">
        <v>17043</v>
      </c>
      <c r="C2701" s="37" t="s">
        <v>8</v>
      </c>
      <c r="D2701" s="326">
        <v>20.9</v>
      </c>
    </row>
    <row r="2702" spans="1:4" ht="13.5">
      <c r="A2702" s="37">
        <v>100771</v>
      </c>
      <c r="B2702" s="37" t="s">
        <v>17044</v>
      </c>
      <c r="C2702" s="37" t="s">
        <v>8</v>
      </c>
      <c r="D2702" s="326">
        <v>16.329999999999998</v>
      </c>
    </row>
    <row r="2703" spans="1:4" ht="13.5">
      <c r="A2703" s="37">
        <v>100772</v>
      </c>
      <c r="B2703" s="37" t="s">
        <v>17045</v>
      </c>
      <c r="C2703" s="37" t="s">
        <v>8</v>
      </c>
      <c r="D2703" s="326">
        <v>15.22</v>
      </c>
    </row>
    <row r="2704" spans="1:4" ht="13.5">
      <c r="A2704" s="37">
        <v>100773</v>
      </c>
      <c r="B2704" s="37" t="s">
        <v>17046</v>
      </c>
      <c r="C2704" s="37" t="s">
        <v>8</v>
      </c>
      <c r="D2704" s="326">
        <v>18.489999999999998</v>
      </c>
    </row>
    <row r="2705" spans="1:4" ht="13.5">
      <c r="A2705" s="37">
        <v>100774</v>
      </c>
      <c r="B2705" s="37" t="s">
        <v>17047</v>
      </c>
      <c r="C2705" s="37" t="s">
        <v>8</v>
      </c>
      <c r="D2705" s="326">
        <v>10.66</v>
      </c>
    </row>
    <row r="2706" spans="1:4" ht="13.5">
      <c r="A2706" s="37">
        <v>100775</v>
      </c>
      <c r="B2706" s="37" t="s">
        <v>17048</v>
      </c>
      <c r="C2706" s="37" t="s">
        <v>8</v>
      </c>
      <c r="D2706" s="326">
        <v>12.72</v>
      </c>
    </row>
    <row r="2707" spans="1:4" ht="13.5">
      <c r="A2707" s="37">
        <v>100776</v>
      </c>
      <c r="B2707" s="37" t="s">
        <v>17049</v>
      </c>
      <c r="C2707" s="37" t="s">
        <v>8</v>
      </c>
      <c r="D2707" s="326">
        <v>18.670000000000002</v>
      </c>
    </row>
    <row r="2708" spans="1:4" ht="13.5">
      <c r="A2708" s="37">
        <v>100777</v>
      </c>
      <c r="B2708" s="37" t="s">
        <v>17050</v>
      </c>
      <c r="C2708" s="37" t="s">
        <v>8</v>
      </c>
      <c r="D2708" s="326">
        <v>13.26</v>
      </c>
    </row>
    <row r="2709" spans="1:4" ht="13.5">
      <c r="A2709" s="37">
        <v>100778</v>
      </c>
      <c r="B2709" s="37" t="s">
        <v>17051</v>
      </c>
      <c r="C2709" s="37" t="s">
        <v>8</v>
      </c>
      <c r="D2709" s="326">
        <v>9.39</v>
      </c>
    </row>
    <row r="2710" spans="1:4" ht="13.5">
      <c r="A2710" s="37">
        <v>103795</v>
      </c>
      <c r="B2710" s="37" t="s">
        <v>15417</v>
      </c>
      <c r="C2710" s="37" t="s">
        <v>9</v>
      </c>
      <c r="D2710" s="326">
        <v>85.41</v>
      </c>
    </row>
    <row r="2711" spans="1:4" ht="13.5">
      <c r="A2711" s="37">
        <v>103796</v>
      </c>
      <c r="B2711" s="37" t="s">
        <v>15418</v>
      </c>
      <c r="C2711" s="37" t="s">
        <v>9</v>
      </c>
      <c r="D2711" s="326">
        <v>56.8</v>
      </c>
    </row>
    <row r="2712" spans="1:4" ht="13.5">
      <c r="A2712" s="37">
        <v>103797</v>
      </c>
      <c r="B2712" s="37" t="s">
        <v>15419</v>
      </c>
      <c r="C2712" s="37" t="s">
        <v>8</v>
      </c>
      <c r="D2712" s="326">
        <v>18.760000000000002</v>
      </c>
    </row>
    <row r="2713" spans="1:4" ht="13.5">
      <c r="A2713" s="37">
        <v>103798</v>
      </c>
      <c r="B2713" s="37" t="s">
        <v>15420</v>
      </c>
      <c r="C2713" s="37" t="s">
        <v>12</v>
      </c>
      <c r="D2713" s="326">
        <v>678.93</v>
      </c>
    </row>
    <row r="2714" spans="1:4" ht="13.5">
      <c r="A2714" s="37">
        <v>103799</v>
      </c>
      <c r="B2714" s="37" t="s">
        <v>15421</v>
      </c>
      <c r="C2714" s="37" t="s">
        <v>12</v>
      </c>
      <c r="D2714" s="326">
        <v>434.29</v>
      </c>
    </row>
    <row r="2715" spans="1:4" ht="13.5">
      <c r="A2715" s="37">
        <v>103800</v>
      </c>
      <c r="B2715" s="37" t="s">
        <v>15422</v>
      </c>
      <c r="C2715" s="37" t="s">
        <v>12</v>
      </c>
      <c r="D2715" s="326">
        <v>497.94</v>
      </c>
    </row>
    <row r="2716" spans="1:4" ht="13.5">
      <c r="A2716" s="37">
        <v>103801</v>
      </c>
      <c r="B2716" s="37" t="s">
        <v>15423</v>
      </c>
      <c r="C2716" s="37" t="s">
        <v>12</v>
      </c>
      <c r="D2716" s="326">
        <v>615.29999999999995</v>
      </c>
    </row>
    <row r="2717" spans="1:4" ht="13.5">
      <c r="A2717" s="37">
        <v>103925</v>
      </c>
      <c r="B2717" s="37" t="s">
        <v>15424</v>
      </c>
      <c r="C2717" s="37" t="s">
        <v>12</v>
      </c>
      <c r="D2717" s="38">
        <v>1787.65</v>
      </c>
    </row>
    <row r="2718" spans="1:4" ht="13.5">
      <c r="A2718" s="37">
        <v>103926</v>
      </c>
      <c r="B2718" s="37" t="s">
        <v>15425</v>
      </c>
      <c r="C2718" s="37" t="s">
        <v>12</v>
      </c>
      <c r="D2718" s="38">
        <v>1443.24</v>
      </c>
    </row>
    <row r="2719" spans="1:4" ht="13.5">
      <c r="A2719" s="37">
        <v>103928</v>
      </c>
      <c r="B2719" s="37" t="s">
        <v>15426</v>
      </c>
      <c r="C2719" s="37" t="s">
        <v>12</v>
      </c>
      <c r="D2719" s="326">
        <v>497.94</v>
      </c>
    </row>
    <row r="2720" spans="1:4" ht="13.5">
      <c r="A2720" s="37">
        <v>103929</v>
      </c>
      <c r="B2720" s="37" t="s">
        <v>15427</v>
      </c>
      <c r="C2720" s="37" t="s">
        <v>12</v>
      </c>
      <c r="D2720" s="38">
        <v>1183.3599999999999</v>
      </c>
    </row>
    <row r="2721" spans="1:4" ht="13.5">
      <c r="A2721" s="37">
        <v>103930</v>
      </c>
      <c r="B2721" s="37" t="s">
        <v>15428</v>
      </c>
      <c r="C2721" s="37" t="s">
        <v>12</v>
      </c>
      <c r="D2721" s="326">
        <v>751.99</v>
      </c>
    </row>
    <row r="2722" spans="1:4" ht="13.5">
      <c r="A2722" s="37">
        <v>103931</v>
      </c>
      <c r="B2722" s="37" t="s">
        <v>15429</v>
      </c>
      <c r="C2722" s="37" t="s">
        <v>12</v>
      </c>
      <c r="D2722" s="326">
        <v>562.82000000000005</v>
      </c>
    </row>
    <row r="2723" spans="1:4" ht="13.5">
      <c r="A2723" s="37">
        <v>103932</v>
      </c>
      <c r="B2723" s="37" t="s">
        <v>15430</v>
      </c>
      <c r="C2723" s="37" t="s">
        <v>12</v>
      </c>
      <c r="D2723" s="326">
        <v>535.1</v>
      </c>
    </row>
    <row r="2724" spans="1:4" ht="13.5">
      <c r="A2724" s="37">
        <v>103933</v>
      </c>
      <c r="B2724" s="37" t="s">
        <v>15431</v>
      </c>
      <c r="C2724" s="37" t="s">
        <v>12</v>
      </c>
      <c r="D2724" s="38">
        <v>1613.81</v>
      </c>
    </row>
    <row r="2725" spans="1:4" ht="13.5">
      <c r="A2725" s="37">
        <v>104466</v>
      </c>
      <c r="B2725" s="37" t="s">
        <v>17052</v>
      </c>
      <c r="C2725" s="37" t="s">
        <v>8</v>
      </c>
      <c r="D2725" s="326">
        <v>27.05</v>
      </c>
    </row>
    <row r="2726" spans="1:4" ht="13.5">
      <c r="A2726" s="37">
        <v>104467</v>
      </c>
      <c r="B2726" s="37" t="s">
        <v>17053</v>
      </c>
      <c r="C2726" s="37" t="s">
        <v>8</v>
      </c>
      <c r="D2726" s="326">
        <v>37.39</v>
      </c>
    </row>
    <row r="2727" spans="1:4" ht="13.5">
      <c r="A2727" s="37">
        <v>104468</v>
      </c>
      <c r="B2727" s="37" t="s">
        <v>17054</v>
      </c>
      <c r="C2727" s="37" t="s">
        <v>8</v>
      </c>
      <c r="D2727" s="326">
        <v>51.4</v>
      </c>
    </row>
    <row r="2728" spans="1:4" ht="13.5">
      <c r="A2728" s="37">
        <v>104469</v>
      </c>
      <c r="B2728" s="37" t="s">
        <v>17055</v>
      </c>
      <c r="C2728" s="37" t="s">
        <v>8</v>
      </c>
      <c r="D2728" s="326">
        <v>51.99</v>
      </c>
    </row>
    <row r="2729" spans="1:4" ht="13.5">
      <c r="A2729" s="37">
        <v>104470</v>
      </c>
      <c r="B2729" s="37" t="s">
        <v>17056</v>
      </c>
      <c r="C2729" s="37" t="s">
        <v>8</v>
      </c>
      <c r="D2729" s="326">
        <v>29.33</v>
      </c>
    </row>
    <row r="2730" spans="1:4" ht="13.5">
      <c r="A2730" s="37">
        <v>104471</v>
      </c>
      <c r="B2730" s="37" t="s">
        <v>17057</v>
      </c>
      <c r="C2730" s="37" t="s">
        <v>8</v>
      </c>
      <c r="D2730" s="326">
        <v>25.85</v>
      </c>
    </row>
    <row r="2731" spans="1:4" ht="13.5">
      <c r="A2731" s="37">
        <v>104472</v>
      </c>
      <c r="B2731" s="37" t="s">
        <v>17058</v>
      </c>
      <c r="C2731" s="37" t="s">
        <v>8</v>
      </c>
      <c r="D2731" s="326">
        <v>38.869999999999997</v>
      </c>
    </row>
    <row r="2732" spans="1:4" ht="13.5">
      <c r="A2732" s="37">
        <v>104483</v>
      </c>
      <c r="B2732" s="37" t="s">
        <v>17059</v>
      </c>
      <c r="C2732" s="37" t="s">
        <v>12</v>
      </c>
      <c r="D2732" s="38">
        <v>2506.94</v>
      </c>
    </row>
    <row r="2733" spans="1:4" ht="13.5">
      <c r="A2733" s="37">
        <v>104484</v>
      </c>
      <c r="B2733" s="37" t="s">
        <v>17060</v>
      </c>
      <c r="C2733" s="37" t="s">
        <v>12</v>
      </c>
      <c r="D2733" s="38">
        <v>4069.58</v>
      </c>
    </row>
    <row r="2734" spans="1:4" ht="13.5">
      <c r="A2734" s="37">
        <v>104485</v>
      </c>
      <c r="B2734" s="37" t="s">
        <v>17061</v>
      </c>
      <c r="C2734" s="37" t="s">
        <v>12</v>
      </c>
      <c r="D2734" s="38">
        <v>3264.07</v>
      </c>
    </row>
    <row r="2735" spans="1:4" ht="13.5">
      <c r="A2735" s="37">
        <v>104486</v>
      </c>
      <c r="B2735" s="37" t="s">
        <v>17062</v>
      </c>
      <c r="C2735" s="37" t="s">
        <v>12</v>
      </c>
      <c r="D2735" s="38">
        <v>3470.67</v>
      </c>
    </row>
    <row r="2736" spans="1:4" ht="13.5">
      <c r="A2736" s="37">
        <v>104487</v>
      </c>
      <c r="B2736" s="37" t="s">
        <v>17063</v>
      </c>
      <c r="C2736" s="37" t="s">
        <v>12</v>
      </c>
      <c r="D2736" s="38">
        <v>2853.87</v>
      </c>
    </row>
    <row r="2737" spans="1:4" ht="13.5">
      <c r="A2737" s="37">
        <v>104488</v>
      </c>
      <c r="B2737" s="37" t="s">
        <v>17064</v>
      </c>
      <c r="C2737" s="37" t="s">
        <v>12</v>
      </c>
      <c r="D2737" s="38">
        <v>2798.47</v>
      </c>
    </row>
    <row r="2738" spans="1:4" ht="13.5">
      <c r="A2738" s="37">
        <v>104489</v>
      </c>
      <c r="B2738" s="37" t="s">
        <v>17065</v>
      </c>
      <c r="C2738" s="37" t="s">
        <v>12</v>
      </c>
      <c r="D2738" s="38">
        <v>4306.4799999999996</v>
      </c>
    </row>
    <row r="2739" spans="1:4" ht="13.5">
      <c r="A2739" s="37">
        <v>104490</v>
      </c>
      <c r="B2739" s="37" t="s">
        <v>17066</v>
      </c>
      <c r="C2739" s="37" t="s">
        <v>12</v>
      </c>
      <c r="D2739" s="38">
        <v>2733.48</v>
      </c>
    </row>
    <row r="2740" spans="1:4" ht="13.5">
      <c r="A2740" s="37">
        <v>98562</v>
      </c>
      <c r="B2740" s="37" t="s">
        <v>17067</v>
      </c>
      <c r="C2740" s="37" t="s">
        <v>9</v>
      </c>
      <c r="D2740" s="326">
        <v>44.82</v>
      </c>
    </row>
    <row r="2741" spans="1:4" ht="13.5">
      <c r="A2741" s="37">
        <v>98555</v>
      </c>
      <c r="B2741" s="37" t="s">
        <v>17068</v>
      </c>
      <c r="C2741" s="37" t="s">
        <v>9</v>
      </c>
      <c r="D2741" s="326">
        <v>27.24</v>
      </c>
    </row>
    <row r="2742" spans="1:4" ht="13.5">
      <c r="A2742" s="37">
        <v>98556</v>
      </c>
      <c r="B2742" s="37" t="s">
        <v>17069</v>
      </c>
      <c r="C2742" s="37" t="s">
        <v>9</v>
      </c>
      <c r="D2742" s="326">
        <v>52.42</v>
      </c>
    </row>
    <row r="2743" spans="1:4" ht="13.5">
      <c r="A2743" s="37">
        <v>98558</v>
      </c>
      <c r="B2743" s="37" t="s">
        <v>17070</v>
      </c>
      <c r="C2743" s="37" t="s">
        <v>7</v>
      </c>
      <c r="D2743" s="326">
        <v>8.8800000000000008</v>
      </c>
    </row>
    <row r="2744" spans="1:4" ht="13.5">
      <c r="A2744" s="37">
        <v>98559</v>
      </c>
      <c r="B2744" s="37" t="s">
        <v>17071</v>
      </c>
      <c r="C2744" s="37" t="s">
        <v>6</v>
      </c>
      <c r="D2744" s="326">
        <v>4.96</v>
      </c>
    </row>
    <row r="2745" spans="1:4" ht="13.5">
      <c r="A2745" s="37">
        <v>98546</v>
      </c>
      <c r="B2745" s="37" t="s">
        <v>17072</v>
      </c>
      <c r="C2745" s="37" t="s">
        <v>9</v>
      </c>
      <c r="D2745" s="326">
        <v>127.59</v>
      </c>
    </row>
    <row r="2746" spans="1:4" ht="13.5">
      <c r="A2746" s="37">
        <v>98547</v>
      </c>
      <c r="B2746" s="37" t="s">
        <v>17073</v>
      </c>
      <c r="C2746" s="37" t="s">
        <v>9</v>
      </c>
      <c r="D2746" s="326">
        <v>214.95</v>
      </c>
    </row>
    <row r="2747" spans="1:4" ht="13.5">
      <c r="A2747" s="37">
        <v>98553</v>
      </c>
      <c r="B2747" s="37" t="s">
        <v>17074</v>
      </c>
      <c r="C2747" s="37" t="s">
        <v>9</v>
      </c>
      <c r="D2747" s="326">
        <v>157.88</v>
      </c>
    </row>
    <row r="2748" spans="1:4" ht="13.5">
      <c r="A2748" s="37">
        <v>98554</v>
      </c>
      <c r="B2748" s="37" t="s">
        <v>17075</v>
      </c>
      <c r="C2748" s="37" t="s">
        <v>9</v>
      </c>
      <c r="D2748" s="326">
        <v>41.03</v>
      </c>
    </row>
    <row r="2749" spans="1:4" ht="13.5">
      <c r="A2749" s="37">
        <v>98557</v>
      </c>
      <c r="B2749" s="37" t="s">
        <v>17076</v>
      </c>
      <c r="C2749" s="37" t="s">
        <v>9</v>
      </c>
      <c r="D2749" s="326">
        <v>36.86</v>
      </c>
    </row>
    <row r="2750" spans="1:4" ht="13.5">
      <c r="A2750" s="37">
        <v>98563</v>
      </c>
      <c r="B2750" s="37" t="s">
        <v>17077</v>
      </c>
      <c r="C2750" s="37" t="s">
        <v>9</v>
      </c>
      <c r="D2750" s="326">
        <v>34.15</v>
      </c>
    </row>
    <row r="2751" spans="1:4" ht="13.5">
      <c r="A2751" s="37">
        <v>98564</v>
      </c>
      <c r="B2751" s="37" t="s">
        <v>17078</v>
      </c>
      <c r="C2751" s="37" t="s">
        <v>9</v>
      </c>
      <c r="D2751" s="326">
        <v>46.17</v>
      </c>
    </row>
    <row r="2752" spans="1:4" ht="13.5">
      <c r="A2752" s="37">
        <v>98565</v>
      </c>
      <c r="B2752" s="37" t="s">
        <v>17079</v>
      </c>
      <c r="C2752" s="37" t="s">
        <v>9</v>
      </c>
      <c r="D2752" s="326">
        <v>48.49</v>
      </c>
    </row>
    <row r="2753" spans="1:4" ht="13.5">
      <c r="A2753" s="37">
        <v>98566</v>
      </c>
      <c r="B2753" s="37" t="s">
        <v>17080</v>
      </c>
      <c r="C2753" s="37" t="s">
        <v>9</v>
      </c>
      <c r="D2753" s="326">
        <v>60.5</v>
      </c>
    </row>
    <row r="2754" spans="1:4" ht="13.5">
      <c r="A2754" s="37">
        <v>98567</v>
      </c>
      <c r="B2754" s="37" t="s">
        <v>17081</v>
      </c>
      <c r="C2754" s="37" t="s">
        <v>9</v>
      </c>
      <c r="D2754" s="326">
        <v>62.09</v>
      </c>
    </row>
    <row r="2755" spans="1:4" ht="13.5">
      <c r="A2755" s="37">
        <v>98568</v>
      </c>
      <c r="B2755" s="37" t="s">
        <v>17082</v>
      </c>
      <c r="C2755" s="37" t="s">
        <v>9</v>
      </c>
      <c r="D2755" s="326">
        <v>74.11</v>
      </c>
    </row>
    <row r="2756" spans="1:4" ht="13.5">
      <c r="A2756" s="37">
        <v>98569</v>
      </c>
      <c r="B2756" s="37" t="s">
        <v>17083</v>
      </c>
      <c r="C2756" s="37" t="s">
        <v>9</v>
      </c>
      <c r="D2756" s="326">
        <v>76.430000000000007</v>
      </c>
    </row>
    <row r="2757" spans="1:4" ht="13.5">
      <c r="A2757" s="37">
        <v>98570</v>
      </c>
      <c r="B2757" s="37" t="s">
        <v>17084</v>
      </c>
      <c r="C2757" s="37" t="s">
        <v>9</v>
      </c>
      <c r="D2757" s="326">
        <v>88.45</v>
      </c>
    </row>
    <row r="2758" spans="1:4" ht="13.5">
      <c r="A2758" s="37">
        <v>98571</v>
      </c>
      <c r="B2758" s="37" t="s">
        <v>17085</v>
      </c>
      <c r="C2758" s="37" t="s">
        <v>9</v>
      </c>
      <c r="D2758" s="326">
        <v>44.39</v>
      </c>
    </row>
    <row r="2759" spans="1:4" ht="13.5">
      <c r="A2759" s="37">
        <v>98572</v>
      </c>
      <c r="B2759" s="37" t="s">
        <v>17086</v>
      </c>
      <c r="C2759" s="37" t="s">
        <v>9</v>
      </c>
      <c r="D2759" s="326">
        <v>54.36</v>
      </c>
    </row>
    <row r="2760" spans="1:4" ht="13.5">
      <c r="A2760" s="37">
        <v>98573</v>
      </c>
      <c r="B2760" s="37" t="s">
        <v>17087</v>
      </c>
      <c r="C2760" s="37" t="s">
        <v>9</v>
      </c>
      <c r="D2760" s="326">
        <v>65.86</v>
      </c>
    </row>
    <row r="2761" spans="1:4" ht="13.5">
      <c r="A2761" s="37">
        <v>91831</v>
      </c>
      <c r="B2761" s="37" t="s">
        <v>17088</v>
      </c>
      <c r="C2761" s="37" t="s">
        <v>6</v>
      </c>
      <c r="D2761" s="326">
        <v>15.45</v>
      </c>
    </row>
    <row r="2762" spans="1:4" ht="13.5">
      <c r="A2762" s="37">
        <v>91833</v>
      </c>
      <c r="B2762" s="37" t="s">
        <v>17089</v>
      </c>
      <c r="C2762" s="37" t="s">
        <v>6</v>
      </c>
      <c r="D2762" s="326">
        <v>15.92</v>
      </c>
    </row>
    <row r="2763" spans="1:4" ht="13.5">
      <c r="A2763" s="37">
        <v>91834</v>
      </c>
      <c r="B2763" s="37" t="s">
        <v>17090</v>
      </c>
      <c r="C2763" s="37" t="s">
        <v>6</v>
      </c>
      <c r="D2763" s="326">
        <v>16.2</v>
      </c>
    </row>
    <row r="2764" spans="1:4" ht="13.5">
      <c r="A2764" s="37">
        <v>91835</v>
      </c>
      <c r="B2764" s="37" t="s">
        <v>17091</v>
      </c>
      <c r="C2764" s="37" t="s">
        <v>6</v>
      </c>
      <c r="D2764" s="326">
        <v>17.420000000000002</v>
      </c>
    </row>
    <row r="2765" spans="1:4" ht="13.5">
      <c r="A2765" s="37">
        <v>91836</v>
      </c>
      <c r="B2765" s="37" t="s">
        <v>17092</v>
      </c>
      <c r="C2765" s="37" t="s">
        <v>6</v>
      </c>
      <c r="D2765" s="326">
        <v>18.57</v>
      </c>
    </row>
    <row r="2766" spans="1:4" ht="13.5">
      <c r="A2766" s="37">
        <v>91837</v>
      </c>
      <c r="B2766" s="37" t="s">
        <v>17093</v>
      </c>
      <c r="C2766" s="37" t="s">
        <v>6</v>
      </c>
      <c r="D2766" s="326">
        <v>21.42</v>
      </c>
    </row>
    <row r="2767" spans="1:4" ht="13.5">
      <c r="A2767" s="37">
        <v>91839</v>
      </c>
      <c r="B2767" s="37" t="s">
        <v>17094</v>
      </c>
      <c r="C2767" s="37" t="s">
        <v>6</v>
      </c>
      <c r="D2767" s="326">
        <v>17.989999999999998</v>
      </c>
    </row>
    <row r="2768" spans="1:4" ht="13.5">
      <c r="A2768" s="37">
        <v>91840</v>
      </c>
      <c r="B2768" s="37" t="s">
        <v>17095</v>
      </c>
      <c r="C2768" s="37" t="s">
        <v>6</v>
      </c>
      <c r="D2768" s="326">
        <v>20.64</v>
      </c>
    </row>
    <row r="2769" spans="1:4" ht="13.5">
      <c r="A2769" s="37">
        <v>91841</v>
      </c>
      <c r="B2769" s="37" t="s">
        <v>17096</v>
      </c>
      <c r="C2769" s="37" t="s">
        <v>6</v>
      </c>
      <c r="D2769" s="326">
        <v>19.86</v>
      </c>
    </row>
    <row r="2770" spans="1:4" ht="13.5">
      <c r="A2770" s="37">
        <v>91842</v>
      </c>
      <c r="B2770" s="37" t="s">
        <v>17097</v>
      </c>
      <c r="C2770" s="37" t="s">
        <v>6</v>
      </c>
      <c r="D2770" s="326">
        <v>5.29</v>
      </c>
    </row>
    <row r="2771" spans="1:4" ht="13.5">
      <c r="A2771" s="37">
        <v>91843</v>
      </c>
      <c r="B2771" s="37" t="s">
        <v>17098</v>
      </c>
      <c r="C2771" s="37" t="s">
        <v>6</v>
      </c>
      <c r="D2771" s="326">
        <v>5.76</v>
      </c>
    </row>
    <row r="2772" spans="1:4" ht="13.5">
      <c r="A2772" s="37">
        <v>91844</v>
      </c>
      <c r="B2772" s="37" t="s">
        <v>17099</v>
      </c>
      <c r="C2772" s="37" t="s">
        <v>6</v>
      </c>
      <c r="D2772" s="326">
        <v>5.97</v>
      </c>
    </row>
    <row r="2773" spans="1:4" ht="13.5">
      <c r="A2773" s="37">
        <v>91845</v>
      </c>
      <c r="B2773" s="37" t="s">
        <v>17100</v>
      </c>
      <c r="C2773" s="37" t="s">
        <v>6</v>
      </c>
      <c r="D2773" s="326">
        <v>7.19</v>
      </c>
    </row>
    <row r="2774" spans="1:4" ht="13.5">
      <c r="A2774" s="37">
        <v>91846</v>
      </c>
      <c r="B2774" s="37" t="s">
        <v>17101</v>
      </c>
      <c r="C2774" s="37" t="s">
        <v>6</v>
      </c>
      <c r="D2774" s="326">
        <v>8.41</v>
      </c>
    </row>
    <row r="2775" spans="1:4" ht="13.5">
      <c r="A2775" s="37">
        <v>91847</v>
      </c>
      <c r="B2775" s="37" t="s">
        <v>17102</v>
      </c>
      <c r="C2775" s="37" t="s">
        <v>6</v>
      </c>
      <c r="D2775" s="326">
        <v>11.26</v>
      </c>
    </row>
    <row r="2776" spans="1:4" ht="13.5">
      <c r="A2776" s="37">
        <v>91849</v>
      </c>
      <c r="B2776" s="37" t="s">
        <v>17103</v>
      </c>
      <c r="C2776" s="37" t="s">
        <v>6</v>
      </c>
      <c r="D2776" s="326">
        <v>7.83</v>
      </c>
    </row>
    <row r="2777" spans="1:4" ht="13.5">
      <c r="A2777" s="37">
        <v>91850</v>
      </c>
      <c r="B2777" s="37" t="s">
        <v>17104</v>
      </c>
      <c r="C2777" s="37" t="s">
        <v>6</v>
      </c>
      <c r="D2777" s="326">
        <v>10.45</v>
      </c>
    </row>
    <row r="2778" spans="1:4" ht="13.5">
      <c r="A2778" s="37">
        <v>91851</v>
      </c>
      <c r="B2778" s="37" t="s">
        <v>17105</v>
      </c>
      <c r="C2778" s="37" t="s">
        <v>6</v>
      </c>
      <c r="D2778" s="326">
        <v>9.67</v>
      </c>
    </row>
    <row r="2779" spans="1:4" ht="13.5">
      <c r="A2779" s="37">
        <v>91852</v>
      </c>
      <c r="B2779" s="37" t="s">
        <v>17106</v>
      </c>
      <c r="C2779" s="37" t="s">
        <v>6</v>
      </c>
      <c r="D2779" s="326">
        <v>8.2899999999999991</v>
      </c>
    </row>
    <row r="2780" spans="1:4" ht="13.5">
      <c r="A2780" s="37">
        <v>91853</v>
      </c>
      <c r="B2780" s="37" t="s">
        <v>17107</v>
      </c>
      <c r="C2780" s="37" t="s">
        <v>6</v>
      </c>
      <c r="D2780" s="326">
        <v>8.73</v>
      </c>
    </row>
    <row r="2781" spans="1:4" ht="13.5">
      <c r="A2781" s="37">
        <v>91854</v>
      </c>
      <c r="B2781" s="37" t="s">
        <v>17108</v>
      </c>
      <c r="C2781" s="37" t="s">
        <v>6</v>
      </c>
      <c r="D2781" s="326">
        <v>8.9600000000000009</v>
      </c>
    </row>
    <row r="2782" spans="1:4" ht="13.5">
      <c r="A2782" s="37">
        <v>91855</v>
      </c>
      <c r="B2782" s="37" t="s">
        <v>17109</v>
      </c>
      <c r="C2782" s="37" t="s">
        <v>6</v>
      </c>
      <c r="D2782" s="326">
        <v>10.09</v>
      </c>
    </row>
    <row r="2783" spans="1:4" ht="13.5">
      <c r="A2783" s="37">
        <v>91856</v>
      </c>
      <c r="B2783" s="37" t="s">
        <v>17110</v>
      </c>
      <c r="C2783" s="37" t="s">
        <v>6</v>
      </c>
      <c r="D2783" s="326">
        <v>11.26</v>
      </c>
    </row>
    <row r="2784" spans="1:4" ht="13.5">
      <c r="A2784" s="37">
        <v>91857</v>
      </c>
      <c r="B2784" s="37" t="s">
        <v>17111</v>
      </c>
      <c r="C2784" s="37" t="s">
        <v>6</v>
      </c>
      <c r="D2784" s="326">
        <v>13.89</v>
      </c>
    </row>
    <row r="2785" spans="1:4" ht="13.5">
      <c r="A2785" s="37">
        <v>91859</v>
      </c>
      <c r="B2785" s="37" t="s">
        <v>17112</v>
      </c>
      <c r="C2785" s="37" t="s">
        <v>6</v>
      </c>
      <c r="D2785" s="326">
        <v>10.72</v>
      </c>
    </row>
    <row r="2786" spans="1:4" ht="13.5">
      <c r="A2786" s="37">
        <v>91860</v>
      </c>
      <c r="B2786" s="37" t="s">
        <v>17113</v>
      </c>
      <c r="C2786" s="37" t="s">
        <v>6</v>
      </c>
      <c r="D2786" s="326">
        <v>13.2</v>
      </c>
    </row>
    <row r="2787" spans="1:4" ht="13.5">
      <c r="A2787" s="37">
        <v>91861</v>
      </c>
      <c r="B2787" s="37" t="s">
        <v>17114</v>
      </c>
      <c r="C2787" s="37" t="s">
        <v>6</v>
      </c>
      <c r="D2787" s="326">
        <v>12.48</v>
      </c>
    </row>
    <row r="2788" spans="1:4" ht="13.5">
      <c r="A2788" s="37">
        <v>91862</v>
      </c>
      <c r="B2788" s="37" t="s">
        <v>17115</v>
      </c>
      <c r="C2788" s="37" t="s">
        <v>6</v>
      </c>
      <c r="D2788" s="326">
        <v>8.6300000000000008</v>
      </c>
    </row>
    <row r="2789" spans="1:4" ht="13.5">
      <c r="A2789" s="37">
        <v>91863</v>
      </c>
      <c r="B2789" s="37" t="s">
        <v>17116</v>
      </c>
      <c r="C2789" s="37" t="s">
        <v>6</v>
      </c>
      <c r="D2789" s="326">
        <v>10.130000000000001</v>
      </c>
    </row>
    <row r="2790" spans="1:4" ht="13.5">
      <c r="A2790" s="37">
        <v>91864</v>
      </c>
      <c r="B2790" s="37" t="s">
        <v>17117</v>
      </c>
      <c r="C2790" s="37" t="s">
        <v>6</v>
      </c>
      <c r="D2790" s="326">
        <v>13.47</v>
      </c>
    </row>
    <row r="2791" spans="1:4" ht="13.5">
      <c r="A2791" s="37">
        <v>91865</v>
      </c>
      <c r="B2791" s="37" t="s">
        <v>17118</v>
      </c>
      <c r="C2791" s="37" t="s">
        <v>6</v>
      </c>
      <c r="D2791" s="326">
        <v>16.760000000000002</v>
      </c>
    </row>
    <row r="2792" spans="1:4" ht="13.5">
      <c r="A2792" s="37">
        <v>91866</v>
      </c>
      <c r="B2792" s="37" t="s">
        <v>17119</v>
      </c>
      <c r="C2792" s="37" t="s">
        <v>6</v>
      </c>
      <c r="D2792" s="326">
        <v>7.39</v>
      </c>
    </row>
    <row r="2793" spans="1:4" ht="13.5">
      <c r="A2793" s="37">
        <v>91867</v>
      </c>
      <c r="B2793" s="37" t="s">
        <v>17120</v>
      </c>
      <c r="C2793" s="37" t="s">
        <v>6</v>
      </c>
      <c r="D2793" s="326">
        <v>8.9</v>
      </c>
    </row>
    <row r="2794" spans="1:4" ht="13.5">
      <c r="A2794" s="37">
        <v>91868</v>
      </c>
      <c r="B2794" s="37" t="s">
        <v>17121</v>
      </c>
      <c r="C2794" s="37" t="s">
        <v>6</v>
      </c>
      <c r="D2794" s="326">
        <v>12.24</v>
      </c>
    </row>
    <row r="2795" spans="1:4" ht="13.5">
      <c r="A2795" s="37">
        <v>91869</v>
      </c>
      <c r="B2795" s="37" t="s">
        <v>17122</v>
      </c>
      <c r="C2795" s="37" t="s">
        <v>6</v>
      </c>
      <c r="D2795" s="326">
        <v>15.5</v>
      </c>
    </row>
    <row r="2796" spans="1:4" ht="13.5">
      <c r="A2796" s="37">
        <v>91870</v>
      </c>
      <c r="B2796" s="37" t="s">
        <v>17123</v>
      </c>
      <c r="C2796" s="37" t="s">
        <v>6</v>
      </c>
      <c r="D2796" s="326">
        <v>11.58</v>
      </c>
    </row>
    <row r="2797" spans="1:4" ht="13.5">
      <c r="A2797" s="37">
        <v>91871</v>
      </c>
      <c r="B2797" s="37" t="s">
        <v>17124</v>
      </c>
      <c r="C2797" s="37" t="s">
        <v>6</v>
      </c>
      <c r="D2797" s="326">
        <v>13.09</v>
      </c>
    </row>
    <row r="2798" spans="1:4" ht="13.5">
      <c r="A2798" s="37">
        <v>91872</v>
      </c>
      <c r="B2798" s="37" t="s">
        <v>17125</v>
      </c>
      <c r="C2798" s="37" t="s">
        <v>6</v>
      </c>
      <c r="D2798" s="326">
        <v>16.420000000000002</v>
      </c>
    </row>
    <row r="2799" spans="1:4" ht="13.5">
      <c r="A2799" s="37">
        <v>91873</v>
      </c>
      <c r="B2799" s="37" t="s">
        <v>17126</v>
      </c>
      <c r="C2799" s="37" t="s">
        <v>6</v>
      </c>
      <c r="D2799" s="326">
        <v>19.670000000000002</v>
      </c>
    </row>
    <row r="2800" spans="1:4" ht="13.5">
      <c r="A2800" s="37">
        <v>93008</v>
      </c>
      <c r="B2800" s="37" t="s">
        <v>13795</v>
      </c>
      <c r="C2800" s="37" t="s">
        <v>6</v>
      </c>
      <c r="D2800" s="326">
        <v>15.85</v>
      </c>
    </row>
    <row r="2801" spans="1:4" ht="13.5">
      <c r="A2801" s="37">
        <v>93009</v>
      </c>
      <c r="B2801" s="37" t="s">
        <v>13796</v>
      </c>
      <c r="C2801" s="37" t="s">
        <v>6</v>
      </c>
      <c r="D2801" s="326">
        <v>23.13</v>
      </c>
    </row>
    <row r="2802" spans="1:4" ht="13.5">
      <c r="A2802" s="37">
        <v>93010</v>
      </c>
      <c r="B2802" s="37" t="s">
        <v>13797</v>
      </c>
      <c r="C2802" s="37" t="s">
        <v>6</v>
      </c>
      <c r="D2802" s="326">
        <v>32.01</v>
      </c>
    </row>
    <row r="2803" spans="1:4" ht="13.5">
      <c r="A2803" s="37">
        <v>93011</v>
      </c>
      <c r="B2803" s="37" t="s">
        <v>13798</v>
      </c>
      <c r="C2803" s="37" t="s">
        <v>6</v>
      </c>
      <c r="D2803" s="326">
        <v>39.03</v>
      </c>
    </row>
    <row r="2804" spans="1:4" ht="13.5">
      <c r="A2804" s="37">
        <v>93012</v>
      </c>
      <c r="B2804" s="37" t="s">
        <v>13799</v>
      </c>
      <c r="C2804" s="37" t="s">
        <v>6</v>
      </c>
      <c r="D2804" s="326">
        <v>58.63</v>
      </c>
    </row>
    <row r="2805" spans="1:4" ht="13.5">
      <c r="A2805" s="37">
        <v>95726</v>
      </c>
      <c r="B2805" s="37" t="s">
        <v>17127</v>
      </c>
      <c r="C2805" s="37" t="s">
        <v>6</v>
      </c>
      <c r="D2805" s="326">
        <v>14.47</v>
      </c>
    </row>
    <row r="2806" spans="1:4" ht="13.5">
      <c r="A2806" s="37">
        <v>95727</v>
      </c>
      <c r="B2806" s="37" t="s">
        <v>17128</v>
      </c>
      <c r="C2806" s="37" t="s">
        <v>6</v>
      </c>
      <c r="D2806" s="326">
        <v>17.920000000000002</v>
      </c>
    </row>
    <row r="2807" spans="1:4" ht="13.5">
      <c r="A2807" s="37">
        <v>95728</v>
      </c>
      <c r="B2807" s="37" t="s">
        <v>17129</v>
      </c>
      <c r="C2807" s="37" t="s">
        <v>6</v>
      </c>
      <c r="D2807" s="326">
        <v>23.39</v>
      </c>
    </row>
    <row r="2808" spans="1:4" ht="13.5">
      <c r="A2808" s="37">
        <v>97667</v>
      </c>
      <c r="B2808" s="37" t="s">
        <v>13800</v>
      </c>
      <c r="C2808" s="37" t="s">
        <v>6</v>
      </c>
      <c r="D2808" s="326">
        <v>9.32</v>
      </c>
    </row>
    <row r="2809" spans="1:4" ht="13.5">
      <c r="A2809" s="37">
        <v>97668</v>
      </c>
      <c r="B2809" s="37" t="s">
        <v>13801</v>
      </c>
      <c r="C2809" s="37" t="s">
        <v>6</v>
      </c>
      <c r="D2809" s="326">
        <v>13.3</v>
      </c>
    </row>
    <row r="2810" spans="1:4" ht="13.5">
      <c r="A2810" s="37">
        <v>97669</v>
      </c>
      <c r="B2810" s="37" t="s">
        <v>13802</v>
      </c>
      <c r="C2810" s="37" t="s">
        <v>6</v>
      </c>
      <c r="D2810" s="326">
        <v>19.59</v>
      </c>
    </row>
    <row r="2811" spans="1:4" ht="13.5">
      <c r="A2811" s="37">
        <v>97670</v>
      </c>
      <c r="B2811" s="37" t="s">
        <v>13803</v>
      </c>
      <c r="C2811" s="37" t="s">
        <v>6</v>
      </c>
      <c r="D2811" s="326">
        <v>25.34</v>
      </c>
    </row>
    <row r="2812" spans="1:4" ht="13.5">
      <c r="A2812" s="37">
        <v>91874</v>
      </c>
      <c r="B2812" s="37" t="s">
        <v>17130</v>
      </c>
      <c r="C2812" s="37" t="s">
        <v>7</v>
      </c>
      <c r="D2812" s="326">
        <v>7.01</v>
      </c>
    </row>
    <row r="2813" spans="1:4" ht="13.5">
      <c r="A2813" s="37">
        <v>91875</v>
      </c>
      <c r="B2813" s="37" t="s">
        <v>17131</v>
      </c>
      <c r="C2813" s="37" t="s">
        <v>7</v>
      </c>
      <c r="D2813" s="326">
        <v>8.23</v>
      </c>
    </row>
    <row r="2814" spans="1:4" ht="13.5">
      <c r="A2814" s="37">
        <v>91876</v>
      </c>
      <c r="B2814" s="37" t="s">
        <v>17132</v>
      </c>
      <c r="C2814" s="37" t="s">
        <v>7</v>
      </c>
      <c r="D2814" s="326">
        <v>9.91</v>
      </c>
    </row>
    <row r="2815" spans="1:4" ht="13.5">
      <c r="A2815" s="37">
        <v>91877</v>
      </c>
      <c r="B2815" s="37" t="s">
        <v>17133</v>
      </c>
      <c r="C2815" s="37" t="s">
        <v>7</v>
      </c>
      <c r="D2815" s="326">
        <v>12.21</v>
      </c>
    </row>
    <row r="2816" spans="1:4" ht="13.5">
      <c r="A2816" s="37">
        <v>91878</v>
      </c>
      <c r="B2816" s="37" t="s">
        <v>17134</v>
      </c>
      <c r="C2816" s="37" t="s">
        <v>7</v>
      </c>
      <c r="D2816" s="326">
        <v>5.54</v>
      </c>
    </row>
    <row r="2817" spans="1:4" ht="13.5">
      <c r="A2817" s="37">
        <v>91879</v>
      </c>
      <c r="B2817" s="37" t="s">
        <v>17135</v>
      </c>
      <c r="C2817" s="37" t="s">
        <v>7</v>
      </c>
      <c r="D2817" s="326">
        <v>6.75</v>
      </c>
    </row>
    <row r="2818" spans="1:4" ht="13.5">
      <c r="A2818" s="37">
        <v>91880</v>
      </c>
      <c r="B2818" s="37" t="s">
        <v>17136</v>
      </c>
      <c r="C2818" s="37" t="s">
        <v>7</v>
      </c>
      <c r="D2818" s="326">
        <v>8.44</v>
      </c>
    </row>
    <row r="2819" spans="1:4" ht="13.5">
      <c r="A2819" s="37">
        <v>91881</v>
      </c>
      <c r="B2819" s="37" t="s">
        <v>17137</v>
      </c>
      <c r="C2819" s="37" t="s">
        <v>7</v>
      </c>
      <c r="D2819" s="326">
        <v>10.75</v>
      </c>
    </row>
    <row r="2820" spans="1:4" ht="13.5">
      <c r="A2820" s="37">
        <v>91882</v>
      </c>
      <c r="B2820" s="37" t="s">
        <v>17138</v>
      </c>
      <c r="C2820" s="37" t="s">
        <v>7</v>
      </c>
      <c r="D2820" s="326">
        <v>10.07</v>
      </c>
    </row>
    <row r="2821" spans="1:4" ht="13.5">
      <c r="A2821" s="37">
        <v>91884</v>
      </c>
      <c r="B2821" s="37" t="s">
        <v>17139</v>
      </c>
      <c r="C2821" s="37" t="s">
        <v>7</v>
      </c>
      <c r="D2821" s="326">
        <v>11.29</v>
      </c>
    </row>
    <row r="2822" spans="1:4" ht="13.5">
      <c r="A2822" s="37">
        <v>91885</v>
      </c>
      <c r="B2822" s="37" t="s">
        <v>17140</v>
      </c>
      <c r="C2822" s="37" t="s">
        <v>7</v>
      </c>
      <c r="D2822" s="326">
        <v>12.92</v>
      </c>
    </row>
    <row r="2823" spans="1:4" ht="13.5">
      <c r="A2823" s="37">
        <v>91886</v>
      </c>
      <c r="B2823" s="37" t="s">
        <v>17141</v>
      </c>
      <c r="C2823" s="37" t="s">
        <v>7</v>
      </c>
      <c r="D2823" s="326">
        <v>15.17</v>
      </c>
    </row>
    <row r="2824" spans="1:4" ht="13.5">
      <c r="A2824" s="37">
        <v>91887</v>
      </c>
      <c r="B2824" s="37" t="s">
        <v>17142</v>
      </c>
      <c r="C2824" s="37" t="s">
        <v>7</v>
      </c>
      <c r="D2824" s="326">
        <v>12.16</v>
      </c>
    </row>
    <row r="2825" spans="1:4" ht="13.5">
      <c r="A2825" s="37">
        <v>91889</v>
      </c>
      <c r="B2825" s="37" t="s">
        <v>17143</v>
      </c>
      <c r="C2825" s="37" t="s">
        <v>7</v>
      </c>
      <c r="D2825" s="326">
        <v>11.84</v>
      </c>
    </row>
    <row r="2826" spans="1:4" ht="13.5">
      <c r="A2826" s="37">
        <v>91890</v>
      </c>
      <c r="B2826" s="37" t="s">
        <v>17144</v>
      </c>
      <c r="C2826" s="37" t="s">
        <v>7</v>
      </c>
      <c r="D2826" s="326">
        <v>13.42</v>
      </c>
    </row>
    <row r="2827" spans="1:4" ht="13.5">
      <c r="A2827" s="37">
        <v>91892</v>
      </c>
      <c r="B2827" s="37" t="s">
        <v>17145</v>
      </c>
      <c r="C2827" s="37" t="s">
        <v>7</v>
      </c>
      <c r="D2827" s="326">
        <v>15.52</v>
      </c>
    </row>
    <row r="2828" spans="1:4" ht="13.5">
      <c r="A2828" s="37">
        <v>91893</v>
      </c>
      <c r="B2828" s="37" t="s">
        <v>17146</v>
      </c>
      <c r="C2828" s="37" t="s">
        <v>7</v>
      </c>
      <c r="D2828" s="326">
        <v>16.649999999999999</v>
      </c>
    </row>
    <row r="2829" spans="1:4" ht="13.5">
      <c r="A2829" s="37">
        <v>91895</v>
      </c>
      <c r="B2829" s="37" t="s">
        <v>17147</v>
      </c>
      <c r="C2829" s="37" t="s">
        <v>7</v>
      </c>
      <c r="D2829" s="326">
        <v>18.79</v>
      </c>
    </row>
    <row r="2830" spans="1:4" ht="13.5">
      <c r="A2830" s="37">
        <v>91896</v>
      </c>
      <c r="B2830" s="37" t="s">
        <v>17148</v>
      </c>
      <c r="C2830" s="37" t="s">
        <v>7</v>
      </c>
      <c r="D2830" s="326">
        <v>19.16</v>
      </c>
    </row>
    <row r="2831" spans="1:4" ht="13.5">
      <c r="A2831" s="37">
        <v>91898</v>
      </c>
      <c r="B2831" s="37" t="s">
        <v>17149</v>
      </c>
      <c r="C2831" s="37" t="s">
        <v>7</v>
      </c>
      <c r="D2831" s="326">
        <v>21.45</v>
      </c>
    </row>
    <row r="2832" spans="1:4" ht="13.5">
      <c r="A2832" s="37">
        <v>91899</v>
      </c>
      <c r="B2832" s="37" t="s">
        <v>17150</v>
      </c>
      <c r="C2832" s="37" t="s">
        <v>7</v>
      </c>
      <c r="D2832" s="326">
        <v>9.91</v>
      </c>
    </row>
    <row r="2833" spans="1:4" ht="13.5">
      <c r="A2833" s="37">
        <v>91901</v>
      </c>
      <c r="B2833" s="37" t="s">
        <v>17151</v>
      </c>
      <c r="C2833" s="37" t="s">
        <v>7</v>
      </c>
      <c r="D2833" s="326">
        <v>9.59</v>
      </c>
    </row>
    <row r="2834" spans="1:4" ht="13.5">
      <c r="A2834" s="37">
        <v>91902</v>
      </c>
      <c r="B2834" s="37" t="s">
        <v>17152</v>
      </c>
      <c r="C2834" s="37" t="s">
        <v>7</v>
      </c>
      <c r="D2834" s="326">
        <v>11.17</v>
      </c>
    </row>
    <row r="2835" spans="1:4" ht="13.5">
      <c r="A2835" s="37">
        <v>91904</v>
      </c>
      <c r="B2835" s="37" t="s">
        <v>17153</v>
      </c>
      <c r="C2835" s="37" t="s">
        <v>7</v>
      </c>
      <c r="D2835" s="326">
        <v>13.27</v>
      </c>
    </row>
    <row r="2836" spans="1:4" ht="13.5">
      <c r="A2836" s="37">
        <v>91905</v>
      </c>
      <c r="B2836" s="37" t="s">
        <v>17154</v>
      </c>
      <c r="C2836" s="37" t="s">
        <v>7</v>
      </c>
      <c r="D2836" s="326">
        <v>14.42</v>
      </c>
    </row>
    <row r="2837" spans="1:4" ht="13.5">
      <c r="A2837" s="37">
        <v>91907</v>
      </c>
      <c r="B2837" s="37" t="s">
        <v>17155</v>
      </c>
      <c r="C2837" s="37" t="s">
        <v>7</v>
      </c>
      <c r="D2837" s="326">
        <v>16.559999999999999</v>
      </c>
    </row>
    <row r="2838" spans="1:4" ht="13.5">
      <c r="A2838" s="37">
        <v>91908</v>
      </c>
      <c r="B2838" s="37" t="s">
        <v>17156</v>
      </c>
      <c r="C2838" s="37" t="s">
        <v>7</v>
      </c>
      <c r="D2838" s="326">
        <v>16.98</v>
      </c>
    </row>
    <row r="2839" spans="1:4" ht="13.5">
      <c r="A2839" s="37">
        <v>91910</v>
      </c>
      <c r="B2839" s="37" t="s">
        <v>17157</v>
      </c>
      <c r="C2839" s="37" t="s">
        <v>7</v>
      </c>
      <c r="D2839" s="326">
        <v>19.27</v>
      </c>
    </row>
    <row r="2840" spans="1:4" ht="13.5">
      <c r="A2840" s="37">
        <v>91911</v>
      </c>
      <c r="B2840" s="37" t="s">
        <v>17158</v>
      </c>
      <c r="C2840" s="37" t="s">
        <v>7</v>
      </c>
      <c r="D2840" s="326">
        <v>16.739999999999998</v>
      </c>
    </row>
    <row r="2841" spans="1:4" ht="13.5">
      <c r="A2841" s="37">
        <v>91913</v>
      </c>
      <c r="B2841" s="37" t="s">
        <v>17159</v>
      </c>
      <c r="C2841" s="37" t="s">
        <v>7</v>
      </c>
      <c r="D2841" s="326">
        <v>16.420000000000002</v>
      </c>
    </row>
    <row r="2842" spans="1:4" ht="13.5">
      <c r="A2842" s="37">
        <v>91914</v>
      </c>
      <c r="B2842" s="37" t="s">
        <v>17160</v>
      </c>
      <c r="C2842" s="37" t="s">
        <v>7</v>
      </c>
      <c r="D2842" s="326">
        <v>17.940000000000001</v>
      </c>
    </row>
    <row r="2843" spans="1:4" ht="13.5">
      <c r="A2843" s="37">
        <v>91916</v>
      </c>
      <c r="B2843" s="37" t="s">
        <v>17161</v>
      </c>
      <c r="C2843" s="37" t="s">
        <v>7</v>
      </c>
      <c r="D2843" s="326">
        <v>20.04</v>
      </c>
    </row>
    <row r="2844" spans="1:4" ht="13.5">
      <c r="A2844" s="37">
        <v>91917</v>
      </c>
      <c r="B2844" s="37" t="s">
        <v>17162</v>
      </c>
      <c r="C2844" s="37" t="s">
        <v>7</v>
      </c>
      <c r="D2844" s="326">
        <v>21.14</v>
      </c>
    </row>
    <row r="2845" spans="1:4" ht="13.5">
      <c r="A2845" s="37">
        <v>91919</v>
      </c>
      <c r="B2845" s="37" t="s">
        <v>17163</v>
      </c>
      <c r="C2845" s="37" t="s">
        <v>7</v>
      </c>
      <c r="D2845" s="326">
        <v>23.28</v>
      </c>
    </row>
    <row r="2846" spans="1:4" ht="13.5">
      <c r="A2846" s="37">
        <v>91920</v>
      </c>
      <c r="B2846" s="37" t="s">
        <v>17164</v>
      </c>
      <c r="C2846" s="37" t="s">
        <v>7</v>
      </c>
      <c r="D2846" s="326">
        <v>23.59</v>
      </c>
    </row>
    <row r="2847" spans="1:4" ht="13.5">
      <c r="A2847" s="37">
        <v>91922</v>
      </c>
      <c r="B2847" s="37" t="s">
        <v>17165</v>
      </c>
      <c r="C2847" s="37" t="s">
        <v>7</v>
      </c>
      <c r="D2847" s="326">
        <v>25.88</v>
      </c>
    </row>
    <row r="2848" spans="1:4" ht="13.5">
      <c r="A2848" s="37">
        <v>93013</v>
      </c>
      <c r="B2848" s="37" t="s">
        <v>13804</v>
      </c>
      <c r="C2848" s="37" t="s">
        <v>7</v>
      </c>
      <c r="D2848" s="326">
        <v>15.19</v>
      </c>
    </row>
    <row r="2849" spans="1:4" ht="13.5">
      <c r="A2849" s="37">
        <v>93014</v>
      </c>
      <c r="B2849" s="37" t="s">
        <v>13805</v>
      </c>
      <c r="C2849" s="37" t="s">
        <v>7</v>
      </c>
      <c r="D2849" s="326">
        <v>18.61</v>
      </c>
    </row>
    <row r="2850" spans="1:4" ht="13.5">
      <c r="A2850" s="37">
        <v>93015</v>
      </c>
      <c r="B2850" s="37" t="s">
        <v>13806</v>
      </c>
      <c r="C2850" s="37" t="s">
        <v>7</v>
      </c>
      <c r="D2850" s="326">
        <v>27.9</v>
      </c>
    </row>
    <row r="2851" spans="1:4" ht="13.5">
      <c r="A2851" s="37">
        <v>93016</v>
      </c>
      <c r="B2851" s="37" t="s">
        <v>13807</v>
      </c>
      <c r="C2851" s="37" t="s">
        <v>7</v>
      </c>
      <c r="D2851" s="326">
        <v>33.799999999999997</v>
      </c>
    </row>
    <row r="2852" spans="1:4" ht="13.5">
      <c r="A2852" s="37">
        <v>93017</v>
      </c>
      <c r="B2852" s="37" t="s">
        <v>13808</v>
      </c>
      <c r="C2852" s="37" t="s">
        <v>7</v>
      </c>
      <c r="D2852" s="326">
        <v>50.5</v>
      </c>
    </row>
    <row r="2853" spans="1:4" ht="13.5">
      <c r="A2853" s="37">
        <v>93018</v>
      </c>
      <c r="B2853" s="37" t="s">
        <v>13809</v>
      </c>
      <c r="C2853" s="37" t="s">
        <v>7</v>
      </c>
      <c r="D2853" s="326">
        <v>23.19</v>
      </c>
    </row>
    <row r="2854" spans="1:4" ht="13.5">
      <c r="A2854" s="37">
        <v>93020</v>
      </c>
      <c r="B2854" s="37" t="s">
        <v>13810</v>
      </c>
      <c r="C2854" s="37" t="s">
        <v>7</v>
      </c>
      <c r="D2854" s="326">
        <v>29.57</v>
      </c>
    </row>
    <row r="2855" spans="1:4" ht="13.5">
      <c r="A2855" s="37">
        <v>93022</v>
      </c>
      <c r="B2855" s="37" t="s">
        <v>13811</v>
      </c>
      <c r="C2855" s="37" t="s">
        <v>7</v>
      </c>
      <c r="D2855" s="326">
        <v>48.74</v>
      </c>
    </row>
    <row r="2856" spans="1:4" ht="13.5">
      <c r="A2856" s="37">
        <v>93024</v>
      </c>
      <c r="B2856" s="37" t="s">
        <v>13812</v>
      </c>
      <c r="C2856" s="37" t="s">
        <v>7</v>
      </c>
      <c r="D2856" s="326">
        <v>51.36</v>
      </c>
    </row>
    <row r="2857" spans="1:4" ht="13.5">
      <c r="A2857" s="37">
        <v>93026</v>
      </c>
      <c r="B2857" s="37" t="s">
        <v>13813</v>
      </c>
      <c r="C2857" s="37" t="s">
        <v>7</v>
      </c>
      <c r="D2857" s="326">
        <v>83.24</v>
      </c>
    </row>
    <row r="2858" spans="1:4" ht="13.5">
      <c r="A2858" s="37">
        <v>97559</v>
      </c>
      <c r="B2858" s="37" t="s">
        <v>17166</v>
      </c>
      <c r="C2858" s="37" t="s">
        <v>7</v>
      </c>
      <c r="D2858" s="326">
        <v>13.18</v>
      </c>
    </row>
    <row r="2859" spans="1:4" ht="13.5">
      <c r="A2859" s="37">
        <v>97562</v>
      </c>
      <c r="B2859" s="37" t="s">
        <v>17167</v>
      </c>
      <c r="C2859" s="37" t="s">
        <v>7</v>
      </c>
      <c r="D2859" s="326">
        <v>10.93</v>
      </c>
    </row>
    <row r="2860" spans="1:4" ht="13.5">
      <c r="A2860" s="37">
        <v>97564</v>
      </c>
      <c r="B2860" s="37" t="s">
        <v>17168</v>
      </c>
      <c r="C2860" s="37" t="s">
        <v>7</v>
      </c>
      <c r="D2860" s="326">
        <v>17.7</v>
      </c>
    </row>
    <row r="2861" spans="1:4" ht="13.5">
      <c r="A2861" s="37">
        <v>104395</v>
      </c>
      <c r="B2861" s="37" t="s">
        <v>17169</v>
      </c>
      <c r="C2861" s="37" t="s">
        <v>7</v>
      </c>
      <c r="D2861" s="326">
        <v>21.5</v>
      </c>
    </row>
    <row r="2862" spans="1:4" ht="13.5">
      <c r="A2862" s="37">
        <v>91924</v>
      </c>
      <c r="B2862" s="37" t="s">
        <v>17170</v>
      </c>
      <c r="C2862" s="37" t="s">
        <v>6</v>
      </c>
      <c r="D2862" s="326">
        <v>2.75</v>
      </c>
    </row>
    <row r="2863" spans="1:4" ht="13.5">
      <c r="A2863" s="37">
        <v>91925</v>
      </c>
      <c r="B2863" s="37" t="s">
        <v>17171</v>
      </c>
      <c r="C2863" s="37" t="s">
        <v>6</v>
      </c>
      <c r="D2863" s="326">
        <v>3.3</v>
      </c>
    </row>
    <row r="2864" spans="1:4" ht="13.5">
      <c r="A2864" s="37">
        <v>91926</v>
      </c>
      <c r="B2864" s="37" t="s">
        <v>17172</v>
      </c>
      <c r="C2864" s="37" t="s">
        <v>6</v>
      </c>
      <c r="D2864" s="326">
        <v>3.97</v>
      </c>
    </row>
    <row r="2865" spans="1:4" ht="13.5">
      <c r="A2865" s="37">
        <v>91927</v>
      </c>
      <c r="B2865" s="37" t="s">
        <v>17173</v>
      </c>
      <c r="C2865" s="37" t="s">
        <v>6</v>
      </c>
      <c r="D2865" s="326">
        <v>4.43</v>
      </c>
    </row>
    <row r="2866" spans="1:4" ht="13.5">
      <c r="A2866" s="37">
        <v>91928</v>
      </c>
      <c r="B2866" s="37" t="s">
        <v>17174</v>
      </c>
      <c r="C2866" s="37" t="s">
        <v>6</v>
      </c>
      <c r="D2866" s="326">
        <v>6.12</v>
      </c>
    </row>
    <row r="2867" spans="1:4" ht="13.5">
      <c r="A2867" s="37">
        <v>91929</v>
      </c>
      <c r="B2867" s="37" t="s">
        <v>17175</v>
      </c>
      <c r="C2867" s="37" t="s">
        <v>6</v>
      </c>
      <c r="D2867" s="326">
        <v>6.52</v>
      </c>
    </row>
    <row r="2868" spans="1:4" ht="13.5">
      <c r="A2868" s="37">
        <v>91930</v>
      </c>
      <c r="B2868" s="37" t="s">
        <v>17176</v>
      </c>
      <c r="C2868" s="37" t="s">
        <v>6</v>
      </c>
      <c r="D2868" s="326">
        <v>8.52</v>
      </c>
    </row>
    <row r="2869" spans="1:4" ht="13.5">
      <c r="A2869" s="37">
        <v>91931</v>
      </c>
      <c r="B2869" s="37" t="s">
        <v>17177</v>
      </c>
      <c r="C2869" s="37" t="s">
        <v>6</v>
      </c>
      <c r="D2869" s="326">
        <v>9.18</v>
      </c>
    </row>
    <row r="2870" spans="1:4" ht="13.5">
      <c r="A2870" s="37">
        <v>91932</v>
      </c>
      <c r="B2870" s="37" t="s">
        <v>17178</v>
      </c>
      <c r="C2870" s="37" t="s">
        <v>6</v>
      </c>
      <c r="D2870" s="326">
        <v>15.16</v>
      </c>
    </row>
    <row r="2871" spans="1:4" ht="13.5">
      <c r="A2871" s="37">
        <v>91933</v>
      </c>
      <c r="B2871" s="37" t="s">
        <v>17179</v>
      </c>
      <c r="C2871" s="37" t="s">
        <v>6</v>
      </c>
      <c r="D2871" s="326">
        <v>14.64</v>
      </c>
    </row>
    <row r="2872" spans="1:4" ht="13.5">
      <c r="A2872" s="37">
        <v>91934</v>
      </c>
      <c r="B2872" s="37" t="s">
        <v>17180</v>
      </c>
      <c r="C2872" s="37" t="s">
        <v>6</v>
      </c>
      <c r="D2872" s="326">
        <v>21.93</v>
      </c>
    </row>
    <row r="2873" spans="1:4" ht="13.5">
      <c r="A2873" s="37">
        <v>91935</v>
      </c>
      <c r="B2873" s="37" t="s">
        <v>17181</v>
      </c>
      <c r="C2873" s="37" t="s">
        <v>6</v>
      </c>
      <c r="D2873" s="326">
        <v>22.93</v>
      </c>
    </row>
    <row r="2874" spans="1:4" ht="13.5">
      <c r="A2874" s="37">
        <v>92979</v>
      </c>
      <c r="B2874" s="37" t="s">
        <v>3741</v>
      </c>
      <c r="C2874" s="37" t="s">
        <v>6</v>
      </c>
      <c r="D2874" s="326">
        <v>9.7899999999999991</v>
      </c>
    </row>
    <row r="2875" spans="1:4" ht="13.5">
      <c r="A2875" s="37">
        <v>92980</v>
      </c>
      <c r="B2875" s="37" t="s">
        <v>3742</v>
      </c>
      <c r="C2875" s="37" t="s">
        <v>6</v>
      </c>
      <c r="D2875" s="326">
        <v>9.36</v>
      </c>
    </row>
    <row r="2876" spans="1:4" ht="13.5">
      <c r="A2876" s="37">
        <v>92981</v>
      </c>
      <c r="B2876" s="37" t="s">
        <v>3743</v>
      </c>
      <c r="C2876" s="37" t="s">
        <v>6</v>
      </c>
      <c r="D2876" s="326">
        <v>13.99</v>
      </c>
    </row>
    <row r="2877" spans="1:4" ht="13.5">
      <c r="A2877" s="37">
        <v>92982</v>
      </c>
      <c r="B2877" s="37" t="s">
        <v>3744</v>
      </c>
      <c r="C2877" s="37" t="s">
        <v>6</v>
      </c>
      <c r="D2877" s="326">
        <v>14.83</v>
      </c>
    </row>
    <row r="2878" spans="1:4" ht="13.5">
      <c r="A2878" s="37">
        <v>92984</v>
      </c>
      <c r="B2878" s="37" t="s">
        <v>13814</v>
      </c>
      <c r="C2878" s="37" t="s">
        <v>6</v>
      </c>
      <c r="D2878" s="326">
        <v>24.77</v>
      </c>
    </row>
    <row r="2879" spans="1:4" ht="13.5">
      <c r="A2879" s="37">
        <v>92986</v>
      </c>
      <c r="B2879" s="37" t="s">
        <v>13815</v>
      </c>
      <c r="C2879" s="37" t="s">
        <v>6</v>
      </c>
      <c r="D2879" s="326">
        <v>34.17</v>
      </c>
    </row>
    <row r="2880" spans="1:4" ht="13.5">
      <c r="A2880" s="37">
        <v>92988</v>
      </c>
      <c r="B2880" s="37" t="s">
        <v>13816</v>
      </c>
      <c r="C2880" s="37" t="s">
        <v>6</v>
      </c>
      <c r="D2880" s="326">
        <v>49.5</v>
      </c>
    </row>
    <row r="2881" spans="1:4" ht="13.5">
      <c r="A2881" s="37">
        <v>92990</v>
      </c>
      <c r="B2881" s="37" t="s">
        <v>13817</v>
      </c>
      <c r="C2881" s="37" t="s">
        <v>6</v>
      </c>
      <c r="D2881" s="326">
        <v>68.47</v>
      </c>
    </row>
    <row r="2882" spans="1:4" ht="13.5">
      <c r="A2882" s="37">
        <v>92992</v>
      </c>
      <c r="B2882" s="37" t="s">
        <v>13818</v>
      </c>
      <c r="C2882" s="37" t="s">
        <v>6</v>
      </c>
      <c r="D2882" s="326">
        <v>88.49</v>
      </c>
    </row>
    <row r="2883" spans="1:4" ht="13.5">
      <c r="A2883" s="37">
        <v>92994</v>
      </c>
      <c r="B2883" s="37" t="s">
        <v>13819</v>
      </c>
      <c r="C2883" s="37" t="s">
        <v>6</v>
      </c>
      <c r="D2883" s="326">
        <v>114.92</v>
      </c>
    </row>
    <row r="2884" spans="1:4" ht="13.5">
      <c r="A2884" s="37">
        <v>92996</v>
      </c>
      <c r="B2884" s="37" t="s">
        <v>13820</v>
      </c>
      <c r="C2884" s="37" t="s">
        <v>6</v>
      </c>
      <c r="D2884" s="326">
        <v>139.02000000000001</v>
      </c>
    </row>
    <row r="2885" spans="1:4" ht="13.5">
      <c r="A2885" s="37">
        <v>92998</v>
      </c>
      <c r="B2885" s="37" t="s">
        <v>13821</v>
      </c>
      <c r="C2885" s="37" t="s">
        <v>6</v>
      </c>
      <c r="D2885" s="326">
        <v>170.34</v>
      </c>
    </row>
    <row r="2886" spans="1:4" ht="13.5">
      <c r="A2886" s="37">
        <v>93000</v>
      </c>
      <c r="B2886" s="37" t="s">
        <v>13822</v>
      </c>
      <c r="C2886" s="37" t="s">
        <v>6</v>
      </c>
      <c r="D2886" s="326">
        <v>225.45</v>
      </c>
    </row>
    <row r="2887" spans="1:4" ht="13.5">
      <c r="A2887" s="37">
        <v>93002</v>
      </c>
      <c r="B2887" s="37" t="s">
        <v>13823</v>
      </c>
      <c r="C2887" s="37" t="s">
        <v>6</v>
      </c>
      <c r="D2887" s="326">
        <v>291.41000000000003</v>
      </c>
    </row>
    <row r="2888" spans="1:4" ht="13.5">
      <c r="A2888" s="37">
        <v>101884</v>
      </c>
      <c r="B2888" s="37" t="s">
        <v>7910</v>
      </c>
      <c r="C2888" s="37" t="s">
        <v>6</v>
      </c>
      <c r="D2888" s="326">
        <v>9.5299999999999994</v>
      </c>
    </row>
    <row r="2889" spans="1:4" ht="13.5">
      <c r="A2889" s="37">
        <v>101885</v>
      </c>
      <c r="B2889" s="37" t="s">
        <v>7911</v>
      </c>
      <c r="C2889" s="37" t="s">
        <v>6</v>
      </c>
      <c r="D2889" s="326">
        <v>9.1</v>
      </c>
    </row>
    <row r="2890" spans="1:4" ht="13.5">
      <c r="A2890" s="37">
        <v>101886</v>
      </c>
      <c r="B2890" s="37" t="s">
        <v>7912</v>
      </c>
      <c r="C2890" s="37" t="s">
        <v>6</v>
      </c>
      <c r="D2890" s="326">
        <v>13.68</v>
      </c>
    </row>
    <row r="2891" spans="1:4" ht="13.5">
      <c r="A2891" s="37">
        <v>101887</v>
      </c>
      <c r="B2891" s="37" t="s">
        <v>7913</v>
      </c>
      <c r="C2891" s="37" t="s">
        <v>6</v>
      </c>
      <c r="D2891" s="326">
        <v>14.52</v>
      </c>
    </row>
    <row r="2892" spans="1:4" ht="13.5">
      <c r="A2892" s="37">
        <v>101888</v>
      </c>
      <c r="B2892" s="37" t="s">
        <v>7914</v>
      </c>
      <c r="C2892" s="37" t="s">
        <v>6</v>
      </c>
      <c r="D2892" s="326">
        <v>21.45</v>
      </c>
    </row>
    <row r="2893" spans="1:4" ht="13.5">
      <c r="A2893" s="37">
        <v>101889</v>
      </c>
      <c r="B2893" s="37" t="s">
        <v>7915</v>
      </c>
      <c r="C2893" s="37" t="s">
        <v>6</v>
      </c>
      <c r="D2893" s="326">
        <v>22.54</v>
      </c>
    </row>
    <row r="2894" spans="1:4" ht="13.5">
      <c r="A2894" s="37">
        <v>91936</v>
      </c>
      <c r="B2894" s="37" t="s">
        <v>17182</v>
      </c>
      <c r="C2894" s="37" t="s">
        <v>7</v>
      </c>
      <c r="D2894" s="326">
        <v>17.84</v>
      </c>
    </row>
    <row r="2895" spans="1:4" ht="13.5">
      <c r="A2895" s="37">
        <v>91937</v>
      </c>
      <c r="B2895" s="37" t="s">
        <v>17183</v>
      </c>
      <c r="C2895" s="37" t="s">
        <v>7</v>
      </c>
      <c r="D2895" s="326">
        <v>15.82</v>
      </c>
    </row>
    <row r="2896" spans="1:4" ht="13.5">
      <c r="A2896" s="37">
        <v>91939</v>
      </c>
      <c r="B2896" s="37" t="s">
        <v>17184</v>
      </c>
      <c r="C2896" s="37" t="s">
        <v>7</v>
      </c>
      <c r="D2896" s="326">
        <v>31.05</v>
      </c>
    </row>
    <row r="2897" spans="1:4" ht="13.5">
      <c r="A2897" s="37">
        <v>91940</v>
      </c>
      <c r="B2897" s="37" t="s">
        <v>17185</v>
      </c>
      <c r="C2897" s="37" t="s">
        <v>7</v>
      </c>
      <c r="D2897" s="326">
        <v>17.86</v>
      </c>
    </row>
    <row r="2898" spans="1:4" ht="13.5">
      <c r="A2898" s="37">
        <v>91941</v>
      </c>
      <c r="B2898" s="37" t="s">
        <v>17186</v>
      </c>
      <c r="C2898" s="37" t="s">
        <v>7</v>
      </c>
      <c r="D2898" s="326">
        <v>11.4</v>
      </c>
    </row>
    <row r="2899" spans="1:4" ht="13.5">
      <c r="A2899" s="37">
        <v>91942</v>
      </c>
      <c r="B2899" s="37" t="s">
        <v>17187</v>
      </c>
      <c r="C2899" s="37" t="s">
        <v>7</v>
      </c>
      <c r="D2899" s="326">
        <v>34.700000000000003</v>
      </c>
    </row>
    <row r="2900" spans="1:4" ht="13.5">
      <c r="A2900" s="37">
        <v>91943</v>
      </c>
      <c r="B2900" s="37" t="s">
        <v>17188</v>
      </c>
      <c r="C2900" s="37" t="s">
        <v>7</v>
      </c>
      <c r="D2900" s="326">
        <v>21.06</v>
      </c>
    </row>
    <row r="2901" spans="1:4" ht="13.5">
      <c r="A2901" s="37">
        <v>91944</v>
      </c>
      <c r="B2901" s="37" t="s">
        <v>17189</v>
      </c>
      <c r="C2901" s="37" t="s">
        <v>7</v>
      </c>
      <c r="D2901" s="326">
        <v>14.35</v>
      </c>
    </row>
    <row r="2902" spans="1:4" ht="13.5">
      <c r="A2902" s="37">
        <v>92865</v>
      </c>
      <c r="B2902" s="37" t="s">
        <v>17190</v>
      </c>
      <c r="C2902" s="37" t="s">
        <v>7</v>
      </c>
      <c r="D2902" s="326">
        <v>14.99</v>
      </c>
    </row>
    <row r="2903" spans="1:4" ht="13.5">
      <c r="A2903" s="37">
        <v>92866</v>
      </c>
      <c r="B2903" s="37" t="s">
        <v>17191</v>
      </c>
      <c r="C2903" s="37" t="s">
        <v>7</v>
      </c>
      <c r="D2903" s="326">
        <v>12.98</v>
      </c>
    </row>
    <row r="2904" spans="1:4" ht="13.5">
      <c r="A2904" s="37">
        <v>92867</v>
      </c>
      <c r="B2904" s="37" t="s">
        <v>17192</v>
      </c>
      <c r="C2904" s="37" t="s">
        <v>7</v>
      </c>
      <c r="D2904" s="326">
        <v>30.27</v>
      </c>
    </row>
    <row r="2905" spans="1:4" ht="13.5">
      <c r="A2905" s="37">
        <v>92868</v>
      </c>
      <c r="B2905" s="37" t="s">
        <v>17193</v>
      </c>
      <c r="C2905" s="37" t="s">
        <v>7</v>
      </c>
      <c r="D2905" s="326">
        <v>17.079999999999998</v>
      </c>
    </row>
    <row r="2906" spans="1:4" ht="13.5">
      <c r="A2906" s="37">
        <v>92869</v>
      </c>
      <c r="B2906" s="37" t="s">
        <v>17194</v>
      </c>
      <c r="C2906" s="37" t="s">
        <v>7</v>
      </c>
      <c r="D2906" s="326">
        <v>10.62</v>
      </c>
    </row>
    <row r="2907" spans="1:4" ht="13.5">
      <c r="A2907" s="37">
        <v>92870</v>
      </c>
      <c r="B2907" s="37" t="s">
        <v>17195</v>
      </c>
      <c r="C2907" s="37" t="s">
        <v>7</v>
      </c>
      <c r="D2907" s="326">
        <v>33.36</v>
      </c>
    </row>
    <row r="2908" spans="1:4" ht="13.5">
      <c r="A2908" s="37">
        <v>92871</v>
      </c>
      <c r="B2908" s="37" t="s">
        <v>17196</v>
      </c>
      <c r="C2908" s="37" t="s">
        <v>7</v>
      </c>
      <c r="D2908" s="326">
        <v>19.72</v>
      </c>
    </row>
    <row r="2909" spans="1:4" ht="13.5">
      <c r="A2909" s="37">
        <v>92872</v>
      </c>
      <c r="B2909" s="37" t="s">
        <v>17197</v>
      </c>
      <c r="C2909" s="37" t="s">
        <v>7</v>
      </c>
      <c r="D2909" s="326">
        <v>13.01</v>
      </c>
    </row>
    <row r="2910" spans="1:4" ht="13.5">
      <c r="A2910" s="37">
        <v>95777</v>
      </c>
      <c r="B2910" s="37" t="s">
        <v>17198</v>
      </c>
      <c r="C2910" s="37" t="s">
        <v>7</v>
      </c>
      <c r="D2910" s="326">
        <v>25.52</v>
      </c>
    </row>
    <row r="2911" spans="1:4" ht="13.5">
      <c r="A2911" s="37">
        <v>95778</v>
      </c>
      <c r="B2911" s="37" t="s">
        <v>17199</v>
      </c>
      <c r="C2911" s="37" t="s">
        <v>7</v>
      </c>
      <c r="D2911" s="326">
        <v>28.49</v>
      </c>
    </row>
    <row r="2912" spans="1:4" ht="13.5">
      <c r="A2912" s="37">
        <v>95779</v>
      </c>
      <c r="B2912" s="37" t="s">
        <v>17200</v>
      </c>
      <c r="C2912" s="37" t="s">
        <v>7</v>
      </c>
      <c r="D2912" s="326">
        <v>23.62</v>
      </c>
    </row>
    <row r="2913" spans="1:4" ht="13.5">
      <c r="A2913" s="37">
        <v>95780</v>
      </c>
      <c r="B2913" s="37" t="s">
        <v>17201</v>
      </c>
      <c r="C2913" s="37" t="s">
        <v>7</v>
      </c>
      <c r="D2913" s="326">
        <v>30.55</v>
      </c>
    </row>
    <row r="2914" spans="1:4" ht="13.5">
      <c r="A2914" s="37">
        <v>95781</v>
      </c>
      <c r="B2914" s="37" t="s">
        <v>17202</v>
      </c>
      <c r="C2914" s="37" t="s">
        <v>7</v>
      </c>
      <c r="D2914" s="326">
        <v>34.590000000000003</v>
      </c>
    </row>
    <row r="2915" spans="1:4" ht="13.5">
      <c r="A2915" s="37">
        <v>95782</v>
      </c>
      <c r="B2915" s="37" t="s">
        <v>17203</v>
      </c>
      <c r="C2915" s="37" t="s">
        <v>7</v>
      </c>
      <c r="D2915" s="326">
        <v>32.72</v>
      </c>
    </row>
    <row r="2916" spans="1:4" ht="13.5">
      <c r="A2916" s="37">
        <v>95785</v>
      </c>
      <c r="B2916" s="37" t="s">
        <v>17204</v>
      </c>
      <c r="C2916" s="37" t="s">
        <v>7</v>
      </c>
      <c r="D2916" s="326">
        <v>38.86</v>
      </c>
    </row>
    <row r="2917" spans="1:4" ht="13.5">
      <c r="A2917" s="37">
        <v>95787</v>
      </c>
      <c r="B2917" s="37" t="s">
        <v>17205</v>
      </c>
      <c r="C2917" s="37" t="s">
        <v>7</v>
      </c>
      <c r="D2917" s="326">
        <v>28.35</v>
      </c>
    </row>
    <row r="2918" spans="1:4" ht="13.5">
      <c r="A2918" s="37">
        <v>95789</v>
      </c>
      <c r="B2918" s="37" t="s">
        <v>17206</v>
      </c>
      <c r="C2918" s="37" t="s">
        <v>7</v>
      </c>
      <c r="D2918" s="326">
        <v>38.96</v>
      </c>
    </row>
    <row r="2919" spans="1:4" ht="13.5">
      <c r="A2919" s="37">
        <v>95791</v>
      </c>
      <c r="B2919" s="37" t="s">
        <v>17207</v>
      </c>
      <c r="C2919" s="37" t="s">
        <v>7</v>
      </c>
      <c r="D2919" s="326">
        <v>54.53</v>
      </c>
    </row>
    <row r="2920" spans="1:4" ht="13.5">
      <c r="A2920" s="37">
        <v>95795</v>
      </c>
      <c r="B2920" s="37" t="s">
        <v>17208</v>
      </c>
      <c r="C2920" s="37" t="s">
        <v>7</v>
      </c>
      <c r="D2920" s="326">
        <v>32.35</v>
      </c>
    </row>
    <row r="2921" spans="1:4" ht="13.5">
      <c r="A2921" s="37">
        <v>95796</v>
      </c>
      <c r="B2921" s="37" t="s">
        <v>17209</v>
      </c>
      <c r="C2921" s="37" t="s">
        <v>7</v>
      </c>
      <c r="D2921" s="326">
        <v>45.79</v>
      </c>
    </row>
    <row r="2922" spans="1:4" ht="13.5">
      <c r="A2922" s="37">
        <v>95797</v>
      </c>
      <c r="B2922" s="37" t="s">
        <v>17210</v>
      </c>
      <c r="C2922" s="37" t="s">
        <v>7</v>
      </c>
      <c r="D2922" s="326">
        <v>63.63</v>
      </c>
    </row>
    <row r="2923" spans="1:4" ht="13.5">
      <c r="A2923" s="37">
        <v>95801</v>
      </c>
      <c r="B2923" s="37" t="s">
        <v>17211</v>
      </c>
      <c r="C2923" s="37" t="s">
        <v>7</v>
      </c>
      <c r="D2923" s="326">
        <v>38.909999999999997</v>
      </c>
    </row>
    <row r="2924" spans="1:4" ht="13.5">
      <c r="A2924" s="37">
        <v>95802</v>
      </c>
      <c r="B2924" s="37" t="s">
        <v>17212</v>
      </c>
      <c r="C2924" s="37" t="s">
        <v>7</v>
      </c>
      <c r="D2924" s="326">
        <v>48.3</v>
      </c>
    </row>
    <row r="2925" spans="1:4" ht="13.5">
      <c r="A2925" s="37">
        <v>95803</v>
      </c>
      <c r="B2925" s="37" t="s">
        <v>17213</v>
      </c>
      <c r="C2925" s="37" t="s">
        <v>7</v>
      </c>
      <c r="D2925" s="326">
        <v>70.739999999999995</v>
      </c>
    </row>
    <row r="2926" spans="1:4" ht="13.5">
      <c r="A2926" s="37">
        <v>95804</v>
      </c>
      <c r="B2926" s="37" t="s">
        <v>17214</v>
      </c>
      <c r="C2926" s="37" t="s">
        <v>7</v>
      </c>
      <c r="D2926" s="326">
        <v>21.98</v>
      </c>
    </row>
    <row r="2927" spans="1:4" ht="13.5">
      <c r="A2927" s="37">
        <v>95805</v>
      </c>
      <c r="B2927" s="37" t="s">
        <v>17215</v>
      </c>
      <c r="C2927" s="37" t="s">
        <v>7</v>
      </c>
      <c r="D2927" s="326">
        <v>23.24</v>
      </c>
    </row>
    <row r="2928" spans="1:4" ht="13.5">
      <c r="A2928" s="37">
        <v>95806</v>
      </c>
      <c r="B2928" s="37" t="s">
        <v>17216</v>
      </c>
      <c r="C2928" s="37" t="s">
        <v>7</v>
      </c>
      <c r="D2928" s="326">
        <v>25.5</v>
      </c>
    </row>
    <row r="2929" spans="1:4" ht="13.5">
      <c r="A2929" s="37">
        <v>95807</v>
      </c>
      <c r="B2929" s="37" t="s">
        <v>17217</v>
      </c>
      <c r="C2929" s="37" t="s">
        <v>7</v>
      </c>
      <c r="D2929" s="326">
        <v>25.85</v>
      </c>
    </row>
    <row r="2930" spans="1:4" ht="13.5">
      <c r="A2930" s="37">
        <v>95808</v>
      </c>
      <c r="B2930" s="37" t="s">
        <v>17218</v>
      </c>
      <c r="C2930" s="37" t="s">
        <v>7</v>
      </c>
      <c r="D2930" s="326">
        <v>29.65</v>
      </c>
    </row>
    <row r="2931" spans="1:4" ht="13.5">
      <c r="A2931" s="37">
        <v>95809</v>
      </c>
      <c r="B2931" s="37" t="s">
        <v>17219</v>
      </c>
      <c r="C2931" s="37" t="s">
        <v>7</v>
      </c>
      <c r="D2931" s="326">
        <v>36.9</v>
      </c>
    </row>
    <row r="2932" spans="1:4" ht="13.5">
      <c r="A2932" s="37">
        <v>95810</v>
      </c>
      <c r="B2932" s="37" t="s">
        <v>17220</v>
      </c>
      <c r="C2932" s="37" t="s">
        <v>7</v>
      </c>
      <c r="D2932" s="326">
        <v>15.92</v>
      </c>
    </row>
    <row r="2933" spans="1:4" ht="13.5">
      <c r="A2933" s="37">
        <v>95811</v>
      </c>
      <c r="B2933" s="37" t="s">
        <v>17221</v>
      </c>
      <c r="C2933" s="37" t="s">
        <v>7</v>
      </c>
      <c r="D2933" s="326">
        <v>19.73</v>
      </c>
    </row>
    <row r="2934" spans="1:4" ht="13.5">
      <c r="A2934" s="37">
        <v>95812</v>
      </c>
      <c r="B2934" s="37" t="s">
        <v>17222</v>
      </c>
      <c r="C2934" s="37" t="s">
        <v>7</v>
      </c>
      <c r="D2934" s="326">
        <v>26.96</v>
      </c>
    </row>
    <row r="2935" spans="1:4" ht="13.5">
      <c r="A2935" s="37">
        <v>95813</v>
      </c>
      <c r="B2935" s="37" t="s">
        <v>17223</v>
      </c>
      <c r="C2935" s="37" t="s">
        <v>7</v>
      </c>
      <c r="D2935" s="326">
        <v>18.52</v>
      </c>
    </row>
    <row r="2936" spans="1:4" ht="13.5">
      <c r="A2936" s="37">
        <v>95814</v>
      </c>
      <c r="B2936" s="37" t="s">
        <v>17224</v>
      </c>
      <c r="C2936" s="37" t="s">
        <v>7</v>
      </c>
      <c r="D2936" s="326">
        <v>23.59</v>
      </c>
    </row>
    <row r="2937" spans="1:4" ht="13.5">
      <c r="A2937" s="37">
        <v>95815</v>
      </c>
      <c r="B2937" s="37" t="s">
        <v>17225</v>
      </c>
      <c r="C2937" s="37" t="s">
        <v>7</v>
      </c>
      <c r="D2937" s="326">
        <v>34.82</v>
      </c>
    </row>
    <row r="2938" spans="1:4" ht="13.5">
      <c r="A2938" s="37">
        <v>95816</v>
      </c>
      <c r="B2938" s="37" t="s">
        <v>17226</v>
      </c>
      <c r="C2938" s="37" t="s">
        <v>7</v>
      </c>
      <c r="D2938" s="326">
        <v>31.32</v>
      </c>
    </row>
    <row r="2939" spans="1:4" ht="13.5">
      <c r="A2939" s="37">
        <v>95817</v>
      </c>
      <c r="B2939" s="37" t="s">
        <v>17227</v>
      </c>
      <c r="C2939" s="37" t="s">
        <v>7</v>
      </c>
      <c r="D2939" s="326">
        <v>37.18</v>
      </c>
    </row>
    <row r="2940" spans="1:4" ht="13.5">
      <c r="A2940" s="37">
        <v>95818</v>
      </c>
      <c r="B2940" s="37" t="s">
        <v>17228</v>
      </c>
      <c r="C2940" s="37" t="s">
        <v>7</v>
      </c>
      <c r="D2940" s="326">
        <v>51.63</v>
      </c>
    </row>
    <row r="2941" spans="1:4" ht="13.5">
      <c r="A2941" s="37">
        <v>97881</v>
      </c>
      <c r="B2941" s="37" t="s">
        <v>7916</v>
      </c>
      <c r="C2941" s="37" t="s">
        <v>7</v>
      </c>
      <c r="D2941" s="326">
        <v>123.53</v>
      </c>
    </row>
    <row r="2942" spans="1:4" ht="13.5">
      <c r="A2942" s="37">
        <v>97882</v>
      </c>
      <c r="B2942" s="37" t="s">
        <v>7917</v>
      </c>
      <c r="C2942" s="37" t="s">
        <v>7</v>
      </c>
      <c r="D2942" s="326">
        <v>193.45</v>
      </c>
    </row>
    <row r="2943" spans="1:4" ht="13.5">
      <c r="A2943" s="37">
        <v>97883</v>
      </c>
      <c r="B2943" s="37" t="s">
        <v>7918</v>
      </c>
      <c r="C2943" s="37" t="s">
        <v>7</v>
      </c>
      <c r="D2943" s="326">
        <v>374.82</v>
      </c>
    </row>
    <row r="2944" spans="1:4" ht="13.5">
      <c r="A2944" s="37">
        <v>97884</v>
      </c>
      <c r="B2944" s="37" t="s">
        <v>7919</v>
      </c>
      <c r="C2944" s="37" t="s">
        <v>7</v>
      </c>
      <c r="D2944" s="326">
        <v>730.83</v>
      </c>
    </row>
    <row r="2945" spans="1:4" ht="13.5">
      <c r="A2945" s="37">
        <v>97885</v>
      </c>
      <c r="B2945" s="37" t="s">
        <v>7920</v>
      </c>
      <c r="C2945" s="37" t="s">
        <v>7</v>
      </c>
      <c r="D2945" s="38">
        <v>1124.3499999999999</v>
      </c>
    </row>
    <row r="2946" spans="1:4" ht="13.5">
      <c r="A2946" s="37">
        <v>97886</v>
      </c>
      <c r="B2946" s="37" t="s">
        <v>7921</v>
      </c>
      <c r="C2946" s="37" t="s">
        <v>7</v>
      </c>
      <c r="D2946" s="326">
        <v>150.56</v>
      </c>
    </row>
    <row r="2947" spans="1:4" ht="13.5">
      <c r="A2947" s="37">
        <v>97887</v>
      </c>
      <c r="B2947" s="37" t="s">
        <v>7922</v>
      </c>
      <c r="C2947" s="37" t="s">
        <v>7</v>
      </c>
      <c r="D2947" s="326">
        <v>235.97</v>
      </c>
    </row>
    <row r="2948" spans="1:4" ht="13.5">
      <c r="A2948" s="37">
        <v>97888</v>
      </c>
      <c r="B2948" s="37" t="s">
        <v>7923</v>
      </c>
      <c r="C2948" s="37" t="s">
        <v>7</v>
      </c>
      <c r="D2948" s="326">
        <v>452.53</v>
      </c>
    </row>
    <row r="2949" spans="1:4" ht="13.5">
      <c r="A2949" s="37">
        <v>97889</v>
      </c>
      <c r="B2949" s="37" t="s">
        <v>7924</v>
      </c>
      <c r="C2949" s="37" t="s">
        <v>7</v>
      </c>
      <c r="D2949" s="326">
        <v>617.39</v>
      </c>
    </row>
    <row r="2950" spans="1:4" ht="13.5">
      <c r="A2950" s="37">
        <v>97890</v>
      </c>
      <c r="B2950" s="37" t="s">
        <v>7925</v>
      </c>
      <c r="C2950" s="37" t="s">
        <v>7</v>
      </c>
      <c r="D2950" s="326">
        <v>705.12</v>
      </c>
    </row>
    <row r="2951" spans="1:4" ht="13.5">
      <c r="A2951" s="37">
        <v>97891</v>
      </c>
      <c r="B2951" s="37" t="s">
        <v>7926</v>
      </c>
      <c r="C2951" s="37" t="s">
        <v>7</v>
      </c>
      <c r="D2951" s="326">
        <v>191.78</v>
      </c>
    </row>
    <row r="2952" spans="1:4" ht="13.5">
      <c r="A2952" s="37">
        <v>97892</v>
      </c>
      <c r="B2952" s="37" t="s">
        <v>7927</v>
      </c>
      <c r="C2952" s="37" t="s">
        <v>7</v>
      </c>
      <c r="D2952" s="326">
        <v>359.12</v>
      </c>
    </row>
    <row r="2953" spans="1:4" ht="13.5">
      <c r="A2953" s="37">
        <v>97893</v>
      </c>
      <c r="B2953" s="37" t="s">
        <v>7928</v>
      </c>
      <c r="C2953" s="37" t="s">
        <v>7</v>
      </c>
      <c r="D2953" s="326">
        <v>498.25</v>
      </c>
    </row>
    <row r="2954" spans="1:4" ht="13.5">
      <c r="A2954" s="37">
        <v>97894</v>
      </c>
      <c r="B2954" s="37" t="s">
        <v>7929</v>
      </c>
      <c r="C2954" s="37" t="s">
        <v>7</v>
      </c>
      <c r="D2954" s="326">
        <v>560.74</v>
      </c>
    </row>
    <row r="2955" spans="1:4" ht="13.5">
      <c r="A2955" s="37">
        <v>104396</v>
      </c>
      <c r="B2955" s="37" t="s">
        <v>17229</v>
      </c>
      <c r="C2955" s="37" t="s">
        <v>7</v>
      </c>
      <c r="D2955" s="326">
        <v>21.94</v>
      </c>
    </row>
    <row r="2956" spans="1:4" ht="13.5">
      <c r="A2956" s="37">
        <v>104397</v>
      </c>
      <c r="B2956" s="37" t="s">
        <v>17230</v>
      </c>
      <c r="C2956" s="37" t="s">
        <v>7</v>
      </c>
      <c r="D2956" s="326">
        <v>26.12</v>
      </c>
    </row>
    <row r="2957" spans="1:4" ht="13.5">
      <c r="A2957" s="37">
        <v>104398</v>
      </c>
      <c r="B2957" s="37" t="s">
        <v>17231</v>
      </c>
      <c r="C2957" s="37" t="s">
        <v>7</v>
      </c>
      <c r="D2957" s="326">
        <v>25.83</v>
      </c>
    </row>
    <row r="2958" spans="1:4" ht="13.5">
      <c r="A2958" s="37">
        <v>104399</v>
      </c>
      <c r="B2958" s="37" t="s">
        <v>17232</v>
      </c>
      <c r="C2958" s="37" t="s">
        <v>7</v>
      </c>
      <c r="D2958" s="326">
        <v>28.34</v>
      </c>
    </row>
    <row r="2959" spans="1:4" ht="13.5">
      <c r="A2959" s="37">
        <v>104400</v>
      </c>
      <c r="B2959" s="37" t="s">
        <v>17233</v>
      </c>
      <c r="C2959" s="37" t="s">
        <v>7</v>
      </c>
      <c r="D2959" s="326">
        <v>36.340000000000003</v>
      </c>
    </row>
    <row r="2960" spans="1:4" ht="13.5">
      <c r="A2960" s="37">
        <v>104401</v>
      </c>
      <c r="B2960" s="37" t="s">
        <v>17234</v>
      </c>
      <c r="C2960" s="37" t="s">
        <v>7</v>
      </c>
      <c r="D2960" s="326">
        <v>24.44</v>
      </c>
    </row>
    <row r="2961" spans="1:4" ht="13.5">
      <c r="A2961" s="37">
        <v>104402</v>
      </c>
      <c r="B2961" s="37" t="s">
        <v>17235</v>
      </c>
      <c r="C2961" s="37" t="s">
        <v>7</v>
      </c>
      <c r="D2961" s="326">
        <v>25.68</v>
      </c>
    </row>
    <row r="2962" spans="1:4" ht="13.5">
      <c r="A2962" s="37">
        <v>104403</v>
      </c>
      <c r="B2962" s="37" t="s">
        <v>17236</v>
      </c>
      <c r="C2962" s="37" t="s">
        <v>7</v>
      </c>
      <c r="D2962" s="326">
        <v>31.9</v>
      </c>
    </row>
    <row r="2963" spans="1:4" ht="13.5">
      <c r="A2963" s="37">
        <v>104404</v>
      </c>
      <c r="B2963" s="37" t="s">
        <v>17237</v>
      </c>
      <c r="C2963" s="37" t="s">
        <v>7</v>
      </c>
      <c r="D2963" s="326">
        <v>33.119999999999997</v>
      </c>
    </row>
    <row r="2964" spans="1:4" ht="13.5">
      <c r="A2964" s="37">
        <v>104405</v>
      </c>
      <c r="B2964" s="37" t="s">
        <v>17238</v>
      </c>
      <c r="C2964" s="37" t="s">
        <v>7</v>
      </c>
      <c r="D2964" s="326">
        <v>44.76</v>
      </c>
    </row>
    <row r="2965" spans="1:4" ht="13.5">
      <c r="A2965" s="37">
        <v>93653</v>
      </c>
      <c r="B2965" s="37" t="s">
        <v>7930</v>
      </c>
      <c r="C2965" s="37" t="s">
        <v>7</v>
      </c>
      <c r="D2965" s="326">
        <v>10.53</v>
      </c>
    </row>
    <row r="2966" spans="1:4" ht="13.5">
      <c r="A2966" s="37">
        <v>93654</v>
      </c>
      <c r="B2966" s="37" t="s">
        <v>7931</v>
      </c>
      <c r="C2966" s="37" t="s">
        <v>7</v>
      </c>
      <c r="D2966" s="326">
        <v>11.17</v>
      </c>
    </row>
    <row r="2967" spans="1:4" ht="13.5">
      <c r="A2967" s="37">
        <v>93655</v>
      </c>
      <c r="B2967" s="37" t="s">
        <v>7932</v>
      </c>
      <c r="C2967" s="37" t="s">
        <v>7</v>
      </c>
      <c r="D2967" s="326">
        <v>12.41</v>
      </c>
    </row>
    <row r="2968" spans="1:4" ht="13.5">
      <c r="A2968" s="37">
        <v>93656</v>
      </c>
      <c r="B2968" s="37" t="s">
        <v>7933</v>
      </c>
      <c r="C2968" s="37" t="s">
        <v>7</v>
      </c>
      <c r="D2968" s="326">
        <v>12.41</v>
      </c>
    </row>
    <row r="2969" spans="1:4" ht="13.5">
      <c r="A2969" s="37">
        <v>93657</v>
      </c>
      <c r="B2969" s="37" t="s">
        <v>7934</v>
      </c>
      <c r="C2969" s="37" t="s">
        <v>7</v>
      </c>
      <c r="D2969" s="326">
        <v>13.94</v>
      </c>
    </row>
    <row r="2970" spans="1:4" ht="13.5">
      <c r="A2970" s="37">
        <v>93658</v>
      </c>
      <c r="B2970" s="37" t="s">
        <v>7935</v>
      </c>
      <c r="C2970" s="37" t="s">
        <v>7</v>
      </c>
      <c r="D2970" s="326">
        <v>20.04</v>
      </c>
    </row>
    <row r="2971" spans="1:4" ht="13.5">
      <c r="A2971" s="37">
        <v>93659</v>
      </c>
      <c r="B2971" s="37" t="s">
        <v>7936</v>
      </c>
      <c r="C2971" s="37" t="s">
        <v>7</v>
      </c>
      <c r="D2971" s="326">
        <v>23.11</v>
      </c>
    </row>
    <row r="2972" spans="1:4" ht="13.5">
      <c r="A2972" s="37">
        <v>93660</v>
      </c>
      <c r="B2972" s="37" t="s">
        <v>7937</v>
      </c>
      <c r="C2972" s="37" t="s">
        <v>7</v>
      </c>
      <c r="D2972" s="326">
        <v>49.89</v>
      </c>
    </row>
    <row r="2973" spans="1:4" ht="13.5">
      <c r="A2973" s="37">
        <v>93661</v>
      </c>
      <c r="B2973" s="37" t="s">
        <v>7938</v>
      </c>
      <c r="C2973" s="37" t="s">
        <v>7</v>
      </c>
      <c r="D2973" s="326">
        <v>51.16</v>
      </c>
    </row>
    <row r="2974" spans="1:4" ht="13.5">
      <c r="A2974" s="37">
        <v>93662</v>
      </c>
      <c r="B2974" s="37" t="s">
        <v>7939</v>
      </c>
      <c r="C2974" s="37" t="s">
        <v>7</v>
      </c>
      <c r="D2974" s="326">
        <v>53.65</v>
      </c>
    </row>
    <row r="2975" spans="1:4" ht="13.5">
      <c r="A2975" s="37">
        <v>93663</v>
      </c>
      <c r="B2975" s="37" t="s">
        <v>7940</v>
      </c>
      <c r="C2975" s="37" t="s">
        <v>7</v>
      </c>
      <c r="D2975" s="326">
        <v>53.65</v>
      </c>
    </row>
    <row r="2976" spans="1:4" ht="13.5">
      <c r="A2976" s="37">
        <v>93664</v>
      </c>
      <c r="B2976" s="37" t="s">
        <v>7941</v>
      </c>
      <c r="C2976" s="37" t="s">
        <v>7</v>
      </c>
      <c r="D2976" s="326">
        <v>56.71</v>
      </c>
    </row>
    <row r="2977" spans="1:4" ht="13.5">
      <c r="A2977" s="37">
        <v>93665</v>
      </c>
      <c r="B2977" s="37" t="s">
        <v>7942</v>
      </c>
      <c r="C2977" s="37" t="s">
        <v>7</v>
      </c>
      <c r="D2977" s="326">
        <v>60.77</v>
      </c>
    </row>
    <row r="2978" spans="1:4" ht="13.5">
      <c r="A2978" s="37">
        <v>93666</v>
      </c>
      <c r="B2978" s="37" t="s">
        <v>7943</v>
      </c>
      <c r="C2978" s="37" t="s">
        <v>7</v>
      </c>
      <c r="D2978" s="326">
        <v>66.91</v>
      </c>
    </row>
    <row r="2979" spans="1:4" ht="13.5">
      <c r="A2979" s="37">
        <v>93667</v>
      </c>
      <c r="B2979" s="37" t="s">
        <v>7944</v>
      </c>
      <c r="C2979" s="37" t="s">
        <v>7</v>
      </c>
      <c r="D2979" s="326">
        <v>62.67</v>
      </c>
    </row>
    <row r="2980" spans="1:4" ht="13.5">
      <c r="A2980" s="37">
        <v>93668</v>
      </c>
      <c r="B2980" s="37" t="s">
        <v>7945</v>
      </c>
      <c r="C2980" s="37" t="s">
        <v>7</v>
      </c>
      <c r="D2980" s="326">
        <v>64.569999999999993</v>
      </c>
    </row>
    <row r="2981" spans="1:4" ht="13.5">
      <c r="A2981" s="37">
        <v>93669</v>
      </c>
      <c r="B2981" s="37" t="s">
        <v>7946</v>
      </c>
      <c r="C2981" s="37" t="s">
        <v>7</v>
      </c>
      <c r="D2981" s="326">
        <v>68.319999999999993</v>
      </c>
    </row>
    <row r="2982" spans="1:4" ht="13.5">
      <c r="A2982" s="37">
        <v>93670</v>
      </c>
      <c r="B2982" s="37" t="s">
        <v>7947</v>
      </c>
      <c r="C2982" s="37" t="s">
        <v>7</v>
      </c>
      <c r="D2982" s="326">
        <v>68.319999999999993</v>
      </c>
    </row>
    <row r="2983" spans="1:4" ht="13.5">
      <c r="A2983" s="37">
        <v>93671</v>
      </c>
      <c r="B2983" s="37" t="s">
        <v>7948</v>
      </c>
      <c r="C2983" s="37" t="s">
        <v>7</v>
      </c>
      <c r="D2983" s="326">
        <v>72.900000000000006</v>
      </c>
    </row>
    <row r="2984" spans="1:4" ht="13.5">
      <c r="A2984" s="37">
        <v>93672</v>
      </c>
      <c r="B2984" s="37" t="s">
        <v>7949</v>
      </c>
      <c r="C2984" s="37" t="s">
        <v>7</v>
      </c>
      <c r="D2984" s="326">
        <v>80.02</v>
      </c>
    </row>
    <row r="2985" spans="1:4" ht="13.5">
      <c r="A2985" s="37">
        <v>93673</v>
      </c>
      <c r="B2985" s="37" t="s">
        <v>7950</v>
      </c>
      <c r="C2985" s="37" t="s">
        <v>7</v>
      </c>
      <c r="D2985" s="326">
        <v>89.22</v>
      </c>
    </row>
    <row r="2986" spans="1:4" ht="13.5">
      <c r="A2986" s="37">
        <v>97359</v>
      </c>
      <c r="B2986" s="37" t="s">
        <v>7951</v>
      </c>
      <c r="C2986" s="37" t="s">
        <v>7</v>
      </c>
      <c r="D2986" s="38">
        <v>2959.4</v>
      </c>
    </row>
    <row r="2987" spans="1:4" ht="13.5">
      <c r="A2987" s="37">
        <v>97360</v>
      </c>
      <c r="B2987" s="37" t="s">
        <v>7952</v>
      </c>
      <c r="C2987" s="37" t="s">
        <v>7</v>
      </c>
      <c r="D2987" s="38">
        <v>5687.02</v>
      </c>
    </row>
    <row r="2988" spans="1:4" ht="13.5">
      <c r="A2988" s="37">
        <v>97361</v>
      </c>
      <c r="B2988" s="37" t="s">
        <v>7953</v>
      </c>
      <c r="C2988" s="37" t="s">
        <v>7</v>
      </c>
      <c r="D2988" s="38">
        <v>7582.7</v>
      </c>
    </row>
    <row r="2989" spans="1:4" ht="13.5">
      <c r="A2989" s="37">
        <v>97362</v>
      </c>
      <c r="B2989" s="37" t="s">
        <v>7954</v>
      </c>
      <c r="C2989" s="37" t="s">
        <v>7</v>
      </c>
      <c r="D2989" s="38">
        <v>1999.09</v>
      </c>
    </row>
    <row r="2990" spans="1:4" ht="13.5">
      <c r="A2990" s="37">
        <v>101875</v>
      </c>
      <c r="B2990" s="37" t="s">
        <v>7955</v>
      </c>
      <c r="C2990" s="37" t="s">
        <v>7</v>
      </c>
      <c r="D2990" s="326">
        <v>428.04</v>
      </c>
    </row>
    <row r="2991" spans="1:4" ht="13.5">
      <c r="A2991" s="37">
        <v>101876</v>
      </c>
      <c r="B2991" s="37" t="s">
        <v>7956</v>
      </c>
      <c r="C2991" s="37" t="s">
        <v>7</v>
      </c>
      <c r="D2991" s="326">
        <v>69.48</v>
      </c>
    </row>
    <row r="2992" spans="1:4" ht="13.5">
      <c r="A2992" s="37">
        <v>101877</v>
      </c>
      <c r="B2992" s="37" t="s">
        <v>7957</v>
      </c>
      <c r="C2992" s="37" t="s">
        <v>7</v>
      </c>
      <c r="D2992" s="326">
        <v>48.7</v>
      </c>
    </row>
    <row r="2993" spans="1:4" ht="13.5">
      <c r="A2993" s="37">
        <v>101878</v>
      </c>
      <c r="B2993" s="37" t="s">
        <v>7958</v>
      </c>
      <c r="C2993" s="37" t="s">
        <v>7</v>
      </c>
      <c r="D2993" s="326">
        <v>591.51</v>
      </c>
    </row>
    <row r="2994" spans="1:4" ht="13.5">
      <c r="A2994" s="37">
        <v>101879</v>
      </c>
      <c r="B2994" s="37" t="s">
        <v>7959</v>
      </c>
      <c r="C2994" s="37" t="s">
        <v>7</v>
      </c>
      <c r="D2994" s="326">
        <v>619.76</v>
      </c>
    </row>
    <row r="2995" spans="1:4" ht="13.5">
      <c r="A2995" s="37">
        <v>101880</v>
      </c>
      <c r="B2995" s="37" t="s">
        <v>7960</v>
      </c>
      <c r="C2995" s="37" t="s">
        <v>7</v>
      </c>
      <c r="D2995" s="326">
        <v>713.47</v>
      </c>
    </row>
    <row r="2996" spans="1:4" ht="13.5">
      <c r="A2996" s="37">
        <v>101881</v>
      </c>
      <c r="B2996" s="37" t="s">
        <v>7961</v>
      </c>
      <c r="C2996" s="37" t="s">
        <v>7</v>
      </c>
      <c r="D2996" s="38">
        <v>1026.32</v>
      </c>
    </row>
    <row r="2997" spans="1:4" ht="13.5">
      <c r="A2997" s="37">
        <v>101882</v>
      </c>
      <c r="B2997" s="37" t="s">
        <v>7962</v>
      </c>
      <c r="C2997" s="37" t="s">
        <v>7</v>
      </c>
      <c r="D2997" s="38">
        <v>1457.43</v>
      </c>
    </row>
    <row r="2998" spans="1:4" ht="13.5">
      <c r="A2998" s="37">
        <v>101883</v>
      </c>
      <c r="B2998" s="37" t="s">
        <v>7963</v>
      </c>
      <c r="C2998" s="37" t="s">
        <v>7</v>
      </c>
      <c r="D2998" s="326">
        <v>590.82000000000005</v>
      </c>
    </row>
    <row r="2999" spans="1:4" ht="13.5">
      <c r="A2999" s="37">
        <v>101890</v>
      </c>
      <c r="B2999" s="37" t="s">
        <v>7964</v>
      </c>
      <c r="C2999" s="37" t="s">
        <v>7</v>
      </c>
      <c r="D2999" s="326">
        <v>14.69</v>
      </c>
    </row>
    <row r="3000" spans="1:4" ht="13.5">
      <c r="A3000" s="37">
        <v>101891</v>
      </c>
      <c r="B3000" s="37" t="s">
        <v>7965</v>
      </c>
      <c r="C3000" s="37" t="s">
        <v>7</v>
      </c>
      <c r="D3000" s="326">
        <v>25.36</v>
      </c>
    </row>
    <row r="3001" spans="1:4" ht="13.5">
      <c r="A3001" s="37">
        <v>101892</v>
      </c>
      <c r="B3001" s="37" t="s">
        <v>7966</v>
      </c>
      <c r="C3001" s="37" t="s">
        <v>7</v>
      </c>
      <c r="D3001" s="326">
        <v>63.21</v>
      </c>
    </row>
    <row r="3002" spans="1:4" ht="13.5">
      <c r="A3002" s="37">
        <v>101893</v>
      </c>
      <c r="B3002" s="37" t="s">
        <v>7967</v>
      </c>
      <c r="C3002" s="37" t="s">
        <v>7</v>
      </c>
      <c r="D3002" s="326">
        <v>81.23</v>
      </c>
    </row>
    <row r="3003" spans="1:4" ht="13.5">
      <c r="A3003" s="37">
        <v>101894</v>
      </c>
      <c r="B3003" s="37" t="s">
        <v>7968</v>
      </c>
      <c r="C3003" s="37" t="s">
        <v>7</v>
      </c>
      <c r="D3003" s="326">
        <v>142.91</v>
      </c>
    </row>
    <row r="3004" spans="1:4" ht="13.5">
      <c r="A3004" s="37">
        <v>101895</v>
      </c>
      <c r="B3004" s="37" t="s">
        <v>7969</v>
      </c>
      <c r="C3004" s="37" t="s">
        <v>7</v>
      </c>
      <c r="D3004" s="326">
        <v>379.71</v>
      </c>
    </row>
    <row r="3005" spans="1:4" ht="13.5">
      <c r="A3005" s="37">
        <v>101896</v>
      </c>
      <c r="B3005" s="37" t="s">
        <v>7970</v>
      </c>
      <c r="C3005" s="37" t="s">
        <v>7</v>
      </c>
      <c r="D3005" s="326">
        <v>563.76</v>
      </c>
    </row>
    <row r="3006" spans="1:4" ht="13.5">
      <c r="A3006" s="37">
        <v>101897</v>
      </c>
      <c r="B3006" s="37" t="s">
        <v>7971</v>
      </c>
      <c r="C3006" s="37" t="s">
        <v>7</v>
      </c>
      <c r="D3006" s="326">
        <v>891.8</v>
      </c>
    </row>
    <row r="3007" spans="1:4" ht="13.5">
      <c r="A3007" s="37">
        <v>101898</v>
      </c>
      <c r="B3007" s="37" t="s">
        <v>7972</v>
      </c>
      <c r="C3007" s="37" t="s">
        <v>7</v>
      </c>
      <c r="D3007" s="38">
        <v>1186.44</v>
      </c>
    </row>
    <row r="3008" spans="1:4" ht="13.5">
      <c r="A3008" s="37">
        <v>101899</v>
      </c>
      <c r="B3008" s="37" t="s">
        <v>7973</v>
      </c>
      <c r="C3008" s="37" t="s">
        <v>7</v>
      </c>
      <c r="D3008" s="38">
        <v>1887.3</v>
      </c>
    </row>
    <row r="3009" spans="1:4" ht="13.5">
      <c r="A3009" s="37">
        <v>101900</v>
      </c>
      <c r="B3009" s="37" t="s">
        <v>7974</v>
      </c>
      <c r="C3009" s="37" t="s">
        <v>7</v>
      </c>
      <c r="D3009" s="38">
        <v>3917.28</v>
      </c>
    </row>
    <row r="3010" spans="1:4" ht="13.5">
      <c r="A3010" s="37">
        <v>101901</v>
      </c>
      <c r="B3010" s="37" t="s">
        <v>7975</v>
      </c>
      <c r="C3010" s="37" t="s">
        <v>7</v>
      </c>
      <c r="D3010" s="326">
        <v>126.4</v>
      </c>
    </row>
    <row r="3011" spans="1:4" ht="13.5">
      <c r="A3011" s="37">
        <v>101902</v>
      </c>
      <c r="B3011" s="37" t="s">
        <v>7976</v>
      </c>
      <c r="C3011" s="37" t="s">
        <v>7</v>
      </c>
      <c r="D3011" s="326">
        <v>156.4</v>
      </c>
    </row>
    <row r="3012" spans="1:4" ht="13.5">
      <c r="A3012" s="37">
        <v>101903</v>
      </c>
      <c r="B3012" s="37" t="s">
        <v>7977</v>
      </c>
      <c r="C3012" s="37" t="s">
        <v>7</v>
      </c>
      <c r="D3012" s="326">
        <v>325.56</v>
      </c>
    </row>
    <row r="3013" spans="1:4" ht="13.5">
      <c r="A3013" s="37">
        <v>101904</v>
      </c>
      <c r="B3013" s="37" t="s">
        <v>7978</v>
      </c>
      <c r="C3013" s="37" t="s">
        <v>7</v>
      </c>
      <c r="D3013" s="38">
        <v>1188.57</v>
      </c>
    </row>
    <row r="3014" spans="1:4" ht="13.5">
      <c r="A3014" s="37">
        <v>101938</v>
      </c>
      <c r="B3014" s="37" t="s">
        <v>7979</v>
      </c>
      <c r="C3014" s="37" t="s">
        <v>7</v>
      </c>
      <c r="D3014" s="326">
        <v>93.02</v>
      </c>
    </row>
    <row r="3015" spans="1:4" ht="13.5">
      <c r="A3015" s="37">
        <v>101946</v>
      </c>
      <c r="B3015" s="37" t="s">
        <v>7980</v>
      </c>
      <c r="C3015" s="37" t="s">
        <v>7</v>
      </c>
      <c r="D3015" s="326">
        <v>145.91999999999999</v>
      </c>
    </row>
    <row r="3016" spans="1:4" ht="13.5">
      <c r="A3016" s="37">
        <v>91945</v>
      </c>
      <c r="B3016" s="37" t="s">
        <v>17239</v>
      </c>
      <c r="C3016" s="37" t="s">
        <v>7</v>
      </c>
      <c r="D3016" s="326">
        <v>14.61</v>
      </c>
    </row>
    <row r="3017" spans="1:4" ht="13.5">
      <c r="A3017" s="37">
        <v>91946</v>
      </c>
      <c r="B3017" s="37" t="s">
        <v>17240</v>
      </c>
      <c r="C3017" s="37" t="s">
        <v>7</v>
      </c>
      <c r="D3017" s="326">
        <v>11.61</v>
      </c>
    </row>
    <row r="3018" spans="1:4" ht="13.5">
      <c r="A3018" s="37">
        <v>91947</v>
      </c>
      <c r="B3018" s="37" t="s">
        <v>17241</v>
      </c>
      <c r="C3018" s="37" t="s">
        <v>7</v>
      </c>
      <c r="D3018" s="326">
        <v>9.73</v>
      </c>
    </row>
    <row r="3019" spans="1:4" ht="13.5">
      <c r="A3019" s="37">
        <v>91949</v>
      </c>
      <c r="B3019" s="37" t="s">
        <v>17242</v>
      </c>
      <c r="C3019" s="37" t="s">
        <v>7</v>
      </c>
      <c r="D3019" s="326">
        <v>20.98</v>
      </c>
    </row>
    <row r="3020" spans="1:4" ht="13.5">
      <c r="A3020" s="37">
        <v>91950</v>
      </c>
      <c r="B3020" s="37" t="s">
        <v>17243</v>
      </c>
      <c r="C3020" s="37" t="s">
        <v>7</v>
      </c>
      <c r="D3020" s="326">
        <v>17.309999999999999</v>
      </c>
    </row>
    <row r="3021" spans="1:4" ht="13.5">
      <c r="A3021" s="37">
        <v>91951</v>
      </c>
      <c r="B3021" s="37" t="s">
        <v>17244</v>
      </c>
      <c r="C3021" s="37" t="s">
        <v>7</v>
      </c>
      <c r="D3021" s="326">
        <v>15.12</v>
      </c>
    </row>
    <row r="3022" spans="1:4" ht="13.5">
      <c r="A3022" s="37">
        <v>91952</v>
      </c>
      <c r="B3022" s="37" t="s">
        <v>17245</v>
      </c>
      <c r="C3022" s="37" t="s">
        <v>7</v>
      </c>
      <c r="D3022" s="326">
        <v>19.739999999999998</v>
      </c>
    </row>
    <row r="3023" spans="1:4" ht="13.5">
      <c r="A3023" s="37">
        <v>91953</v>
      </c>
      <c r="B3023" s="37" t="s">
        <v>17246</v>
      </c>
      <c r="C3023" s="37" t="s">
        <v>7</v>
      </c>
      <c r="D3023" s="326">
        <v>31.35</v>
      </c>
    </row>
    <row r="3024" spans="1:4" ht="13.5">
      <c r="A3024" s="37">
        <v>91954</v>
      </c>
      <c r="B3024" s="37" t="s">
        <v>17247</v>
      </c>
      <c r="C3024" s="37" t="s">
        <v>7</v>
      </c>
      <c r="D3024" s="326">
        <v>26.46</v>
      </c>
    </row>
    <row r="3025" spans="1:4" ht="13.5">
      <c r="A3025" s="37">
        <v>91955</v>
      </c>
      <c r="B3025" s="37" t="s">
        <v>17248</v>
      </c>
      <c r="C3025" s="37" t="s">
        <v>7</v>
      </c>
      <c r="D3025" s="326">
        <v>38.07</v>
      </c>
    </row>
    <row r="3026" spans="1:4" ht="13.5">
      <c r="A3026" s="37">
        <v>91956</v>
      </c>
      <c r="B3026" s="37" t="s">
        <v>17249</v>
      </c>
      <c r="C3026" s="37" t="s">
        <v>7</v>
      </c>
      <c r="D3026" s="326">
        <v>43.01</v>
      </c>
    </row>
    <row r="3027" spans="1:4" ht="13.5">
      <c r="A3027" s="37">
        <v>91957</v>
      </c>
      <c r="B3027" s="37" t="s">
        <v>17250</v>
      </c>
      <c r="C3027" s="37" t="s">
        <v>7</v>
      </c>
      <c r="D3027" s="326">
        <v>54.62</v>
      </c>
    </row>
    <row r="3028" spans="1:4" ht="13.5">
      <c r="A3028" s="37">
        <v>91958</v>
      </c>
      <c r="B3028" s="37" t="s">
        <v>17251</v>
      </c>
      <c r="C3028" s="37" t="s">
        <v>7</v>
      </c>
      <c r="D3028" s="326">
        <v>36.33</v>
      </c>
    </row>
    <row r="3029" spans="1:4" ht="13.5">
      <c r="A3029" s="37">
        <v>91959</v>
      </c>
      <c r="B3029" s="37" t="s">
        <v>17252</v>
      </c>
      <c r="C3029" s="37" t="s">
        <v>7</v>
      </c>
      <c r="D3029" s="326">
        <v>47.94</v>
      </c>
    </row>
    <row r="3030" spans="1:4" ht="13.5">
      <c r="A3030" s="37">
        <v>91960</v>
      </c>
      <c r="B3030" s="37" t="s">
        <v>17253</v>
      </c>
      <c r="C3030" s="37" t="s">
        <v>7</v>
      </c>
      <c r="D3030" s="326">
        <v>49.78</v>
      </c>
    </row>
    <row r="3031" spans="1:4" ht="13.5">
      <c r="A3031" s="37">
        <v>91961</v>
      </c>
      <c r="B3031" s="37" t="s">
        <v>17254</v>
      </c>
      <c r="C3031" s="37" t="s">
        <v>7</v>
      </c>
      <c r="D3031" s="326">
        <v>61.39</v>
      </c>
    </row>
    <row r="3032" spans="1:4" ht="13.5">
      <c r="A3032" s="37">
        <v>91962</v>
      </c>
      <c r="B3032" s="37" t="s">
        <v>17255</v>
      </c>
      <c r="C3032" s="37" t="s">
        <v>7</v>
      </c>
      <c r="D3032" s="326">
        <v>66.33</v>
      </c>
    </row>
    <row r="3033" spans="1:4" ht="13.5">
      <c r="A3033" s="37">
        <v>91963</v>
      </c>
      <c r="B3033" s="37" t="s">
        <v>17256</v>
      </c>
      <c r="C3033" s="37" t="s">
        <v>7</v>
      </c>
      <c r="D3033" s="326">
        <v>77.94</v>
      </c>
    </row>
    <row r="3034" spans="1:4" ht="13.5">
      <c r="A3034" s="37">
        <v>91964</v>
      </c>
      <c r="B3034" s="37" t="s">
        <v>17257</v>
      </c>
      <c r="C3034" s="37" t="s">
        <v>7</v>
      </c>
      <c r="D3034" s="326">
        <v>59.6</v>
      </c>
    </row>
    <row r="3035" spans="1:4" ht="13.5">
      <c r="A3035" s="37">
        <v>91965</v>
      </c>
      <c r="B3035" s="37" t="s">
        <v>17258</v>
      </c>
      <c r="C3035" s="37" t="s">
        <v>7</v>
      </c>
      <c r="D3035" s="326">
        <v>71.209999999999994</v>
      </c>
    </row>
    <row r="3036" spans="1:4" ht="13.5">
      <c r="A3036" s="37">
        <v>91966</v>
      </c>
      <c r="B3036" s="37" t="s">
        <v>17259</v>
      </c>
      <c r="C3036" s="37" t="s">
        <v>7</v>
      </c>
      <c r="D3036" s="326">
        <v>52.92</v>
      </c>
    </row>
    <row r="3037" spans="1:4" ht="13.5">
      <c r="A3037" s="37">
        <v>91967</v>
      </c>
      <c r="B3037" s="37" t="s">
        <v>17260</v>
      </c>
      <c r="C3037" s="37" t="s">
        <v>7</v>
      </c>
      <c r="D3037" s="326">
        <v>64.53</v>
      </c>
    </row>
    <row r="3038" spans="1:4" ht="13.5">
      <c r="A3038" s="37">
        <v>91968</v>
      </c>
      <c r="B3038" s="37" t="s">
        <v>17261</v>
      </c>
      <c r="C3038" s="37" t="s">
        <v>7</v>
      </c>
      <c r="D3038" s="326">
        <v>73.06</v>
      </c>
    </row>
    <row r="3039" spans="1:4" ht="13.5">
      <c r="A3039" s="37">
        <v>91969</v>
      </c>
      <c r="B3039" s="37" t="s">
        <v>17262</v>
      </c>
      <c r="C3039" s="37" t="s">
        <v>7</v>
      </c>
      <c r="D3039" s="326">
        <v>84.67</v>
      </c>
    </row>
    <row r="3040" spans="1:4" ht="13.5">
      <c r="A3040" s="37">
        <v>91970</v>
      </c>
      <c r="B3040" s="37" t="s">
        <v>17263</v>
      </c>
      <c r="C3040" s="37" t="s">
        <v>7</v>
      </c>
      <c r="D3040" s="326">
        <v>76.55</v>
      </c>
    </row>
    <row r="3041" spans="1:4" ht="13.5">
      <c r="A3041" s="37">
        <v>91971</v>
      </c>
      <c r="B3041" s="37" t="s">
        <v>17264</v>
      </c>
      <c r="C3041" s="37" t="s">
        <v>7</v>
      </c>
      <c r="D3041" s="326">
        <v>93.86</v>
      </c>
    </row>
    <row r="3042" spans="1:4" ht="13.5">
      <c r="A3042" s="37">
        <v>91972</v>
      </c>
      <c r="B3042" s="37" t="s">
        <v>17265</v>
      </c>
      <c r="C3042" s="37" t="s">
        <v>7</v>
      </c>
      <c r="D3042" s="326">
        <v>83.33</v>
      </c>
    </row>
    <row r="3043" spans="1:4" ht="13.5">
      <c r="A3043" s="37">
        <v>91973</v>
      </c>
      <c r="B3043" s="37" t="s">
        <v>17266</v>
      </c>
      <c r="C3043" s="37" t="s">
        <v>7</v>
      </c>
      <c r="D3043" s="326">
        <v>100.64</v>
      </c>
    </row>
    <row r="3044" spans="1:4" ht="13.5">
      <c r="A3044" s="37">
        <v>91974</v>
      </c>
      <c r="B3044" s="37" t="s">
        <v>17267</v>
      </c>
      <c r="C3044" s="37" t="s">
        <v>7</v>
      </c>
      <c r="D3044" s="326">
        <v>69.83</v>
      </c>
    </row>
    <row r="3045" spans="1:4" ht="13.5">
      <c r="A3045" s="37">
        <v>91975</v>
      </c>
      <c r="B3045" s="37" t="s">
        <v>17268</v>
      </c>
      <c r="C3045" s="37" t="s">
        <v>7</v>
      </c>
      <c r="D3045" s="326">
        <v>87.14</v>
      </c>
    </row>
    <row r="3046" spans="1:4" ht="13.5">
      <c r="A3046" s="37">
        <v>91976</v>
      </c>
      <c r="B3046" s="37" t="s">
        <v>17269</v>
      </c>
      <c r="C3046" s="37" t="s">
        <v>7</v>
      </c>
      <c r="D3046" s="326">
        <v>103.06</v>
      </c>
    </row>
    <row r="3047" spans="1:4" ht="13.5">
      <c r="A3047" s="37">
        <v>91977</v>
      </c>
      <c r="B3047" s="37" t="s">
        <v>17270</v>
      </c>
      <c r="C3047" s="37" t="s">
        <v>7</v>
      </c>
      <c r="D3047" s="326">
        <v>120.37</v>
      </c>
    </row>
    <row r="3048" spans="1:4" ht="13.5">
      <c r="A3048" s="37">
        <v>91978</v>
      </c>
      <c r="B3048" s="37" t="s">
        <v>17271</v>
      </c>
      <c r="C3048" s="37" t="s">
        <v>7</v>
      </c>
      <c r="D3048" s="326">
        <v>42.42</v>
      </c>
    </row>
    <row r="3049" spans="1:4" ht="13.5">
      <c r="A3049" s="37">
        <v>91979</v>
      </c>
      <c r="B3049" s="37" t="s">
        <v>17272</v>
      </c>
      <c r="C3049" s="37" t="s">
        <v>7</v>
      </c>
      <c r="D3049" s="326">
        <v>54.03</v>
      </c>
    </row>
    <row r="3050" spans="1:4" ht="13.5">
      <c r="A3050" s="37">
        <v>91980</v>
      </c>
      <c r="B3050" s="37" t="s">
        <v>17273</v>
      </c>
      <c r="C3050" s="37" t="s">
        <v>7</v>
      </c>
      <c r="D3050" s="326">
        <v>41.03</v>
      </c>
    </row>
    <row r="3051" spans="1:4" ht="13.5">
      <c r="A3051" s="37">
        <v>91981</v>
      </c>
      <c r="B3051" s="37" t="s">
        <v>17274</v>
      </c>
      <c r="C3051" s="37" t="s">
        <v>7</v>
      </c>
      <c r="D3051" s="326">
        <v>52.64</v>
      </c>
    </row>
    <row r="3052" spans="1:4" ht="13.5">
      <c r="A3052" s="37">
        <v>91982</v>
      </c>
      <c r="B3052" s="37" t="s">
        <v>17275</v>
      </c>
      <c r="C3052" s="37" t="s">
        <v>7</v>
      </c>
      <c r="D3052" s="326">
        <v>100.19</v>
      </c>
    </row>
    <row r="3053" spans="1:4" ht="13.5">
      <c r="A3053" s="37">
        <v>91983</v>
      </c>
      <c r="B3053" s="37" t="s">
        <v>17276</v>
      </c>
      <c r="C3053" s="37" t="s">
        <v>7</v>
      </c>
      <c r="D3053" s="326">
        <v>111.8</v>
      </c>
    </row>
    <row r="3054" spans="1:4" ht="13.5">
      <c r="A3054" s="37">
        <v>91984</v>
      </c>
      <c r="B3054" s="37" t="s">
        <v>17277</v>
      </c>
      <c r="C3054" s="37" t="s">
        <v>7</v>
      </c>
      <c r="D3054" s="326">
        <v>18.45</v>
      </c>
    </row>
    <row r="3055" spans="1:4" ht="13.5">
      <c r="A3055" s="37">
        <v>91985</v>
      </c>
      <c r="B3055" s="37" t="s">
        <v>17278</v>
      </c>
      <c r="C3055" s="37" t="s">
        <v>7</v>
      </c>
      <c r="D3055" s="326">
        <v>30.06</v>
      </c>
    </row>
    <row r="3056" spans="1:4" ht="13.5">
      <c r="A3056" s="37">
        <v>91986</v>
      </c>
      <c r="B3056" s="37" t="s">
        <v>17279</v>
      </c>
      <c r="C3056" s="37" t="s">
        <v>7</v>
      </c>
      <c r="D3056" s="326">
        <v>39.64</v>
      </c>
    </row>
    <row r="3057" spans="1:4" ht="13.5">
      <c r="A3057" s="37">
        <v>91987</v>
      </c>
      <c r="B3057" s="37" t="s">
        <v>17280</v>
      </c>
      <c r="C3057" s="37" t="s">
        <v>7</v>
      </c>
      <c r="D3057" s="326">
        <v>51.25</v>
      </c>
    </row>
    <row r="3058" spans="1:4" ht="13.5">
      <c r="A3058" s="37">
        <v>91988</v>
      </c>
      <c r="B3058" s="37" t="s">
        <v>17281</v>
      </c>
      <c r="C3058" s="37" t="s">
        <v>7</v>
      </c>
      <c r="D3058" s="326">
        <v>23.13</v>
      </c>
    </row>
    <row r="3059" spans="1:4" ht="13.5">
      <c r="A3059" s="37">
        <v>91989</v>
      </c>
      <c r="B3059" s="37" t="s">
        <v>17282</v>
      </c>
      <c r="C3059" s="37" t="s">
        <v>7</v>
      </c>
      <c r="D3059" s="326">
        <v>34.74</v>
      </c>
    </row>
    <row r="3060" spans="1:4" ht="13.5">
      <c r="A3060" s="37">
        <v>91990</v>
      </c>
      <c r="B3060" s="37" t="s">
        <v>17283</v>
      </c>
      <c r="C3060" s="37" t="s">
        <v>7</v>
      </c>
      <c r="D3060" s="326">
        <v>35.04</v>
      </c>
    </row>
    <row r="3061" spans="1:4" ht="13.5">
      <c r="A3061" s="37">
        <v>91991</v>
      </c>
      <c r="B3061" s="37" t="s">
        <v>17284</v>
      </c>
      <c r="C3061" s="37" t="s">
        <v>7</v>
      </c>
      <c r="D3061" s="326">
        <v>37.56</v>
      </c>
    </row>
    <row r="3062" spans="1:4" ht="13.5">
      <c r="A3062" s="37">
        <v>91992</v>
      </c>
      <c r="B3062" s="37" t="s">
        <v>17285</v>
      </c>
      <c r="C3062" s="37" t="s">
        <v>7</v>
      </c>
      <c r="D3062" s="326">
        <v>46.65</v>
      </c>
    </row>
    <row r="3063" spans="1:4" ht="13.5">
      <c r="A3063" s="37">
        <v>91993</v>
      </c>
      <c r="B3063" s="37" t="s">
        <v>17286</v>
      </c>
      <c r="C3063" s="37" t="s">
        <v>7</v>
      </c>
      <c r="D3063" s="326">
        <v>49.17</v>
      </c>
    </row>
    <row r="3064" spans="1:4" ht="13.5">
      <c r="A3064" s="37">
        <v>91994</v>
      </c>
      <c r="B3064" s="37" t="s">
        <v>17287</v>
      </c>
      <c r="C3064" s="37" t="s">
        <v>7</v>
      </c>
      <c r="D3064" s="326">
        <v>25.16</v>
      </c>
    </row>
    <row r="3065" spans="1:4" ht="13.5">
      <c r="A3065" s="37">
        <v>91995</v>
      </c>
      <c r="B3065" s="37" t="s">
        <v>17288</v>
      </c>
      <c r="C3065" s="37" t="s">
        <v>7</v>
      </c>
      <c r="D3065" s="326">
        <v>27.68</v>
      </c>
    </row>
    <row r="3066" spans="1:4" ht="13.5">
      <c r="A3066" s="37">
        <v>91996</v>
      </c>
      <c r="B3066" s="37" t="s">
        <v>17289</v>
      </c>
      <c r="C3066" s="37" t="s">
        <v>7</v>
      </c>
      <c r="D3066" s="326">
        <v>36.770000000000003</v>
      </c>
    </row>
    <row r="3067" spans="1:4" ht="13.5">
      <c r="A3067" s="37">
        <v>91997</v>
      </c>
      <c r="B3067" s="37" t="s">
        <v>17290</v>
      </c>
      <c r="C3067" s="37" t="s">
        <v>7</v>
      </c>
      <c r="D3067" s="326">
        <v>39.29</v>
      </c>
    </row>
    <row r="3068" spans="1:4" ht="13.5">
      <c r="A3068" s="37">
        <v>91998</v>
      </c>
      <c r="B3068" s="37" t="s">
        <v>17291</v>
      </c>
      <c r="C3068" s="37" t="s">
        <v>7</v>
      </c>
      <c r="D3068" s="326">
        <v>21.35</v>
      </c>
    </row>
    <row r="3069" spans="1:4" ht="13.5">
      <c r="A3069" s="37">
        <v>91999</v>
      </c>
      <c r="B3069" s="37" t="s">
        <v>17292</v>
      </c>
      <c r="C3069" s="37" t="s">
        <v>7</v>
      </c>
      <c r="D3069" s="326">
        <v>23.87</v>
      </c>
    </row>
    <row r="3070" spans="1:4" ht="13.5">
      <c r="A3070" s="37">
        <v>92000</v>
      </c>
      <c r="B3070" s="37" t="s">
        <v>17293</v>
      </c>
      <c r="C3070" s="37" t="s">
        <v>7</v>
      </c>
      <c r="D3070" s="326">
        <v>32.96</v>
      </c>
    </row>
    <row r="3071" spans="1:4" ht="13.5">
      <c r="A3071" s="37">
        <v>92001</v>
      </c>
      <c r="B3071" s="37" t="s">
        <v>17294</v>
      </c>
      <c r="C3071" s="37" t="s">
        <v>7</v>
      </c>
      <c r="D3071" s="326">
        <v>35.479999999999997</v>
      </c>
    </row>
    <row r="3072" spans="1:4" ht="13.5">
      <c r="A3072" s="37">
        <v>92002</v>
      </c>
      <c r="B3072" s="37" t="s">
        <v>17295</v>
      </c>
      <c r="C3072" s="37" t="s">
        <v>7</v>
      </c>
      <c r="D3072" s="326">
        <v>47.18</v>
      </c>
    </row>
    <row r="3073" spans="1:4" ht="13.5">
      <c r="A3073" s="37">
        <v>92003</v>
      </c>
      <c r="B3073" s="37" t="s">
        <v>17296</v>
      </c>
      <c r="C3073" s="37" t="s">
        <v>7</v>
      </c>
      <c r="D3073" s="326">
        <v>52.22</v>
      </c>
    </row>
    <row r="3074" spans="1:4" ht="13.5">
      <c r="A3074" s="37">
        <v>92004</v>
      </c>
      <c r="B3074" s="37" t="s">
        <v>17297</v>
      </c>
      <c r="C3074" s="37" t="s">
        <v>7</v>
      </c>
      <c r="D3074" s="326">
        <v>58.79</v>
      </c>
    </row>
    <row r="3075" spans="1:4" ht="13.5">
      <c r="A3075" s="37">
        <v>92005</v>
      </c>
      <c r="B3075" s="37" t="s">
        <v>17298</v>
      </c>
      <c r="C3075" s="37" t="s">
        <v>7</v>
      </c>
      <c r="D3075" s="326">
        <v>63.83</v>
      </c>
    </row>
    <row r="3076" spans="1:4" ht="13.5">
      <c r="A3076" s="37">
        <v>92006</v>
      </c>
      <c r="B3076" s="37" t="s">
        <v>17299</v>
      </c>
      <c r="C3076" s="37" t="s">
        <v>7</v>
      </c>
      <c r="D3076" s="326">
        <v>39.5</v>
      </c>
    </row>
    <row r="3077" spans="1:4" ht="13.5">
      <c r="A3077" s="37">
        <v>92007</v>
      </c>
      <c r="B3077" s="37" t="s">
        <v>17300</v>
      </c>
      <c r="C3077" s="37" t="s">
        <v>7</v>
      </c>
      <c r="D3077" s="326">
        <v>44.54</v>
      </c>
    </row>
    <row r="3078" spans="1:4" ht="13.5">
      <c r="A3078" s="37">
        <v>92008</v>
      </c>
      <c r="B3078" s="37" t="s">
        <v>17301</v>
      </c>
      <c r="C3078" s="37" t="s">
        <v>7</v>
      </c>
      <c r="D3078" s="326">
        <v>51.11</v>
      </c>
    </row>
    <row r="3079" spans="1:4" ht="13.5">
      <c r="A3079" s="37">
        <v>92009</v>
      </c>
      <c r="B3079" s="37" t="s">
        <v>17302</v>
      </c>
      <c r="C3079" s="37" t="s">
        <v>7</v>
      </c>
      <c r="D3079" s="326">
        <v>56.15</v>
      </c>
    </row>
    <row r="3080" spans="1:4" ht="13.5">
      <c r="A3080" s="37">
        <v>92010</v>
      </c>
      <c r="B3080" s="37" t="s">
        <v>17303</v>
      </c>
      <c r="C3080" s="37" t="s">
        <v>7</v>
      </c>
      <c r="D3080" s="326">
        <v>69.16</v>
      </c>
    </row>
    <row r="3081" spans="1:4" ht="13.5">
      <c r="A3081" s="37">
        <v>92011</v>
      </c>
      <c r="B3081" s="37" t="s">
        <v>17304</v>
      </c>
      <c r="C3081" s="37" t="s">
        <v>7</v>
      </c>
      <c r="D3081" s="326">
        <v>76.72</v>
      </c>
    </row>
    <row r="3082" spans="1:4" ht="13.5">
      <c r="A3082" s="37">
        <v>92012</v>
      </c>
      <c r="B3082" s="37" t="s">
        <v>17305</v>
      </c>
      <c r="C3082" s="37" t="s">
        <v>7</v>
      </c>
      <c r="D3082" s="326">
        <v>80.77</v>
      </c>
    </row>
    <row r="3083" spans="1:4" ht="13.5">
      <c r="A3083" s="37">
        <v>92013</v>
      </c>
      <c r="B3083" s="37" t="s">
        <v>17306</v>
      </c>
      <c r="C3083" s="37" t="s">
        <v>7</v>
      </c>
      <c r="D3083" s="326">
        <v>88.33</v>
      </c>
    </row>
    <row r="3084" spans="1:4" ht="13.5">
      <c r="A3084" s="37">
        <v>92014</v>
      </c>
      <c r="B3084" s="37" t="s">
        <v>17307</v>
      </c>
      <c r="C3084" s="37" t="s">
        <v>7</v>
      </c>
      <c r="D3084" s="326">
        <v>57.65</v>
      </c>
    </row>
    <row r="3085" spans="1:4" ht="13.5">
      <c r="A3085" s="37">
        <v>92015</v>
      </c>
      <c r="B3085" s="37" t="s">
        <v>17308</v>
      </c>
      <c r="C3085" s="37" t="s">
        <v>7</v>
      </c>
      <c r="D3085" s="326">
        <v>65.209999999999994</v>
      </c>
    </row>
    <row r="3086" spans="1:4" ht="13.5">
      <c r="A3086" s="37">
        <v>92016</v>
      </c>
      <c r="B3086" s="37" t="s">
        <v>17309</v>
      </c>
      <c r="C3086" s="37" t="s">
        <v>7</v>
      </c>
      <c r="D3086" s="326">
        <v>69.260000000000005</v>
      </c>
    </row>
    <row r="3087" spans="1:4" ht="13.5">
      <c r="A3087" s="37">
        <v>92017</v>
      </c>
      <c r="B3087" s="37" t="s">
        <v>17310</v>
      </c>
      <c r="C3087" s="37" t="s">
        <v>7</v>
      </c>
      <c r="D3087" s="326">
        <v>76.819999999999993</v>
      </c>
    </row>
    <row r="3088" spans="1:4" ht="13.5">
      <c r="A3088" s="37">
        <v>92018</v>
      </c>
      <c r="B3088" s="37" t="s">
        <v>17311</v>
      </c>
      <c r="C3088" s="37" t="s">
        <v>7</v>
      </c>
      <c r="D3088" s="326">
        <v>76.36</v>
      </c>
    </row>
    <row r="3089" spans="1:4" ht="13.5">
      <c r="A3089" s="37">
        <v>92019</v>
      </c>
      <c r="B3089" s="37" t="s">
        <v>17312</v>
      </c>
      <c r="C3089" s="37" t="s">
        <v>7</v>
      </c>
      <c r="D3089" s="326">
        <v>93.67</v>
      </c>
    </row>
    <row r="3090" spans="1:4" ht="13.5">
      <c r="A3090" s="37">
        <v>92020</v>
      </c>
      <c r="B3090" s="37" t="s">
        <v>17313</v>
      </c>
      <c r="C3090" s="37" t="s">
        <v>7</v>
      </c>
      <c r="D3090" s="326">
        <v>112.92</v>
      </c>
    </row>
    <row r="3091" spans="1:4" ht="13.5">
      <c r="A3091" s="37">
        <v>92021</v>
      </c>
      <c r="B3091" s="37" t="s">
        <v>17314</v>
      </c>
      <c r="C3091" s="37" t="s">
        <v>7</v>
      </c>
      <c r="D3091" s="326">
        <v>130.22999999999999</v>
      </c>
    </row>
    <row r="3092" spans="1:4" ht="13.5">
      <c r="A3092" s="37">
        <v>92022</v>
      </c>
      <c r="B3092" s="37" t="s">
        <v>17315</v>
      </c>
      <c r="C3092" s="37" t="s">
        <v>7</v>
      </c>
      <c r="D3092" s="326">
        <v>41.71</v>
      </c>
    </row>
    <row r="3093" spans="1:4" ht="13.5">
      <c r="A3093" s="37">
        <v>92023</v>
      </c>
      <c r="B3093" s="37" t="s">
        <v>17316</v>
      </c>
      <c r="C3093" s="37" t="s">
        <v>7</v>
      </c>
      <c r="D3093" s="326">
        <v>53.32</v>
      </c>
    </row>
    <row r="3094" spans="1:4" ht="13.5">
      <c r="A3094" s="37">
        <v>92024</v>
      </c>
      <c r="B3094" s="37" t="s">
        <v>17317</v>
      </c>
      <c r="C3094" s="37" t="s">
        <v>7</v>
      </c>
      <c r="D3094" s="326">
        <v>63.73</v>
      </c>
    </row>
    <row r="3095" spans="1:4" ht="13.5">
      <c r="A3095" s="37">
        <v>92025</v>
      </c>
      <c r="B3095" s="37" t="s">
        <v>17318</v>
      </c>
      <c r="C3095" s="37" t="s">
        <v>7</v>
      </c>
      <c r="D3095" s="326">
        <v>75.34</v>
      </c>
    </row>
    <row r="3096" spans="1:4" ht="13.5">
      <c r="A3096" s="37">
        <v>92026</v>
      </c>
      <c r="B3096" s="37" t="s">
        <v>17319</v>
      </c>
      <c r="C3096" s="37" t="s">
        <v>7</v>
      </c>
      <c r="D3096" s="326">
        <v>58.3</v>
      </c>
    </row>
    <row r="3097" spans="1:4" ht="13.5">
      <c r="A3097" s="37">
        <v>92027</v>
      </c>
      <c r="B3097" s="37" t="s">
        <v>17320</v>
      </c>
      <c r="C3097" s="37" t="s">
        <v>7</v>
      </c>
      <c r="D3097" s="326">
        <v>69.91</v>
      </c>
    </row>
    <row r="3098" spans="1:4" ht="13.5">
      <c r="A3098" s="37">
        <v>92028</v>
      </c>
      <c r="B3098" s="37" t="s">
        <v>17321</v>
      </c>
      <c r="C3098" s="37" t="s">
        <v>7</v>
      </c>
      <c r="D3098" s="326">
        <v>48.48</v>
      </c>
    </row>
    <row r="3099" spans="1:4" ht="13.5">
      <c r="A3099" s="37">
        <v>92029</v>
      </c>
      <c r="B3099" s="37" t="s">
        <v>17322</v>
      </c>
      <c r="C3099" s="37" t="s">
        <v>7</v>
      </c>
      <c r="D3099" s="326">
        <v>60.09</v>
      </c>
    </row>
    <row r="3100" spans="1:4" ht="13.5">
      <c r="A3100" s="37">
        <v>92030</v>
      </c>
      <c r="B3100" s="37" t="s">
        <v>17323</v>
      </c>
      <c r="C3100" s="37" t="s">
        <v>7</v>
      </c>
      <c r="D3100" s="326">
        <v>70.459999999999994</v>
      </c>
    </row>
    <row r="3101" spans="1:4" ht="13.5">
      <c r="A3101" s="37">
        <v>92031</v>
      </c>
      <c r="B3101" s="37" t="s">
        <v>17324</v>
      </c>
      <c r="C3101" s="37" t="s">
        <v>7</v>
      </c>
      <c r="D3101" s="326">
        <v>82.07</v>
      </c>
    </row>
    <row r="3102" spans="1:4" ht="13.5">
      <c r="A3102" s="37">
        <v>92032</v>
      </c>
      <c r="B3102" s="37" t="s">
        <v>17325</v>
      </c>
      <c r="C3102" s="37" t="s">
        <v>7</v>
      </c>
      <c r="D3102" s="326">
        <v>71.760000000000005</v>
      </c>
    </row>
    <row r="3103" spans="1:4" ht="13.5">
      <c r="A3103" s="37">
        <v>92033</v>
      </c>
      <c r="B3103" s="37" t="s">
        <v>17326</v>
      </c>
      <c r="C3103" s="37" t="s">
        <v>7</v>
      </c>
      <c r="D3103" s="326">
        <v>83.37</v>
      </c>
    </row>
    <row r="3104" spans="1:4" ht="13.5">
      <c r="A3104" s="37">
        <v>92034</v>
      </c>
      <c r="B3104" s="37" t="s">
        <v>17327</v>
      </c>
      <c r="C3104" s="37" t="s">
        <v>7</v>
      </c>
      <c r="D3104" s="326">
        <v>65.03</v>
      </c>
    </row>
    <row r="3105" spans="1:4" ht="13.5">
      <c r="A3105" s="37">
        <v>92035</v>
      </c>
      <c r="B3105" s="37" t="s">
        <v>17328</v>
      </c>
      <c r="C3105" s="37" t="s">
        <v>7</v>
      </c>
      <c r="D3105" s="326">
        <v>76.64</v>
      </c>
    </row>
    <row r="3106" spans="1:4" ht="13.5">
      <c r="A3106" s="37">
        <v>97583</v>
      </c>
      <c r="B3106" s="37" t="s">
        <v>7265</v>
      </c>
      <c r="C3106" s="37" t="s">
        <v>7</v>
      </c>
      <c r="D3106" s="326">
        <v>94.54</v>
      </c>
    </row>
    <row r="3107" spans="1:4" ht="13.5">
      <c r="A3107" s="37">
        <v>97584</v>
      </c>
      <c r="B3107" s="37" t="s">
        <v>7266</v>
      </c>
      <c r="C3107" s="37" t="s">
        <v>7</v>
      </c>
      <c r="D3107" s="326">
        <v>132.85</v>
      </c>
    </row>
    <row r="3108" spans="1:4" ht="13.5">
      <c r="A3108" s="37">
        <v>97585</v>
      </c>
      <c r="B3108" s="37" t="s">
        <v>7267</v>
      </c>
      <c r="C3108" s="37" t="s">
        <v>7</v>
      </c>
      <c r="D3108" s="326">
        <v>127.54</v>
      </c>
    </row>
    <row r="3109" spans="1:4" ht="13.5">
      <c r="A3109" s="37">
        <v>97586</v>
      </c>
      <c r="B3109" s="37" t="s">
        <v>7268</v>
      </c>
      <c r="C3109" s="37" t="s">
        <v>7</v>
      </c>
      <c r="D3109" s="326">
        <v>173.81</v>
      </c>
    </row>
    <row r="3110" spans="1:4" ht="13.5">
      <c r="A3110" s="37">
        <v>97587</v>
      </c>
      <c r="B3110" s="37" t="s">
        <v>7269</v>
      </c>
      <c r="C3110" s="37" t="s">
        <v>7</v>
      </c>
      <c r="D3110" s="326">
        <v>318.82</v>
      </c>
    </row>
    <row r="3111" spans="1:4" ht="13.5">
      <c r="A3111" s="37">
        <v>97589</v>
      </c>
      <c r="B3111" s="37" t="s">
        <v>7270</v>
      </c>
      <c r="C3111" s="37" t="s">
        <v>7</v>
      </c>
      <c r="D3111" s="326">
        <v>44.73</v>
      </c>
    </row>
    <row r="3112" spans="1:4" ht="13.5">
      <c r="A3112" s="37">
        <v>97590</v>
      </c>
      <c r="B3112" s="37" t="s">
        <v>7271</v>
      </c>
      <c r="C3112" s="37" t="s">
        <v>7</v>
      </c>
      <c r="D3112" s="326">
        <v>108.67</v>
      </c>
    </row>
    <row r="3113" spans="1:4" ht="13.5">
      <c r="A3113" s="37">
        <v>97591</v>
      </c>
      <c r="B3113" s="37" t="s">
        <v>7272</v>
      </c>
      <c r="C3113" s="37" t="s">
        <v>7</v>
      </c>
      <c r="D3113" s="326">
        <v>142.62</v>
      </c>
    </row>
    <row r="3114" spans="1:4" ht="13.5">
      <c r="A3114" s="37">
        <v>97593</v>
      </c>
      <c r="B3114" s="37" t="s">
        <v>7273</v>
      </c>
      <c r="C3114" s="37" t="s">
        <v>7</v>
      </c>
      <c r="D3114" s="326">
        <v>158.05000000000001</v>
      </c>
    </row>
    <row r="3115" spans="1:4" ht="13.5">
      <c r="A3115" s="37">
        <v>97594</v>
      </c>
      <c r="B3115" s="37" t="s">
        <v>7274</v>
      </c>
      <c r="C3115" s="37" t="s">
        <v>7</v>
      </c>
      <c r="D3115" s="326">
        <v>143.72999999999999</v>
      </c>
    </row>
    <row r="3116" spans="1:4" ht="13.5">
      <c r="A3116" s="37">
        <v>97595</v>
      </c>
      <c r="B3116" s="37" t="s">
        <v>7275</v>
      </c>
      <c r="C3116" s="37" t="s">
        <v>7</v>
      </c>
      <c r="D3116" s="326">
        <v>112.11</v>
      </c>
    </row>
    <row r="3117" spans="1:4" ht="13.5">
      <c r="A3117" s="37">
        <v>97596</v>
      </c>
      <c r="B3117" s="37" t="s">
        <v>7276</v>
      </c>
      <c r="C3117" s="37" t="s">
        <v>7</v>
      </c>
      <c r="D3117" s="326">
        <v>77.569999999999993</v>
      </c>
    </row>
    <row r="3118" spans="1:4" ht="13.5">
      <c r="A3118" s="37">
        <v>97597</v>
      </c>
      <c r="B3118" s="37" t="s">
        <v>7277</v>
      </c>
      <c r="C3118" s="37" t="s">
        <v>7</v>
      </c>
      <c r="D3118" s="326">
        <v>77.38</v>
      </c>
    </row>
    <row r="3119" spans="1:4" ht="13.5">
      <c r="A3119" s="37">
        <v>97598</v>
      </c>
      <c r="B3119" s="37" t="s">
        <v>7278</v>
      </c>
      <c r="C3119" s="37" t="s">
        <v>7</v>
      </c>
      <c r="D3119" s="326">
        <v>72.959999999999994</v>
      </c>
    </row>
    <row r="3120" spans="1:4" ht="13.5">
      <c r="A3120" s="37">
        <v>97599</v>
      </c>
      <c r="B3120" s="37" t="s">
        <v>7279</v>
      </c>
      <c r="C3120" s="37" t="s">
        <v>7</v>
      </c>
      <c r="D3120" s="326">
        <v>23.19</v>
      </c>
    </row>
    <row r="3121" spans="1:4" ht="13.5">
      <c r="A3121" s="37">
        <v>97609</v>
      </c>
      <c r="B3121" s="37" t="s">
        <v>7280</v>
      </c>
      <c r="C3121" s="37" t="s">
        <v>7</v>
      </c>
      <c r="D3121" s="326">
        <v>14.92</v>
      </c>
    </row>
    <row r="3122" spans="1:4" ht="13.5">
      <c r="A3122" s="37">
        <v>97610</v>
      </c>
      <c r="B3122" s="37" t="s">
        <v>7281</v>
      </c>
      <c r="C3122" s="37" t="s">
        <v>7</v>
      </c>
      <c r="D3122" s="326">
        <v>15.77</v>
      </c>
    </row>
    <row r="3123" spans="1:4" ht="13.5">
      <c r="A3123" s="37">
        <v>97611</v>
      </c>
      <c r="B3123" s="37" t="s">
        <v>7282</v>
      </c>
      <c r="C3123" s="37" t="s">
        <v>7</v>
      </c>
      <c r="D3123" s="326">
        <v>25.94</v>
      </c>
    </row>
    <row r="3124" spans="1:4" ht="13.5">
      <c r="A3124" s="37">
        <v>97612</v>
      </c>
      <c r="B3124" s="37" t="s">
        <v>7283</v>
      </c>
      <c r="C3124" s="37" t="s">
        <v>7</v>
      </c>
      <c r="D3124" s="326">
        <v>28.29</v>
      </c>
    </row>
    <row r="3125" spans="1:4" ht="13.5">
      <c r="A3125" s="37">
        <v>97613</v>
      </c>
      <c r="B3125" s="37" t="s">
        <v>7284</v>
      </c>
      <c r="C3125" s="37" t="s">
        <v>7</v>
      </c>
      <c r="D3125" s="326">
        <v>36.1</v>
      </c>
    </row>
    <row r="3126" spans="1:4" ht="13.5">
      <c r="A3126" s="37">
        <v>97614</v>
      </c>
      <c r="B3126" s="37" t="s">
        <v>7285</v>
      </c>
      <c r="C3126" s="37" t="s">
        <v>7</v>
      </c>
      <c r="D3126" s="326">
        <v>64.290000000000006</v>
      </c>
    </row>
    <row r="3127" spans="1:4" ht="13.5">
      <c r="A3127" s="37">
        <v>97615</v>
      </c>
      <c r="B3127" s="37" t="s">
        <v>17329</v>
      </c>
      <c r="C3127" s="37" t="s">
        <v>7</v>
      </c>
      <c r="D3127" s="326">
        <v>58.47</v>
      </c>
    </row>
    <row r="3128" spans="1:4" ht="13.5">
      <c r="A3128" s="37">
        <v>97616</v>
      </c>
      <c r="B3128" s="37" t="s">
        <v>17330</v>
      </c>
      <c r="C3128" s="37" t="s">
        <v>7</v>
      </c>
      <c r="D3128" s="326">
        <v>67.319999999999993</v>
      </c>
    </row>
    <row r="3129" spans="1:4" ht="13.5">
      <c r="A3129" s="37">
        <v>97617</v>
      </c>
      <c r="B3129" s="37" t="s">
        <v>17331</v>
      </c>
      <c r="C3129" s="37" t="s">
        <v>7</v>
      </c>
      <c r="D3129" s="326">
        <v>66.95</v>
      </c>
    </row>
    <row r="3130" spans="1:4" ht="13.5">
      <c r="A3130" s="37">
        <v>97618</v>
      </c>
      <c r="B3130" s="37" t="s">
        <v>17332</v>
      </c>
      <c r="C3130" s="37" t="s">
        <v>7</v>
      </c>
      <c r="D3130" s="326">
        <v>61.77</v>
      </c>
    </row>
    <row r="3131" spans="1:4" ht="13.5">
      <c r="A3131" s="37">
        <v>100902</v>
      </c>
      <c r="B3131" s="37" t="s">
        <v>17333</v>
      </c>
      <c r="C3131" s="37" t="s">
        <v>7</v>
      </c>
      <c r="D3131" s="326">
        <v>24.06</v>
      </c>
    </row>
    <row r="3132" spans="1:4" ht="13.5">
      <c r="A3132" s="37">
        <v>100903</v>
      </c>
      <c r="B3132" s="37" t="s">
        <v>17334</v>
      </c>
      <c r="C3132" s="37" t="s">
        <v>7</v>
      </c>
      <c r="D3132" s="326">
        <v>27.83</v>
      </c>
    </row>
    <row r="3133" spans="1:4" ht="13.5">
      <c r="A3133" s="37">
        <v>100904</v>
      </c>
      <c r="B3133" s="37" t="s">
        <v>7286</v>
      </c>
      <c r="C3133" s="37" t="s">
        <v>7</v>
      </c>
      <c r="D3133" s="326">
        <v>94.54</v>
      </c>
    </row>
    <row r="3134" spans="1:4" ht="13.5">
      <c r="A3134" s="37">
        <v>100905</v>
      </c>
      <c r="B3134" s="37" t="s">
        <v>7287</v>
      </c>
      <c r="C3134" s="37" t="s">
        <v>7</v>
      </c>
      <c r="D3134" s="326">
        <v>255.08</v>
      </c>
    </row>
    <row r="3135" spans="1:4" ht="13.5">
      <c r="A3135" s="37">
        <v>100906</v>
      </c>
      <c r="B3135" s="37" t="s">
        <v>7288</v>
      </c>
      <c r="C3135" s="37" t="s">
        <v>7</v>
      </c>
      <c r="D3135" s="326">
        <v>347.62</v>
      </c>
    </row>
    <row r="3136" spans="1:4" ht="13.5">
      <c r="A3136" s="37">
        <v>100919</v>
      </c>
      <c r="B3136" s="37" t="s">
        <v>7289</v>
      </c>
      <c r="C3136" s="37" t="s">
        <v>7</v>
      </c>
      <c r="D3136" s="326">
        <v>73.489999999999995</v>
      </c>
    </row>
    <row r="3137" spans="1:4" ht="13.5">
      <c r="A3137" s="37">
        <v>100920</v>
      </c>
      <c r="B3137" s="37" t="s">
        <v>7290</v>
      </c>
      <c r="C3137" s="37" t="s">
        <v>7</v>
      </c>
      <c r="D3137" s="326">
        <v>125.48</v>
      </c>
    </row>
    <row r="3138" spans="1:4" ht="13.5">
      <c r="A3138" s="37">
        <v>100921</v>
      </c>
      <c r="B3138" s="37" t="s">
        <v>7291</v>
      </c>
      <c r="C3138" s="37" t="s">
        <v>7</v>
      </c>
      <c r="D3138" s="326">
        <v>71.349999999999994</v>
      </c>
    </row>
    <row r="3139" spans="1:4" ht="13.5">
      <c r="A3139" s="37">
        <v>100922</v>
      </c>
      <c r="B3139" s="37" t="s">
        <v>7292</v>
      </c>
      <c r="C3139" s="37" t="s">
        <v>7</v>
      </c>
      <c r="D3139" s="326">
        <v>51.31</v>
      </c>
    </row>
    <row r="3140" spans="1:4" ht="13.5">
      <c r="A3140" s="37">
        <v>100923</v>
      </c>
      <c r="B3140" s="37" t="s">
        <v>7293</v>
      </c>
      <c r="C3140" s="37" t="s">
        <v>7</v>
      </c>
      <c r="D3140" s="326">
        <v>59.56</v>
      </c>
    </row>
    <row r="3141" spans="1:4" ht="13.5">
      <c r="A3141" s="37">
        <v>103782</v>
      </c>
      <c r="B3141" s="37" t="s">
        <v>15432</v>
      </c>
      <c r="C3141" s="37" t="s">
        <v>7</v>
      </c>
      <c r="D3141" s="326">
        <v>33.75</v>
      </c>
    </row>
    <row r="3142" spans="1:4" ht="13.5">
      <c r="A3142" s="37">
        <v>101489</v>
      </c>
      <c r="B3142" s="37" t="s">
        <v>17335</v>
      </c>
      <c r="C3142" s="37" t="s">
        <v>7</v>
      </c>
      <c r="D3142" s="38">
        <v>1349.75</v>
      </c>
    </row>
    <row r="3143" spans="1:4" ht="13.5">
      <c r="A3143" s="37">
        <v>101490</v>
      </c>
      <c r="B3143" s="37" t="s">
        <v>17336</v>
      </c>
      <c r="C3143" s="37" t="s">
        <v>7</v>
      </c>
      <c r="D3143" s="38">
        <v>1440.94</v>
      </c>
    </row>
    <row r="3144" spans="1:4" ht="13.5">
      <c r="A3144" s="37">
        <v>101491</v>
      </c>
      <c r="B3144" s="37" t="s">
        <v>17337</v>
      </c>
      <c r="C3144" s="37" t="s">
        <v>7</v>
      </c>
      <c r="D3144" s="38">
        <v>1461.18</v>
      </c>
    </row>
    <row r="3145" spans="1:4" ht="13.5">
      <c r="A3145" s="37">
        <v>101492</v>
      </c>
      <c r="B3145" s="37" t="s">
        <v>17338</v>
      </c>
      <c r="C3145" s="37" t="s">
        <v>7</v>
      </c>
      <c r="D3145" s="38">
        <v>1591.54</v>
      </c>
    </row>
    <row r="3146" spans="1:4" ht="13.5">
      <c r="A3146" s="37">
        <v>101493</v>
      </c>
      <c r="B3146" s="37" t="s">
        <v>17339</v>
      </c>
      <c r="C3146" s="37" t="s">
        <v>7</v>
      </c>
      <c r="D3146" s="38">
        <v>1332.99</v>
      </c>
    </row>
    <row r="3147" spans="1:4" ht="13.5">
      <c r="A3147" s="37">
        <v>101494</v>
      </c>
      <c r="B3147" s="37" t="s">
        <v>17340</v>
      </c>
      <c r="C3147" s="37" t="s">
        <v>7</v>
      </c>
      <c r="D3147" s="38">
        <v>1424.18</v>
      </c>
    </row>
    <row r="3148" spans="1:4" ht="13.5">
      <c r="A3148" s="37">
        <v>101495</v>
      </c>
      <c r="B3148" s="37" t="s">
        <v>17341</v>
      </c>
      <c r="C3148" s="37" t="s">
        <v>7</v>
      </c>
      <c r="D3148" s="38">
        <v>1444.42</v>
      </c>
    </row>
    <row r="3149" spans="1:4" ht="13.5">
      <c r="A3149" s="37">
        <v>101496</v>
      </c>
      <c r="B3149" s="37" t="s">
        <v>17342</v>
      </c>
      <c r="C3149" s="37" t="s">
        <v>7</v>
      </c>
      <c r="D3149" s="38">
        <v>1574.78</v>
      </c>
    </row>
    <row r="3150" spans="1:4" ht="13.5">
      <c r="A3150" s="37">
        <v>101497</v>
      </c>
      <c r="B3150" s="37" t="s">
        <v>17343</v>
      </c>
      <c r="C3150" s="37" t="s">
        <v>7</v>
      </c>
      <c r="D3150" s="38">
        <v>1568.99</v>
      </c>
    </row>
    <row r="3151" spans="1:4" ht="13.5">
      <c r="A3151" s="37">
        <v>101498</v>
      </c>
      <c r="B3151" s="37" t="s">
        <v>17344</v>
      </c>
      <c r="C3151" s="37" t="s">
        <v>7</v>
      </c>
      <c r="D3151" s="38">
        <v>1707.02</v>
      </c>
    </row>
    <row r="3152" spans="1:4" ht="13.5">
      <c r="A3152" s="37">
        <v>101499</v>
      </c>
      <c r="B3152" s="37" t="s">
        <v>17345</v>
      </c>
      <c r="C3152" s="37" t="s">
        <v>7</v>
      </c>
      <c r="D3152" s="38">
        <v>1737.66</v>
      </c>
    </row>
    <row r="3153" spans="1:4" ht="13.5">
      <c r="A3153" s="37">
        <v>101500</v>
      </c>
      <c r="B3153" s="37" t="s">
        <v>17346</v>
      </c>
      <c r="C3153" s="37" t="s">
        <v>7</v>
      </c>
      <c r="D3153" s="38">
        <v>1921.13</v>
      </c>
    </row>
    <row r="3154" spans="1:4" ht="13.5">
      <c r="A3154" s="37">
        <v>101501</v>
      </c>
      <c r="B3154" s="37" t="s">
        <v>17347</v>
      </c>
      <c r="C3154" s="37" t="s">
        <v>7</v>
      </c>
      <c r="D3154" s="38">
        <v>1559.61</v>
      </c>
    </row>
    <row r="3155" spans="1:4" ht="13.5">
      <c r="A3155" s="37">
        <v>101502</v>
      </c>
      <c r="B3155" s="37" t="s">
        <v>17348</v>
      </c>
      <c r="C3155" s="37" t="s">
        <v>7</v>
      </c>
      <c r="D3155" s="38">
        <v>1697.64</v>
      </c>
    </row>
    <row r="3156" spans="1:4" ht="13.5">
      <c r="A3156" s="37">
        <v>101503</v>
      </c>
      <c r="B3156" s="37" t="s">
        <v>17349</v>
      </c>
      <c r="C3156" s="37" t="s">
        <v>7</v>
      </c>
      <c r="D3156" s="38">
        <v>1728.28</v>
      </c>
    </row>
    <row r="3157" spans="1:4" ht="13.5">
      <c r="A3157" s="37">
        <v>101504</v>
      </c>
      <c r="B3157" s="37" t="s">
        <v>17350</v>
      </c>
      <c r="C3157" s="37" t="s">
        <v>7</v>
      </c>
      <c r="D3157" s="38">
        <v>1911.75</v>
      </c>
    </row>
    <row r="3158" spans="1:4" ht="13.5">
      <c r="A3158" s="37">
        <v>101505</v>
      </c>
      <c r="B3158" s="37" t="s">
        <v>17351</v>
      </c>
      <c r="C3158" s="37" t="s">
        <v>7</v>
      </c>
      <c r="D3158" s="38">
        <v>1672.55</v>
      </c>
    </row>
    <row r="3159" spans="1:4" ht="13.5">
      <c r="A3159" s="37">
        <v>101506</v>
      </c>
      <c r="B3159" s="37" t="s">
        <v>17352</v>
      </c>
      <c r="C3159" s="37" t="s">
        <v>7</v>
      </c>
      <c r="D3159" s="38">
        <v>1856.59</v>
      </c>
    </row>
    <row r="3160" spans="1:4" ht="13.5">
      <c r="A3160" s="37">
        <v>101507</v>
      </c>
      <c r="B3160" s="37" t="s">
        <v>17353</v>
      </c>
      <c r="C3160" s="37" t="s">
        <v>7</v>
      </c>
      <c r="D3160" s="38">
        <v>1897.44</v>
      </c>
    </row>
    <row r="3161" spans="1:4" ht="13.5">
      <c r="A3161" s="37">
        <v>101508</v>
      </c>
      <c r="B3161" s="37" t="s">
        <v>17354</v>
      </c>
      <c r="C3161" s="37" t="s">
        <v>7</v>
      </c>
      <c r="D3161" s="38">
        <v>2133.08</v>
      </c>
    </row>
    <row r="3162" spans="1:4" ht="13.5">
      <c r="A3162" s="37">
        <v>101509</v>
      </c>
      <c r="B3162" s="37" t="s">
        <v>17355</v>
      </c>
      <c r="C3162" s="37" t="s">
        <v>7</v>
      </c>
      <c r="D3162" s="38">
        <v>1801.13</v>
      </c>
    </row>
    <row r="3163" spans="1:4" ht="13.5">
      <c r="A3163" s="37">
        <v>101510</v>
      </c>
      <c r="B3163" s="37" t="s">
        <v>17356</v>
      </c>
      <c r="C3163" s="37" t="s">
        <v>7</v>
      </c>
      <c r="D3163" s="38">
        <v>1985.17</v>
      </c>
    </row>
    <row r="3164" spans="1:4" ht="13.5">
      <c r="A3164" s="37">
        <v>101511</v>
      </c>
      <c r="B3164" s="37" t="s">
        <v>17357</v>
      </c>
      <c r="C3164" s="37" t="s">
        <v>7</v>
      </c>
      <c r="D3164" s="38">
        <v>2026.02</v>
      </c>
    </row>
    <row r="3165" spans="1:4" ht="13.5">
      <c r="A3165" s="37">
        <v>101512</v>
      </c>
      <c r="B3165" s="37" t="s">
        <v>17358</v>
      </c>
      <c r="C3165" s="37" t="s">
        <v>7</v>
      </c>
      <c r="D3165" s="38">
        <v>2261.66</v>
      </c>
    </row>
    <row r="3166" spans="1:4" ht="13.5">
      <c r="A3166" s="37">
        <v>101513</v>
      </c>
      <c r="B3166" s="37" t="s">
        <v>17359</v>
      </c>
      <c r="C3166" s="37" t="s">
        <v>7</v>
      </c>
      <c r="D3166" s="326">
        <v>748.05</v>
      </c>
    </row>
    <row r="3167" spans="1:4" ht="13.5">
      <c r="A3167" s="37">
        <v>101514</v>
      </c>
      <c r="B3167" s="37" t="s">
        <v>17360</v>
      </c>
      <c r="C3167" s="37" t="s">
        <v>7</v>
      </c>
      <c r="D3167" s="326">
        <v>857.48</v>
      </c>
    </row>
    <row r="3168" spans="1:4" ht="13.5">
      <c r="A3168" s="37">
        <v>101515</v>
      </c>
      <c r="B3168" s="37" t="s">
        <v>17361</v>
      </c>
      <c r="C3168" s="37" t="s">
        <v>7</v>
      </c>
      <c r="D3168" s="326">
        <v>881.77</v>
      </c>
    </row>
    <row r="3169" spans="1:4" ht="13.5">
      <c r="A3169" s="37">
        <v>101516</v>
      </c>
      <c r="B3169" s="37" t="s">
        <v>17362</v>
      </c>
      <c r="C3169" s="37" t="s">
        <v>7</v>
      </c>
      <c r="D3169" s="38">
        <v>1005.85</v>
      </c>
    </row>
    <row r="3170" spans="1:4" ht="13.5">
      <c r="A3170" s="37">
        <v>101517</v>
      </c>
      <c r="B3170" s="37" t="s">
        <v>17363</v>
      </c>
      <c r="C3170" s="37" t="s">
        <v>7</v>
      </c>
      <c r="D3170" s="326">
        <v>731.29</v>
      </c>
    </row>
    <row r="3171" spans="1:4" ht="13.5">
      <c r="A3171" s="37">
        <v>101518</v>
      </c>
      <c r="B3171" s="37" t="s">
        <v>17364</v>
      </c>
      <c r="C3171" s="37" t="s">
        <v>7</v>
      </c>
      <c r="D3171" s="326">
        <v>840.72</v>
      </c>
    </row>
    <row r="3172" spans="1:4" ht="13.5">
      <c r="A3172" s="37">
        <v>101519</v>
      </c>
      <c r="B3172" s="37" t="s">
        <v>17365</v>
      </c>
      <c r="C3172" s="37" t="s">
        <v>7</v>
      </c>
      <c r="D3172" s="326">
        <v>865.01</v>
      </c>
    </row>
    <row r="3173" spans="1:4" ht="13.5">
      <c r="A3173" s="37">
        <v>101520</v>
      </c>
      <c r="B3173" s="37" t="s">
        <v>17366</v>
      </c>
      <c r="C3173" s="37" t="s">
        <v>7</v>
      </c>
      <c r="D3173" s="326">
        <v>989.09</v>
      </c>
    </row>
    <row r="3174" spans="1:4" ht="13.5">
      <c r="A3174" s="37">
        <v>101521</v>
      </c>
      <c r="B3174" s="37" t="s">
        <v>17367</v>
      </c>
      <c r="C3174" s="37" t="s">
        <v>7</v>
      </c>
      <c r="D3174" s="326">
        <v>981.21</v>
      </c>
    </row>
    <row r="3175" spans="1:4" ht="13.5">
      <c r="A3175" s="37">
        <v>101522</v>
      </c>
      <c r="B3175" s="37" t="s">
        <v>17368</v>
      </c>
      <c r="C3175" s="37" t="s">
        <v>7</v>
      </c>
      <c r="D3175" s="38">
        <v>1145.3499999999999</v>
      </c>
    </row>
    <row r="3176" spans="1:4" ht="13.5">
      <c r="A3176" s="37">
        <v>101523</v>
      </c>
      <c r="B3176" s="37" t="s">
        <v>17369</v>
      </c>
      <c r="C3176" s="37" t="s">
        <v>7</v>
      </c>
      <c r="D3176" s="38">
        <v>1181.78</v>
      </c>
    </row>
    <row r="3177" spans="1:4" ht="13.5">
      <c r="A3177" s="37">
        <v>101524</v>
      </c>
      <c r="B3177" s="37" t="s">
        <v>17370</v>
      </c>
      <c r="C3177" s="37" t="s">
        <v>7</v>
      </c>
      <c r="D3177" s="38">
        <v>1367.9</v>
      </c>
    </row>
    <row r="3178" spans="1:4" ht="13.5">
      <c r="A3178" s="37">
        <v>101525</v>
      </c>
      <c r="B3178" s="37" t="s">
        <v>17371</v>
      </c>
      <c r="C3178" s="37" t="s">
        <v>7</v>
      </c>
      <c r="D3178" s="326">
        <v>971.83</v>
      </c>
    </row>
    <row r="3179" spans="1:4" ht="13.5">
      <c r="A3179" s="37">
        <v>101526</v>
      </c>
      <c r="B3179" s="37" t="s">
        <v>17372</v>
      </c>
      <c r="C3179" s="37" t="s">
        <v>7</v>
      </c>
      <c r="D3179" s="38">
        <v>1135.97</v>
      </c>
    </row>
    <row r="3180" spans="1:4" ht="13.5">
      <c r="A3180" s="37">
        <v>101527</v>
      </c>
      <c r="B3180" s="37" t="s">
        <v>17373</v>
      </c>
      <c r="C3180" s="37" t="s">
        <v>7</v>
      </c>
      <c r="D3180" s="38">
        <v>1172.4000000000001</v>
      </c>
    </row>
    <row r="3181" spans="1:4" ht="13.5">
      <c r="A3181" s="37">
        <v>101528</v>
      </c>
      <c r="B3181" s="37" t="s">
        <v>17374</v>
      </c>
      <c r="C3181" s="37" t="s">
        <v>7</v>
      </c>
      <c r="D3181" s="38">
        <v>1358.52</v>
      </c>
    </row>
    <row r="3182" spans="1:4" ht="13.5">
      <c r="A3182" s="37">
        <v>101529</v>
      </c>
      <c r="B3182" s="37" t="s">
        <v>17375</v>
      </c>
      <c r="C3182" s="37" t="s">
        <v>7</v>
      </c>
      <c r="D3182" s="38">
        <v>1100.1400000000001</v>
      </c>
    </row>
    <row r="3183" spans="1:4" ht="13.5">
      <c r="A3183" s="37">
        <v>101530</v>
      </c>
      <c r="B3183" s="37" t="s">
        <v>17376</v>
      </c>
      <c r="C3183" s="37" t="s">
        <v>7</v>
      </c>
      <c r="D3183" s="38">
        <v>1319</v>
      </c>
    </row>
    <row r="3184" spans="1:4" ht="13.5">
      <c r="A3184" s="37">
        <v>101531</v>
      </c>
      <c r="B3184" s="37" t="s">
        <v>17377</v>
      </c>
      <c r="C3184" s="37" t="s">
        <v>7</v>
      </c>
      <c r="D3184" s="38">
        <v>1367.57</v>
      </c>
    </row>
    <row r="3185" spans="1:4" ht="13.5">
      <c r="A3185" s="37">
        <v>101532</v>
      </c>
      <c r="B3185" s="37" t="s">
        <v>17378</v>
      </c>
      <c r="C3185" s="37" t="s">
        <v>7</v>
      </c>
      <c r="D3185" s="38">
        <v>1615.73</v>
      </c>
    </row>
    <row r="3186" spans="1:4" ht="13.5">
      <c r="A3186" s="37">
        <v>101533</v>
      </c>
      <c r="B3186" s="37" t="s">
        <v>17379</v>
      </c>
      <c r="C3186" s="37" t="s">
        <v>7</v>
      </c>
      <c r="D3186" s="38">
        <v>1228.72</v>
      </c>
    </row>
    <row r="3187" spans="1:4" ht="13.5">
      <c r="A3187" s="37">
        <v>101534</v>
      </c>
      <c r="B3187" s="37" t="s">
        <v>17380</v>
      </c>
      <c r="C3187" s="37" t="s">
        <v>7</v>
      </c>
      <c r="D3187" s="38">
        <v>1447.58</v>
      </c>
    </row>
    <row r="3188" spans="1:4" ht="13.5">
      <c r="A3188" s="37">
        <v>101535</v>
      </c>
      <c r="B3188" s="37" t="s">
        <v>17381</v>
      </c>
      <c r="C3188" s="37" t="s">
        <v>7</v>
      </c>
      <c r="D3188" s="38">
        <v>1496.15</v>
      </c>
    </row>
    <row r="3189" spans="1:4" ht="13.5">
      <c r="A3189" s="37">
        <v>101536</v>
      </c>
      <c r="B3189" s="37" t="s">
        <v>17382</v>
      </c>
      <c r="C3189" s="37" t="s">
        <v>7</v>
      </c>
      <c r="D3189" s="38">
        <v>1744.31</v>
      </c>
    </row>
    <row r="3190" spans="1:4" ht="13.5">
      <c r="A3190" s="37">
        <v>101537</v>
      </c>
      <c r="B3190" s="37" t="s">
        <v>7981</v>
      </c>
      <c r="C3190" s="37" t="s">
        <v>7</v>
      </c>
      <c r="D3190" s="326">
        <v>114</v>
      </c>
    </row>
    <row r="3191" spans="1:4" ht="13.5">
      <c r="A3191" s="37">
        <v>101538</v>
      </c>
      <c r="B3191" s="37" t="s">
        <v>7982</v>
      </c>
      <c r="C3191" s="37" t="s">
        <v>7</v>
      </c>
      <c r="D3191" s="326">
        <v>53.39</v>
      </c>
    </row>
    <row r="3192" spans="1:4" ht="13.5">
      <c r="A3192" s="37">
        <v>101539</v>
      </c>
      <c r="B3192" s="37" t="s">
        <v>7983</v>
      </c>
      <c r="C3192" s="37" t="s">
        <v>7</v>
      </c>
      <c r="D3192" s="326">
        <v>87.61</v>
      </c>
    </row>
    <row r="3193" spans="1:4" ht="13.5">
      <c r="A3193" s="37">
        <v>101540</v>
      </c>
      <c r="B3193" s="37" t="s">
        <v>7984</v>
      </c>
      <c r="C3193" s="37" t="s">
        <v>7</v>
      </c>
      <c r="D3193" s="326">
        <v>148.49</v>
      </c>
    </row>
    <row r="3194" spans="1:4" ht="13.5">
      <c r="A3194" s="37">
        <v>101541</v>
      </c>
      <c r="B3194" s="37" t="s">
        <v>7985</v>
      </c>
      <c r="C3194" s="37" t="s">
        <v>7</v>
      </c>
      <c r="D3194" s="326">
        <v>193.49</v>
      </c>
    </row>
    <row r="3195" spans="1:4" ht="13.5">
      <c r="A3195" s="37">
        <v>101542</v>
      </c>
      <c r="B3195" s="37" t="s">
        <v>7986</v>
      </c>
      <c r="C3195" s="37" t="s">
        <v>7</v>
      </c>
      <c r="D3195" s="326">
        <v>40.200000000000003</v>
      </c>
    </row>
    <row r="3196" spans="1:4" ht="13.5">
      <c r="A3196" s="37">
        <v>101543</v>
      </c>
      <c r="B3196" s="37" t="s">
        <v>7987</v>
      </c>
      <c r="C3196" s="37" t="s">
        <v>7</v>
      </c>
      <c r="D3196" s="326">
        <v>71.12</v>
      </c>
    </row>
    <row r="3197" spans="1:4" ht="13.5">
      <c r="A3197" s="37">
        <v>101544</v>
      </c>
      <c r="B3197" s="37" t="s">
        <v>7988</v>
      </c>
      <c r="C3197" s="37" t="s">
        <v>7</v>
      </c>
      <c r="D3197" s="326">
        <v>114.09</v>
      </c>
    </row>
    <row r="3198" spans="1:4" ht="13.5">
      <c r="A3198" s="37">
        <v>101545</v>
      </c>
      <c r="B3198" s="37" t="s">
        <v>7989</v>
      </c>
      <c r="C3198" s="37" t="s">
        <v>7</v>
      </c>
      <c r="D3198" s="326">
        <v>166.1</v>
      </c>
    </row>
    <row r="3199" spans="1:4" ht="13.5">
      <c r="A3199" s="37">
        <v>101546</v>
      </c>
      <c r="B3199" s="37" t="s">
        <v>7990</v>
      </c>
      <c r="C3199" s="37" t="s">
        <v>7</v>
      </c>
      <c r="D3199" s="326">
        <v>40.08</v>
      </c>
    </row>
    <row r="3200" spans="1:4" ht="13.5">
      <c r="A3200" s="37">
        <v>101547</v>
      </c>
      <c r="B3200" s="37" t="s">
        <v>7991</v>
      </c>
      <c r="C3200" s="37" t="s">
        <v>7</v>
      </c>
      <c r="D3200" s="326">
        <v>126.54</v>
      </c>
    </row>
    <row r="3201" spans="1:4" ht="13.5">
      <c r="A3201" s="37">
        <v>101548</v>
      </c>
      <c r="B3201" s="37" t="s">
        <v>7992</v>
      </c>
      <c r="C3201" s="37" t="s">
        <v>7</v>
      </c>
      <c r="D3201" s="326">
        <v>9.59</v>
      </c>
    </row>
    <row r="3202" spans="1:4" ht="13.5">
      <c r="A3202" s="37">
        <v>101549</v>
      </c>
      <c r="B3202" s="37" t="s">
        <v>7993</v>
      </c>
      <c r="C3202" s="37" t="s">
        <v>7</v>
      </c>
      <c r="D3202" s="326">
        <v>19.440000000000001</v>
      </c>
    </row>
    <row r="3203" spans="1:4" ht="13.5">
      <c r="A3203" s="37">
        <v>101553</v>
      </c>
      <c r="B3203" s="37" t="s">
        <v>7994</v>
      </c>
      <c r="C3203" s="37" t="s">
        <v>7</v>
      </c>
      <c r="D3203" s="326">
        <v>18.690000000000001</v>
      </c>
    </row>
    <row r="3204" spans="1:4" ht="13.5">
      <c r="A3204" s="37">
        <v>101554</v>
      </c>
      <c r="B3204" s="37" t="s">
        <v>7995</v>
      </c>
      <c r="C3204" s="37" t="s">
        <v>7</v>
      </c>
      <c r="D3204" s="326">
        <v>13.24</v>
      </c>
    </row>
    <row r="3205" spans="1:4" ht="13.5">
      <c r="A3205" s="37">
        <v>101555</v>
      </c>
      <c r="B3205" s="37" t="s">
        <v>7996</v>
      </c>
      <c r="C3205" s="37" t="s">
        <v>7</v>
      </c>
      <c r="D3205" s="326">
        <v>8.2799999999999994</v>
      </c>
    </row>
    <row r="3206" spans="1:4" ht="13.5">
      <c r="A3206" s="37">
        <v>101556</v>
      </c>
      <c r="B3206" s="37" t="s">
        <v>7997</v>
      </c>
      <c r="C3206" s="37" t="s">
        <v>7</v>
      </c>
      <c r="D3206" s="326">
        <v>7.49</v>
      </c>
    </row>
    <row r="3207" spans="1:4" ht="13.5">
      <c r="A3207" s="37">
        <v>101560</v>
      </c>
      <c r="B3207" s="37" t="s">
        <v>7998</v>
      </c>
      <c r="C3207" s="37" t="s">
        <v>6</v>
      </c>
      <c r="D3207" s="326">
        <v>9.06</v>
      </c>
    </row>
    <row r="3208" spans="1:4" ht="13.5">
      <c r="A3208" s="37">
        <v>101561</v>
      </c>
      <c r="B3208" s="37" t="s">
        <v>7999</v>
      </c>
      <c r="C3208" s="37" t="s">
        <v>6</v>
      </c>
      <c r="D3208" s="326">
        <v>14.39</v>
      </c>
    </row>
    <row r="3209" spans="1:4" ht="13.5">
      <c r="A3209" s="37">
        <v>101562</v>
      </c>
      <c r="B3209" s="37" t="s">
        <v>8000</v>
      </c>
      <c r="C3209" s="37" t="s">
        <v>6</v>
      </c>
      <c r="D3209" s="326">
        <v>22.27</v>
      </c>
    </row>
    <row r="3210" spans="1:4" ht="13.5">
      <c r="A3210" s="37">
        <v>101563</v>
      </c>
      <c r="B3210" s="37" t="s">
        <v>8001</v>
      </c>
      <c r="C3210" s="37" t="s">
        <v>6</v>
      </c>
      <c r="D3210" s="326">
        <v>31.44</v>
      </c>
    </row>
    <row r="3211" spans="1:4" ht="13.5">
      <c r="A3211" s="37">
        <v>101564</v>
      </c>
      <c r="B3211" s="37" t="s">
        <v>8002</v>
      </c>
      <c r="C3211" s="37" t="s">
        <v>6</v>
      </c>
      <c r="D3211" s="326">
        <v>46.46</v>
      </c>
    </row>
    <row r="3212" spans="1:4" ht="13.5">
      <c r="A3212" s="37">
        <v>101565</v>
      </c>
      <c r="B3212" s="37" t="s">
        <v>8003</v>
      </c>
      <c r="C3212" s="37" t="s">
        <v>6</v>
      </c>
      <c r="D3212" s="326">
        <v>64.98</v>
      </c>
    </row>
    <row r="3213" spans="1:4" ht="13.5">
      <c r="A3213" s="37">
        <v>101567</v>
      </c>
      <c r="B3213" s="37" t="s">
        <v>8004</v>
      </c>
      <c r="C3213" s="37" t="s">
        <v>6</v>
      </c>
      <c r="D3213" s="326">
        <v>84.34</v>
      </c>
    </row>
    <row r="3214" spans="1:4" ht="13.5">
      <c r="A3214" s="37">
        <v>101568</v>
      </c>
      <c r="B3214" s="37" t="s">
        <v>8005</v>
      </c>
      <c r="C3214" s="37" t="s">
        <v>6</v>
      </c>
      <c r="D3214" s="326">
        <v>110.27</v>
      </c>
    </row>
    <row r="3215" spans="1:4" ht="13.5">
      <c r="A3215" s="37">
        <v>101626</v>
      </c>
      <c r="B3215" s="37" t="s">
        <v>8006</v>
      </c>
      <c r="C3215" s="37" t="s">
        <v>7</v>
      </c>
      <c r="D3215" s="326">
        <v>188.13</v>
      </c>
    </row>
    <row r="3216" spans="1:4" ht="13.5">
      <c r="A3216" s="37">
        <v>101627</v>
      </c>
      <c r="B3216" s="37" t="s">
        <v>8007</v>
      </c>
      <c r="C3216" s="37" t="s">
        <v>7</v>
      </c>
      <c r="D3216" s="326">
        <v>292.89</v>
      </c>
    </row>
    <row r="3217" spans="1:4" ht="13.5">
      <c r="A3217" s="37">
        <v>101628</v>
      </c>
      <c r="B3217" s="37" t="s">
        <v>8008</v>
      </c>
      <c r="C3217" s="37" t="s">
        <v>7</v>
      </c>
      <c r="D3217" s="326">
        <v>139.66</v>
      </c>
    </row>
    <row r="3218" spans="1:4" ht="13.5">
      <c r="A3218" s="37">
        <v>101629</v>
      </c>
      <c r="B3218" s="37" t="s">
        <v>8009</v>
      </c>
      <c r="C3218" s="37" t="s">
        <v>7</v>
      </c>
      <c r="D3218" s="326">
        <v>164.62</v>
      </c>
    </row>
    <row r="3219" spans="1:4" ht="13.5">
      <c r="A3219" s="37">
        <v>101630</v>
      </c>
      <c r="B3219" s="37" t="s">
        <v>8010</v>
      </c>
      <c r="C3219" s="37" t="s">
        <v>7</v>
      </c>
      <c r="D3219" s="326">
        <v>78.42</v>
      </c>
    </row>
    <row r="3220" spans="1:4" ht="13.5">
      <c r="A3220" s="37">
        <v>101631</v>
      </c>
      <c r="B3220" s="37" t="s">
        <v>8011</v>
      </c>
      <c r="C3220" s="37" t="s">
        <v>7</v>
      </c>
      <c r="D3220" s="326">
        <v>37.479999999999997</v>
      </c>
    </row>
    <row r="3221" spans="1:4" ht="13.5">
      <c r="A3221" s="37">
        <v>101632</v>
      </c>
      <c r="B3221" s="37" t="s">
        <v>8012</v>
      </c>
      <c r="C3221" s="37" t="s">
        <v>7</v>
      </c>
      <c r="D3221" s="326">
        <v>41.92</v>
      </c>
    </row>
    <row r="3222" spans="1:4" ht="13.5">
      <c r="A3222" s="37">
        <v>101633</v>
      </c>
      <c r="B3222" s="37" t="s">
        <v>8013</v>
      </c>
      <c r="C3222" s="37" t="s">
        <v>7</v>
      </c>
      <c r="D3222" s="326">
        <v>107.06</v>
      </c>
    </row>
    <row r="3223" spans="1:4" ht="13.5">
      <c r="A3223" s="37">
        <v>101636</v>
      </c>
      <c r="B3223" s="37" t="s">
        <v>8014</v>
      </c>
      <c r="C3223" s="37" t="s">
        <v>7</v>
      </c>
      <c r="D3223" s="326">
        <v>155.4</v>
      </c>
    </row>
    <row r="3224" spans="1:4" ht="13.5">
      <c r="A3224" s="37">
        <v>101637</v>
      </c>
      <c r="B3224" s="37" t="s">
        <v>8015</v>
      </c>
      <c r="C3224" s="37" t="s">
        <v>7</v>
      </c>
      <c r="D3224" s="326">
        <v>150.68</v>
      </c>
    </row>
    <row r="3225" spans="1:4" ht="13.5">
      <c r="A3225" s="37">
        <v>101640</v>
      </c>
      <c r="B3225" s="37" t="s">
        <v>8016</v>
      </c>
      <c r="C3225" s="37" t="s">
        <v>7</v>
      </c>
      <c r="D3225" s="326">
        <v>109.04</v>
      </c>
    </row>
    <row r="3226" spans="1:4" ht="13.5">
      <c r="A3226" s="37">
        <v>101641</v>
      </c>
      <c r="B3226" s="37" t="s">
        <v>8017</v>
      </c>
      <c r="C3226" s="37" t="s">
        <v>7</v>
      </c>
      <c r="D3226" s="326">
        <v>56.41</v>
      </c>
    </row>
    <row r="3227" spans="1:4" ht="13.5">
      <c r="A3227" s="37">
        <v>101642</v>
      </c>
      <c r="B3227" s="37" t="s">
        <v>8018</v>
      </c>
      <c r="C3227" s="37" t="s">
        <v>7</v>
      </c>
      <c r="D3227" s="326">
        <v>28.22</v>
      </c>
    </row>
    <row r="3228" spans="1:4" ht="13.5">
      <c r="A3228" s="37">
        <v>101643</v>
      </c>
      <c r="B3228" s="37" t="s">
        <v>8019</v>
      </c>
      <c r="C3228" s="37" t="s">
        <v>7</v>
      </c>
      <c r="D3228" s="326">
        <v>49.21</v>
      </c>
    </row>
    <row r="3229" spans="1:4" ht="13.5">
      <c r="A3229" s="37">
        <v>101644</v>
      </c>
      <c r="B3229" s="37" t="s">
        <v>8020</v>
      </c>
      <c r="C3229" s="37" t="s">
        <v>7</v>
      </c>
      <c r="D3229" s="326">
        <v>66.650000000000006</v>
      </c>
    </row>
    <row r="3230" spans="1:4" ht="13.5">
      <c r="A3230" s="37">
        <v>101648</v>
      </c>
      <c r="B3230" s="37" t="s">
        <v>8021</v>
      </c>
      <c r="C3230" s="37" t="s">
        <v>7</v>
      </c>
      <c r="D3230" s="326">
        <v>59.51</v>
      </c>
    </row>
    <row r="3231" spans="1:4" ht="13.5">
      <c r="A3231" s="37">
        <v>101649</v>
      </c>
      <c r="B3231" s="37" t="s">
        <v>8022</v>
      </c>
      <c r="C3231" s="37" t="s">
        <v>7</v>
      </c>
      <c r="D3231" s="326">
        <v>68.59</v>
      </c>
    </row>
    <row r="3232" spans="1:4" ht="13.5">
      <c r="A3232" s="37">
        <v>101650</v>
      </c>
      <c r="B3232" s="37" t="s">
        <v>8023</v>
      </c>
      <c r="C3232" s="37" t="s">
        <v>7</v>
      </c>
      <c r="D3232" s="326">
        <v>79.739999999999995</v>
      </c>
    </row>
    <row r="3233" spans="1:4" ht="13.5">
      <c r="A3233" s="37">
        <v>101651</v>
      </c>
      <c r="B3233" s="37" t="s">
        <v>8024</v>
      </c>
      <c r="C3233" s="37" t="s">
        <v>7</v>
      </c>
      <c r="D3233" s="326">
        <v>67.260000000000005</v>
      </c>
    </row>
    <row r="3234" spans="1:4" ht="13.5">
      <c r="A3234" s="37">
        <v>101652</v>
      </c>
      <c r="B3234" s="37" t="s">
        <v>8025</v>
      </c>
      <c r="C3234" s="37" t="s">
        <v>7</v>
      </c>
      <c r="D3234" s="326">
        <v>556.28</v>
      </c>
    </row>
    <row r="3235" spans="1:4" ht="13.5">
      <c r="A3235" s="37">
        <v>101653</v>
      </c>
      <c r="B3235" s="37" t="s">
        <v>8026</v>
      </c>
      <c r="C3235" s="37" t="s">
        <v>7</v>
      </c>
      <c r="D3235" s="326">
        <v>293.31</v>
      </c>
    </row>
    <row r="3236" spans="1:4" ht="13.5">
      <c r="A3236" s="37">
        <v>101654</v>
      </c>
      <c r="B3236" s="37" t="s">
        <v>8027</v>
      </c>
      <c r="C3236" s="37" t="s">
        <v>7</v>
      </c>
      <c r="D3236" s="326">
        <v>243.97</v>
      </c>
    </row>
    <row r="3237" spans="1:4" ht="13.5">
      <c r="A3237" s="37">
        <v>101655</v>
      </c>
      <c r="B3237" s="37" t="s">
        <v>8028</v>
      </c>
      <c r="C3237" s="37" t="s">
        <v>7</v>
      </c>
      <c r="D3237" s="326">
        <v>385.56</v>
      </c>
    </row>
    <row r="3238" spans="1:4" ht="13.5">
      <c r="A3238" s="37">
        <v>101656</v>
      </c>
      <c r="B3238" s="37" t="s">
        <v>8029</v>
      </c>
      <c r="C3238" s="37" t="s">
        <v>7</v>
      </c>
      <c r="D3238" s="326">
        <v>418.62</v>
      </c>
    </row>
    <row r="3239" spans="1:4" ht="13.5">
      <c r="A3239" s="37">
        <v>101657</v>
      </c>
      <c r="B3239" s="37" t="s">
        <v>8030</v>
      </c>
      <c r="C3239" s="37" t="s">
        <v>7</v>
      </c>
      <c r="D3239" s="326">
        <v>489.04</v>
      </c>
    </row>
    <row r="3240" spans="1:4" ht="13.5">
      <c r="A3240" s="37">
        <v>101658</v>
      </c>
      <c r="B3240" s="37" t="s">
        <v>8031</v>
      </c>
      <c r="C3240" s="37" t="s">
        <v>7</v>
      </c>
      <c r="D3240" s="326">
        <v>633.84</v>
      </c>
    </row>
    <row r="3241" spans="1:4" ht="13.5">
      <c r="A3241" s="37">
        <v>101659</v>
      </c>
      <c r="B3241" s="37" t="s">
        <v>8032</v>
      </c>
      <c r="C3241" s="37" t="s">
        <v>7</v>
      </c>
      <c r="D3241" s="326">
        <v>723.89</v>
      </c>
    </row>
    <row r="3242" spans="1:4" ht="13.5">
      <c r="A3242" s="37">
        <v>101660</v>
      </c>
      <c r="B3242" s="37" t="s">
        <v>8033</v>
      </c>
      <c r="C3242" s="37" t="s">
        <v>7</v>
      </c>
      <c r="D3242" s="38">
        <v>1149.02</v>
      </c>
    </row>
    <row r="3243" spans="1:4" ht="13.5">
      <c r="A3243" s="37">
        <v>101661</v>
      </c>
      <c r="B3243" s="37" t="s">
        <v>8034</v>
      </c>
      <c r="C3243" s="37" t="s">
        <v>7</v>
      </c>
      <c r="D3243" s="326">
        <v>117.67</v>
      </c>
    </row>
    <row r="3244" spans="1:4" ht="13.5">
      <c r="A3244" s="37">
        <v>101662</v>
      </c>
      <c r="B3244" s="37" t="s">
        <v>8035</v>
      </c>
      <c r="C3244" s="37" t="s">
        <v>7</v>
      </c>
      <c r="D3244" s="326">
        <v>770.12</v>
      </c>
    </row>
    <row r="3245" spans="1:4" ht="13.5">
      <c r="A3245" s="37">
        <v>101663</v>
      </c>
      <c r="B3245" s="37" t="s">
        <v>8036</v>
      </c>
      <c r="C3245" s="37" t="s">
        <v>7</v>
      </c>
      <c r="D3245" s="326">
        <v>26.43</v>
      </c>
    </row>
    <row r="3246" spans="1:4" ht="13.5">
      <c r="A3246" s="37">
        <v>101664</v>
      </c>
      <c r="B3246" s="37" t="s">
        <v>8037</v>
      </c>
      <c r="C3246" s="37" t="s">
        <v>7</v>
      </c>
      <c r="D3246" s="326">
        <v>27.56</v>
      </c>
    </row>
    <row r="3247" spans="1:4" ht="13.5">
      <c r="A3247" s="37">
        <v>101665</v>
      </c>
      <c r="B3247" s="37" t="s">
        <v>8038</v>
      </c>
      <c r="C3247" s="37" t="s">
        <v>7</v>
      </c>
      <c r="D3247" s="326">
        <v>32.409999999999997</v>
      </c>
    </row>
    <row r="3248" spans="1:4" ht="13.5">
      <c r="A3248" s="37">
        <v>101666</v>
      </c>
      <c r="B3248" s="37" t="s">
        <v>8039</v>
      </c>
      <c r="C3248" s="37" t="s">
        <v>7</v>
      </c>
      <c r="D3248" s="326">
        <v>440.71</v>
      </c>
    </row>
    <row r="3249" spans="1:4" ht="13.5">
      <c r="A3249" s="37">
        <v>102085</v>
      </c>
      <c r="B3249" s="37" t="s">
        <v>8040</v>
      </c>
      <c r="C3249" s="37" t="s">
        <v>7</v>
      </c>
      <c r="D3249" s="326">
        <v>217.57</v>
      </c>
    </row>
    <row r="3250" spans="1:4" ht="13.5">
      <c r="A3250" s="37">
        <v>100578</v>
      </c>
      <c r="B3250" s="37" t="s">
        <v>3753</v>
      </c>
      <c r="C3250" s="37" t="s">
        <v>7</v>
      </c>
      <c r="D3250" s="326">
        <v>460.9</v>
      </c>
    </row>
    <row r="3251" spans="1:4" ht="13.5">
      <c r="A3251" s="37">
        <v>100579</v>
      </c>
      <c r="B3251" s="37" t="s">
        <v>3754</v>
      </c>
      <c r="C3251" s="37" t="s">
        <v>7</v>
      </c>
      <c r="D3251" s="326">
        <v>505.02</v>
      </c>
    </row>
    <row r="3252" spans="1:4" ht="13.5">
      <c r="A3252" s="37">
        <v>100580</v>
      </c>
      <c r="B3252" s="37" t="s">
        <v>3755</v>
      </c>
      <c r="C3252" s="37" t="s">
        <v>7</v>
      </c>
      <c r="D3252" s="326">
        <v>555.07000000000005</v>
      </c>
    </row>
    <row r="3253" spans="1:4" ht="13.5">
      <c r="A3253" s="37">
        <v>100581</v>
      </c>
      <c r="B3253" s="37" t="s">
        <v>3756</v>
      </c>
      <c r="C3253" s="37" t="s">
        <v>7</v>
      </c>
      <c r="D3253" s="326">
        <v>526.85</v>
      </c>
    </row>
    <row r="3254" spans="1:4" ht="13.5">
      <c r="A3254" s="37">
        <v>100582</v>
      </c>
      <c r="B3254" s="37" t="s">
        <v>3757</v>
      </c>
      <c r="C3254" s="37" t="s">
        <v>7</v>
      </c>
      <c r="D3254" s="326">
        <v>617.05999999999995</v>
      </c>
    </row>
    <row r="3255" spans="1:4" ht="13.5">
      <c r="A3255" s="37">
        <v>100583</v>
      </c>
      <c r="B3255" s="37" t="s">
        <v>3758</v>
      </c>
      <c r="C3255" s="37" t="s">
        <v>7</v>
      </c>
      <c r="D3255" s="326">
        <v>550.34</v>
      </c>
    </row>
    <row r="3256" spans="1:4" ht="13.5">
      <c r="A3256" s="37">
        <v>100584</v>
      </c>
      <c r="B3256" s="37" t="s">
        <v>3759</v>
      </c>
      <c r="C3256" s="37" t="s">
        <v>7</v>
      </c>
      <c r="D3256" s="326">
        <v>604.59</v>
      </c>
    </row>
    <row r="3257" spans="1:4" ht="13.5">
      <c r="A3257" s="37">
        <v>100585</v>
      </c>
      <c r="B3257" s="37" t="s">
        <v>3760</v>
      </c>
      <c r="C3257" s="37" t="s">
        <v>7</v>
      </c>
      <c r="D3257" s="326">
        <v>595.91999999999996</v>
      </c>
    </row>
    <row r="3258" spans="1:4" ht="13.5">
      <c r="A3258" s="37">
        <v>100586</v>
      </c>
      <c r="B3258" s="37" t="s">
        <v>3761</v>
      </c>
      <c r="C3258" s="37" t="s">
        <v>7</v>
      </c>
      <c r="D3258" s="326">
        <v>682.39</v>
      </c>
    </row>
    <row r="3259" spans="1:4" ht="13.5">
      <c r="A3259" s="37">
        <v>100587</v>
      </c>
      <c r="B3259" s="37" t="s">
        <v>3762</v>
      </c>
      <c r="C3259" s="37" t="s">
        <v>7</v>
      </c>
      <c r="D3259" s="326">
        <v>643.19000000000005</v>
      </c>
    </row>
    <row r="3260" spans="1:4" ht="13.5">
      <c r="A3260" s="37">
        <v>100588</v>
      </c>
      <c r="B3260" s="37" t="s">
        <v>3763</v>
      </c>
      <c r="C3260" s="37" t="s">
        <v>7</v>
      </c>
      <c r="D3260" s="326">
        <v>710.41</v>
      </c>
    </row>
    <row r="3261" spans="1:4" ht="13.5">
      <c r="A3261" s="37">
        <v>100589</v>
      </c>
      <c r="B3261" s="37" t="s">
        <v>3764</v>
      </c>
      <c r="C3261" s="37" t="s">
        <v>7</v>
      </c>
      <c r="D3261" s="326">
        <v>713.38</v>
      </c>
    </row>
    <row r="3262" spans="1:4" ht="13.5">
      <c r="A3262" s="37">
        <v>100590</v>
      </c>
      <c r="B3262" s="37" t="s">
        <v>3765</v>
      </c>
      <c r="C3262" s="37" t="s">
        <v>7</v>
      </c>
      <c r="D3262" s="326">
        <v>779.77</v>
      </c>
    </row>
    <row r="3263" spans="1:4" ht="13.5">
      <c r="A3263" s="37">
        <v>100591</v>
      </c>
      <c r="B3263" s="37" t="s">
        <v>3766</v>
      </c>
      <c r="C3263" s="37" t="s">
        <v>7</v>
      </c>
      <c r="D3263" s="326">
        <v>708.11</v>
      </c>
    </row>
    <row r="3264" spans="1:4" ht="13.5">
      <c r="A3264" s="37">
        <v>100592</v>
      </c>
      <c r="B3264" s="37" t="s">
        <v>3767</v>
      </c>
      <c r="C3264" s="37" t="s">
        <v>7</v>
      </c>
      <c r="D3264" s="326">
        <v>763.15</v>
      </c>
    </row>
    <row r="3265" spans="1:4" ht="13.5">
      <c r="A3265" s="37">
        <v>100593</v>
      </c>
      <c r="B3265" s="37" t="s">
        <v>3768</v>
      </c>
      <c r="C3265" s="37" t="s">
        <v>7</v>
      </c>
      <c r="D3265" s="326">
        <v>758.4</v>
      </c>
    </row>
    <row r="3266" spans="1:4" ht="13.5">
      <c r="A3266" s="37">
        <v>100594</v>
      </c>
      <c r="B3266" s="37" t="s">
        <v>3769</v>
      </c>
      <c r="C3266" s="37" t="s">
        <v>7</v>
      </c>
      <c r="D3266" s="326">
        <v>851.74</v>
      </c>
    </row>
    <row r="3267" spans="1:4" ht="13.5">
      <c r="A3267" s="37">
        <v>100595</v>
      </c>
      <c r="B3267" s="37" t="s">
        <v>3770</v>
      </c>
      <c r="C3267" s="37" t="s">
        <v>7</v>
      </c>
      <c r="D3267" s="326">
        <v>909.26</v>
      </c>
    </row>
    <row r="3268" spans="1:4" ht="13.5">
      <c r="A3268" s="37">
        <v>100596</v>
      </c>
      <c r="B3268" s="37" t="s">
        <v>3771</v>
      </c>
      <c r="C3268" s="37" t="s">
        <v>7</v>
      </c>
      <c r="D3268" s="38">
        <v>1035.21</v>
      </c>
    </row>
    <row r="3269" spans="1:4" ht="13.5">
      <c r="A3269" s="37">
        <v>100597</v>
      </c>
      <c r="B3269" s="37" t="s">
        <v>3772</v>
      </c>
      <c r="C3269" s="37" t="s">
        <v>7</v>
      </c>
      <c r="D3269" s="38">
        <v>1052.6500000000001</v>
      </c>
    </row>
    <row r="3270" spans="1:4" ht="13.5">
      <c r="A3270" s="37">
        <v>100598</v>
      </c>
      <c r="B3270" s="37" t="s">
        <v>3773</v>
      </c>
      <c r="C3270" s="37" t="s">
        <v>7</v>
      </c>
      <c r="D3270" s="38">
        <v>1156.5</v>
      </c>
    </row>
    <row r="3271" spans="1:4" ht="13.5">
      <c r="A3271" s="37">
        <v>100599</v>
      </c>
      <c r="B3271" s="37" t="s">
        <v>3774</v>
      </c>
      <c r="C3271" s="37" t="s">
        <v>7</v>
      </c>
      <c r="D3271" s="326">
        <v>479.5</v>
      </c>
    </row>
    <row r="3272" spans="1:4" ht="13.5">
      <c r="A3272" s="37">
        <v>100600</v>
      </c>
      <c r="B3272" s="37" t="s">
        <v>3775</v>
      </c>
      <c r="C3272" s="37" t="s">
        <v>7</v>
      </c>
      <c r="D3272" s="326">
        <v>573.66</v>
      </c>
    </row>
    <row r="3273" spans="1:4" ht="13.5">
      <c r="A3273" s="37">
        <v>100601</v>
      </c>
      <c r="B3273" s="37" t="s">
        <v>3776</v>
      </c>
      <c r="C3273" s="37" t="s">
        <v>7</v>
      </c>
      <c r="D3273" s="326">
        <v>733.29</v>
      </c>
    </row>
    <row r="3274" spans="1:4" ht="13.5">
      <c r="A3274" s="37">
        <v>100602</v>
      </c>
      <c r="B3274" s="37" t="s">
        <v>3777</v>
      </c>
      <c r="C3274" s="37" t="s">
        <v>7</v>
      </c>
      <c r="D3274" s="326">
        <v>932.4</v>
      </c>
    </row>
    <row r="3275" spans="1:4" ht="13.5">
      <c r="A3275" s="37">
        <v>100603</v>
      </c>
      <c r="B3275" s="37" t="s">
        <v>3778</v>
      </c>
      <c r="C3275" s="37" t="s">
        <v>7</v>
      </c>
      <c r="D3275" s="38">
        <v>1444.43</v>
      </c>
    </row>
    <row r="3276" spans="1:4" ht="13.5">
      <c r="A3276" s="37">
        <v>100604</v>
      </c>
      <c r="B3276" s="37" t="s">
        <v>3779</v>
      </c>
      <c r="C3276" s="37" t="s">
        <v>7</v>
      </c>
      <c r="D3276" s="326">
        <v>608.17999999999995</v>
      </c>
    </row>
    <row r="3277" spans="1:4" ht="13.5">
      <c r="A3277" s="37">
        <v>100605</v>
      </c>
      <c r="B3277" s="37" t="s">
        <v>3780</v>
      </c>
      <c r="C3277" s="37" t="s">
        <v>7</v>
      </c>
      <c r="D3277" s="326">
        <v>976.01</v>
      </c>
    </row>
    <row r="3278" spans="1:4" ht="13.5">
      <c r="A3278" s="37">
        <v>100606</v>
      </c>
      <c r="B3278" s="37" t="s">
        <v>3781</v>
      </c>
      <c r="C3278" s="37" t="s">
        <v>7</v>
      </c>
      <c r="D3278" s="38">
        <v>1499.76</v>
      </c>
    </row>
    <row r="3279" spans="1:4" ht="13.5">
      <c r="A3279" s="37">
        <v>100607</v>
      </c>
      <c r="B3279" s="37" t="s">
        <v>3782</v>
      </c>
      <c r="C3279" s="37" t="s">
        <v>7</v>
      </c>
      <c r="D3279" s="326">
        <v>624.53</v>
      </c>
    </row>
    <row r="3280" spans="1:4" ht="13.5">
      <c r="A3280" s="37">
        <v>100608</v>
      </c>
      <c r="B3280" s="37" t="s">
        <v>3783</v>
      </c>
      <c r="C3280" s="37" t="s">
        <v>7</v>
      </c>
      <c r="D3280" s="326">
        <v>997.5</v>
      </c>
    </row>
    <row r="3281" spans="1:4" ht="13.5">
      <c r="A3281" s="37">
        <v>100609</v>
      </c>
      <c r="B3281" s="37" t="s">
        <v>3784</v>
      </c>
      <c r="C3281" s="37" t="s">
        <v>7</v>
      </c>
      <c r="D3281" s="38">
        <v>1529.44</v>
      </c>
    </row>
    <row r="3282" spans="1:4" ht="13.5">
      <c r="A3282" s="37">
        <v>100610</v>
      </c>
      <c r="B3282" s="37" t="s">
        <v>3785</v>
      </c>
      <c r="C3282" s="37" t="s">
        <v>7</v>
      </c>
      <c r="D3282" s="326">
        <v>640.80999999999995</v>
      </c>
    </row>
    <row r="3283" spans="1:4" ht="13.5">
      <c r="A3283" s="37">
        <v>100611</v>
      </c>
      <c r="B3283" s="37" t="s">
        <v>3786</v>
      </c>
      <c r="C3283" s="37" t="s">
        <v>7</v>
      </c>
      <c r="D3283" s="326">
        <v>808.47</v>
      </c>
    </row>
    <row r="3284" spans="1:4" ht="13.5">
      <c r="A3284" s="37">
        <v>100612</v>
      </c>
      <c r="B3284" s="37" t="s">
        <v>3787</v>
      </c>
      <c r="C3284" s="37" t="s">
        <v>7</v>
      </c>
      <c r="D3284" s="38">
        <v>1018.55</v>
      </c>
    </row>
    <row r="3285" spans="1:4" ht="13.5">
      <c r="A3285" s="37">
        <v>100613</v>
      </c>
      <c r="B3285" s="37" t="s">
        <v>3788</v>
      </c>
      <c r="C3285" s="37" t="s">
        <v>7</v>
      </c>
      <c r="D3285" s="38">
        <v>1558.39</v>
      </c>
    </row>
    <row r="3286" spans="1:4" ht="13.5">
      <c r="A3286" s="37">
        <v>100614</v>
      </c>
      <c r="B3286" s="37" t="s">
        <v>3789</v>
      </c>
      <c r="C3286" s="37" t="s">
        <v>7</v>
      </c>
      <c r="D3286" s="326">
        <v>845.36</v>
      </c>
    </row>
    <row r="3287" spans="1:4" ht="13.5">
      <c r="A3287" s="37">
        <v>100615</v>
      </c>
      <c r="B3287" s="37" t="s">
        <v>3790</v>
      </c>
      <c r="C3287" s="37" t="s">
        <v>7</v>
      </c>
      <c r="D3287" s="38">
        <v>1060.32</v>
      </c>
    </row>
    <row r="3288" spans="1:4" ht="13.5">
      <c r="A3288" s="37">
        <v>100616</v>
      </c>
      <c r="B3288" s="37" t="s">
        <v>3791</v>
      </c>
      <c r="C3288" s="37" t="s">
        <v>7</v>
      </c>
      <c r="D3288" s="38">
        <v>1619.35</v>
      </c>
    </row>
    <row r="3289" spans="1:4" ht="13.5">
      <c r="A3289" s="37">
        <v>100617</v>
      </c>
      <c r="B3289" s="37" t="s">
        <v>3792</v>
      </c>
      <c r="C3289" s="37" t="s">
        <v>7</v>
      </c>
      <c r="D3289" s="38">
        <v>1101.9000000000001</v>
      </c>
    </row>
    <row r="3290" spans="1:4" ht="13.5">
      <c r="A3290" s="37">
        <v>100618</v>
      </c>
      <c r="B3290" s="37" t="s">
        <v>3793</v>
      </c>
      <c r="C3290" s="37" t="s">
        <v>7</v>
      </c>
      <c r="D3290" s="38">
        <v>1685.53</v>
      </c>
    </row>
    <row r="3291" spans="1:4" ht="13.5">
      <c r="A3291" s="37">
        <v>100619</v>
      </c>
      <c r="B3291" s="37" t="s">
        <v>3794</v>
      </c>
      <c r="C3291" s="37" t="s">
        <v>7</v>
      </c>
      <c r="D3291" s="326">
        <v>580.94000000000005</v>
      </c>
    </row>
    <row r="3292" spans="1:4" ht="13.5">
      <c r="A3292" s="37">
        <v>100620</v>
      </c>
      <c r="B3292" s="37" t="s">
        <v>3795</v>
      </c>
      <c r="C3292" s="37" t="s">
        <v>7</v>
      </c>
      <c r="D3292" s="38">
        <v>2795.88</v>
      </c>
    </row>
    <row r="3293" spans="1:4" ht="13.5">
      <c r="A3293" s="37">
        <v>100621</v>
      </c>
      <c r="B3293" s="37" t="s">
        <v>3796</v>
      </c>
      <c r="C3293" s="37" t="s">
        <v>7</v>
      </c>
      <c r="D3293" s="38">
        <v>3273</v>
      </c>
    </row>
    <row r="3294" spans="1:4" ht="13.5">
      <c r="A3294" s="37">
        <v>100622</v>
      </c>
      <c r="B3294" s="37" t="s">
        <v>3797</v>
      </c>
      <c r="C3294" s="37" t="s">
        <v>7</v>
      </c>
      <c r="D3294" s="38">
        <v>2510.12</v>
      </c>
    </row>
    <row r="3295" spans="1:4" ht="13.5">
      <c r="A3295" s="37">
        <v>100623</v>
      </c>
      <c r="B3295" s="37" t="s">
        <v>3798</v>
      </c>
      <c r="C3295" s="37" t="s">
        <v>7</v>
      </c>
      <c r="D3295" s="38">
        <v>2707.97</v>
      </c>
    </row>
    <row r="3296" spans="1:4" ht="13.5">
      <c r="A3296" s="37">
        <v>97600</v>
      </c>
      <c r="B3296" s="37" t="s">
        <v>7294</v>
      </c>
      <c r="C3296" s="37" t="s">
        <v>7</v>
      </c>
      <c r="D3296" s="326">
        <v>345.38</v>
      </c>
    </row>
    <row r="3297" spans="1:4" ht="13.5">
      <c r="A3297" s="37">
        <v>97601</v>
      </c>
      <c r="B3297" s="37" t="s">
        <v>7295</v>
      </c>
      <c r="C3297" s="37" t="s">
        <v>7</v>
      </c>
      <c r="D3297" s="326">
        <v>366.37</v>
      </c>
    </row>
    <row r="3298" spans="1:4" ht="13.5">
      <c r="A3298" s="37">
        <v>97605</v>
      </c>
      <c r="B3298" s="37" t="s">
        <v>7296</v>
      </c>
      <c r="C3298" s="37" t="s">
        <v>7</v>
      </c>
      <c r="D3298" s="326">
        <v>99.17</v>
      </c>
    </row>
    <row r="3299" spans="1:4" ht="13.5">
      <c r="A3299" s="37">
        <v>97606</v>
      </c>
      <c r="B3299" s="37" t="s">
        <v>7297</v>
      </c>
      <c r="C3299" s="37" t="s">
        <v>7</v>
      </c>
      <c r="D3299" s="326">
        <v>110.19</v>
      </c>
    </row>
    <row r="3300" spans="1:4" ht="13.5">
      <c r="A3300" s="37">
        <v>97607</v>
      </c>
      <c r="B3300" s="37" t="s">
        <v>7298</v>
      </c>
      <c r="C3300" s="37" t="s">
        <v>7</v>
      </c>
      <c r="D3300" s="326">
        <v>120.11</v>
      </c>
    </row>
    <row r="3301" spans="1:4" ht="13.5">
      <c r="A3301" s="37">
        <v>97608</v>
      </c>
      <c r="B3301" s="37" t="s">
        <v>7299</v>
      </c>
      <c r="C3301" s="37" t="s">
        <v>7</v>
      </c>
      <c r="D3301" s="326">
        <v>131.13</v>
      </c>
    </row>
    <row r="3302" spans="1:4" ht="13.5">
      <c r="A3302" s="37">
        <v>102102</v>
      </c>
      <c r="B3302" s="37" t="s">
        <v>8041</v>
      </c>
      <c r="C3302" s="37" t="s">
        <v>7</v>
      </c>
      <c r="D3302" s="38">
        <v>10835.23</v>
      </c>
    </row>
    <row r="3303" spans="1:4" ht="13.5">
      <c r="A3303" s="37">
        <v>102103</v>
      </c>
      <c r="B3303" s="37" t="s">
        <v>8042</v>
      </c>
      <c r="C3303" s="37" t="s">
        <v>7</v>
      </c>
      <c r="D3303" s="38">
        <v>12058.88</v>
      </c>
    </row>
    <row r="3304" spans="1:4" ht="13.5">
      <c r="A3304" s="37">
        <v>102104</v>
      </c>
      <c r="B3304" s="37" t="s">
        <v>8043</v>
      </c>
      <c r="C3304" s="37" t="s">
        <v>7</v>
      </c>
      <c r="D3304" s="38">
        <v>15470.8</v>
      </c>
    </row>
    <row r="3305" spans="1:4" ht="13.5">
      <c r="A3305" s="37">
        <v>102105</v>
      </c>
      <c r="B3305" s="37" t="s">
        <v>8044</v>
      </c>
      <c r="C3305" s="37" t="s">
        <v>7</v>
      </c>
      <c r="D3305" s="38">
        <v>19015.91</v>
      </c>
    </row>
    <row r="3306" spans="1:4" ht="13.5">
      <c r="A3306" s="37">
        <v>102106</v>
      </c>
      <c r="B3306" s="37" t="s">
        <v>8045</v>
      </c>
      <c r="C3306" s="37" t="s">
        <v>7</v>
      </c>
      <c r="D3306" s="38">
        <v>23854.77</v>
      </c>
    </row>
    <row r="3307" spans="1:4" ht="13.5">
      <c r="A3307" s="37">
        <v>102107</v>
      </c>
      <c r="B3307" s="37" t="s">
        <v>8046</v>
      </c>
      <c r="C3307" s="37" t="s">
        <v>7</v>
      </c>
      <c r="D3307" s="38">
        <v>33289.269999999997</v>
      </c>
    </row>
    <row r="3308" spans="1:4" ht="13.5">
      <c r="A3308" s="37">
        <v>102108</v>
      </c>
      <c r="B3308" s="37" t="s">
        <v>8047</v>
      </c>
      <c r="C3308" s="37" t="s">
        <v>7</v>
      </c>
      <c r="D3308" s="38">
        <v>38766.57</v>
      </c>
    </row>
    <row r="3309" spans="1:4" ht="13.5">
      <c r="A3309" s="37">
        <v>102109</v>
      </c>
      <c r="B3309" s="37" t="s">
        <v>8048</v>
      </c>
      <c r="C3309" s="37" t="s">
        <v>7</v>
      </c>
      <c r="D3309" s="326">
        <v>69.02</v>
      </c>
    </row>
    <row r="3310" spans="1:4" ht="13.5">
      <c r="A3310" s="37">
        <v>102110</v>
      </c>
      <c r="B3310" s="37" t="s">
        <v>8049</v>
      </c>
      <c r="C3310" s="37" t="s">
        <v>7</v>
      </c>
      <c r="D3310" s="326">
        <v>225.1</v>
      </c>
    </row>
    <row r="3311" spans="1:4" ht="13.5">
      <c r="A3311" s="37">
        <v>103654</v>
      </c>
      <c r="B3311" s="37" t="s">
        <v>15433</v>
      </c>
      <c r="C3311" s="37" t="s">
        <v>7</v>
      </c>
      <c r="D3311" s="38">
        <v>62800.57</v>
      </c>
    </row>
    <row r="3312" spans="1:4" ht="13.5">
      <c r="A3312" s="37">
        <v>103655</v>
      </c>
      <c r="B3312" s="37" t="s">
        <v>15434</v>
      </c>
      <c r="C3312" s="37" t="s">
        <v>7</v>
      </c>
      <c r="D3312" s="38">
        <v>86028.72</v>
      </c>
    </row>
    <row r="3313" spans="1:4" ht="13.5">
      <c r="A3313" s="37">
        <v>103656</v>
      </c>
      <c r="B3313" s="37" t="s">
        <v>15435</v>
      </c>
      <c r="C3313" s="37" t="s">
        <v>7</v>
      </c>
      <c r="D3313" s="38">
        <v>120280.47</v>
      </c>
    </row>
    <row r="3314" spans="1:4" ht="13.5">
      <c r="A3314" s="37">
        <v>104473</v>
      </c>
      <c r="B3314" s="37" t="s">
        <v>17383</v>
      </c>
      <c r="C3314" s="37" t="s">
        <v>7</v>
      </c>
      <c r="D3314" s="326">
        <v>161.22999999999999</v>
      </c>
    </row>
    <row r="3315" spans="1:4" ht="13.5">
      <c r="A3315" s="37">
        <v>104474</v>
      </c>
      <c r="B3315" s="37" t="s">
        <v>17384</v>
      </c>
      <c r="C3315" s="37" t="s">
        <v>7</v>
      </c>
      <c r="D3315" s="326">
        <v>343.48</v>
      </c>
    </row>
    <row r="3316" spans="1:4" ht="13.5">
      <c r="A3316" s="37">
        <v>104475</v>
      </c>
      <c r="B3316" s="37" t="s">
        <v>17385</v>
      </c>
      <c r="C3316" s="37" t="s">
        <v>7</v>
      </c>
      <c r="D3316" s="326">
        <v>137.78</v>
      </c>
    </row>
    <row r="3317" spans="1:4" ht="13.5">
      <c r="A3317" s="37">
        <v>104476</v>
      </c>
      <c r="B3317" s="37" t="s">
        <v>17386</v>
      </c>
      <c r="C3317" s="37" t="s">
        <v>7</v>
      </c>
      <c r="D3317" s="326">
        <v>176.21</v>
      </c>
    </row>
    <row r="3318" spans="1:4" ht="13.5">
      <c r="A3318" s="37">
        <v>104477</v>
      </c>
      <c r="B3318" s="37" t="s">
        <v>17387</v>
      </c>
      <c r="C3318" s="37" t="s">
        <v>7</v>
      </c>
      <c r="D3318" s="326">
        <v>134.31</v>
      </c>
    </row>
    <row r="3319" spans="1:4" ht="13.5">
      <c r="A3319" s="37">
        <v>104478</v>
      </c>
      <c r="B3319" s="37" t="s">
        <v>17388</v>
      </c>
      <c r="C3319" s="37" t="s">
        <v>7</v>
      </c>
      <c r="D3319" s="326">
        <v>295.83999999999997</v>
      </c>
    </row>
    <row r="3320" spans="1:4" ht="13.5">
      <c r="A3320" s="37">
        <v>104479</v>
      </c>
      <c r="B3320" s="37" t="s">
        <v>17389</v>
      </c>
      <c r="C3320" s="37" t="s">
        <v>7</v>
      </c>
      <c r="D3320" s="326">
        <v>118.62</v>
      </c>
    </row>
    <row r="3321" spans="1:4" ht="13.5">
      <c r="A3321" s="37">
        <v>104480</v>
      </c>
      <c r="B3321" s="37" t="s">
        <v>17390</v>
      </c>
      <c r="C3321" s="37" t="s">
        <v>7</v>
      </c>
      <c r="D3321" s="326">
        <v>134.30000000000001</v>
      </c>
    </row>
    <row r="3322" spans="1:4" ht="13.5">
      <c r="A3322" s="37">
        <v>104481</v>
      </c>
      <c r="B3322" s="37" t="s">
        <v>17391</v>
      </c>
      <c r="C3322" s="37" t="s">
        <v>7</v>
      </c>
      <c r="D3322" s="326">
        <v>311.74</v>
      </c>
    </row>
    <row r="3323" spans="1:4" ht="13.5">
      <c r="A3323" s="37">
        <v>96973</v>
      </c>
      <c r="B3323" s="37" t="s">
        <v>17392</v>
      </c>
      <c r="C3323" s="37" t="s">
        <v>6</v>
      </c>
      <c r="D3323" s="326">
        <v>63.24</v>
      </c>
    </row>
    <row r="3324" spans="1:4" ht="13.5">
      <c r="A3324" s="37">
        <v>96974</v>
      </c>
      <c r="B3324" s="37" t="s">
        <v>17393</v>
      </c>
      <c r="C3324" s="37" t="s">
        <v>6</v>
      </c>
      <c r="D3324" s="326">
        <v>81.489999999999995</v>
      </c>
    </row>
    <row r="3325" spans="1:4" ht="13.5">
      <c r="A3325" s="37">
        <v>96975</v>
      </c>
      <c r="B3325" s="37" t="s">
        <v>17394</v>
      </c>
      <c r="C3325" s="37" t="s">
        <v>6</v>
      </c>
      <c r="D3325" s="326">
        <v>100.67</v>
      </c>
    </row>
    <row r="3326" spans="1:4" ht="13.5">
      <c r="A3326" s="37">
        <v>96976</v>
      </c>
      <c r="B3326" s="37" t="s">
        <v>17395</v>
      </c>
      <c r="C3326" s="37" t="s">
        <v>6</v>
      </c>
      <c r="D3326" s="326">
        <v>132.26</v>
      </c>
    </row>
    <row r="3327" spans="1:4" ht="13.5">
      <c r="A3327" s="37">
        <v>96977</v>
      </c>
      <c r="B3327" s="37" t="s">
        <v>17396</v>
      </c>
      <c r="C3327" s="37" t="s">
        <v>6</v>
      </c>
      <c r="D3327" s="326">
        <v>50.9</v>
      </c>
    </row>
    <row r="3328" spans="1:4" ht="13.5">
      <c r="A3328" s="37">
        <v>96978</v>
      </c>
      <c r="B3328" s="37" t="s">
        <v>17397</v>
      </c>
      <c r="C3328" s="37" t="s">
        <v>6</v>
      </c>
      <c r="D3328" s="326">
        <v>67.05</v>
      </c>
    </row>
    <row r="3329" spans="1:4" ht="13.5">
      <c r="A3329" s="37">
        <v>96979</v>
      </c>
      <c r="B3329" s="37" t="s">
        <v>17398</v>
      </c>
      <c r="C3329" s="37" t="s">
        <v>6</v>
      </c>
      <c r="D3329" s="326">
        <v>95.9</v>
      </c>
    </row>
    <row r="3330" spans="1:4" ht="13.5">
      <c r="A3330" s="37">
        <v>96984</v>
      </c>
      <c r="B3330" s="37" t="s">
        <v>17399</v>
      </c>
      <c r="C3330" s="37" t="s">
        <v>7</v>
      </c>
      <c r="D3330" s="326">
        <v>53.11</v>
      </c>
    </row>
    <row r="3331" spans="1:4" ht="13.5">
      <c r="A3331" s="37">
        <v>96985</v>
      </c>
      <c r="B3331" s="37" t="s">
        <v>17400</v>
      </c>
      <c r="C3331" s="37" t="s">
        <v>7</v>
      </c>
      <c r="D3331" s="326">
        <v>80.010000000000005</v>
      </c>
    </row>
    <row r="3332" spans="1:4" ht="13.5">
      <c r="A3332" s="37">
        <v>96986</v>
      </c>
      <c r="B3332" s="37" t="s">
        <v>17401</v>
      </c>
      <c r="C3332" s="37" t="s">
        <v>7</v>
      </c>
      <c r="D3332" s="326">
        <v>119.43</v>
      </c>
    </row>
    <row r="3333" spans="1:4" ht="13.5">
      <c r="A3333" s="37">
        <v>96987</v>
      </c>
      <c r="B3333" s="37" t="s">
        <v>17402</v>
      </c>
      <c r="C3333" s="37" t="s">
        <v>7</v>
      </c>
      <c r="D3333" s="326">
        <v>110.95</v>
      </c>
    </row>
    <row r="3334" spans="1:4" ht="13.5">
      <c r="A3334" s="37">
        <v>96988</v>
      </c>
      <c r="B3334" s="37" t="s">
        <v>17403</v>
      </c>
      <c r="C3334" s="37" t="s">
        <v>7</v>
      </c>
      <c r="D3334" s="326">
        <v>133.07</v>
      </c>
    </row>
    <row r="3335" spans="1:4" ht="13.5">
      <c r="A3335" s="37">
        <v>96989</v>
      </c>
      <c r="B3335" s="37" t="s">
        <v>17404</v>
      </c>
      <c r="C3335" s="37" t="s">
        <v>7</v>
      </c>
      <c r="D3335" s="326">
        <v>111.34</v>
      </c>
    </row>
    <row r="3336" spans="1:4" ht="13.5">
      <c r="A3336" s="37">
        <v>98463</v>
      </c>
      <c r="B3336" s="37" t="s">
        <v>17405</v>
      </c>
      <c r="C3336" s="37" t="s">
        <v>7</v>
      </c>
      <c r="D3336" s="326">
        <v>24.06</v>
      </c>
    </row>
    <row r="3337" spans="1:4" ht="13.5">
      <c r="A3337" s="37">
        <v>104746</v>
      </c>
      <c r="B3337" s="37" t="s">
        <v>17406</v>
      </c>
      <c r="C3337" s="37" t="s">
        <v>7</v>
      </c>
      <c r="D3337" s="326">
        <v>24.28</v>
      </c>
    </row>
    <row r="3338" spans="1:4" ht="13.5">
      <c r="A3338" s="37">
        <v>104749</v>
      </c>
      <c r="B3338" s="37" t="s">
        <v>17407</v>
      </c>
      <c r="C3338" s="37" t="s">
        <v>7</v>
      </c>
      <c r="D3338" s="326">
        <v>19.78</v>
      </c>
    </row>
    <row r="3339" spans="1:4" ht="13.5">
      <c r="A3339" s="37">
        <v>104750</v>
      </c>
      <c r="B3339" s="37" t="s">
        <v>17408</v>
      </c>
      <c r="C3339" s="37" t="s">
        <v>7</v>
      </c>
      <c r="D3339" s="326">
        <v>15.86</v>
      </c>
    </row>
    <row r="3340" spans="1:4" ht="13.5">
      <c r="A3340" s="37">
        <v>104751</v>
      </c>
      <c r="B3340" s="37" t="s">
        <v>17409</v>
      </c>
      <c r="C3340" s="37" t="s">
        <v>7</v>
      </c>
      <c r="D3340" s="326">
        <v>22.58</v>
      </c>
    </row>
    <row r="3341" spans="1:4" ht="13.5">
      <c r="A3341" s="37">
        <v>104752</v>
      </c>
      <c r="B3341" s="37" t="s">
        <v>17410</v>
      </c>
      <c r="C3341" s="37" t="s">
        <v>7</v>
      </c>
      <c r="D3341" s="326">
        <v>19.920000000000002</v>
      </c>
    </row>
    <row r="3342" spans="1:4" ht="13.5">
      <c r="A3342" s="37">
        <v>104753</v>
      </c>
      <c r="B3342" s="37" t="s">
        <v>17411</v>
      </c>
      <c r="C3342" s="37" t="s">
        <v>7</v>
      </c>
      <c r="D3342" s="326">
        <v>24.14</v>
      </c>
    </row>
    <row r="3343" spans="1:4" ht="13.5">
      <c r="A3343" s="37">
        <v>104754</v>
      </c>
      <c r="B3343" s="37" t="s">
        <v>17412</v>
      </c>
      <c r="C3343" s="37" t="s">
        <v>7</v>
      </c>
      <c r="D3343" s="326">
        <v>31.36</v>
      </c>
    </row>
    <row r="3344" spans="1:4" ht="13.5">
      <c r="A3344" s="37">
        <v>104755</v>
      </c>
      <c r="B3344" s="37" t="s">
        <v>17413</v>
      </c>
      <c r="C3344" s="37" t="s">
        <v>7</v>
      </c>
      <c r="D3344" s="326">
        <v>42.57</v>
      </c>
    </row>
    <row r="3345" spans="1:4" ht="13.5">
      <c r="A3345" s="37">
        <v>103490</v>
      </c>
      <c r="B3345" s="37" t="s">
        <v>13824</v>
      </c>
      <c r="C3345" s="37" t="s">
        <v>12</v>
      </c>
      <c r="D3345" s="38">
        <v>3027.1</v>
      </c>
    </row>
    <row r="3346" spans="1:4" ht="13.5">
      <c r="A3346" s="37">
        <v>103491</v>
      </c>
      <c r="B3346" s="37" t="s">
        <v>13825</v>
      </c>
      <c r="C3346" s="37" t="s">
        <v>12</v>
      </c>
      <c r="D3346" s="326">
        <v>782.85</v>
      </c>
    </row>
    <row r="3347" spans="1:4" ht="13.5">
      <c r="A3347" s="37">
        <v>104758</v>
      </c>
      <c r="B3347" s="37" t="s">
        <v>17414</v>
      </c>
      <c r="C3347" s="37" t="s">
        <v>7</v>
      </c>
      <c r="D3347" s="326">
        <v>15.43</v>
      </c>
    </row>
    <row r="3348" spans="1:4" ht="13.5">
      <c r="A3348" s="37">
        <v>104759</v>
      </c>
      <c r="B3348" s="37" t="s">
        <v>17415</v>
      </c>
      <c r="C3348" s="37" t="s">
        <v>7</v>
      </c>
      <c r="D3348" s="326">
        <v>41.13</v>
      </c>
    </row>
    <row r="3349" spans="1:4" ht="13.5">
      <c r="A3349" s="37">
        <v>104760</v>
      </c>
      <c r="B3349" s="37" t="s">
        <v>17416</v>
      </c>
      <c r="C3349" s="37" t="s">
        <v>7</v>
      </c>
      <c r="D3349" s="326">
        <v>60.07</v>
      </c>
    </row>
    <row r="3350" spans="1:4" ht="13.5">
      <c r="A3350" s="37">
        <v>104761</v>
      </c>
      <c r="B3350" s="37" t="s">
        <v>17417</v>
      </c>
      <c r="C3350" s="37" t="s">
        <v>7</v>
      </c>
      <c r="D3350" s="326">
        <v>8.75</v>
      </c>
    </row>
    <row r="3351" spans="1:4" ht="13.5">
      <c r="A3351" s="37">
        <v>104762</v>
      </c>
      <c r="B3351" s="37" t="s">
        <v>17418</v>
      </c>
      <c r="C3351" s="37" t="s">
        <v>7</v>
      </c>
      <c r="D3351" s="326">
        <v>23.35</v>
      </c>
    </row>
    <row r="3352" spans="1:4" ht="13.5">
      <c r="A3352" s="37">
        <v>104763</v>
      </c>
      <c r="B3352" s="37" t="s">
        <v>17419</v>
      </c>
      <c r="C3352" s="37" t="s">
        <v>7</v>
      </c>
      <c r="D3352" s="326">
        <v>34.119999999999997</v>
      </c>
    </row>
    <row r="3353" spans="1:4" ht="13.5">
      <c r="A3353" s="37">
        <v>104764</v>
      </c>
      <c r="B3353" s="37" t="s">
        <v>17420</v>
      </c>
      <c r="C3353" s="37" t="s">
        <v>6</v>
      </c>
      <c r="D3353" s="326">
        <v>20.78</v>
      </c>
    </row>
    <row r="3354" spans="1:4" ht="13.5">
      <c r="A3354" s="37">
        <v>104765</v>
      </c>
      <c r="B3354" s="37" t="s">
        <v>17421</v>
      </c>
      <c r="C3354" s="37" t="s">
        <v>6</v>
      </c>
      <c r="D3354" s="326">
        <v>16.66</v>
      </c>
    </row>
    <row r="3355" spans="1:4" ht="13.5">
      <c r="A3355" s="37">
        <v>104766</v>
      </c>
      <c r="B3355" s="37" t="s">
        <v>17422</v>
      </c>
      <c r="C3355" s="37" t="s">
        <v>6</v>
      </c>
      <c r="D3355" s="326">
        <v>15.49</v>
      </c>
    </row>
    <row r="3356" spans="1:4" ht="13.5">
      <c r="A3356" s="37">
        <v>104768</v>
      </c>
      <c r="B3356" s="37" t="s">
        <v>17423</v>
      </c>
      <c r="C3356" s="37" t="s">
        <v>7</v>
      </c>
      <c r="D3356" s="326">
        <v>0.65</v>
      </c>
    </row>
    <row r="3357" spans="1:4" ht="13.5">
      <c r="A3357" s="37">
        <v>104770</v>
      </c>
      <c r="B3357" s="37" t="s">
        <v>17424</v>
      </c>
      <c r="C3357" s="37" t="s">
        <v>7</v>
      </c>
      <c r="D3357" s="326">
        <v>1.74</v>
      </c>
    </row>
    <row r="3358" spans="1:4" ht="13.5">
      <c r="A3358" s="37">
        <v>104772</v>
      </c>
      <c r="B3358" s="37" t="s">
        <v>17425</v>
      </c>
      <c r="C3358" s="37" t="s">
        <v>7</v>
      </c>
      <c r="D3358" s="326">
        <v>2.54</v>
      </c>
    </row>
    <row r="3359" spans="1:4" ht="13.5">
      <c r="A3359" s="37">
        <v>104774</v>
      </c>
      <c r="B3359" s="37" t="s">
        <v>17426</v>
      </c>
      <c r="C3359" s="37" t="s">
        <v>7</v>
      </c>
      <c r="D3359" s="326">
        <v>2.2400000000000002</v>
      </c>
    </row>
    <row r="3360" spans="1:4" ht="13.5">
      <c r="A3360" s="37">
        <v>104776</v>
      </c>
      <c r="B3360" s="37" t="s">
        <v>17427</v>
      </c>
      <c r="C3360" s="37" t="s">
        <v>7</v>
      </c>
      <c r="D3360" s="326">
        <v>5.99</v>
      </c>
    </row>
    <row r="3361" spans="1:4" ht="13.5">
      <c r="A3361" s="37">
        <v>104778</v>
      </c>
      <c r="B3361" s="37" t="s">
        <v>17428</v>
      </c>
      <c r="C3361" s="37" t="s">
        <v>7</v>
      </c>
      <c r="D3361" s="326">
        <v>8.77</v>
      </c>
    </row>
    <row r="3362" spans="1:4" ht="13.5">
      <c r="A3362" s="37">
        <v>104780</v>
      </c>
      <c r="B3362" s="37" t="s">
        <v>17429</v>
      </c>
      <c r="C3362" s="37" t="s">
        <v>6</v>
      </c>
      <c r="D3362" s="326">
        <v>6.54</v>
      </c>
    </row>
    <row r="3363" spans="1:4" ht="13.5">
      <c r="A3363" s="37">
        <v>104785</v>
      </c>
      <c r="B3363" s="37" t="s">
        <v>17430</v>
      </c>
      <c r="C3363" s="37" t="s">
        <v>6</v>
      </c>
      <c r="D3363" s="326">
        <v>11.97</v>
      </c>
    </row>
    <row r="3364" spans="1:4" ht="13.5">
      <c r="A3364" s="37">
        <v>96765</v>
      </c>
      <c r="B3364" s="37" t="s">
        <v>8050</v>
      </c>
      <c r="C3364" s="37" t="s">
        <v>7</v>
      </c>
      <c r="D3364" s="38">
        <v>1602.79</v>
      </c>
    </row>
    <row r="3365" spans="1:4" ht="13.5">
      <c r="A3365" s="37">
        <v>101905</v>
      </c>
      <c r="B3365" s="37" t="s">
        <v>17431</v>
      </c>
      <c r="C3365" s="37" t="s">
        <v>7</v>
      </c>
      <c r="D3365" s="326">
        <v>214.02</v>
      </c>
    </row>
    <row r="3366" spans="1:4" ht="13.5">
      <c r="A3366" s="37">
        <v>101906</v>
      </c>
      <c r="B3366" s="37" t="s">
        <v>17432</v>
      </c>
      <c r="C3366" s="37" t="s">
        <v>7</v>
      </c>
      <c r="D3366" s="326">
        <v>630.75</v>
      </c>
    </row>
    <row r="3367" spans="1:4" ht="13.5">
      <c r="A3367" s="37">
        <v>101907</v>
      </c>
      <c r="B3367" s="37" t="s">
        <v>17433</v>
      </c>
      <c r="C3367" s="37" t="s">
        <v>7</v>
      </c>
      <c r="D3367" s="326">
        <v>681.52</v>
      </c>
    </row>
    <row r="3368" spans="1:4" ht="13.5">
      <c r="A3368" s="37">
        <v>101908</v>
      </c>
      <c r="B3368" s="37" t="s">
        <v>17434</v>
      </c>
      <c r="C3368" s="37" t="s">
        <v>7</v>
      </c>
      <c r="D3368" s="326">
        <v>207.67</v>
      </c>
    </row>
    <row r="3369" spans="1:4" ht="13.5">
      <c r="A3369" s="37">
        <v>101909</v>
      </c>
      <c r="B3369" s="37" t="s">
        <v>17435</v>
      </c>
      <c r="C3369" s="37" t="s">
        <v>7</v>
      </c>
      <c r="D3369" s="326">
        <v>241.52</v>
      </c>
    </row>
    <row r="3370" spans="1:4" ht="13.5">
      <c r="A3370" s="37">
        <v>101910</v>
      </c>
      <c r="B3370" s="37" t="s">
        <v>17436</v>
      </c>
      <c r="C3370" s="37" t="s">
        <v>7</v>
      </c>
      <c r="D3370" s="326">
        <v>283.82</v>
      </c>
    </row>
    <row r="3371" spans="1:4" ht="13.5">
      <c r="A3371" s="37">
        <v>101911</v>
      </c>
      <c r="B3371" s="37" t="s">
        <v>17437</v>
      </c>
      <c r="C3371" s="37" t="s">
        <v>7</v>
      </c>
      <c r="D3371" s="326">
        <v>326.13</v>
      </c>
    </row>
    <row r="3372" spans="1:4" ht="13.5">
      <c r="A3372" s="37">
        <v>101912</v>
      </c>
      <c r="B3372" s="37" t="s">
        <v>8051</v>
      </c>
      <c r="C3372" s="37" t="s">
        <v>7</v>
      </c>
      <c r="D3372" s="38">
        <v>1976.12</v>
      </c>
    </row>
    <row r="3373" spans="1:4" ht="13.5">
      <c r="A3373" s="37">
        <v>101913</v>
      </c>
      <c r="B3373" s="37" t="s">
        <v>8052</v>
      </c>
      <c r="C3373" s="37" t="s">
        <v>7</v>
      </c>
      <c r="D3373" s="326">
        <v>451.7</v>
      </c>
    </row>
    <row r="3374" spans="1:4" ht="13.5">
      <c r="A3374" s="37">
        <v>101914</v>
      </c>
      <c r="B3374" s="37" t="s">
        <v>8053</v>
      </c>
      <c r="C3374" s="37" t="s">
        <v>7</v>
      </c>
      <c r="D3374" s="326">
        <v>573.94000000000005</v>
      </c>
    </row>
    <row r="3375" spans="1:4" ht="13.5">
      <c r="A3375" s="37">
        <v>101915</v>
      </c>
      <c r="B3375" s="37" t="s">
        <v>8054</v>
      </c>
      <c r="C3375" s="37" t="s">
        <v>7</v>
      </c>
      <c r="D3375" s="326">
        <v>386.33</v>
      </c>
    </row>
    <row r="3376" spans="1:4" ht="13.5">
      <c r="A3376" s="37">
        <v>101916</v>
      </c>
      <c r="B3376" s="37" t="s">
        <v>8055</v>
      </c>
      <c r="C3376" s="37" t="s">
        <v>7</v>
      </c>
      <c r="D3376" s="38">
        <v>3563.29</v>
      </c>
    </row>
    <row r="3377" spans="1:4" ht="13.5">
      <c r="A3377" s="37">
        <v>101917</v>
      </c>
      <c r="B3377" s="37" t="s">
        <v>8056</v>
      </c>
      <c r="C3377" s="37" t="s">
        <v>7</v>
      </c>
      <c r="D3377" s="326">
        <v>151.93</v>
      </c>
    </row>
    <row r="3378" spans="1:4" ht="13.5">
      <c r="A3378" s="37">
        <v>98261</v>
      </c>
      <c r="B3378" s="37" t="s">
        <v>3800</v>
      </c>
      <c r="C3378" s="37" t="s">
        <v>6</v>
      </c>
      <c r="D3378" s="326">
        <v>3.7</v>
      </c>
    </row>
    <row r="3379" spans="1:4" ht="13.5">
      <c r="A3379" s="37">
        <v>98262</v>
      </c>
      <c r="B3379" s="37" t="s">
        <v>3801</v>
      </c>
      <c r="C3379" s="37" t="s">
        <v>6</v>
      </c>
      <c r="D3379" s="326">
        <v>4.3899999999999997</v>
      </c>
    </row>
    <row r="3380" spans="1:4" ht="13.5">
      <c r="A3380" s="37">
        <v>98263</v>
      </c>
      <c r="B3380" s="37" t="s">
        <v>3802</v>
      </c>
      <c r="C3380" s="37" t="s">
        <v>6</v>
      </c>
      <c r="D3380" s="326">
        <v>4.58</v>
      </c>
    </row>
    <row r="3381" spans="1:4" ht="13.5">
      <c r="A3381" s="37">
        <v>98264</v>
      </c>
      <c r="B3381" s="37" t="s">
        <v>3803</v>
      </c>
      <c r="C3381" s="37" t="s">
        <v>6</v>
      </c>
      <c r="D3381" s="326">
        <v>5.31</v>
      </c>
    </row>
    <row r="3382" spans="1:4" ht="13.5">
      <c r="A3382" s="37">
        <v>98265</v>
      </c>
      <c r="B3382" s="37" t="s">
        <v>3804</v>
      </c>
      <c r="C3382" s="37" t="s">
        <v>6</v>
      </c>
      <c r="D3382" s="326">
        <v>5.8</v>
      </c>
    </row>
    <row r="3383" spans="1:4" ht="13.5">
      <c r="A3383" s="37">
        <v>98266</v>
      </c>
      <c r="B3383" s="37" t="s">
        <v>3805</v>
      </c>
      <c r="C3383" s="37" t="s">
        <v>6</v>
      </c>
      <c r="D3383" s="326">
        <v>6.45</v>
      </c>
    </row>
    <row r="3384" spans="1:4" ht="13.5">
      <c r="A3384" s="37">
        <v>98267</v>
      </c>
      <c r="B3384" s="37" t="s">
        <v>3806</v>
      </c>
      <c r="C3384" s="37" t="s">
        <v>6</v>
      </c>
      <c r="D3384" s="326">
        <v>9.8800000000000008</v>
      </c>
    </row>
    <row r="3385" spans="1:4" ht="13.5">
      <c r="A3385" s="37">
        <v>98268</v>
      </c>
      <c r="B3385" s="37" t="s">
        <v>3807</v>
      </c>
      <c r="C3385" s="37" t="s">
        <v>6</v>
      </c>
      <c r="D3385" s="326">
        <v>15.2</v>
      </c>
    </row>
    <row r="3386" spans="1:4" ht="13.5">
      <c r="A3386" s="37">
        <v>98269</v>
      </c>
      <c r="B3386" s="37" t="s">
        <v>3808</v>
      </c>
      <c r="C3386" s="37" t="s">
        <v>6</v>
      </c>
      <c r="D3386" s="326">
        <v>20.32</v>
      </c>
    </row>
    <row r="3387" spans="1:4" ht="13.5">
      <c r="A3387" s="37">
        <v>98270</v>
      </c>
      <c r="B3387" s="37" t="s">
        <v>3809</v>
      </c>
      <c r="C3387" s="37" t="s">
        <v>6</v>
      </c>
      <c r="D3387" s="326">
        <v>29.9</v>
      </c>
    </row>
    <row r="3388" spans="1:4" ht="13.5">
      <c r="A3388" s="37">
        <v>98271</v>
      </c>
      <c r="B3388" s="37" t="s">
        <v>3810</v>
      </c>
      <c r="C3388" s="37" t="s">
        <v>6</v>
      </c>
      <c r="D3388" s="326">
        <v>41.39</v>
      </c>
    </row>
    <row r="3389" spans="1:4" ht="13.5">
      <c r="A3389" s="37">
        <v>98272</v>
      </c>
      <c r="B3389" s="37" t="s">
        <v>3811</v>
      </c>
      <c r="C3389" s="37" t="s">
        <v>6</v>
      </c>
      <c r="D3389" s="326">
        <v>92.9</v>
      </c>
    </row>
    <row r="3390" spans="1:4" ht="13.5">
      <c r="A3390" s="37">
        <v>98273</v>
      </c>
      <c r="B3390" s="37" t="s">
        <v>3812</v>
      </c>
      <c r="C3390" s="37" t="s">
        <v>6</v>
      </c>
      <c r="D3390" s="326">
        <v>2.25</v>
      </c>
    </row>
    <row r="3391" spans="1:4" ht="13.5">
      <c r="A3391" s="37">
        <v>98274</v>
      </c>
      <c r="B3391" s="37" t="s">
        <v>3813</v>
      </c>
      <c r="C3391" s="37" t="s">
        <v>6</v>
      </c>
      <c r="D3391" s="326">
        <v>2.73</v>
      </c>
    </row>
    <row r="3392" spans="1:4" ht="13.5">
      <c r="A3392" s="37">
        <v>98275</v>
      </c>
      <c r="B3392" s="37" t="s">
        <v>3814</v>
      </c>
      <c r="C3392" s="37" t="s">
        <v>6</v>
      </c>
      <c r="D3392" s="326">
        <v>3.38</v>
      </c>
    </row>
    <row r="3393" spans="1:4" ht="13.5">
      <c r="A3393" s="37">
        <v>98276</v>
      </c>
      <c r="B3393" s="37" t="s">
        <v>3815</v>
      </c>
      <c r="C3393" s="37" t="s">
        <v>6</v>
      </c>
      <c r="D3393" s="326">
        <v>6.81</v>
      </c>
    </row>
    <row r="3394" spans="1:4" ht="13.5">
      <c r="A3394" s="37">
        <v>98277</v>
      </c>
      <c r="B3394" s="37" t="s">
        <v>3816</v>
      </c>
      <c r="C3394" s="37" t="s">
        <v>6</v>
      </c>
      <c r="D3394" s="326">
        <v>12.14</v>
      </c>
    </row>
    <row r="3395" spans="1:4" ht="13.5">
      <c r="A3395" s="37">
        <v>98278</v>
      </c>
      <c r="B3395" s="37" t="s">
        <v>3817</v>
      </c>
      <c r="C3395" s="37" t="s">
        <v>6</v>
      </c>
      <c r="D3395" s="326">
        <v>17.260000000000002</v>
      </c>
    </row>
    <row r="3396" spans="1:4" ht="13.5">
      <c r="A3396" s="37">
        <v>98279</v>
      </c>
      <c r="B3396" s="37" t="s">
        <v>3818</v>
      </c>
      <c r="C3396" s="37" t="s">
        <v>6</v>
      </c>
      <c r="D3396" s="326">
        <v>26.82</v>
      </c>
    </row>
    <row r="3397" spans="1:4" ht="13.5">
      <c r="A3397" s="37">
        <v>98280</v>
      </c>
      <c r="B3397" s="37" t="s">
        <v>3819</v>
      </c>
      <c r="C3397" s="37" t="s">
        <v>6</v>
      </c>
      <c r="D3397" s="326">
        <v>7.64</v>
      </c>
    </row>
    <row r="3398" spans="1:4" ht="13.5">
      <c r="A3398" s="37">
        <v>98281</v>
      </c>
      <c r="B3398" s="37" t="s">
        <v>3820</v>
      </c>
      <c r="C3398" s="37" t="s">
        <v>6</v>
      </c>
      <c r="D3398" s="326">
        <v>8.34</v>
      </c>
    </row>
    <row r="3399" spans="1:4" ht="13.5">
      <c r="A3399" s="37">
        <v>98282</v>
      </c>
      <c r="B3399" s="37" t="s">
        <v>3821</v>
      </c>
      <c r="C3399" s="37" t="s">
        <v>6</v>
      </c>
      <c r="D3399" s="326">
        <v>8.5299999999999994</v>
      </c>
    </row>
    <row r="3400" spans="1:4" ht="13.5">
      <c r="A3400" s="37">
        <v>98283</v>
      </c>
      <c r="B3400" s="37" t="s">
        <v>3822</v>
      </c>
      <c r="C3400" s="37" t="s">
        <v>6</v>
      </c>
      <c r="D3400" s="326">
        <v>9.26</v>
      </c>
    </row>
    <row r="3401" spans="1:4" ht="13.5">
      <c r="A3401" s="37">
        <v>98284</v>
      </c>
      <c r="B3401" s="37" t="s">
        <v>3823</v>
      </c>
      <c r="C3401" s="37" t="s">
        <v>6</v>
      </c>
      <c r="D3401" s="326">
        <v>9.73</v>
      </c>
    </row>
    <row r="3402" spans="1:4" ht="13.5">
      <c r="A3402" s="37">
        <v>98285</v>
      </c>
      <c r="B3402" s="37" t="s">
        <v>3824</v>
      </c>
      <c r="C3402" s="37" t="s">
        <v>6</v>
      </c>
      <c r="D3402" s="326">
        <v>10.39</v>
      </c>
    </row>
    <row r="3403" spans="1:4" ht="13.5">
      <c r="A3403" s="37">
        <v>98286</v>
      </c>
      <c r="B3403" s="37" t="s">
        <v>3825</v>
      </c>
      <c r="C3403" s="37" t="s">
        <v>6</v>
      </c>
      <c r="D3403" s="326">
        <v>13.82</v>
      </c>
    </row>
    <row r="3404" spans="1:4" ht="13.5">
      <c r="A3404" s="37">
        <v>98287</v>
      </c>
      <c r="B3404" s="37" t="s">
        <v>3826</v>
      </c>
      <c r="C3404" s="37" t="s">
        <v>6</v>
      </c>
      <c r="D3404" s="326">
        <v>1.34</v>
      </c>
    </row>
    <row r="3405" spans="1:4" ht="13.5">
      <c r="A3405" s="37">
        <v>98288</v>
      </c>
      <c r="B3405" s="37" t="s">
        <v>3827</v>
      </c>
      <c r="C3405" s="37" t="s">
        <v>6</v>
      </c>
      <c r="D3405" s="326">
        <v>2.0299999999999998</v>
      </c>
    </row>
    <row r="3406" spans="1:4" ht="13.5">
      <c r="A3406" s="37">
        <v>98289</v>
      </c>
      <c r="B3406" s="37" t="s">
        <v>3828</v>
      </c>
      <c r="C3406" s="37" t="s">
        <v>6</v>
      </c>
      <c r="D3406" s="326">
        <v>2.21</v>
      </c>
    </row>
    <row r="3407" spans="1:4" ht="13.5">
      <c r="A3407" s="37">
        <v>98290</v>
      </c>
      <c r="B3407" s="37" t="s">
        <v>3829</v>
      </c>
      <c r="C3407" s="37" t="s">
        <v>6</v>
      </c>
      <c r="D3407" s="326">
        <v>2.94</v>
      </c>
    </row>
    <row r="3408" spans="1:4" ht="13.5">
      <c r="A3408" s="37">
        <v>98291</v>
      </c>
      <c r="B3408" s="37" t="s">
        <v>3830</v>
      </c>
      <c r="C3408" s="37" t="s">
        <v>6</v>
      </c>
      <c r="D3408" s="326">
        <v>3.43</v>
      </c>
    </row>
    <row r="3409" spans="1:4" ht="13.5">
      <c r="A3409" s="37">
        <v>98292</v>
      </c>
      <c r="B3409" s="37" t="s">
        <v>3831</v>
      </c>
      <c r="C3409" s="37" t="s">
        <v>6</v>
      </c>
      <c r="D3409" s="326">
        <v>4.08</v>
      </c>
    </row>
    <row r="3410" spans="1:4" ht="13.5">
      <c r="A3410" s="37">
        <v>98293</v>
      </c>
      <c r="B3410" s="37" t="s">
        <v>3832</v>
      </c>
      <c r="C3410" s="37" t="s">
        <v>6</v>
      </c>
      <c r="D3410" s="326">
        <v>7.51</v>
      </c>
    </row>
    <row r="3411" spans="1:4" ht="13.5">
      <c r="A3411" s="37">
        <v>98400</v>
      </c>
      <c r="B3411" s="37" t="s">
        <v>3833</v>
      </c>
      <c r="C3411" s="37" t="s">
        <v>6</v>
      </c>
      <c r="D3411" s="326">
        <v>11.81</v>
      </c>
    </row>
    <row r="3412" spans="1:4" ht="13.5">
      <c r="A3412" s="37">
        <v>98401</v>
      </c>
      <c r="B3412" s="37" t="s">
        <v>3834</v>
      </c>
      <c r="C3412" s="37" t="s">
        <v>6</v>
      </c>
      <c r="D3412" s="326">
        <v>17.86</v>
      </c>
    </row>
    <row r="3413" spans="1:4" ht="13.5">
      <c r="A3413" s="37">
        <v>98402</v>
      </c>
      <c r="B3413" s="37" t="s">
        <v>3835</v>
      </c>
      <c r="C3413" s="37" t="s">
        <v>6</v>
      </c>
      <c r="D3413" s="326">
        <v>20.73</v>
      </c>
    </row>
    <row r="3414" spans="1:4" ht="13.5">
      <c r="A3414" s="37">
        <v>100556</v>
      </c>
      <c r="B3414" s="37" t="s">
        <v>3836</v>
      </c>
      <c r="C3414" s="37" t="s">
        <v>7</v>
      </c>
      <c r="D3414" s="326">
        <v>42.52</v>
      </c>
    </row>
    <row r="3415" spans="1:4" ht="13.5">
      <c r="A3415" s="37">
        <v>100557</v>
      </c>
      <c r="B3415" s="37" t="s">
        <v>3837</v>
      </c>
      <c r="C3415" s="37" t="s">
        <v>7</v>
      </c>
      <c r="D3415" s="326">
        <v>518.22</v>
      </c>
    </row>
    <row r="3416" spans="1:4" ht="13.5">
      <c r="A3416" s="37">
        <v>100560</v>
      </c>
      <c r="B3416" s="37" t="s">
        <v>3838</v>
      </c>
      <c r="C3416" s="37" t="s">
        <v>7</v>
      </c>
      <c r="D3416" s="326">
        <v>115.2</v>
      </c>
    </row>
    <row r="3417" spans="1:4" ht="13.5">
      <c r="A3417" s="37">
        <v>100561</v>
      </c>
      <c r="B3417" s="37" t="s">
        <v>3839</v>
      </c>
      <c r="C3417" s="37" t="s">
        <v>7</v>
      </c>
      <c r="D3417" s="326">
        <v>207.87</v>
      </c>
    </row>
    <row r="3418" spans="1:4" ht="13.5">
      <c r="A3418" s="37">
        <v>100562</v>
      </c>
      <c r="B3418" s="37" t="s">
        <v>3840</v>
      </c>
      <c r="C3418" s="37" t="s">
        <v>7</v>
      </c>
      <c r="D3418" s="326">
        <v>319.83</v>
      </c>
    </row>
    <row r="3419" spans="1:4" ht="13.5">
      <c r="A3419" s="37">
        <v>100563</v>
      </c>
      <c r="B3419" s="37" t="s">
        <v>3841</v>
      </c>
      <c r="C3419" s="37" t="s">
        <v>7</v>
      </c>
      <c r="D3419" s="326">
        <v>459.33</v>
      </c>
    </row>
    <row r="3420" spans="1:4" ht="13.5">
      <c r="A3420" s="37">
        <v>101795</v>
      </c>
      <c r="B3420" s="37" t="s">
        <v>8057</v>
      </c>
      <c r="C3420" s="37" t="s">
        <v>7</v>
      </c>
      <c r="D3420" s="326">
        <v>550.16</v>
      </c>
    </row>
    <row r="3421" spans="1:4" ht="13.5">
      <c r="A3421" s="37">
        <v>101798</v>
      </c>
      <c r="B3421" s="37" t="s">
        <v>8058</v>
      </c>
      <c r="C3421" s="37" t="s">
        <v>7</v>
      </c>
      <c r="D3421" s="326">
        <v>364.88</v>
      </c>
    </row>
    <row r="3422" spans="1:4" ht="13.5">
      <c r="A3422" s="37">
        <v>101799</v>
      </c>
      <c r="B3422" s="37" t="s">
        <v>8059</v>
      </c>
      <c r="C3422" s="37" t="s">
        <v>7</v>
      </c>
      <c r="D3422" s="326">
        <v>887.39</v>
      </c>
    </row>
    <row r="3423" spans="1:4" ht="13.5">
      <c r="A3423" s="37">
        <v>98397</v>
      </c>
      <c r="B3423" s="37" t="s">
        <v>3843</v>
      </c>
      <c r="C3423" s="37" t="s">
        <v>9</v>
      </c>
      <c r="D3423" s="326">
        <v>13.1</v>
      </c>
    </row>
    <row r="3424" spans="1:4" ht="13.5">
      <c r="A3424" s="37">
        <v>103244</v>
      </c>
      <c r="B3424" s="37" t="s">
        <v>17438</v>
      </c>
      <c r="C3424" s="37" t="s">
        <v>7</v>
      </c>
      <c r="D3424" s="38">
        <v>2413.66</v>
      </c>
    </row>
    <row r="3425" spans="1:4" ht="13.5">
      <c r="A3425" s="37">
        <v>103245</v>
      </c>
      <c r="B3425" s="37" t="s">
        <v>17439</v>
      </c>
      <c r="C3425" s="37" t="s">
        <v>7</v>
      </c>
      <c r="D3425" s="38">
        <v>1896.5</v>
      </c>
    </row>
    <row r="3426" spans="1:4" ht="13.5">
      <c r="A3426" s="37">
        <v>103246</v>
      </c>
      <c r="B3426" s="37" t="s">
        <v>17440</v>
      </c>
      <c r="C3426" s="37" t="s">
        <v>7</v>
      </c>
      <c r="D3426" s="38">
        <v>2071.4</v>
      </c>
    </row>
    <row r="3427" spans="1:4" ht="13.5">
      <c r="A3427" s="37">
        <v>103247</v>
      </c>
      <c r="B3427" s="37" t="s">
        <v>17441</v>
      </c>
      <c r="C3427" s="37" t="s">
        <v>7</v>
      </c>
      <c r="D3427" s="38">
        <v>2682.65</v>
      </c>
    </row>
    <row r="3428" spans="1:4" ht="13.5">
      <c r="A3428" s="37">
        <v>103248</v>
      </c>
      <c r="B3428" s="37" t="s">
        <v>17442</v>
      </c>
      <c r="C3428" s="37" t="s">
        <v>7</v>
      </c>
      <c r="D3428" s="38">
        <v>2185.92</v>
      </c>
    </row>
    <row r="3429" spans="1:4" ht="13.5">
      <c r="A3429" s="37">
        <v>103249</v>
      </c>
      <c r="B3429" s="37" t="s">
        <v>17443</v>
      </c>
      <c r="C3429" s="37" t="s">
        <v>7</v>
      </c>
      <c r="D3429" s="38">
        <v>2350.9699999999998</v>
      </c>
    </row>
    <row r="3430" spans="1:4" ht="13.5">
      <c r="A3430" s="37">
        <v>103250</v>
      </c>
      <c r="B3430" s="37" t="s">
        <v>17444</v>
      </c>
      <c r="C3430" s="37" t="s">
        <v>7</v>
      </c>
      <c r="D3430" s="38">
        <v>3910.22</v>
      </c>
    </row>
    <row r="3431" spans="1:4" ht="13.5">
      <c r="A3431" s="37">
        <v>103251</v>
      </c>
      <c r="B3431" s="37" t="s">
        <v>17445</v>
      </c>
      <c r="C3431" s="37" t="s">
        <v>7</v>
      </c>
      <c r="D3431" s="38">
        <v>3080.59</v>
      </c>
    </row>
    <row r="3432" spans="1:4" ht="13.5">
      <c r="A3432" s="37">
        <v>103252</v>
      </c>
      <c r="B3432" s="37" t="s">
        <v>17446</v>
      </c>
      <c r="C3432" s="37" t="s">
        <v>7</v>
      </c>
      <c r="D3432" s="38">
        <v>3415.16</v>
      </c>
    </row>
    <row r="3433" spans="1:4" ht="13.5">
      <c r="A3433" s="37">
        <v>103253</v>
      </c>
      <c r="B3433" s="37" t="s">
        <v>17447</v>
      </c>
      <c r="C3433" s="37" t="s">
        <v>7</v>
      </c>
      <c r="D3433" s="38">
        <v>5342.32</v>
      </c>
    </row>
    <row r="3434" spans="1:4" ht="13.5">
      <c r="A3434" s="37">
        <v>103254</v>
      </c>
      <c r="B3434" s="37" t="s">
        <v>17448</v>
      </c>
      <c r="C3434" s="37" t="s">
        <v>7</v>
      </c>
      <c r="D3434" s="38">
        <v>3985.97</v>
      </c>
    </row>
    <row r="3435" spans="1:4" ht="13.5">
      <c r="A3435" s="37">
        <v>103255</v>
      </c>
      <c r="B3435" s="37" t="s">
        <v>17449</v>
      </c>
      <c r="C3435" s="37" t="s">
        <v>7</v>
      </c>
      <c r="D3435" s="38">
        <v>4464.5200000000004</v>
      </c>
    </row>
    <row r="3436" spans="1:4" ht="13.5">
      <c r="A3436" s="37">
        <v>103256</v>
      </c>
      <c r="B3436" s="37" t="s">
        <v>17450</v>
      </c>
      <c r="C3436" s="37" t="s">
        <v>7</v>
      </c>
      <c r="D3436" s="38">
        <v>9940.34</v>
      </c>
    </row>
    <row r="3437" spans="1:4" ht="13.5">
      <c r="A3437" s="37">
        <v>103257</v>
      </c>
      <c r="B3437" s="37" t="s">
        <v>17451</v>
      </c>
      <c r="C3437" s="37" t="s">
        <v>7</v>
      </c>
      <c r="D3437" s="38">
        <v>5659.27</v>
      </c>
    </row>
    <row r="3438" spans="1:4" ht="13.5">
      <c r="A3438" s="37">
        <v>103258</v>
      </c>
      <c r="B3438" s="37" t="s">
        <v>17452</v>
      </c>
      <c r="C3438" s="37" t="s">
        <v>7</v>
      </c>
      <c r="D3438" s="38">
        <v>11117.79</v>
      </c>
    </row>
    <row r="3439" spans="1:4" ht="13.5">
      <c r="A3439" s="37">
        <v>103259</v>
      </c>
      <c r="B3439" s="37" t="s">
        <v>17453</v>
      </c>
      <c r="C3439" s="37" t="s">
        <v>7</v>
      </c>
      <c r="D3439" s="38">
        <v>5967.98</v>
      </c>
    </row>
    <row r="3440" spans="1:4" ht="13.5">
      <c r="A3440" s="37">
        <v>103260</v>
      </c>
      <c r="B3440" s="37" t="s">
        <v>17454</v>
      </c>
      <c r="C3440" s="37" t="s">
        <v>7</v>
      </c>
      <c r="D3440" s="38">
        <v>6131.86</v>
      </c>
    </row>
    <row r="3441" spans="1:4" ht="13.5">
      <c r="A3441" s="37">
        <v>103261</v>
      </c>
      <c r="B3441" s="37" t="s">
        <v>17455</v>
      </c>
      <c r="C3441" s="37" t="s">
        <v>7</v>
      </c>
      <c r="D3441" s="38">
        <v>12544.66</v>
      </c>
    </row>
    <row r="3442" spans="1:4" ht="13.5">
      <c r="A3442" s="37">
        <v>103262</v>
      </c>
      <c r="B3442" s="37" t="s">
        <v>17456</v>
      </c>
      <c r="C3442" s="37" t="s">
        <v>7</v>
      </c>
      <c r="D3442" s="38">
        <v>7852.49</v>
      </c>
    </row>
    <row r="3443" spans="1:4" ht="13.5">
      <c r="A3443" s="37">
        <v>103263</v>
      </c>
      <c r="B3443" s="37" t="s">
        <v>17457</v>
      </c>
      <c r="C3443" s="37" t="s">
        <v>7</v>
      </c>
      <c r="D3443" s="38">
        <v>17455.04</v>
      </c>
    </row>
    <row r="3444" spans="1:4" ht="13.5">
      <c r="A3444" s="37">
        <v>103264</v>
      </c>
      <c r="B3444" s="37" t="s">
        <v>17458</v>
      </c>
      <c r="C3444" s="37" t="s">
        <v>7</v>
      </c>
      <c r="D3444" s="38">
        <v>9772.61</v>
      </c>
    </row>
    <row r="3445" spans="1:4" ht="13.5">
      <c r="A3445" s="37">
        <v>103265</v>
      </c>
      <c r="B3445" s="37" t="s">
        <v>17459</v>
      </c>
      <c r="C3445" s="37" t="s">
        <v>7</v>
      </c>
      <c r="D3445" s="38">
        <v>21051.040000000001</v>
      </c>
    </row>
    <row r="3446" spans="1:4" ht="13.5">
      <c r="A3446" s="37">
        <v>103266</v>
      </c>
      <c r="B3446" s="37" t="s">
        <v>17460</v>
      </c>
      <c r="C3446" s="37" t="s">
        <v>7</v>
      </c>
      <c r="D3446" s="38">
        <v>10918.56</v>
      </c>
    </row>
    <row r="3447" spans="1:4" ht="13.5">
      <c r="A3447" s="37">
        <v>103267</v>
      </c>
      <c r="B3447" s="37" t="s">
        <v>17461</v>
      </c>
      <c r="C3447" s="37" t="s">
        <v>7</v>
      </c>
      <c r="D3447" s="38">
        <v>6190.33</v>
      </c>
    </row>
    <row r="3448" spans="1:4" ht="13.5">
      <c r="A3448" s="37">
        <v>103268</v>
      </c>
      <c r="B3448" s="37" t="s">
        <v>17462</v>
      </c>
      <c r="C3448" s="37" t="s">
        <v>7</v>
      </c>
      <c r="D3448" s="38">
        <v>7357.58</v>
      </c>
    </row>
    <row r="3449" spans="1:4" ht="13.5">
      <c r="A3449" s="37">
        <v>103269</v>
      </c>
      <c r="B3449" s="37" t="s">
        <v>17463</v>
      </c>
      <c r="C3449" s="37" t="s">
        <v>7</v>
      </c>
      <c r="D3449" s="38">
        <v>7618.57</v>
      </c>
    </row>
    <row r="3450" spans="1:4" ht="13.5">
      <c r="A3450" s="37">
        <v>103270</v>
      </c>
      <c r="B3450" s="37" t="s">
        <v>17464</v>
      </c>
      <c r="C3450" s="37" t="s">
        <v>7</v>
      </c>
      <c r="D3450" s="38">
        <v>7910.17</v>
      </c>
    </row>
    <row r="3451" spans="1:4" ht="13.5">
      <c r="A3451" s="37">
        <v>103271</v>
      </c>
      <c r="B3451" s="37" t="s">
        <v>17465</v>
      </c>
      <c r="C3451" s="37" t="s">
        <v>7</v>
      </c>
      <c r="D3451" s="38">
        <v>11222.71</v>
      </c>
    </row>
    <row r="3452" spans="1:4" ht="13.5">
      <c r="A3452" s="37">
        <v>103272</v>
      </c>
      <c r="B3452" s="37" t="s">
        <v>17466</v>
      </c>
      <c r="C3452" s="37" t="s">
        <v>7</v>
      </c>
      <c r="D3452" s="38">
        <v>11593.52</v>
      </c>
    </row>
    <row r="3453" spans="1:4" ht="13.5">
      <c r="A3453" s="37">
        <v>103273</v>
      </c>
      <c r="B3453" s="37" t="s">
        <v>17467</v>
      </c>
      <c r="C3453" s="37" t="s">
        <v>7</v>
      </c>
      <c r="D3453" s="38">
        <v>11942.04</v>
      </c>
    </row>
    <row r="3454" spans="1:4" ht="13.5">
      <c r="A3454" s="37">
        <v>103274</v>
      </c>
      <c r="B3454" s="37" t="s">
        <v>17468</v>
      </c>
      <c r="C3454" s="37" t="s">
        <v>7</v>
      </c>
      <c r="D3454" s="38">
        <v>13686.04</v>
      </c>
    </row>
    <row r="3455" spans="1:4" ht="13.5">
      <c r="A3455" s="37">
        <v>103275</v>
      </c>
      <c r="B3455" s="37" t="s">
        <v>17469</v>
      </c>
      <c r="C3455" s="37" t="s">
        <v>7</v>
      </c>
      <c r="D3455" s="38">
        <v>13614.84</v>
      </c>
    </row>
    <row r="3456" spans="1:4" ht="13.5">
      <c r="A3456" s="37">
        <v>103276</v>
      </c>
      <c r="B3456" s="37" t="s">
        <v>17470</v>
      </c>
      <c r="C3456" s="37" t="s">
        <v>7</v>
      </c>
      <c r="D3456" s="38">
        <v>14289.36</v>
      </c>
    </row>
    <row r="3457" spans="1:4" ht="13.5">
      <c r="A3457" s="37">
        <v>103277</v>
      </c>
      <c r="B3457" s="37" t="s">
        <v>17471</v>
      </c>
      <c r="C3457" s="37" t="s">
        <v>7</v>
      </c>
      <c r="D3457" s="38">
        <v>26426.66</v>
      </c>
    </row>
    <row r="3458" spans="1:4" ht="13.5">
      <c r="A3458" s="37">
        <v>103278</v>
      </c>
      <c r="B3458" s="37" t="s">
        <v>17472</v>
      </c>
      <c r="C3458" s="37" t="s">
        <v>7</v>
      </c>
      <c r="D3458" s="38">
        <v>33835.19</v>
      </c>
    </row>
    <row r="3459" spans="1:4" ht="13.5">
      <c r="A3459" s="37">
        <v>103288</v>
      </c>
      <c r="B3459" s="37" t="s">
        <v>13826</v>
      </c>
      <c r="C3459" s="37" t="s">
        <v>7</v>
      </c>
      <c r="D3459" s="326">
        <v>13.18</v>
      </c>
    </row>
    <row r="3460" spans="1:4" ht="13.5">
      <c r="A3460" s="37">
        <v>103289</v>
      </c>
      <c r="B3460" s="37" t="s">
        <v>13827</v>
      </c>
      <c r="C3460" s="37" t="s">
        <v>6</v>
      </c>
      <c r="D3460" s="326">
        <v>29.08</v>
      </c>
    </row>
    <row r="3461" spans="1:4" ht="13.5">
      <c r="A3461" s="37">
        <v>103290</v>
      </c>
      <c r="B3461" s="37" t="s">
        <v>13828</v>
      </c>
      <c r="C3461" s="37" t="s">
        <v>6</v>
      </c>
      <c r="D3461" s="326">
        <v>45.19</v>
      </c>
    </row>
    <row r="3462" spans="1:4" ht="13.5">
      <c r="A3462" s="37">
        <v>103291</v>
      </c>
      <c r="B3462" s="37" t="s">
        <v>13829</v>
      </c>
      <c r="C3462" s="37" t="s">
        <v>6</v>
      </c>
      <c r="D3462" s="326">
        <v>56.66</v>
      </c>
    </row>
    <row r="3463" spans="1:4" ht="13.5">
      <c r="A3463" s="37">
        <v>103292</v>
      </c>
      <c r="B3463" s="37" t="s">
        <v>13830</v>
      </c>
      <c r="C3463" s="37" t="s">
        <v>6</v>
      </c>
      <c r="D3463" s="326">
        <v>68.400000000000006</v>
      </c>
    </row>
    <row r="3464" spans="1:4" ht="13.5">
      <c r="A3464" s="37">
        <v>101936</v>
      </c>
      <c r="B3464" s="37" t="s">
        <v>8060</v>
      </c>
      <c r="C3464" s="37" t="s">
        <v>7</v>
      </c>
      <c r="D3464" s="38">
        <v>8707.7199999999993</v>
      </c>
    </row>
    <row r="3465" spans="1:4" ht="13.5">
      <c r="A3465" s="37">
        <v>101937</v>
      </c>
      <c r="B3465" s="37" t="s">
        <v>8061</v>
      </c>
      <c r="C3465" s="37" t="s">
        <v>7</v>
      </c>
      <c r="D3465" s="38">
        <v>15364.3</v>
      </c>
    </row>
    <row r="3466" spans="1:4" ht="13.5">
      <c r="A3466" s="37">
        <v>98294</v>
      </c>
      <c r="B3466" s="37" t="s">
        <v>3844</v>
      </c>
      <c r="C3466" s="37" t="s">
        <v>6</v>
      </c>
      <c r="D3466" s="326">
        <v>5.45</v>
      </c>
    </row>
    <row r="3467" spans="1:4" ht="13.5">
      <c r="A3467" s="37">
        <v>98295</v>
      </c>
      <c r="B3467" s="37" t="s">
        <v>3845</v>
      </c>
      <c r="C3467" s="37" t="s">
        <v>6</v>
      </c>
      <c r="D3467" s="326">
        <v>4.74</v>
      </c>
    </row>
    <row r="3468" spans="1:4" ht="13.5">
      <c r="A3468" s="37">
        <v>98296</v>
      </c>
      <c r="B3468" s="37" t="s">
        <v>3846</v>
      </c>
      <c r="C3468" s="37" t="s">
        <v>6</v>
      </c>
      <c r="D3468" s="326">
        <v>7.99</v>
      </c>
    </row>
    <row r="3469" spans="1:4" ht="13.5">
      <c r="A3469" s="37">
        <v>98297</v>
      </c>
      <c r="B3469" s="37" t="s">
        <v>3847</v>
      </c>
      <c r="C3469" s="37" t="s">
        <v>6</v>
      </c>
      <c r="D3469" s="326">
        <v>6.85</v>
      </c>
    </row>
    <row r="3470" spans="1:4" ht="13.5">
      <c r="A3470" s="37">
        <v>98298</v>
      </c>
      <c r="B3470" s="37" t="s">
        <v>17473</v>
      </c>
      <c r="C3470" s="37" t="s">
        <v>6</v>
      </c>
      <c r="D3470" s="326">
        <v>19.149999999999999</v>
      </c>
    </row>
    <row r="3471" spans="1:4" ht="13.5">
      <c r="A3471" s="37">
        <v>98299</v>
      </c>
      <c r="B3471" s="37" t="s">
        <v>17474</v>
      </c>
      <c r="C3471" s="37" t="s">
        <v>6</v>
      </c>
      <c r="D3471" s="326">
        <v>17.75</v>
      </c>
    </row>
    <row r="3472" spans="1:4" ht="13.5">
      <c r="A3472" s="37">
        <v>98300</v>
      </c>
      <c r="B3472" s="37" t="s">
        <v>17475</v>
      </c>
      <c r="C3472" s="37" t="s">
        <v>6</v>
      </c>
      <c r="D3472" s="326">
        <v>5.38</v>
      </c>
    </row>
    <row r="3473" spans="1:4" ht="13.5">
      <c r="A3473" s="37">
        <v>98301</v>
      </c>
      <c r="B3473" s="37" t="s">
        <v>3848</v>
      </c>
      <c r="C3473" s="37" t="s">
        <v>7</v>
      </c>
      <c r="D3473" s="326">
        <v>778.79</v>
      </c>
    </row>
    <row r="3474" spans="1:4" ht="13.5">
      <c r="A3474" s="37">
        <v>98302</v>
      </c>
      <c r="B3474" s="37" t="s">
        <v>3849</v>
      </c>
      <c r="C3474" s="37" t="s">
        <v>7</v>
      </c>
      <c r="D3474" s="38">
        <v>1556.06</v>
      </c>
    </row>
    <row r="3475" spans="1:4" ht="13.5">
      <c r="A3475" s="37">
        <v>98304</v>
      </c>
      <c r="B3475" s="37" t="s">
        <v>3850</v>
      </c>
      <c r="C3475" s="37" t="s">
        <v>7</v>
      </c>
      <c r="D3475" s="38">
        <v>4999.2700000000004</v>
      </c>
    </row>
    <row r="3476" spans="1:4" ht="13.5">
      <c r="A3476" s="37">
        <v>98305</v>
      </c>
      <c r="B3476" s="37" t="s">
        <v>15436</v>
      </c>
      <c r="C3476" s="37" t="s">
        <v>7</v>
      </c>
      <c r="D3476" s="38">
        <v>3821.57</v>
      </c>
    </row>
    <row r="3477" spans="1:4" ht="13.5">
      <c r="A3477" s="37">
        <v>98306</v>
      </c>
      <c r="B3477" s="37" t="s">
        <v>15437</v>
      </c>
      <c r="C3477" s="37" t="s">
        <v>7</v>
      </c>
      <c r="D3477" s="326">
        <v>75.7</v>
      </c>
    </row>
    <row r="3478" spans="1:4" ht="13.5">
      <c r="A3478" s="37">
        <v>98307</v>
      </c>
      <c r="B3478" s="37" t="s">
        <v>3851</v>
      </c>
      <c r="C3478" s="37" t="s">
        <v>7</v>
      </c>
      <c r="D3478" s="326">
        <v>51.79</v>
      </c>
    </row>
    <row r="3479" spans="1:4" ht="13.5">
      <c r="A3479" s="37">
        <v>98308</v>
      </c>
      <c r="B3479" s="37" t="s">
        <v>3852</v>
      </c>
      <c r="C3479" s="37" t="s">
        <v>7</v>
      </c>
      <c r="D3479" s="326">
        <v>33.89</v>
      </c>
    </row>
    <row r="3480" spans="1:4" ht="13.5">
      <c r="A3480" s="37">
        <v>98593</v>
      </c>
      <c r="B3480" s="37" t="s">
        <v>3853</v>
      </c>
      <c r="C3480" s="37" t="s">
        <v>7</v>
      </c>
      <c r="D3480" s="38">
        <v>3414.4</v>
      </c>
    </row>
    <row r="3481" spans="1:4" ht="13.5">
      <c r="A3481" s="37">
        <v>100553</v>
      </c>
      <c r="B3481" s="37" t="s">
        <v>17476</v>
      </c>
      <c r="C3481" s="37" t="s">
        <v>6</v>
      </c>
      <c r="D3481" s="326">
        <v>20.92</v>
      </c>
    </row>
    <row r="3482" spans="1:4" ht="13.5">
      <c r="A3482" s="37">
        <v>100554</v>
      </c>
      <c r="B3482" s="37" t="s">
        <v>17477</v>
      </c>
      <c r="C3482" s="37" t="s">
        <v>6</v>
      </c>
      <c r="D3482" s="326">
        <v>5.12</v>
      </c>
    </row>
    <row r="3483" spans="1:4" ht="13.5">
      <c r="A3483" s="37">
        <v>100555</v>
      </c>
      <c r="B3483" s="37" t="s">
        <v>15438</v>
      </c>
      <c r="C3483" s="37" t="s">
        <v>7</v>
      </c>
      <c r="D3483" s="38">
        <v>1904.64</v>
      </c>
    </row>
    <row r="3484" spans="1:4" ht="13.5">
      <c r="A3484" s="37">
        <v>89355</v>
      </c>
      <c r="B3484" s="37" t="s">
        <v>15439</v>
      </c>
      <c r="C3484" s="37" t="s">
        <v>6</v>
      </c>
      <c r="D3484" s="326">
        <v>19.850000000000001</v>
      </c>
    </row>
    <row r="3485" spans="1:4" ht="13.5">
      <c r="A3485" s="37">
        <v>89356</v>
      </c>
      <c r="B3485" s="37" t="s">
        <v>15440</v>
      </c>
      <c r="C3485" s="37" t="s">
        <v>6</v>
      </c>
      <c r="D3485" s="326">
        <v>22.85</v>
      </c>
    </row>
    <row r="3486" spans="1:4" ht="13.5">
      <c r="A3486" s="37">
        <v>89357</v>
      </c>
      <c r="B3486" s="37" t="s">
        <v>15441</v>
      </c>
      <c r="C3486" s="37" t="s">
        <v>6</v>
      </c>
      <c r="D3486" s="326">
        <v>32.869999999999997</v>
      </c>
    </row>
    <row r="3487" spans="1:4" ht="13.5">
      <c r="A3487" s="37">
        <v>89401</v>
      </c>
      <c r="B3487" s="37" t="s">
        <v>15442</v>
      </c>
      <c r="C3487" s="37" t="s">
        <v>6</v>
      </c>
      <c r="D3487" s="326">
        <v>11.26</v>
      </c>
    </row>
    <row r="3488" spans="1:4" ht="13.5">
      <c r="A3488" s="37">
        <v>89402</v>
      </c>
      <c r="B3488" s="37" t="s">
        <v>15443</v>
      </c>
      <c r="C3488" s="37" t="s">
        <v>6</v>
      </c>
      <c r="D3488" s="326">
        <v>12.92</v>
      </c>
    </row>
    <row r="3489" spans="1:4" ht="13.5">
      <c r="A3489" s="37">
        <v>89403</v>
      </c>
      <c r="B3489" s="37" t="s">
        <v>15444</v>
      </c>
      <c r="C3489" s="37" t="s">
        <v>6</v>
      </c>
      <c r="D3489" s="326">
        <v>21</v>
      </c>
    </row>
    <row r="3490" spans="1:4" ht="13.5">
      <c r="A3490" s="37">
        <v>89446</v>
      </c>
      <c r="B3490" s="37" t="s">
        <v>15445</v>
      </c>
      <c r="C3490" s="37" t="s">
        <v>6</v>
      </c>
      <c r="D3490" s="326">
        <v>6.68</v>
      </c>
    </row>
    <row r="3491" spans="1:4" ht="13.5">
      <c r="A3491" s="37">
        <v>89447</v>
      </c>
      <c r="B3491" s="37" t="s">
        <v>15446</v>
      </c>
      <c r="C3491" s="37" t="s">
        <v>6</v>
      </c>
      <c r="D3491" s="326">
        <v>13.58</v>
      </c>
    </row>
    <row r="3492" spans="1:4" ht="13.5">
      <c r="A3492" s="37">
        <v>89448</v>
      </c>
      <c r="B3492" s="37" t="s">
        <v>15447</v>
      </c>
      <c r="C3492" s="37" t="s">
        <v>6</v>
      </c>
      <c r="D3492" s="326">
        <v>20.94</v>
      </c>
    </row>
    <row r="3493" spans="1:4" ht="13.5">
      <c r="A3493" s="37">
        <v>89449</v>
      </c>
      <c r="B3493" s="37" t="s">
        <v>15448</v>
      </c>
      <c r="C3493" s="37" t="s">
        <v>6</v>
      </c>
      <c r="D3493" s="326">
        <v>23.11</v>
      </c>
    </row>
    <row r="3494" spans="1:4" ht="13.5">
      <c r="A3494" s="37">
        <v>89450</v>
      </c>
      <c r="B3494" s="37" t="s">
        <v>15449</v>
      </c>
      <c r="C3494" s="37" t="s">
        <v>6</v>
      </c>
      <c r="D3494" s="326">
        <v>37.33</v>
      </c>
    </row>
    <row r="3495" spans="1:4" ht="13.5">
      <c r="A3495" s="37">
        <v>89451</v>
      </c>
      <c r="B3495" s="37" t="s">
        <v>15450</v>
      </c>
      <c r="C3495" s="37" t="s">
        <v>6</v>
      </c>
      <c r="D3495" s="326">
        <v>61.1</v>
      </c>
    </row>
    <row r="3496" spans="1:4" ht="13.5">
      <c r="A3496" s="37">
        <v>89452</v>
      </c>
      <c r="B3496" s="37" t="s">
        <v>15451</v>
      </c>
      <c r="C3496" s="37" t="s">
        <v>6</v>
      </c>
      <c r="D3496" s="326">
        <v>84.43</v>
      </c>
    </row>
    <row r="3497" spans="1:4" ht="13.5">
      <c r="A3497" s="37">
        <v>89508</v>
      </c>
      <c r="B3497" s="37" t="s">
        <v>15452</v>
      </c>
      <c r="C3497" s="37" t="s">
        <v>6</v>
      </c>
      <c r="D3497" s="326">
        <v>18.170000000000002</v>
      </c>
    </row>
    <row r="3498" spans="1:4" ht="13.5">
      <c r="A3498" s="37">
        <v>89509</v>
      </c>
      <c r="B3498" s="37" t="s">
        <v>15453</v>
      </c>
      <c r="C3498" s="37" t="s">
        <v>6</v>
      </c>
      <c r="D3498" s="326">
        <v>24.74</v>
      </c>
    </row>
    <row r="3499" spans="1:4" ht="13.5">
      <c r="A3499" s="37">
        <v>89511</v>
      </c>
      <c r="B3499" s="37" t="s">
        <v>15454</v>
      </c>
      <c r="C3499" s="37" t="s">
        <v>6</v>
      </c>
      <c r="D3499" s="326">
        <v>42.67</v>
      </c>
    </row>
    <row r="3500" spans="1:4" ht="13.5">
      <c r="A3500" s="37">
        <v>89512</v>
      </c>
      <c r="B3500" s="37" t="s">
        <v>15455</v>
      </c>
      <c r="C3500" s="37" t="s">
        <v>6</v>
      </c>
      <c r="D3500" s="326">
        <v>53.62</v>
      </c>
    </row>
    <row r="3501" spans="1:4" ht="13.5">
      <c r="A3501" s="37">
        <v>89576</v>
      </c>
      <c r="B3501" s="37" t="s">
        <v>15456</v>
      </c>
      <c r="C3501" s="37" t="s">
        <v>6</v>
      </c>
      <c r="D3501" s="326">
        <v>31.8</v>
      </c>
    </row>
    <row r="3502" spans="1:4" ht="13.5">
      <c r="A3502" s="37">
        <v>89578</v>
      </c>
      <c r="B3502" s="37" t="s">
        <v>15457</v>
      </c>
      <c r="C3502" s="37" t="s">
        <v>6</v>
      </c>
      <c r="D3502" s="326">
        <v>39.200000000000003</v>
      </c>
    </row>
    <row r="3503" spans="1:4" ht="13.5">
      <c r="A3503" s="37">
        <v>89580</v>
      </c>
      <c r="B3503" s="37" t="s">
        <v>15458</v>
      </c>
      <c r="C3503" s="37" t="s">
        <v>6</v>
      </c>
      <c r="D3503" s="326">
        <v>81.5</v>
      </c>
    </row>
    <row r="3504" spans="1:4" ht="13.5">
      <c r="A3504" s="37">
        <v>89633</v>
      </c>
      <c r="B3504" s="37" t="s">
        <v>15459</v>
      </c>
      <c r="C3504" s="37" t="s">
        <v>6</v>
      </c>
      <c r="D3504" s="326">
        <v>25.73</v>
      </c>
    </row>
    <row r="3505" spans="1:4" ht="13.5">
      <c r="A3505" s="37">
        <v>89634</v>
      </c>
      <c r="B3505" s="37" t="s">
        <v>15460</v>
      </c>
      <c r="C3505" s="37" t="s">
        <v>6</v>
      </c>
      <c r="D3505" s="326">
        <v>37.049999999999997</v>
      </c>
    </row>
    <row r="3506" spans="1:4" ht="13.5">
      <c r="A3506" s="37">
        <v>89635</v>
      </c>
      <c r="B3506" s="37" t="s">
        <v>15461</v>
      </c>
      <c r="C3506" s="37" t="s">
        <v>6</v>
      </c>
      <c r="D3506" s="326">
        <v>55.42</v>
      </c>
    </row>
    <row r="3507" spans="1:4" ht="13.5">
      <c r="A3507" s="37">
        <v>89636</v>
      </c>
      <c r="B3507" s="37" t="s">
        <v>15462</v>
      </c>
      <c r="C3507" s="37" t="s">
        <v>6</v>
      </c>
      <c r="D3507" s="326">
        <v>70.05</v>
      </c>
    </row>
    <row r="3508" spans="1:4" ht="13.5">
      <c r="A3508" s="37">
        <v>89711</v>
      </c>
      <c r="B3508" s="37" t="s">
        <v>15463</v>
      </c>
      <c r="C3508" s="37" t="s">
        <v>6</v>
      </c>
      <c r="D3508" s="326">
        <v>21.46</v>
      </c>
    </row>
    <row r="3509" spans="1:4" ht="13.5">
      <c r="A3509" s="37">
        <v>89712</v>
      </c>
      <c r="B3509" s="37" t="s">
        <v>15464</v>
      </c>
      <c r="C3509" s="37" t="s">
        <v>6</v>
      </c>
      <c r="D3509" s="326">
        <v>28.08</v>
      </c>
    </row>
    <row r="3510" spans="1:4" ht="13.5">
      <c r="A3510" s="37">
        <v>89713</v>
      </c>
      <c r="B3510" s="37" t="s">
        <v>15465</v>
      </c>
      <c r="C3510" s="37" t="s">
        <v>6</v>
      </c>
      <c r="D3510" s="326">
        <v>35.25</v>
      </c>
    </row>
    <row r="3511" spans="1:4" ht="13.5">
      <c r="A3511" s="37">
        <v>89714</v>
      </c>
      <c r="B3511" s="37" t="s">
        <v>15466</v>
      </c>
      <c r="C3511" s="37" t="s">
        <v>6</v>
      </c>
      <c r="D3511" s="326">
        <v>39.08</v>
      </c>
    </row>
    <row r="3512" spans="1:4" ht="13.5">
      <c r="A3512" s="37">
        <v>89716</v>
      </c>
      <c r="B3512" s="37" t="s">
        <v>15467</v>
      </c>
      <c r="C3512" s="37" t="s">
        <v>6</v>
      </c>
      <c r="D3512" s="326">
        <v>28.04</v>
      </c>
    </row>
    <row r="3513" spans="1:4" ht="13.5">
      <c r="A3513" s="37">
        <v>89717</v>
      </c>
      <c r="B3513" s="37" t="s">
        <v>15468</v>
      </c>
      <c r="C3513" s="37" t="s">
        <v>6</v>
      </c>
      <c r="D3513" s="326">
        <v>44.79</v>
      </c>
    </row>
    <row r="3514" spans="1:4" ht="13.5">
      <c r="A3514" s="37">
        <v>89770</v>
      </c>
      <c r="B3514" s="37" t="s">
        <v>15469</v>
      </c>
      <c r="C3514" s="37" t="s">
        <v>6</v>
      </c>
      <c r="D3514" s="326">
        <v>49.68</v>
      </c>
    </row>
    <row r="3515" spans="1:4" ht="13.5">
      <c r="A3515" s="37">
        <v>89771</v>
      </c>
      <c r="B3515" s="37" t="s">
        <v>15470</v>
      </c>
      <c r="C3515" s="37" t="s">
        <v>6</v>
      </c>
      <c r="D3515" s="326">
        <v>66.349999999999994</v>
      </c>
    </row>
    <row r="3516" spans="1:4" ht="13.5">
      <c r="A3516" s="37">
        <v>89773</v>
      </c>
      <c r="B3516" s="37" t="s">
        <v>15471</v>
      </c>
      <c r="C3516" s="37" t="s">
        <v>6</v>
      </c>
      <c r="D3516" s="326">
        <v>156.12</v>
      </c>
    </row>
    <row r="3517" spans="1:4" ht="13.5">
      <c r="A3517" s="37">
        <v>89775</v>
      </c>
      <c r="B3517" s="37" t="s">
        <v>15472</v>
      </c>
      <c r="C3517" s="37" t="s">
        <v>6</v>
      </c>
      <c r="D3517" s="326">
        <v>244.24</v>
      </c>
    </row>
    <row r="3518" spans="1:4" ht="13.5">
      <c r="A3518" s="37">
        <v>89798</v>
      </c>
      <c r="B3518" s="37" t="s">
        <v>15473</v>
      </c>
      <c r="C3518" s="37" t="s">
        <v>6</v>
      </c>
      <c r="D3518" s="326">
        <v>15.83</v>
      </c>
    </row>
    <row r="3519" spans="1:4" ht="13.5">
      <c r="A3519" s="37">
        <v>89799</v>
      </c>
      <c r="B3519" s="37" t="s">
        <v>15474</v>
      </c>
      <c r="C3519" s="37" t="s">
        <v>6</v>
      </c>
      <c r="D3519" s="326">
        <v>25.08</v>
      </c>
    </row>
    <row r="3520" spans="1:4" ht="13.5">
      <c r="A3520" s="37">
        <v>89800</v>
      </c>
      <c r="B3520" s="37" t="s">
        <v>15475</v>
      </c>
      <c r="C3520" s="37" t="s">
        <v>6</v>
      </c>
      <c r="D3520" s="326">
        <v>31.02</v>
      </c>
    </row>
    <row r="3521" spans="1:4" ht="13.5">
      <c r="A3521" s="37">
        <v>89848</v>
      </c>
      <c r="B3521" s="37" t="s">
        <v>15476</v>
      </c>
      <c r="C3521" s="37" t="s">
        <v>6</v>
      </c>
      <c r="D3521" s="326">
        <v>29.98</v>
      </c>
    </row>
    <row r="3522" spans="1:4" ht="13.5">
      <c r="A3522" s="37">
        <v>89849</v>
      </c>
      <c r="B3522" s="37" t="s">
        <v>15477</v>
      </c>
      <c r="C3522" s="37" t="s">
        <v>6</v>
      </c>
      <c r="D3522" s="326">
        <v>64.400000000000006</v>
      </c>
    </row>
    <row r="3523" spans="1:4" ht="13.5">
      <c r="A3523" s="37">
        <v>89865</v>
      </c>
      <c r="B3523" s="37" t="s">
        <v>15478</v>
      </c>
      <c r="C3523" s="37" t="s">
        <v>6</v>
      </c>
      <c r="D3523" s="326">
        <v>17.170000000000002</v>
      </c>
    </row>
    <row r="3524" spans="1:4" ht="13.5">
      <c r="A3524" s="37">
        <v>92275</v>
      </c>
      <c r="B3524" s="37" t="s">
        <v>15479</v>
      </c>
      <c r="C3524" s="37" t="s">
        <v>6</v>
      </c>
      <c r="D3524" s="326">
        <v>52.9</v>
      </c>
    </row>
    <row r="3525" spans="1:4" ht="13.5">
      <c r="A3525" s="37">
        <v>92276</v>
      </c>
      <c r="B3525" s="37" t="s">
        <v>15480</v>
      </c>
      <c r="C3525" s="37" t="s">
        <v>6</v>
      </c>
      <c r="D3525" s="326">
        <v>67.19</v>
      </c>
    </row>
    <row r="3526" spans="1:4" ht="13.5">
      <c r="A3526" s="37">
        <v>92277</v>
      </c>
      <c r="B3526" s="37" t="s">
        <v>15481</v>
      </c>
      <c r="C3526" s="37" t="s">
        <v>6</v>
      </c>
      <c r="D3526" s="326">
        <v>97.1</v>
      </c>
    </row>
    <row r="3527" spans="1:4" ht="13.5">
      <c r="A3527" s="37">
        <v>92278</v>
      </c>
      <c r="B3527" s="37" t="s">
        <v>15482</v>
      </c>
      <c r="C3527" s="37" t="s">
        <v>6</v>
      </c>
      <c r="D3527" s="326">
        <v>130.68</v>
      </c>
    </row>
    <row r="3528" spans="1:4" ht="13.5">
      <c r="A3528" s="37">
        <v>92279</v>
      </c>
      <c r="B3528" s="37" t="s">
        <v>15483</v>
      </c>
      <c r="C3528" s="37" t="s">
        <v>6</v>
      </c>
      <c r="D3528" s="326">
        <v>188.91</v>
      </c>
    </row>
    <row r="3529" spans="1:4" ht="13.5">
      <c r="A3529" s="37">
        <v>92280</v>
      </c>
      <c r="B3529" s="37" t="s">
        <v>15484</v>
      </c>
      <c r="C3529" s="37" t="s">
        <v>6</v>
      </c>
      <c r="D3529" s="326">
        <v>265.27</v>
      </c>
    </row>
    <row r="3530" spans="1:4" ht="13.5">
      <c r="A3530" s="37">
        <v>92281</v>
      </c>
      <c r="B3530" s="37" t="s">
        <v>15485</v>
      </c>
      <c r="C3530" s="37" t="s">
        <v>6</v>
      </c>
      <c r="D3530" s="326">
        <v>106.02</v>
      </c>
    </row>
    <row r="3531" spans="1:4" ht="13.5">
      <c r="A3531" s="37">
        <v>92282</v>
      </c>
      <c r="B3531" s="37" t="s">
        <v>15486</v>
      </c>
      <c r="C3531" s="37" t="s">
        <v>6</v>
      </c>
      <c r="D3531" s="326">
        <v>122.46</v>
      </c>
    </row>
    <row r="3532" spans="1:4" ht="13.5">
      <c r="A3532" s="37">
        <v>92283</v>
      </c>
      <c r="B3532" s="37" t="s">
        <v>15487</v>
      </c>
      <c r="C3532" s="37" t="s">
        <v>6</v>
      </c>
      <c r="D3532" s="326">
        <v>166.89</v>
      </c>
    </row>
    <row r="3533" spans="1:4" ht="13.5">
      <c r="A3533" s="37">
        <v>92284</v>
      </c>
      <c r="B3533" s="37" t="s">
        <v>15488</v>
      </c>
      <c r="C3533" s="37" t="s">
        <v>6</v>
      </c>
      <c r="D3533" s="326">
        <v>210.18</v>
      </c>
    </row>
    <row r="3534" spans="1:4" ht="13.5">
      <c r="A3534" s="37">
        <v>92285</v>
      </c>
      <c r="B3534" s="37" t="s">
        <v>15489</v>
      </c>
      <c r="C3534" s="37" t="s">
        <v>6</v>
      </c>
      <c r="D3534" s="326">
        <v>283.89</v>
      </c>
    </row>
    <row r="3535" spans="1:4" ht="13.5">
      <c r="A3535" s="37">
        <v>92286</v>
      </c>
      <c r="B3535" s="37" t="s">
        <v>15490</v>
      </c>
      <c r="C3535" s="37" t="s">
        <v>6</v>
      </c>
      <c r="D3535" s="326">
        <v>361.57</v>
      </c>
    </row>
    <row r="3536" spans="1:4" ht="13.5">
      <c r="A3536" s="37">
        <v>92305</v>
      </c>
      <c r="B3536" s="37" t="s">
        <v>15491</v>
      </c>
      <c r="C3536" s="37" t="s">
        <v>6</v>
      </c>
      <c r="D3536" s="326">
        <v>35.64</v>
      </c>
    </row>
    <row r="3537" spans="1:4" ht="13.5">
      <c r="A3537" s="37">
        <v>92306</v>
      </c>
      <c r="B3537" s="37" t="s">
        <v>15492</v>
      </c>
      <c r="C3537" s="37" t="s">
        <v>6</v>
      </c>
      <c r="D3537" s="326">
        <v>57.91</v>
      </c>
    </row>
    <row r="3538" spans="1:4" ht="13.5">
      <c r="A3538" s="37">
        <v>92307</v>
      </c>
      <c r="B3538" s="37" t="s">
        <v>15493</v>
      </c>
      <c r="C3538" s="37" t="s">
        <v>6</v>
      </c>
      <c r="D3538" s="326">
        <v>72.42</v>
      </c>
    </row>
    <row r="3539" spans="1:4" ht="13.5">
      <c r="A3539" s="37">
        <v>92308</v>
      </c>
      <c r="B3539" s="37" t="s">
        <v>15494</v>
      </c>
      <c r="C3539" s="37" t="s">
        <v>6</v>
      </c>
      <c r="D3539" s="326">
        <v>49.62</v>
      </c>
    </row>
    <row r="3540" spans="1:4" ht="13.5">
      <c r="A3540" s="37">
        <v>92309</v>
      </c>
      <c r="B3540" s="37" t="s">
        <v>15495</v>
      </c>
      <c r="C3540" s="37" t="s">
        <v>6</v>
      </c>
      <c r="D3540" s="326">
        <v>113.5</v>
      </c>
    </row>
    <row r="3541" spans="1:4" ht="13.5">
      <c r="A3541" s="37">
        <v>92310</v>
      </c>
      <c r="B3541" s="37" t="s">
        <v>15496</v>
      </c>
      <c r="C3541" s="37" t="s">
        <v>6</v>
      </c>
      <c r="D3541" s="326">
        <v>130.18</v>
      </c>
    </row>
    <row r="3542" spans="1:4" ht="13.5">
      <c r="A3542" s="37">
        <v>92320</v>
      </c>
      <c r="B3542" s="37" t="s">
        <v>15497</v>
      </c>
      <c r="C3542" s="37" t="s">
        <v>6</v>
      </c>
      <c r="D3542" s="326">
        <v>45.9</v>
      </c>
    </row>
    <row r="3543" spans="1:4" ht="13.5">
      <c r="A3543" s="37">
        <v>92321</v>
      </c>
      <c r="B3543" s="37" t="s">
        <v>15498</v>
      </c>
      <c r="C3543" s="37" t="s">
        <v>6</v>
      </c>
      <c r="D3543" s="326">
        <v>75.59</v>
      </c>
    </row>
    <row r="3544" spans="1:4" ht="13.5">
      <c r="A3544" s="37">
        <v>92322</v>
      </c>
      <c r="B3544" s="37" t="s">
        <v>15499</v>
      </c>
      <c r="C3544" s="37" t="s">
        <v>6</v>
      </c>
      <c r="D3544" s="326">
        <v>96.47</v>
      </c>
    </row>
    <row r="3545" spans="1:4" ht="13.5">
      <c r="A3545" s="37">
        <v>92323</v>
      </c>
      <c r="B3545" s="37" t="s">
        <v>15500</v>
      </c>
      <c r="C3545" s="37" t="s">
        <v>6</v>
      </c>
      <c r="D3545" s="326">
        <v>57.42</v>
      </c>
    </row>
    <row r="3546" spans="1:4" ht="13.5">
      <c r="A3546" s="37">
        <v>92324</v>
      </c>
      <c r="B3546" s="37" t="s">
        <v>15501</v>
      </c>
      <c r="C3546" s="37" t="s">
        <v>6</v>
      </c>
      <c r="D3546" s="326">
        <v>128.72999999999999</v>
      </c>
    </row>
    <row r="3547" spans="1:4" ht="13.5">
      <c r="A3547" s="37">
        <v>92325</v>
      </c>
      <c r="B3547" s="37" t="s">
        <v>15502</v>
      </c>
      <c r="C3547" s="37" t="s">
        <v>6</v>
      </c>
      <c r="D3547" s="326">
        <v>151.75</v>
      </c>
    </row>
    <row r="3548" spans="1:4" ht="13.5">
      <c r="A3548" s="37">
        <v>92335</v>
      </c>
      <c r="B3548" s="37" t="s">
        <v>8062</v>
      </c>
      <c r="C3548" s="37" t="s">
        <v>6</v>
      </c>
      <c r="D3548" s="326">
        <v>144.63999999999999</v>
      </c>
    </row>
    <row r="3549" spans="1:4" ht="13.5">
      <c r="A3549" s="37">
        <v>92336</v>
      </c>
      <c r="B3549" s="37" t="s">
        <v>8063</v>
      </c>
      <c r="C3549" s="37" t="s">
        <v>6</v>
      </c>
      <c r="D3549" s="326">
        <v>178.43</v>
      </c>
    </row>
    <row r="3550" spans="1:4" ht="13.5">
      <c r="A3550" s="37">
        <v>92337</v>
      </c>
      <c r="B3550" s="37" t="s">
        <v>8064</v>
      </c>
      <c r="C3550" s="37" t="s">
        <v>6</v>
      </c>
      <c r="D3550" s="326">
        <v>237.22</v>
      </c>
    </row>
    <row r="3551" spans="1:4" ht="13.5">
      <c r="A3551" s="37">
        <v>92338</v>
      </c>
      <c r="B3551" s="37" t="s">
        <v>8065</v>
      </c>
      <c r="C3551" s="37" t="s">
        <v>6</v>
      </c>
      <c r="D3551" s="326">
        <v>156.36000000000001</v>
      </c>
    </row>
    <row r="3552" spans="1:4" ht="13.5">
      <c r="A3552" s="37">
        <v>92339</v>
      </c>
      <c r="B3552" s="37" t="s">
        <v>8066</v>
      </c>
      <c r="C3552" s="37" t="s">
        <v>6</v>
      </c>
      <c r="D3552" s="326">
        <v>239.24</v>
      </c>
    </row>
    <row r="3553" spans="1:4" ht="13.5">
      <c r="A3553" s="37">
        <v>92341</v>
      </c>
      <c r="B3553" s="37" t="s">
        <v>8067</v>
      </c>
      <c r="C3553" s="37" t="s">
        <v>6</v>
      </c>
      <c r="D3553" s="326">
        <v>154.04</v>
      </c>
    </row>
    <row r="3554" spans="1:4" ht="13.5">
      <c r="A3554" s="37">
        <v>92342</v>
      </c>
      <c r="B3554" s="37" t="s">
        <v>8068</v>
      </c>
      <c r="C3554" s="37" t="s">
        <v>6</v>
      </c>
      <c r="D3554" s="326">
        <v>187.92</v>
      </c>
    </row>
    <row r="3555" spans="1:4" ht="13.5">
      <c r="A3555" s="37">
        <v>92343</v>
      </c>
      <c r="B3555" s="37" t="s">
        <v>8069</v>
      </c>
      <c r="C3555" s="37" t="s">
        <v>6</v>
      </c>
      <c r="D3555" s="326">
        <v>246.79</v>
      </c>
    </row>
    <row r="3556" spans="1:4" ht="13.5">
      <c r="A3556" s="37">
        <v>92359</v>
      </c>
      <c r="B3556" s="37" t="s">
        <v>8070</v>
      </c>
      <c r="C3556" s="37" t="s">
        <v>6</v>
      </c>
      <c r="D3556" s="326">
        <v>75.510000000000005</v>
      </c>
    </row>
    <row r="3557" spans="1:4" ht="13.5">
      <c r="A3557" s="37">
        <v>92360</v>
      </c>
      <c r="B3557" s="37" t="s">
        <v>8071</v>
      </c>
      <c r="C3557" s="37" t="s">
        <v>6</v>
      </c>
      <c r="D3557" s="326">
        <v>100.96</v>
      </c>
    </row>
    <row r="3558" spans="1:4" ht="13.5">
      <c r="A3558" s="37">
        <v>92361</v>
      </c>
      <c r="B3558" s="37" t="s">
        <v>8072</v>
      </c>
      <c r="C3558" s="37" t="s">
        <v>6</v>
      </c>
      <c r="D3558" s="326">
        <v>136.08000000000001</v>
      </c>
    </row>
    <row r="3559" spans="1:4" ht="13.5">
      <c r="A3559" s="37">
        <v>92362</v>
      </c>
      <c r="B3559" s="37" t="s">
        <v>8073</v>
      </c>
      <c r="C3559" s="37" t="s">
        <v>6</v>
      </c>
      <c r="D3559" s="326">
        <v>218.16</v>
      </c>
    </row>
    <row r="3560" spans="1:4" ht="13.5">
      <c r="A3560" s="37">
        <v>92364</v>
      </c>
      <c r="B3560" s="37" t="s">
        <v>8074</v>
      </c>
      <c r="C3560" s="37" t="s">
        <v>6</v>
      </c>
      <c r="D3560" s="326">
        <v>87.19</v>
      </c>
    </row>
    <row r="3561" spans="1:4" ht="13.5">
      <c r="A3561" s="37">
        <v>92365</v>
      </c>
      <c r="B3561" s="37" t="s">
        <v>8075</v>
      </c>
      <c r="C3561" s="37" t="s">
        <v>6</v>
      </c>
      <c r="D3561" s="326">
        <v>100.73</v>
      </c>
    </row>
    <row r="3562" spans="1:4" ht="13.5">
      <c r="A3562" s="37">
        <v>92366</v>
      </c>
      <c r="B3562" s="37" t="s">
        <v>8076</v>
      </c>
      <c r="C3562" s="37" t="s">
        <v>6</v>
      </c>
      <c r="D3562" s="326">
        <v>142.38999999999999</v>
      </c>
    </row>
    <row r="3563" spans="1:4" ht="13.5">
      <c r="A3563" s="37">
        <v>92367</v>
      </c>
      <c r="B3563" s="37" t="s">
        <v>8077</v>
      </c>
      <c r="C3563" s="37" t="s">
        <v>6</v>
      </c>
      <c r="D3563" s="326">
        <v>175.74</v>
      </c>
    </row>
    <row r="3564" spans="1:4" ht="13.5">
      <c r="A3564" s="37">
        <v>92368</v>
      </c>
      <c r="B3564" s="37" t="s">
        <v>8078</v>
      </c>
      <c r="C3564" s="37" t="s">
        <v>6</v>
      </c>
      <c r="D3564" s="326">
        <v>234.12</v>
      </c>
    </row>
    <row r="3565" spans="1:4" ht="13.5">
      <c r="A3565" s="37">
        <v>92645</v>
      </c>
      <c r="B3565" s="37" t="s">
        <v>8079</v>
      </c>
      <c r="C3565" s="37" t="s">
        <v>6</v>
      </c>
      <c r="D3565" s="326">
        <v>79.150000000000006</v>
      </c>
    </row>
    <row r="3566" spans="1:4" ht="13.5">
      <c r="A3566" s="37">
        <v>92646</v>
      </c>
      <c r="B3566" s="37" t="s">
        <v>8080</v>
      </c>
      <c r="C3566" s="37" t="s">
        <v>6</v>
      </c>
      <c r="D3566" s="326">
        <v>104.62</v>
      </c>
    </row>
    <row r="3567" spans="1:4" ht="13.5">
      <c r="A3567" s="37">
        <v>92648</v>
      </c>
      <c r="B3567" s="37" t="s">
        <v>8081</v>
      </c>
      <c r="C3567" s="37" t="s">
        <v>6</v>
      </c>
      <c r="D3567" s="326">
        <v>114.42</v>
      </c>
    </row>
    <row r="3568" spans="1:4" ht="13.5">
      <c r="A3568" s="37">
        <v>92649</v>
      </c>
      <c r="B3568" s="37" t="s">
        <v>8082</v>
      </c>
      <c r="C3568" s="37" t="s">
        <v>6</v>
      </c>
      <c r="D3568" s="326">
        <v>139.72999999999999</v>
      </c>
    </row>
    <row r="3569" spans="1:4" ht="13.5">
      <c r="A3569" s="37">
        <v>92650</v>
      </c>
      <c r="B3569" s="37" t="s">
        <v>8083</v>
      </c>
      <c r="C3569" s="37" t="s">
        <v>6</v>
      </c>
      <c r="D3569" s="326">
        <v>221.81</v>
      </c>
    </row>
    <row r="3570" spans="1:4" ht="13.5">
      <c r="A3570" s="37">
        <v>92652</v>
      </c>
      <c r="B3570" s="37" t="s">
        <v>8084</v>
      </c>
      <c r="C3570" s="37" t="s">
        <v>6</v>
      </c>
      <c r="D3570" s="326">
        <v>91.49</v>
      </c>
    </row>
    <row r="3571" spans="1:4" ht="13.5">
      <c r="A3571" s="37">
        <v>92653</v>
      </c>
      <c r="B3571" s="37" t="s">
        <v>8085</v>
      </c>
      <c r="C3571" s="37" t="s">
        <v>6</v>
      </c>
      <c r="D3571" s="326">
        <v>105.07</v>
      </c>
    </row>
    <row r="3572" spans="1:4" ht="13.5">
      <c r="A3572" s="37">
        <v>92654</v>
      </c>
      <c r="B3572" s="37" t="s">
        <v>8086</v>
      </c>
      <c r="C3572" s="37" t="s">
        <v>6</v>
      </c>
      <c r="D3572" s="326">
        <v>146.72999999999999</v>
      </c>
    </row>
    <row r="3573" spans="1:4" ht="13.5">
      <c r="A3573" s="37">
        <v>92655</v>
      </c>
      <c r="B3573" s="37" t="s">
        <v>8087</v>
      </c>
      <c r="C3573" s="37" t="s">
        <v>6</v>
      </c>
      <c r="D3573" s="326">
        <v>180.17</v>
      </c>
    </row>
    <row r="3574" spans="1:4" ht="13.5">
      <c r="A3574" s="37">
        <v>92656</v>
      </c>
      <c r="B3574" s="37" t="s">
        <v>8088</v>
      </c>
      <c r="C3574" s="37" t="s">
        <v>6</v>
      </c>
      <c r="D3574" s="326">
        <v>238.55</v>
      </c>
    </row>
    <row r="3575" spans="1:4" ht="13.5">
      <c r="A3575" s="37">
        <v>92687</v>
      </c>
      <c r="B3575" s="37" t="s">
        <v>8089</v>
      </c>
      <c r="C3575" s="37" t="s">
        <v>6</v>
      </c>
      <c r="D3575" s="326">
        <v>41.16</v>
      </c>
    </row>
    <row r="3576" spans="1:4" ht="13.5">
      <c r="A3576" s="37">
        <v>92688</v>
      </c>
      <c r="B3576" s="37" t="s">
        <v>8090</v>
      </c>
      <c r="C3576" s="37" t="s">
        <v>6</v>
      </c>
      <c r="D3576" s="326">
        <v>55.54</v>
      </c>
    </row>
    <row r="3577" spans="1:4" ht="13.5">
      <c r="A3577" s="37">
        <v>92689</v>
      </c>
      <c r="B3577" s="37" t="s">
        <v>8091</v>
      </c>
      <c r="C3577" s="37" t="s">
        <v>6</v>
      </c>
      <c r="D3577" s="326">
        <v>55.12</v>
      </c>
    </row>
    <row r="3578" spans="1:4" ht="13.5">
      <c r="A3578" s="37">
        <v>92690</v>
      </c>
      <c r="B3578" s="37" t="s">
        <v>8092</v>
      </c>
      <c r="C3578" s="37" t="s">
        <v>6</v>
      </c>
      <c r="D3578" s="326">
        <v>78.150000000000006</v>
      </c>
    </row>
    <row r="3579" spans="1:4" ht="13.5">
      <c r="A3579" s="37">
        <v>92691</v>
      </c>
      <c r="B3579" s="37" t="s">
        <v>8093</v>
      </c>
      <c r="C3579" s="37" t="s">
        <v>6</v>
      </c>
      <c r="D3579" s="326">
        <v>99.72</v>
      </c>
    </row>
    <row r="3580" spans="1:4" ht="13.5">
      <c r="A3580" s="37">
        <v>94462</v>
      </c>
      <c r="B3580" s="37" t="s">
        <v>3855</v>
      </c>
      <c r="C3580" s="37" t="s">
        <v>6</v>
      </c>
      <c r="D3580" s="326">
        <v>148.19999999999999</v>
      </c>
    </row>
    <row r="3581" spans="1:4" ht="13.5">
      <c r="A3581" s="37">
        <v>94463</v>
      </c>
      <c r="B3581" s="37" t="s">
        <v>3856</v>
      </c>
      <c r="C3581" s="37" t="s">
        <v>6</v>
      </c>
      <c r="D3581" s="326">
        <v>177.73</v>
      </c>
    </row>
    <row r="3582" spans="1:4" ht="13.5">
      <c r="A3582" s="37">
        <v>94464</v>
      </c>
      <c r="B3582" s="37" t="s">
        <v>3857</v>
      </c>
      <c r="C3582" s="37" t="s">
        <v>6</v>
      </c>
      <c r="D3582" s="326">
        <v>254.01</v>
      </c>
    </row>
    <row r="3583" spans="1:4" ht="13.5">
      <c r="A3583" s="37">
        <v>94602</v>
      </c>
      <c r="B3583" s="37" t="s">
        <v>3858</v>
      </c>
      <c r="C3583" s="37" t="s">
        <v>6</v>
      </c>
      <c r="D3583" s="326">
        <v>201.5</v>
      </c>
    </row>
    <row r="3584" spans="1:4" ht="13.5">
      <c r="A3584" s="37">
        <v>94603</v>
      </c>
      <c r="B3584" s="37" t="s">
        <v>3859</v>
      </c>
      <c r="C3584" s="37" t="s">
        <v>6</v>
      </c>
      <c r="D3584" s="326">
        <v>271.52999999999997</v>
      </c>
    </row>
    <row r="3585" spans="1:4" ht="13.5">
      <c r="A3585" s="37">
        <v>94604</v>
      </c>
      <c r="B3585" s="37" t="s">
        <v>3860</v>
      </c>
      <c r="C3585" s="37" t="s">
        <v>6</v>
      </c>
      <c r="D3585" s="326">
        <v>371.61</v>
      </c>
    </row>
    <row r="3586" spans="1:4" ht="13.5">
      <c r="A3586" s="37">
        <v>94605</v>
      </c>
      <c r="B3586" s="37" t="s">
        <v>3861</v>
      </c>
      <c r="C3586" s="37" t="s">
        <v>6</v>
      </c>
      <c r="D3586" s="326">
        <v>532.34</v>
      </c>
    </row>
    <row r="3587" spans="1:4" ht="13.5">
      <c r="A3587" s="37">
        <v>94648</v>
      </c>
      <c r="B3587" s="37" t="s">
        <v>3862</v>
      </c>
      <c r="C3587" s="37" t="s">
        <v>6</v>
      </c>
      <c r="D3587" s="326">
        <v>11.66</v>
      </c>
    </row>
    <row r="3588" spans="1:4" ht="13.5">
      <c r="A3588" s="37">
        <v>94649</v>
      </c>
      <c r="B3588" s="37" t="s">
        <v>3863</v>
      </c>
      <c r="C3588" s="37" t="s">
        <v>6</v>
      </c>
      <c r="D3588" s="326">
        <v>18.36</v>
      </c>
    </row>
    <row r="3589" spans="1:4" ht="13.5">
      <c r="A3589" s="37">
        <v>94650</v>
      </c>
      <c r="B3589" s="37" t="s">
        <v>3864</v>
      </c>
      <c r="C3589" s="37" t="s">
        <v>6</v>
      </c>
      <c r="D3589" s="326">
        <v>27.65</v>
      </c>
    </row>
    <row r="3590" spans="1:4" ht="13.5">
      <c r="A3590" s="37">
        <v>94651</v>
      </c>
      <c r="B3590" s="37" t="s">
        <v>3865</v>
      </c>
      <c r="C3590" s="37" t="s">
        <v>6</v>
      </c>
      <c r="D3590" s="326">
        <v>29.52</v>
      </c>
    </row>
    <row r="3591" spans="1:4" ht="13.5">
      <c r="A3591" s="37">
        <v>94652</v>
      </c>
      <c r="B3591" s="37" t="s">
        <v>3866</v>
      </c>
      <c r="C3591" s="37" t="s">
        <v>6</v>
      </c>
      <c r="D3591" s="326">
        <v>47.21</v>
      </c>
    </row>
    <row r="3592" spans="1:4" ht="13.5">
      <c r="A3592" s="37">
        <v>94653</v>
      </c>
      <c r="B3592" s="37" t="s">
        <v>3867</v>
      </c>
      <c r="C3592" s="37" t="s">
        <v>6</v>
      </c>
      <c r="D3592" s="326">
        <v>69.27</v>
      </c>
    </row>
    <row r="3593" spans="1:4" ht="13.5">
      <c r="A3593" s="37">
        <v>94654</v>
      </c>
      <c r="B3593" s="37" t="s">
        <v>3868</v>
      </c>
      <c r="C3593" s="37" t="s">
        <v>6</v>
      </c>
      <c r="D3593" s="326">
        <v>97.47</v>
      </c>
    </row>
    <row r="3594" spans="1:4" ht="13.5">
      <c r="A3594" s="37">
        <v>94655</v>
      </c>
      <c r="B3594" s="37" t="s">
        <v>3869</v>
      </c>
      <c r="C3594" s="37" t="s">
        <v>6</v>
      </c>
      <c r="D3594" s="326">
        <v>139.03</v>
      </c>
    </row>
    <row r="3595" spans="1:4" ht="13.5">
      <c r="A3595" s="37">
        <v>94716</v>
      </c>
      <c r="B3595" s="37" t="s">
        <v>3870</v>
      </c>
      <c r="C3595" s="37" t="s">
        <v>6</v>
      </c>
      <c r="D3595" s="326">
        <v>26.62</v>
      </c>
    </row>
    <row r="3596" spans="1:4" ht="13.5">
      <c r="A3596" s="37">
        <v>94717</v>
      </c>
      <c r="B3596" s="37" t="s">
        <v>3871</v>
      </c>
      <c r="C3596" s="37" t="s">
        <v>6</v>
      </c>
      <c r="D3596" s="326">
        <v>41.89</v>
      </c>
    </row>
    <row r="3597" spans="1:4" ht="13.5">
      <c r="A3597" s="37">
        <v>94718</v>
      </c>
      <c r="B3597" s="37" t="s">
        <v>3872</v>
      </c>
      <c r="C3597" s="37" t="s">
        <v>6</v>
      </c>
      <c r="D3597" s="326">
        <v>54.18</v>
      </c>
    </row>
    <row r="3598" spans="1:4" ht="13.5">
      <c r="A3598" s="37">
        <v>94719</v>
      </c>
      <c r="B3598" s="37" t="s">
        <v>3873</v>
      </c>
      <c r="C3598" s="37" t="s">
        <v>6</v>
      </c>
      <c r="D3598" s="326">
        <v>70.069999999999993</v>
      </c>
    </row>
    <row r="3599" spans="1:4" ht="13.5">
      <c r="A3599" s="37">
        <v>94720</v>
      </c>
      <c r="B3599" s="37" t="s">
        <v>3874</v>
      </c>
      <c r="C3599" s="37" t="s">
        <v>6</v>
      </c>
      <c r="D3599" s="326">
        <v>101.69</v>
      </c>
    </row>
    <row r="3600" spans="1:4" ht="13.5">
      <c r="A3600" s="37">
        <v>94721</v>
      </c>
      <c r="B3600" s="37" t="s">
        <v>3875</v>
      </c>
      <c r="C3600" s="37" t="s">
        <v>6</v>
      </c>
      <c r="D3600" s="326">
        <v>156.68</v>
      </c>
    </row>
    <row r="3601" spans="1:4" ht="13.5">
      <c r="A3601" s="37">
        <v>94722</v>
      </c>
      <c r="B3601" s="37" t="s">
        <v>3876</v>
      </c>
      <c r="C3601" s="37" t="s">
        <v>6</v>
      </c>
      <c r="D3601" s="326">
        <v>269.87</v>
      </c>
    </row>
    <row r="3602" spans="1:4" ht="13.5">
      <c r="A3602" s="37">
        <v>94723</v>
      </c>
      <c r="B3602" s="37" t="s">
        <v>17478</v>
      </c>
      <c r="C3602" s="37" t="s">
        <v>6</v>
      </c>
      <c r="D3602" s="326">
        <v>490.6</v>
      </c>
    </row>
    <row r="3603" spans="1:4" ht="13.5">
      <c r="A3603" s="37">
        <v>95697</v>
      </c>
      <c r="B3603" s="37" t="s">
        <v>8094</v>
      </c>
      <c r="C3603" s="37" t="s">
        <v>6</v>
      </c>
      <c r="D3603" s="326">
        <v>110.77</v>
      </c>
    </row>
    <row r="3604" spans="1:4" ht="13.5">
      <c r="A3604" s="37">
        <v>96635</v>
      </c>
      <c r="B3604" s="37" t="s">
        <v>15503</v>
      </c>
      <c r="C3604" s="37" t="s">
        <v>6</v>
      </c>
      <c r="D3604" s="326">
        <v>37.020000000000003</v>
      </c>
    </row>
    <row r="3605" spans="1:4" ht="13.5">
      <c r="A3605" s="37">
        <v>96636</v>
      </c>
      <c r="B3605" s="37" t="s">
        <v>15504</v>
      </c>
      <c r="C3605" s="37" t="s">
        <v>6</v>
      </c>
      <c r="D3605" s="326">
        <v>39.299999999999997</v>
      </c>
    </row>
    <row r="3606" spans="1:4" ht="13.5">
      <c r="A3606" s="37">
        <v>96644</v>
      </c>
      <c r="B3606" s="37" t="s">
        <v>15505</v>
      </c>
      <c r="C3606" s="37" t="s">
        <v>6</v>
      </c>
      <c r="D3606" s="326">
        <v>20.57</v>
      </c>
    </row>
    <row r="3607" spans="1:4" ht="13.5">
      <c r="A3607" s="37">
        <v>96645</v>
      </c>
      <c r="B3607" s="37" t="s">
        <v>15506</v>
      </c>
      <c r="C3607" s="37" t="s">
        <v>6</v>
      </c>
      <c r="D3607" s="326">
        <v>18.190000000000001</v>
      </c>
    </row>
    <row r="3608" spans="1:4" ht="13.5">
      <c r="A3608" s="37">
        <v>96646</v>
      </c>
      <c r="B3608" s="37" t="s">
        <v>15507</v>
      </c>
      <c r="C3608" s="37" t="s">
        <v>6</v>
      </c>
      <c r="D3608" s="326">
        <v>22.3</v>
      </c>
    </row>
    <row r="3609" spans="1:4" ht="13.5">
      <c r="A3609" s="37">
        <v>96647</v>
      </c>
      <c r="B3609" s="37" t="s">
        <v>15508</v>
      </c>
      <c r="C3609" s="37" t="s">
        <v>6</v>
      </c>
      <c r="D3609" s="326">
        <v>22.37</v>
      </c>
    </row>
    <row r="3610" spans="1:4" ht="13.5">
      <c r="A3610" s="37">
        <v>96648</v>
      </c>
      <c r="B3610" s="37" t="s">
        <v>15509</v>
      </c>
      <c r="C3610" s="37" t="s">
        <v>6</v>
      </c>
      <c r="D3610" s="326">
        <v>27.68</v>
      </c>
    </row>
    <row r="3611" spans="1:4" ht="13.5">
      <c r="A3611" s="37">
        <v>96649</v>
      </c>
      <c r="B3611" s="37" t="s">
        <v>15510</v>
      </c>
      <c r="C3611" s="37" t="s">
        <v>6</v>
      </c>
      <c r="D3611" s="326">
        <v>36.74</v>
      </c>
    </row>
    <row r="3612" spans="1:4" ht="13.5">
      <c r="A3612" s="37">
        <v>96668</v>
      </c>
      <c r="B3612" s="37" t="s">
        <v>15511</v>
      </c>
      <c r="C3612" s="37" t="s">
        <v>6</v>
      </c>
      <c r="D3612" s="326">
        <v>16.190000000000001</v>
      </c>
    </row>
    <row r="3613" spans="1:4" ht="13.5">
      <c r="A3613" s="37">
        <v>96669</v>
      </c>
      <c r="B3613" s="37" t="s">
        <v>15512</v>
      </c>
      <c r="C3613" s="37" t="s">
        <v>6</v>
      </c>
      <c r="D3613" s="326">
        <v>15.84</v>
      </c>
    </row>
    <row r="3614" spans="1:4" ht="13.5">
      <c r="A3614" s="37">
        <v>96670</v>
      </c>
      <c r="B3614" s="37" t="s">
        <v>15513</v>
      </c>
      <c r="C3614" s="37" t="s">
        <v>6</v>
      </c>
      <c r="D3614" s="326">
        <v>20.62</v>
      </c>
    </row>
    <row r="3615" spans="1:4" ht="13.5">
      <c r="A3615" s="37">
        <v>96671</v>
      </c>
      <c r="B3615" s="37" t="s">
        <v>15514</v>
      </c>
      <c r="C3615" s="37" t="s">
        <v>6</v>
      </c>
      <c r="D3615" s="326">
        <v>31.31</v>
      </c>
    </row>
    <row r="3616" spans="1:4" ht="13.5">
      <c r="A3616" s="37">
        <v>96672</v>
      </c>
      <c r="B3616" s="37" t="s">
        <v>15515</v>
      </c>
      <c r="C3616" s="37" t="s">
        <v>6</v>
      </c>
      <c r="D3616" s="326">
        <v>47.84</v>
      </c>
    </row>
    <row r="3617" spans="1:4" ht="13.5">
      <c r="A3617" s="37">
        <v>96673</v>
      </c>
      <c r="B3617" s="37" t="s">
        <v>15516</v>
      </c>
      <c r="C3617" s="37" t="s">
        <v>6</v>
      </c>
      <c r="D3617" s="326">
        <v>60.33</v>
      </c>
    </row>
    <row r="3618" spans="1:4" ht="13.5">
      <c r="A3618" s="37">
        <v>96674</v>
      </c>
      <c r="B3618" s="37" t="s">
        <v>15517</v>
      </c>
      <c r="C3618" s="37" t="s">
        <v>6</v>
      </c>
      <c r="D3618" s="326">
        <v>97.8</v>
      </c>
    </row>
    <row r="3619" spans="1:4" ht="13.5">
      <c r="A3619" s="37">
        <v>96675</v>
      </c>
      <c r="B3619" s="37" t="s">
        <v>15518</v>
      </c>
      <c r="C3619" s="37" t="s">
        <v>6</v>
      </c>
      <c r="D3619" s="326">
        <v>142.36000000000001</v>
      </c>
    </row>
    <row r="3620" spans="1:4" ht="13.5">
      <c r="A3620" s="37">
        <v>96676</v>
      </c>
      <c r="B3620" s="37" t="s">
        <v>15519</v>
      </c>
      <c r="C3620" s="37" t="s">
        <v>6</v>
      </c>
      <c r="D3620" s="326">
        <v>20.36</v>
      </c>
    </row>
    <row r="3621" spans="1:4" ht="13.5">
      <c r="A3621" s="37">
        <v>96677</v>
      </c>
      <c r="B3621" s="37" t="s">
        <v>15520</v>
      </c>
      <c r="C3621" s="37" t="s">
        <v>6</v>
      </c>
      <c r="D3621" s="326">
        <v>26.56</v>
      </c>
    </row>
    <row r="3622" spans="1:4" ht="13.5">
      <c r="A3622" s="37">
        <v>96678</v>
      </c>
      <c r="B3622" s="37" t="s">
        <v>15521</v>
      </c>
      <c r="C3622" s="37" t="s">
        <v>6</v>
      </c>
      <c r="D3622" s="326">
        <v>36.619999999999997</v>
      </c>
    </row>
    <row r="3623" spans="1:4" ht="13.5">
      <c r="A3623" s="37">
        <v>96679</v>
      </c>
      <c r="B3623" s="37" t="s">
        <v>15522</v>
      </c>
      <c r="C3623" s="37" t="s">
        <v>6</v>
      </c>
      <c r="D3623" s="326">
        <v>54.69</v>
      </c>
    </row>
    <row r="3624" spans="1:4" ht="13.5">
      <c r="A3624" s="37">
        <v>96680</v>
      </c>
      <c r="B3624" s="37" t="s">
        <v>15523</v>
      </c>
      <c r="C3624" s="37" t="s">
        <v>6</v>
      </c>
      <c r="D3624" s="326">
        <v>90.69</v>
      </c>
    </row>
    <row r="3625" spans="1:4" ht="13.5">
      <c r="A3625" s="37">
        <v>96681</v>
      </c>
      <c r="B3625" s="37" t="s">
        <v>15524</v>
      </c>
      <c r="C3625" s="37" t="s">
        <v>6</v>
      </c>
      <c r="D3625" s="326">
        <v>122.15</v>
      </c>
    </row>
    <row r="3626" spans="1:4" ht="13.5">
      <c r="A3626" s="37">
        <v>96682</v>
      </c>
      <c r="B3626" s="37" t="s">
        <v>15525</v>
      </c>
      <c r="C3626" s="37" t="s">
        <v>6</v>
      </c>
      <c r="D3626" s="326">
        <v>201.87</v>
      </c>
    </row>
    <row r="3627" spans="1:4" ht="13.5">
      <c r="A3627" s="37">
        <v>96683</v>
      </c>
      <c r="B3627" s="37" t="s">
        <v>15526</v>
      </c>
      <c r="C3627" s="37" t="s">
        <v>6</v>
      </c>
      <c r="D3627" s="326">
        <v>277.23</v>
      </c>
    </row>
    <row r="3628" spans="1:4" ht="13.5">
      <c r="A3628" s="37">
        <v>96718</v>
      </c>
      <c r="B3628" s="37" t="s">
        <v>3877</v>
      </c>
      <c r="C3628" s="37" t="s">
        <v>6</v>
      </c>
      <c r="D3628" s="326">
        <v>9.49</v>
      </c>
    </row>
    <row r="3629" spans="1:4" ht="13.5">
      <c r="A3629" s="37">
        <v>96719</v>
      </c>
      <c r="B3629" s="37" t="s">
        <v>3878</v>
      </c>
      <c r="C3629" s="37" t="s">
        <v>6</v>
      </c>
      <c r="D3629" s="326">
        <v>18.25</v>
      </c>
    </row>
    <row r="3630" spans="1:4" ht="13.5">
      <c r="A3630" s="37">
        <v>96720</v>
      </c>
      <c r="B3630" s="37" t="s">
        <v>3879</v>
      </c>
      <c r="C3630" s="37" t="s">
        <v>6</v>
      </c>
      <c r="D3630" s="326">
        <v>16.89</v>
      </c>
    </row>
    <row r="3631" spans="1:4" ht="13.5">
      <c r="A3631" s="37">
        <v>96721</v>
      </c>
      <c r="B3631" s="37" t="s">
        <v>3881</v>
      </c>
      <c r="C3631" s="37" t="s">
        <v>6</v>
      </c>
      <c r="D3631" s="326">
        <v>20.43</v>
      </c>
    </row>
    <row r="3632" spans="1:4" ht="13.5">
      <c r="A3632" s="37">
        <v>96722</v>
      </c>
      <c r="B3632" s="37" t="s">
        <v>3882</v>
      </c>
      <c r="C3632" s="37" t="s">
        <v>6</v>
      </c>
      <c r="D3632" s="326">
        <v>32.67</v>
      </c>
    </row>
    <row r="3633" spans="1:4" ht="13.5">
      <c r="A3633" s="37">
        <v>96723</v>
      </c>
      <c r="B3633" s="37" t="s">
        <v>3883</v>
      </c>
      <c r="C3633" s="37" t="s">
        <v>6</v>
      </c>
      <c r="D3633" s="326">
        <v>46.64</v>
      </c>
    </row>
    <row r="3634" spans="1:4" ht="13.5">
      <c r="A3634" s="37">
        <v>96724</v>
      </c>
      <c r="B3634" s="37" t="s">
        <v>3884</v>
      </c>
      <c r="C3634" s="37" t="s">
        <v>6</v>
      </c>
      <c r="D3634" s="326">
        <v>62.52</v>
      </c>
    </row>
    <row r="3635" spans="1:4" ht="13.5">
      <c r="A3635" s="37">
        <v>96725</v>
      </c>
      <c r="B3635" s="37" t="s">
        <v>3885</v>
      </c>
      <c r="C3635" s="37" t="s">
        <v>6</v>
      </c>
      <c r="D3635" s="326">
        <v>95.26</v>
      </c>
    </row>
    <row r="3636" spans="1:4" ht="13.5">
      <c r="A3636" s="37">
        <v>96726</v>
      </c>
      <c r="B3636" s="37" t="s">
        <v>3886</v>
      </c>
      <c r="C3636" s="37" t="s">
        <v>6</v>
      </c>
      <c r="D3636" s="326">
        <v>135.34</v>
      </c>
    </row>
    <row r="3637" spans="1:4" ht="13.5">
      <c r="A3637" s="37">
        <v>96727</v>
      </c>
      <c r="B3637" s="37" t="s">
        <v>3887</v>
      </c>
      <c r="C3637" s="37" t="s">
        <v>6</v>
      </c>
      <c r="D3637" s="326">
        <v>16.420000000000002</v>
      </c>
    </row>
    <row r="3638" spans="1:4" ht="13.5">
      <c r="A3638" s="37">
        <v>96728</v>
      </c>
      <c r="B3638" s="37" t="s">
        <v>3888</v>
      </c>
      <c r="C3638" s="37" t="s">
        <v>6</v>
      </c>
      <c r="D3638" s="326">
        <v>20.29</v>
      </c>
    </row>
    <row r="3639" spans="1:4" ht="13.5">
      <c r="A3639" s="37">
        <v>96729</v>
      </c>
      <c r="B3639" s="37" t="s">
        <v>3889</v>
      </c>
      <c r="C3639" s="37" t="s">
        <v>6</v>
      </c>
      <c r="D3639" s="326">
        <v>26.61</v>
      </c>
    </row>
    <row r="3640" spans="1:4" ht="13.5">
      <c r="A3640" s="37">
        <v>96730</v>
      </c>
      <c r="B3640" s="37" t="s">
        <v>3890</v>
      </c>
      <c r="C3640" s="37" t="s">
        <v>6</v>
      </c>
      <c r="D3640" s="326">
        <v>34.81</v>
      </c>
    </row>
    <row r="3641" spans="1:4" ht="13.5">
      <c r="A3641" s="37">
        <v>96731</v>
      </c>
      <c r="B3641" s="37" t="s">
        <v>3891</v>
      </c>
      <c r="C3641" s="37" t="s">
        <v>6</v>
      </c>
      <c r="D3641" s="326">
        <v>54.18</v>
      </c>
    </row>
    <row r="3642" spans="1:4" ht="13.5">
      <c r="A3642" s="37">
        <v>96732</v>
      </c>
      <c r="B3642" s="37" t="s">
        <v>3892</v>
      </c>
      <c r="C3642" s="37" t="s">
        <v>6</v>
      </c>
      <c r="D3642" s="326">
        <v>85.96</v>
      </c>
    </row>
    <row r="3643" spans="1:4" ht="13.5">
      <c r="A3643" s="37">
        <v>96733</v>
      </c>
      <c r="B3643" s="37" t="s">
        <v>3893</v>
      </c>
      <c r="C3643" s="37" t="s">
        <v>6</v>
      </c>
      <c r="D3643" s="326">
        <v>119.31</v>
      </c>
    </row>
    <row r="3644" spans="1:4" ht="13.5">
      <c r="A3644" s="37">
        <v>96734</v>
      </c>
      <c r="B3644" s="37" t="s">
        <v>3894</v>
      </c>
      <c r="C3644" s="37" t="s">
        <v>6</v>
      </c>
      <c r="D3644" s="326">
        <v>190.44</v>
      </c>
    </row>
    <row r="3645" spans="1:4" ht="13.5">
      <c r="A3645" s="37">
        <v>96735</v>
      </c>
      <c r="B3645" s="37" t="s">
        <v>3895</v>
      </c>
      <c r="C3645" s="37" t="s">
        <v>6</v>
      </c>
      <c r="D3645" s="326">
        <v>251.51</v>
      </c>
    </row>
    <row r="3646" spans="1:4" ht="13.5">
      <c r="A3646" s="37">
        <v>96798</v>
      </c>
      <c r="B3646" s="37" t="s">
        <v>17479</v>
      </c>
      <c r="C3646" s="37" t="s">
        <v>6</v>
      </c>
      <c r="D3646" s="326">
        <v>7.77</v>
      </c>
    </row>
    <row r="3647" spans="1:4" ht="13.5">
      <c r="A3647" s="37">
        <v>96799</v>
      </c>
      <c r="B3647" s="37" t="s">
        <v>17480</v>
      </c>
      <c r="C3647" s="37" t="s">
        <v>6</v>
      </c>
      <c r="D3647" s="326">
        <v>9.9700000000000006</v>
      </c>
    </row>
    <row r="3648" spans="1:4" ht="13.5">
      <c r="A3648" s="37">
        <v>96800</v>
      </c>
      <c r="B3648" s="37" t="s">
        <v>17481</v>
      </c>
      <c r="C3648" s="37" t="s">
        <v>6</v>
      </c>
      <c r="D3648" s="326">
        <v>13.65</v>
      </c>
    </row>
    <row r="3649" spans="1:4" ht="13.5">
      <c r="A3649" s="37">
        <v>96801</v>
      </c>
      <c r="B3649" s="37" t="s">
        <v>17482</v>
      </c>
      <c r="C3649" s="37" t="s">
        <v>6</v>
      </c>
      <c r="D3649" s="326">
        <v>20.9</v>
      </c>
    </row>
    <row r="3650" spans="1:4" ht="13.5">
      <c r="A3650" s="37">
        <v>97327</v>
      </c>
      <c r="B3650" s="37" t="s">
        <v>3896</v>
      </c>
      <c r="C3650" s="37" t="s">
        <v>6</v>
      </c>
      <c r="D3650" s="326">
        <v>24.79</v>
      </c>
    </row>
    <row r="3651" spans="1:4" ht="13.5">
      <c r="A3651" s="37">
        <v>97328</v>
      </c>
      <c r="B3651" s="37" t="s">
        <v>3897</v>
      </c>
      <c r="C3651" s="37" t="s">
        <v>6</v>
      </c>
      <c r="D3651" s="326">
        <v>40.85</v>
      </c>
    </row>
    <row r="3652" spans="1:4" ht="13.5">
      <c r="A3652" s="37">
        <v>97329</v>
      </c>
      <c r="B3652" s="37" t="s">
        <v>3898</v>
      </c>
      <c r="C3652" s="37" t="s">
        <v>6</v>
      </c>
      <c r="D3652" s="326">
        <v>52.22</v>
      </c>
    </row>
    <row r="3653" spans="1:4" ht="13.5">
      <c r="A3653" s="37">
        <v>97330</v>
      </c>
      <c r="B3653" s="37" t="s">
        <v>3899</v>
      </c>
      <c r="C3653" s="37" t="s">
        <v>6</v>
      </c>
      <c r="D3653" s="326">
        <v>63.92</v>
      </c>
    </row>
    <row r="3654" spans="1:4" ht="13.5">
      <c r="A3654" s="37">
        <v>97331</v>
      </c>
      <c r="B3654" s="37" t="s">
        <v>3900</v>
      </c>
      <c r="C3654" s="37" t="s">
        <v>6</v>
      </c>
      <c r="D3654" s="326">
        <v>25.09</v>
      </c>
    </row>
    <row r="3655" spans="1:4" ht="13.5">
      <c r="A3655" s="37">
        <v>97332</v>
      </c>
      <c r="B3655" s="37" t="s">
        <v>3901</v>
      </c>
      <c r="C3655" s="37" t="s">
        <v>6</v>
      </c>
      <c r="D3655" s="326">
        <v>41.2</v>
      </c>
    </row>
    <row r="3656" spans="1:4" ht="13.5">
      <c r="A3656" s="37">
        <v>97333</v>
      </c>
      <c r="B3656" s="37" t="s">
        <v>3902</v>
      </c>
      <c r="C3656" s="37" t="s">
        <v>6</v>
      </c>
      <c r="D3656" s="326">
        <v>52.67</v>
      </c>
    </row>
    <row r="3657" spans="1:4" ht="13.5">
      <c r="A3657" s="37">
        <v>97334</v>
      </c>
      <c r="B3657" s="37" t="s">
        <v>3903</v>
      </c>
      <c r="C3657" s="37" t="s">
        <v>6</v>
      </c>
      <c r="D3657" s="326">
        <v>64.41</v>
      </c>
    </row>
    <row r="3658" spans="1:4" ht="13.5">
      <c r="A3658" s="37">
        <v>97335</v>
      </c>
      <c r="B3658" s="37" t="s">
        <v>15527</v>
      </c>
      <c r="C3658" s="37" t="s">
        <v>6</v>
      </c>
      <c r="D3658" s="326">
        <v>76.16</v>
      </c>
    </row>
    <row r="3659" spans="1:4" ht="13.5">
      <c r="A3659" s="37">
        <v>97336</v>
      </c>
      <c r="B3659" s="37" t="s">
        <v>15528</v>
      </c>
      <c r="C3659" s="37" t="s">
        <v>6</v>
      </c>
      <c r="D3659" s="326">
        <v>96.92</v>
      </c>
    </row>
    <row r="3660" spans="1:4" ht="13.5">
      <c r="A3660" s="37">
        <v>97337</v>
      </c>
      <c r="B3660" s="37" t="s">
        <v>15529</v>
      </c>
      <c r="C3660" s="37" t="s">
        <v>6</v>
      </c>
      <c r="D3660" s="326">
        <v>145.78</v>
      </c>
    </row>
    <row r="3661" spans="1:4" ht="13.5">
      <c r="A3661" s="37">
        <v>97338</v>
      </c>
      <c r="B3661" s="37" t="s">
        <v>15530</v>
      </c>
      <c r="C3661" s="37" t="s">
        <v>6</v>
      </c>
      <c r="D3661" s="326">
        <v>175.41</v>
      </c>
    </row>
    <row r="3662" spans="1:4" ht="13.5">
      <c r="A3662" s="37">
        <v>97339</v>
      </c>
      <c r="B3662" s="37" t="s">
        <v>15531</v>
      </c>
      <c r="C3662" s="37" t="s">
        <v>6</v>
      </c>
      <c r="D3662" s="326">
        <v>188.91</v>
      </c>
    </row>
    <row r="3663" spans="1:4" ht="13.5">
      <c r="A3663" s="37">
        <v>97340</v>
      </c>
      <c r="B3663" s="37" t="s">
        <v>15532</v>
      </c>
      <c r="C3663" s="37" t="s">
        <v>6</v>
      </c>
      <c r="D3663" s="326">
        <v>190.05</v>
      </c>
    </row>
    <row r="3664" spans="1:4" ht="13.5">
      <c r="A3664" s="37">
        <v>97347</v>
      </c>
      <c r="B3664" s="37" t="s">
        <v>3904</v>
      </c>
      <c r="C3664" s="37" t="s">
        <v>6</v>
      </c>
      <c r="D3664" s="326">
        <v>91.77</v>
      </c>
    </row>
    <row r="3665" spans="1:4" ht="13.5">
      <c r="A3665" s="37">
        <v>97348</v>
      </c>
      <c r="B3665" s="37" t="s">
        <v>3905</v>
      </c>
      <c r="C3665" s="37" t="s">
        <v>6</v>
      </c>
      <c r="D3665" s="326">
        <v>126.74</v>
      </c>
    </row>
    <row r="3666" spans="1:4" ht="13.5">
      <c r="A3666" s="37">
        <v>97349</v>
      </c>
      <c r="B3666" s="37" t="s">
        <v>3906</v>
      </c>
      <c r="C3666" s="37" t="s">
        <v>6</v>
      </c>
      <c r="D3666" s="326">
        <v>182.67</v>
      </c>
    </row>
    <row r="3667" spans="1:4" ht="13.5">
      <c r="A3667" s="37">
        <v>97350</v>
      </c>
      <c r="B3667" s="37" t="s">
        <v>3907</v>
      </c>
      <c r="C3667" s="37" t="s">
        <v>6</v>
      </c>
      <c r="D3667" s="326">
        <v>221.79</v>
      </c>
    </row>
    <row r="3668" spans="1:4" ht="13.5">
      <c r="A3668" s="37">
        <v>97351</v>
      </c>
      <c r="B3668" s="37" t="s">
        <v>3908</v>
      </c>
      <c r="C3668" s="37" t="s">
        <v>6</v>
      </c>
      <c r="D3668" s="326">
        <v>306.63</v>
      </c>
    </row>
    <row r="3669" spans="1:4" ht="13.5">
      <c r="A3669" s="37">
        <v>97352</v>
      </c>
      <c r="B3669" s="37" t="s">
        <v>3909</v>
      </c>
      <c r="C3669" s="37" t="s">
        <v>6</v>
      </c>
      <c r="D3669" s="326">
        <v>397.35</v>
      </c>
    </row>
    <row r="3670" spans="1:4" ht="13.5">
      <c r="A3670" s="37">
        <v>97353</v>
      </c>
      <c r="B3670" s="37" t="s">
        <v>3910</v>
      </c>
      <c r="C3670" s="37" t="s">
        <v>6</v>
      </c>
      <c r="D3670" s="326">
        <v>60.56</v>
      </c>
    </row>
    <row r="3671" spans="1:4" ht="13.5">
      <c r="A3671" s="37">
        <v>97354</v>
      </c>
      <c r="B3671" s="37" t="s">
        <v>3911</v>
      </c>
      <c r="C3671" s="37" t="s">
        <v>6</v>
      </c>
      <c r="D3671" s="326">
        <v>96.07</v>
      </c>
    </row>
    <row r="3672" spans="1:4" ht="13.5">
      <c r="A3672" s="37">
        <v>97355</v>
      </c>
      <c r="B3672" s="37" t="s">
        <v>3912</v>
      </c>
      <c r="C3672" s="37" t="s">
        <v>6</v>
      </c>
      <c r="D3672" s="326">
        <v>131.35</v>
      </c>
    </row>
    <row r="3673" spans="1:4" ht="13.5">
      <c r="A3673" s="37">
        <v>97356</v>
      </c>
      <c r="B3673" s="37" t="s">
        <v>3913</v>
      </c>
      <c r="C3673" s="37" t="s">
        <v>6</v>
      </c>
      <c r="D3673" s="326">
        <v>69.989999999999995</v>
      </c>
    </row>
    <row r="3674" spans="1:4" ht="13.5">
      <c r="A3674" s="37">
        <v>97357</v>
      </c>
      <c r="B3674" s="37" t="s">
        <v>3914</v>
      </c>
      <c r="C3674" s="37" t="s">
        <v>6</v>
      </c>
      <c r="D3674" s="326">
        <v>112.29</v>
      </c>
    </row>
    <row r="3675" spans="1:4" ht="13.5">
      <c r="A3675" s="37">
        <v>97358</v>
      </c>
      <c r="B3675" s="37" t="s">
        <v>3915</v>
      </c>
      <c r="C3675" s="37" t="s">
        <v>6</v>
      </c>
      <c r="D3675" s="326">
        <v>153.46</v>
      </c>
    </row>
    <row r="3676" spans="1:4" ht="13.5">
      <c r="A3676" s="37">
        <v>97498</v>
      </c>
      <c r="B3676" s="37" t="s">
        <v>8095</v>
      </c>
      <c r="C3676" s="37" t="s">
        <v>6</v>
      </c>
      <c r="D3676" s="326">
        <v>70.12</v>
      </c>
    </row>
    <row r="3677" spans="1:4" ht="13.5">
      <c r="A3677" s="37">
        <v>97535</v>
      </c>
      <c r="B3677" s="37" t="s">
        <v>8096</v>
      </c>
      <c r="C3677" s="37" t="s">
        <v>6</v>
      </c>
      <c r="D3677" s="326">
        <v>74.41</v>
      </c>
    </row>
    <row r="3678" spans="1:4" ht="13.5">
      <c r="A3678" s="37">
        <v>97536</v>
      </c>
      <c r="B3678" s="37" t="s">
        <v>8097</v>
      </c>
      <c r="C3678" s="37" t="s">
        <v>6</v>
      </c>
      <c r="D3678" s="326">
        <v>84.29</v>
      </c>
    </row>
    <row r="3679" spans="1:4" ht="13.5">
      <c r="A3679" s="37">
        <v>100788</v>
      </c>
      <c r="B3679" s="37" t="s">
        <v>3916</v>
      </c>
      <c r="C3679" s="37" t="s">
        <v>7</v>
      </c>
      <c r="D3679" s="326">
        <v>772.9</v>
      </c>
    </row>
    <row r="3680" spans="1:4" ht="13.5">
      <c r="A3680" s="37">
        <v>100791</v>
      </c>
      <c r="B3680" s="37" t="s">
        <v>3917</v>
      </c>
      <c r="C3680" s="37" t="s">
        <v>6</v>
      </c>
      <c r="D3680" s="326">
        <v>16.579999999999998</v>
      </c>
    </row>
    <row r="3681" spans="1:4" ht="13.5">
      <c r="A3681" s="37">
        <v>100792</v>
      </c>
      <c r="B3681" s="37" t="s">
        <v>3918</v>
      </c>
      <c r="C3681" s="37" t="s">
        <v>6</v>
      </c>
      <c r="D3681" s="326">
        <v>24.08</v>
      </c>
    </row>
    <row r="3682" spans="1:4" ht="13.5">
      <c r="A3682" s="37">
        <v>100793</v>
      </c>
      <c r="B3682" s="37" t="s">
        <v>3919</v>
      </c>
      <c r="C3682" s="37" t="s">
        <v>6</v>
      </c>
      <c r="D3682" s="326">
        <v>31.83</v>
      </c>
    </row>
    <row r="3683" spans="1:4" ht="13.5">
      <c r="A3683" s="37">
        <v>100794</v>
      </c>
      <c r="B3683" s="37" t="s">
        <v>3920</v>
      </c>
      <c r="C3683" s="37" t="s">
        <v>6</v>
      </c>
      <c r="D3683" s="326">
        <v>42.8</v>
      </c>
    </row>
    <row r="3684" spans="1:4" ht="13.5">
      <c r="A3684" s="37">
        <v>100799</v>
      </c>
      <c r="B3684" s="37" t="s">
        <v>8098</v>
      </c>
      <c r="C3684" s="37" t="s">
        <v>6</v>
      </c>
      <c r="D3684" s="326">
        <v>17.010000000000002</v>
      </c>
    </row>
    <row r="3685" spans="1:4" ht="13.5">
      <c r="A3685" s="37">
        <v>100800</v>
      </c>
      <c r="B3685" s="37" t="s">
        <v>8099</v>
      </c>
      <c r="C3685" s="37" t="s">
        <v>6</v>
      </c>
      <c r="D3685" s="326">
        <v>24.51</v>
      </c>
    </row>
    <row r="3686" spans="1:4" ht="13.5">
      <c r="A3686" s="37">
        <v>100801</v>
      </c>
      <c r="B3686" s="37" t="s">
        <v>8100</v>
      </c>
      <c r="C3686" s="37" t="s">
        <v>6</v>
      </c>
      <c r="D3686" s="326">
        <v>32.26</v>
      </c>
    </row>
    <row r="3687" spans="1:4" ht="13.5">
      <c r="A3687" s="37">
        <v>100802</v>
      </c>
      <c r="B3687" s="37" t="s">
        <v>8101</v>
      </c>
      <c r="C3687" s="37" t="s">
        <v>6</v>
      </c>
      <c r="D3687" s="326">
        <v>43.23</v>
      </c>
    </row>
    <row r="3688" spans="1:4" ht="13.5">
      <c r="A3688" s="37">
        <v>100803</v>
      </c>
      <c r="B3688" s="37" t="s">
        <v>3921</v>
      </c>
      <c r="C3688" s="37" t="s">
        <v>6</v>
      </c>
      <c r="D3688" s="326">
        <v>15.69</v>
      </c>
    </row>
    <row r="3689" spans="1:4" ht="13.5">
      <c r="A3689" s="37">
        <v>100804</v>
      </c>
      <c r="B3689" s="37" t="s">
        <v>3922</v>
      </c>
      <c r="C3689" s="37" t="s">
        <v>6</v>
      </c>
      <c r="D3689" s="326">
        <v>23.03</v>
      </c>
    </row>
    <row r="3690" spans="1:4" ht="13.5">
      <c r="A3690" s="37">
        <v>100805</v>
      </c>
      <c r="B3690" s="37" t="s">
        <v>3923</v>
      </c>
      <c r="C3690" s="37" t="s">
        <v>6</v>
      </c>
      <c r="D3690" s="326">
        <v>30.57</v>
      </c>
    </row>
    <row r="3691" spans="1:4" ht="13.5">
      <c r="A3691" s="37">
        <v>100806</v>
      </c>
      <c r="B3691" s="37" t="s">
        <v>3924</v>
      </c>
      <c r="C3691" s="37" t="s">
        <v>6</v>
      </c>
      <c r="D3691" s="326">
        <v>41.25</v>
      </c>
    </row>
    <row r="3692" spans="1:4" ht="13.5">
      <c r="A3692" s="37">
        <v>100807</v>
      </c>
      <c r="B3692" s="37" t="s">
        <v>8102</v>
      </c>
      <c r="C3692" s="37" t="s">
        <v>6</v>
      </c>
      <c r="D3692" s="326">
        <v>22.05</v>
      </c>
    </row>
    <row r="3693" spans="1:4" ht="13.5">
      <c r="A3693" s="37">
        <v>100808</v>
      </c>
      <c r="B3693" s="37" t="s">
        <v>8103</v>
      </c>
      <c r="C3693" s="37" t="s">
        <v>6</v>
      </c>
      <c r="D3693" s="326">
        <v>30.5</v>
      </c>
    </row>
    <row r="3694" spans="1:4" ht="13.5">
      <c r="A3694" s="37">
        <v>100809</v>
      </c>
      <c r="B3694" s="37" t="s">
        <v>8104</v>
      </c>
      <c r="C3694" s="37" t="s">
        <v>6</v>
      </c>
      <c r="D3694" s="326">
        <v>39.42</v>
      </c>
    </row>
    <row r="3695" spans="1:4" ht="13.5">
      <c r="A3695" s="37">
        <v>100810</v>
      </c>
      <c r="B3695" s="37" t="s">
        <v>8105</v>
      </c>
      <c r="C3695" s="37" t="s">
        <v>6</v>
      </c>
      <c r="D3695" s="326">
        <v>52.03</v>
      </c>
    </row>
    <row r="3696" spans="1:4" ht="13.5">
      <c r="A3696" s="37">
        <v>101918</v>
      </c>
      <c r="B3696" s="37" t="s">
        <v>8106</v>
      </c>
      <c r="C3696" s="37" t="s">
        <v>6</v>
      </c>
      <c r="D3696" s="326">
        <v>333.16</v>
      </c>
    </row>
    <row r="3697" spans="1:4" ht="13.5">
      <c r="A3697" s="37">
        <v>101919</v>
      </c>
      <c r="B3697" s="37" t="s">
        <v>8107</v>
      </c>
      <c r="C3697" s="37" t="s">
        <v>7</v>
      </c>
      <c r="D3697" s="326">
        <v>447.2</v>
      </c>
    </row>
    <row r="3698" spans="1:4" ht="13.5">
      <c r="A3698" s="37">
        <v>101920</v>
      </c>
      <c r="B3698" s="37" t="s">
        <v>8108</v>
      </c>
      <c r="C3698" s="37" t="s">
        <v>7</v>
      </c>
      <c r="D3698" s="326">
        <v>208.23</v>
      </c>
    </row>
    <row r="3699" spans="1:4" ht="13.5">
      <c r="A3699" s="37">
        <v>101921</v>
      </c>
      <c r="B3699" s="37" t="s">
        <v>8109</v>
      </c>
      <c r="C3699" s="37" t="s">
        <v>7</v>
      </c>
      <c r="D3699" s="326">
        <v>239</v>
      </c>
    </row>
    <row r="3700" spans="1:4" ht="13.5">
      <c r="A3700" s="37">
        <v>101922</v>
      </c>
      <c r="B3700" s="37" t="s">
        <v>8110</v>
      </c>
      <c r="C3700" s="37" t="s">
        <v>7</v>
      </c>
      <c r="D3700" s="326">
        <v>239</v>
      </c>
    </row>
    <row r="3701" spans="1:4" ht="13.5">
      <c r="A3701" s="37">
        <v>101923</v>
      </c>
      <c r="B3701" s="37" t="s">
        <v>8111</v>
      </c>
      <c r="C3701" s="37" t="s">
        <v>7</v>
      </c>
      <c r="D3701" s="326">
        <v>239</v>
      </c>
    </row>
    <row r="3702" spans="1:4" ht="13.5">
      <c r="A3702" s="37">
        <v>101924</v>
      </c>
      <c r="B3702" s="37" t="s">
        <v>8112</v>
      </c>
      <c r="C3702" s="37" t="s">
        <v>7</v>
      </c>
      <c r="D3702" s="326">
        <v>195.35</v>
      </c>
    </row>
    <row r="3703" spans="1:4" ht="13.5">
      <c r="A3703" s="37">
        <v>101925</v>
      </c>
      <c r="B3703" s="37" t="s">
        <v>8113</v>
      </c>
      <c r="C3703" s="37" t="s">
        <v>7</v>
      </c>
      <c r="D3703" s="326">
        <v>328.56</v>
      </c>
    </row>
    <row r="3704" spans="1:4" ht="13.5">
      <c r="A3704" s="37">
        <v>101926</v>
      </c>
      <c r="B3704" s="37" t="s">
        <v>8114</v>
      </c>
      <c r="C3704" s="37" t="s">
        <v>7</v>
      </c>
      <c r="D3704" s="326">
        <v>422.91</v>
      </c>
    </row>
    <row r="3705" spans="1:4" ht="13.5">
      <c r="A3705" s="37">
        <v>101927</v>
      </c>
      <c r="B3705" s="37" t="s">
        <v>8115</v>
      </c>
      <c r="C3705" s="37" t="s">
        <v>6</v>
      </c>
      <c r="D3705" s="326">
        <v>319.76</v>
      </c>
    </row>
    <row r="3706" spans="1:4" ht="13.5">
      <c r="A3706" s="37">
        <v>101928</v>
      </c>
      <c r="B3706" s="37" t="s">
        <v>8116</v>
      </c>
      <c r="C3706" s="37" t="s">
        <v>7</v>
      </c>
      <c r="D3706" s="326">
        <v>452.34</v>
      </c>
    </row>
    <row r="3707" spans="1:4" ht="13.5">
      <c r="A3707" s="37">
        <v>101929</v>
      </c>
      <c r="B3707" s="37" t="s">
        <v>8117</v>
      </c>
      <c r="C3707" s="37" t="s">
        <v>7</v>
      </c>
      <c r="D3707" s="326">
        <v>213.37</v>
      </c>
    </row>
    <row r="3708" spans="1:4" ht="13.5">
      <c r="A3708" s="37">
        <v>101930</v>
      </c>
      <c r="B3708" s="37" t="s">
        <v>8118</v>
      </c>
      <c r="C3708" s="37" t="s">
        <v>7</v>
      </c>
      <c r="D3708" s="326">
        <v>244.14</v>
      </c>
    </row>
    <row r="3709" spans="1:4" ht="13.5">
      <c r="A3709" s="37">
        <v>101931</v>
      </c>
      <c r="B3709" s="37" t="s">
        <v>8119</v>
      </c>
      <c r="C3709" s="37" t="s">
        <v>7</v>
      </c>
      <c r="D3709" s="326">
        <v>244.14</v>
      </c>
    </row>
    <row r="3710" spans="1:4" ht="13.5">
      <c r="A3710" s="37">
        <v>101932</v>
      </c>
      <c r="B3710" s="37" t="s">
        <v>8120</v>
      </c>
      <c r="C3710" s="37" t="s">
        <v>7</v>
      </c>
      <c r="D3710" s="326">
        <v>244.14</v>
      </c>
    </row>
    <row r="3711" spans="1:4" ht="13.5">
      <c r="A3711" s="37">
        <v>101933</v>
      </c>
      <c r="B3711" s="37" t="s">
        <v>8121</v>
      </c>
      <c r="C3711" s="37" t="s">
        <v>7</v>
      </c>
      <c r="D3711" s="326">
        <v>200.49</v>
      </c>
    </row>
    <row r="3712" spans="1:4" ht="13.5">
      <c r="A3712" s="37">
        <v>101934</v>
      </c>
      <c r="B3712" s="37" t="s">
        <v>8122</v>
      </c>
      <c r="C3712" s="37" t="s">
        <v>7</v>
      </c>
      <c r="D3712" s="326">
        <v>336.26</v>
      </c>
    </row>
    <row r="3713" spans="1:4" ht="13.5">
      <c r="A3713" s="37">
        <v>101935</v>
      </c>
      <c r="B3713" s="37" t="s">
        <v>8123</v>
      </c>
      <c r="C3713" s="37" t="s">
        <v>7</v>
      </c>
      <c r="D3713" s="326">
        <v>433.18</v>
      </c>
    </row>
    <row r="3714" spans="1:4" ht="13.5">
      <c r="A3714" s="37">
        <v>103802</v>
      </c>
      <c r="B3714" s="37" t="s">
        <v>15533</v>
      </c>
      <c r="C3714" s="37" t="s">
        <v>6</v>
      </c>
      <c r="D3714" s="326">
        <v>37.61</v>
      </c>
    </row>
    <row r="3715" spans="1:4" ht="13.5">
      <c r="A3715" s="37">
        <v>103803</v>
      </c>
      <c r="B3715" s="37" t="s">
        <v>15534</v>
      </c>
      <c r="C3715" s="37" t="s">
        <v>6</v>
      </c>
      <c r="D3715" s="326">
        <v>64.66</v>
      </c>
    </row>
    <row r="3716" spans="1:4" ht="13.5">
      <c r="A3716" s="37">
        <v>103804</v>
      </c>
      <c r="B3716" s="37" t="s">
        <v>15535</v>
      </c>
      <c r="C3716" s="37" t="s">
        <v>6</v>
      </c>
      <c r="D3716" s="326">
        <v>78.38</v>
      </c>
    </row>
    <row r="3717" spans="1:4" ht="13.5">
      <c r="A3717" s="37">
        <v>103835</v>
      </c>
      <c r="B3717" s="37" t="s">
        <v>15536</v>
      </c>
      <c r="C3717" s="37" t="s">
        <v>6</v>
      </c>
      <c r="D3717" s="326">
        <v>58.75</v>
      </c>
    </row>
    <row r="3718" spans="1:4" ht="13.5">
      <c r="A3718" s="37">
        <v>103836</v>
      </c>
      <c r="B3718" s="37" t="s">
        <v>15537</v>
      </c>
      <c r="C3718" s="37" t="s">
        <v>6</v>
      </c>
      <c r="D3718" s="326">
        <v>91.4</v>
      </c>
    </row>
    <row r="3719" spans="1:4" ht="13.5">
      <c r="A3719" s="37">
        <v>103837</v>
      </c>
      <c r="B3719" s="37" t="s">
        <v>15538</v>
      </c>
      <c r="C3719" s="37" t="s">
        <v>6</v>
      </c>
      <c r="D3719" s="326">
        <v>115.26</v>
      </c>
    </row>
    <row r="3720" spans="1:4" ht="13.5">
      <c r="A3720" s="37">
        <v>103868</v>
      </c>
      <c r="B3720" s="37" t="s">
        <v>15539</v>
      </c>
      <c r="C3720" s="37" t="s">
        <v>6</v>
      </c>
      <c r="D3720" s="326">
        <v>46.46</v>
      </c>
    </row>
    <row r="3721" spans="1:4" ht="13.5">
      <c r="A3721" s="37">
        <v>103869</v>
      </c>
      <c r="B3721" s="37" t="s">
        <v>15540</v>
      </c>
      <c r="C3721" s="37" t="s">
        <v>6</v>
      </c>
      <c r="D3721" s="326">
        <v>70.849999999999994</v>
      </c>
    </row>
    <row r="3722" spans="1:4" ht="13.5">
      <c r="A3722" s="37">
        <v>103870</v>
      </c>
      <c r="B3722" s="37" t="s">
        <v>15541</v>
      </c>
      <c r="C3722" s="37" t="s">
        <v>6</v>
      </c>
      <c r="D3722" s="326">
        <v>87.19</v>
      </c>
    </row>
    <row r="3723" spans="1:4" ht="13.5">
      <c r="A3723" s="37">
        <v>103871</v>
      </c>
      <c r="B3723" s="37" t="s">
        <v>15542</v>
      </c>
      <c r="C3723" s="37" t="s">
        <v>6</v>
      </c>
      <c r="D3723" s="326">
        <v>57.88</v>
      </c>
    </row>
    <row r="3724" spans="1:4" ht="13.5">
      <c r="A3724" s="37">
        <v>103872</v>
      </c>
      <c r="B3724" s="37" t="s">
        <v>15543</v>
      </c>
      <c r="C3724" s="37" t="s">
        <v>6</v>
      </c>
      <c r="D3724" s="326">
        <v>123.89</v>
      </c>
    </row>
    <row r="3725" spans="1:4" ht="13.5">
      <c r="A3725" s="37">
        <v>103873</v>
      </c>
      <c r="B3725" s="37" t="s">
        <v>15544</v>
      </c>
      <c r="C3725" s="37" t="s">
        <v>6</v>
      </c>
      <c r="D3725" s="326">
        <v>142.38</v>
      </c>
    </row>
    <row r="3726" spans="1:4" ht="13.5">
      <c r="A3726" s="37">
        <v>103978</v>
      </c>
      <c r="B3726" s="37" t="s">
        <v>15545</v>
      </c>
      <c r="C3726" s="37" t="s">
        <v>6</v>
      </c>
      <c r="D3726" s="326">
        <v>29.66</v>
      </c>
    </row>
    <row r="3727" spans="1:4" ht="13.5">
      <c r="A3727" s="37">
        <v>103979</v>
      </c>
      <c r="B3727" s="37" t="s">
        <v>15546</v>
      </c>
      <c r="C3727" s="37" t="s">
        <v>6</v>
      </c>
      <c r="D3727" s="326">
        <v>33.520000000000003</v>
      </c>
    </row>
    <row r="3728" spans="1:4" ht="13.5">
      <c r="A3728" s="37">
        <v>104021</v>
      </c>
      <c r="B3728" s="37" t="s">
        <v>15547</v>
      </c>
      <c r="C3728" s="37" t="s">
        <v>6</v>
      </c>
      <c r="D3728" s="326">
        <v>75.37</v>
      </c>
    </row>
    <row r="3729" spans="1:4" ht="13.5">
      <c r="A3729" s="37">
        <v>104166</v>
      </c>
      <c r="B3729" s="37" t="s">
        <v>15548</v>
      </c>
      <c r="C3729" s="37" t="s">
        <v>6</v>
      </c>
      <c r="D3729" s="326">
        <v>86.78</v>
      </c>
    </row>
    <row r="3730" spans="1:4" ht="13.5">
      <c r="A3730" s="37">
        <v>104194</v>
      </c>
      <c r="B3730" s="37" t="s">
        <v>15549</v>
      </c>
      <c r="C3730" s="37" t="s">
        <v>6</v>
      </c>
      <c r="D3730" s="326">
        <v>19.64</v>
      </c>
    </row>
    <row r="3731" spans="1:4" ht="13.5">
      <c r="A3731" s="37">
        <v>104195</v>
      </c>
      <c r="B3731" s="37" t="s">
        <v>15550</v>
      </c>
      <c r="C3731" s="37" t="s">
        <v>6</v>
      </c>
      <c r="D3731" s="326">
        <v>20.89</v>
      </c>
    </row>
    <row r="3732" spans="1:4" ht="13.5">
      <c r="A3732" s="37">
        <v>104315</v>
      </c>
      <c r="B3732" s="37" t="s">
        <v>15551</v>
      </c>
      <c r="C3732" s="37" t="s">
        <v>6</v>
      </c>
      <c r="D3732" s="326">
        <v>15.94</v>
      </c>
    </row>
    <row r="3733" spans="1:4" ht="13.5">
      <c r="A3733" s="37">
        <v>104316</v>
      </c>
      <c r="B3733" s="37" t="s">
        <v>15552</v>
      </c>
      <c r="C3733" s="37" t="s">
        <v>6</v>
      </c>
      <c r="D3733" s="326">
        <v>24.72</v>
      </c>
    </row>
    <row r="3734" spans="1:4" ht="13.5">
      <c r="A3734" s="37">
        <v>89358</v>
      </c>
      <c r="B3734" s="37" t="s">
        <v>15553</v>
      </c>
      <c r="C3734" s="37" t="s">
        <v>7</v>
      </c>
      <c r="D3734" s="326">
        <v>7.4</v>
      </c>
    </row>
    <row r="3735" spans="1:4" ht="13.5">
      <c r="A3735" s="37">
        <v>89359</v>
      </c>
      <c r="B3735" s="37" t="s">
        <v>15554</v>
      </c>
      <c r="C3735" s="37" t="s">
        <v>7</v>
      </c>
      <c r="D3735" s="326">
        <v>8.1199999999999992</v>
      </c>
    </row>
    <row r="3736" spans="1:4" ht="13.5">
      <c r="A3736" s="37">
        <v>89360</v>
      </c>
      <c r="B3736" s="37" t="s">
        <v>15555</v>
      </c>
      <c r="C3736" s="37" t="s">
        <v>7</v>
      </c>
      <c r="D3736" s="326">
        <v>9.43</v>
      </c>
    </row>
    <row r="3737" spans="1:4" ht="13.5">
      <c r="A3737" s="37">
        <v>89361</v>
      </c>
      <c r="B3737" s="37" t="s">
        <v>15556</v>
      </c>
      <c r="C3737" s="37" t="s">
        <v>7</v>
      </c>
      <c r="D3737" s="326">
        <v>9.5299999999999994</v>
      </c>
    </row>
    <row r="3738" spans="1:4" ht="13.5">
      <c r="A3738" s="37">
        <v>89362</v>
      </c>
      <c r="B3738" s="37" t="s">
        <v>15557</v>
      </c>
      <c r="C3738" s="37" t="s">
        <v>7</v>
      </c>
      <c r="D3738" s="326">
        <v>8.83</v>
      </c>
    </row>
    <row r="3739" spans="1:4" ht="13.5">
      <c r="A3739" s="37">
        <v>89363</v>
      </c>
      <c r="B3739" s="37" t="s">
        <v>15558</v>
      </c>
      <c r="C3739" s="37" t="s">
        <v>7</v>
      </c>
      <c r="D3739" s="326">
        <v>9.86</v>
      </c>
    </row>
    <row r="3740" spans="1:4" ht="13.5">
      <c r="A3740" s="37">
        <v>89364</v>
      </c>
      <c r="B3740" s="37" t="s">
        <v>15559</v>
      </c>
      <c r="C3740" s="37" t="s">
        <v>7</v>
      </c>
      <c r="D3740" s="326">
        <v>11.84</v>
      </c>
    </row>
    <row r="3741" spans="1:4" ht="13.5">
      <c r="A3741" s="37">
        <v>89365</v>
      </c>
      <c r="B3741" s="37" t="s">
        <v>15560</v>
      </c>
      <c r="C3741" s="37" t="s">
        <v>7</v>
      </c>
      <c r="D3741" s="326">
        <v>11.13</v>
      </c>
    </row>
    <row r="3742" spans="1:4" ht="13.5">
      <c r="A3742" s="37">
        <v>89366</v>
      </c>
      <c r="B3742" s="37" t="s">
        <v>15561</v>
      </c>
      <c r="C3742" s="37" t="s">
        <v>7</v>
      </c>
      <c r="D3742" s="326">
        <v>17.989999999999998</v>
      </c>
    </row>
    <row r="3743" spans="1:4" ht="13.5">
      <c r="A3743" s="37">
        <v>89367</v>
      </c>
      <c r="B3743" s="37" t="s">
        <v>15562</v>
      </c>
      <c r="C3743" s="37" t="s">
        <v>7</v>
      </c>
      <c r="D3743" s="326">
        <v>12.77</v>
      </c>
    </row>
    <row r="3744" spans="1:4" ht="13.5">
      <c r="A3744" s="37">
        <v>89368</v>
      </c>
      <c r="B3744" s="37" t="s">
        <v>15563</v>
      </c>
      <c r="C3744" s="37" t="s">
        <v>7</v>
      </c>
      <c r="D3744" s="326">
        <v>15.07</v>
      </c>
    </row>
    <row r="3745" spans="1:4" ht="13.5">
      <c r="A3745" s="37">
        <v>89369</v>
      </c>
      <c r="B3745" s="37" t="s">
        <v>15564</v>
      </c>
      <c r="C3745" s="37" t="s">
        <v>7</v>
      </c>
      <c r="D3745" s="326">
        <v>18.149999999999999</v>
      </c>
    </row>
    <row r="3746" spans="1:4" ht="13.5">
      <c r="A3746" s="37">
        <v>89370</v>
      </c>
      <c r="B3746" s="37" t="s">
        <v>15565</v>
      </c>
      <c r="C3746" s="37" t="s">
        <v>7</v>
      </c>
      <c r="D3746" s="326">
        <v>15.5</v>
      </c>
    </row>
    <row r="3747" spans="1:4" ht="13.5">
      <c r="A3747" s="37">
        <v>89371</v>
      </c>
      <c r="B3747" s="37" t="s">
        <v>15566</v>
      </c>
      <c r="C3747" s="37" t="s">
        <v>7</v>
      </c>
      <c r="D3747" s="326">
        <v>5.71</v>
      </c>
    </row>
    <row r="3748" spans="1:4" ht="13.5">
      <c r="A3748" s="37">
        <v>89372</v>
      </c>
      <c r="B3748" s="37" t="s">
        <v>15567</v>
      </c>
      <c r="C3748" s="37" t="s">
        <v>7</v>
      </c>
      <c r="D3748" s="326">
        <v>18.82</v>
      </c>
    </row>
    <row r="3749" spans="1:4" ht="13.5">
      <c r="A3749" s="37">
        <v>89373</v>
      </c>
      <c r="B3749" s="37" t="s">
        <v>15568</v>
      </c>
      <c r="C3749" s="37" t="s">
        <v>7</v>
      </c>
      <c r="D3749" s="326">
        <v>7.01</v>
      </c>
    </row>
    <row r="3750" spans="1:4" ht="13.5">
      <c r="A3750" s="37">
        <v>89374</v>
      </c>
      <c r="B3750" s="37" t="s">
        <v>15569</v>
      </c>
      <c r="C3750" s="37" t="s">
        <v>7</v>
      </c>
      <c r="D3750" s="326">
        <v>11.25</v>
      </c>
    </row>
    <row r="3751" spans="1:4" ht="13.5">
      <c r="A3751" s="37">
        <v>89375</v>
      </c>
      <c r="B3751" s="37" t="s">
        <v>15570</v>
      </c>
      <c r="C3751" s="37" t="s">
        <v>7</v>
      </c>
      <c r="D3751" s="326">
        <v>13.52</v>
      </c>
    </row>
    <row r="3752" spans="1:4" ht="13.5">
      <c r="A3752" s="37">
        <v>89376</v>
      </c>
      <c r="B3752" s="37" t="s">
        <v>15571</v>
      </c>
      <c r="C3752" s="37" t="s">
        <v>7</v>
      </c>
      <c r="D3752" s="326">
        <v>5.44</v>
      </c>
    </row>
    <row r="3753" spans="1:4" ht="13.5">
      <c r="A3753" s="37">
        <v>89377</v>
      </c>
      <c r="B3753" s="37" t="s">
        <v>15572</v>
      </c>
      <c r="C3753" s="37" t="s">
        <v>7</v>
      </c>
      <c r="D3753" s="326">
        <v>11.25</v>
      </c>
    </row>
    <row r="3754" spans="1:4" ht="13.5">
      <c r="A3754" s="37">
        <v>89378</v>
      </c>
      <c r="B3754" s="37" t="s">
        <v>15573</v>
      </c>
      <c r="C3754" s="37" t="s">
        <v>7</v>
      </c>
      <c r="D3754" s="326">
        <v>6.69</v>
      </c>
    </row>
    <row r="3755" spans="1:4" ht="13.5">
      <c r="A3755" s="37">
        <v>89379</v>
      </c>
      <c r="B3755" s="37" t="s">
        <v>3927</v>
      </c>
      <c r="C3755" s="37" t="s">
        <v>7</v>
      </c>
      <c r="D3755" s="326">
        <v>22.06</v>
      </c>
    </row>
    <row r="3756" spans="1:4" ht="13.5">
      <c r="A3756" s="37">
        <v>89380</v>
      </c>
      <c r="B3756" s="37" t="s">
        <v>15574</v>
      </c>
      <c r="C3756" s="37" t="s">
        <v>7</v>
      </c>
      <c r="D3756" s="326">
        <v>10.39</v>
      </c>
    </row>
    <row r="3757" spans="1:4" ht="13.5">
      <c r="A3757" s="37">
        <v>89381</v>
      </c>
      <c r="B3757" s="37" t="s">
        <v>15575</v>
      </c>
      <c r="C3757" s="37" t="s">
        <v>7</v>
      </c>
      <c r="D3757" s="326">
        <v>13.9</v>
      </c>
    </row>
    <row r="3758" spans="1:4" ht="13.5">
      <c r="A3758" s="37">
        <v>89382</v>
      </c>
      <c r="B3758" s="37" t="s">
        <v>15576</v>
      </c>
      <c r="C3758" s="37" t="s">
        <v>7</v>
      </c>
      <c r="D3758" s="326">
        <v>16.260000000000002</v>
      </c>
    </row>
    <row r="3759" spans="1:4" ht="13.5">
      <c r="A3759" s="37">
        <v>89383</v>
      </c>
      <c r="B3759" s="37" t="s">
        <v>15577</v>
      </c>
      <c r="C3759" s="37" t="s">
        <v>7</v>
      </c>
      <c r="D3759" s="326">
        <v>6.33</v>
      </c>
    </row>
    <row r="3760" spans="1:4" ht="13.5">
      <c r="A3760" s="37">
        <v>89384</v>
      </c>
      <c r="B3760" s="37" t="s">
        <v>15578</v>
      </c>
      <c r="C3760" s="37" t="s">
        <v>7</v>
      </c>
      <c r="D3760" s="326">
        <v>14.52</v>
      </c>
    </row>
    <row r="3761" spans="1:4" ht="13.5">
      <c r="A3761" s="37">
        <v>89385</v>
      </c>
      <c r="B3761" s="37" t="s">
        <v>15579</v>
      </c>
      <c r="C3761" s="37" t="s">
        <v>7</v>
      </c>
      <c r="D3761" s="326">
        <v>7.16</v>
      </c>
    </row>
    <row r="3762" spans="1:4" ht="13.5">
      <c r="A3762" s="37">
        <v>89386</v>
      </c>
      <c r="B3762" s="37" t="s">
        <v>15580</v>
      </c>
      <c r="C3762" s="37" t="s">
        <v>7</v>
      </c>
      <c r="D3762" s="326">
        <v>9.5399999999999991</v>
      </c>
    </row>
    <row r="3763" spans="1:4" ht="13.5">
      <c r="A3763" s="37">
        <v>89387</v>
      </c>
      <c r="B3763" s="37" t="s">
        <v>15581</v>
      </c>
      <c r="C3763" s="37" t="s">
        <v>7</v>
      </c>
      <c r="D3763" s="326">
        <v>36.1</v>
      </c>
    </row>
    <row r="3764" spans="1:4" ht="13.5">
      <c r="A3764" s="37">
        <v>89389</v>
      </c>
      <c r="B3764" s="37" t="s">
        <v>15582</v>
      </c>
      <c r="C3764" s="37" t="s">
        <v>7</v>
      </c>
      <c r="D3764" s="326">
        <v>12.26</v>
      </c>
    </row>
    <row r="3765" spans="1:4" ht="13.5">
      <c r="A3765" s="37">
        <v>89390</v>
      </c>
      <c r="B3765" s="37" t="s">
        <v>15583</v>
      </c>
      <c r="C3765" s="37" t="s">
        <v>7</v>
      </c>
      <c r="D3765" s="326">
        <v>24.82</v>
      </c>
    </row>
    <row r="3766" spans="1:4" ht="13.5">
      <c r="A3766" s="37">
        <v>89391</v>
      </c>
      <c r="B3766" s="37" t="s">
        <v>15584</v>
      </c>
      <c r="C3766" s="37" t="s">
        <v>7</v>
      </c>
      <c r="D3766" s="326">
        <v>8.64</v>
      </c>
    </row>
    <row r="3767" spans="1:4" ht="13.5">
      <c r="A3767" s="37">
        <v>89392</v>
      </c>
      <c r="B3767" s="37" t="s">
        <v>15585</v>
      </c>
      <c r="C3767" s="37" t="s">
        <v>7</v>
      </c>
      <c r="D3767" s="326">
        <v>28.88</v>
      </c>
    </row>
    <row r="3768" spans="1:4" ht="13.5">
      <c r="A3768" s="37">
        <v>89393</v>
      </c>
      <c r="B3768" s="37" t="s">
        <v>15586</v>
      </c>
      <c r="C3768" s="37" t="s">
        <v>7</v>
      </c>
      <c r="D3768" s="326">
        <v>10.39</v>
      </c>
    </row>
    <row r="3769" spans="1:4" ht="13.5">
      <c r="A3769" s="37">
        <v>89394</v>
      </c>
      <c r="B3769" s="37" t="s">
        <v>15587</v>
      </c>
      <c r="C3769" s="37" t="s">
        <v>7</v>
      </c>
      <c r="D3769" s="326">
        <v>20.57</v>
      </c>
    </row>
    <row r="3770" spans="1:4" ht="13.5">
      <c r="A3770" s="37">
        <v>89395</v>
      </c>
      <c r="B3770" s="37" t="s">
        <v>15588</v>
      </c>
      <c r="C3770" s="37" t="s">
        <v>7</v>
      </c>
      <c r="D3770" s="326">
        <v>12.26</v>
      </c>
    </row>
    <row r="3771" spans="1:4" ht="13.5">
      <c r="A3771" s="37">
        <v>89396</v>
      </c>
      <c r="B3771" s="37" t="s">
        <v>15589</v>
      </c>
      <c r="C3771" s="37" t="s">
        <v>7</v>
      </c>
      <c r="D3771" s="326">
        <v>22.56</v>
      </c>
    </row>
    <row r="3772" spans="1:4" ht="13.5">
      <c r="A3772" s="37">
        <v>89397</v>
      </c>
      <c r="B3772" s="37" t="s">
        <v>15590</v>
      </c>
      <c r="C3772" s="37" t="s">
        <v>7</v>
      </c>
      <c r="D3772" s="326">
        <v>14.95</v>
      </c>
    </row>
    <row r="3773" spans="1:4" ht="13.5">
      <c r="A3773" s="37">
        <v>89398</v>
      </c>
      <c r="B3773" s="37" t="s">
        <v>15591</v>
      </c>
      <c r="C3773" s="37" t="s">
        <v>7</v>
      </c>
      <c r="D3773" s="326">
        <v>18.03</v>
      </c>
    </row>
    <row r="3774" spans="1:4" ht="13.5">
      <c r="A3774" s="37">
        <v>89399</v>
      </c>
      <c r="B3774" s="37" t="s">
        <v>15592</v>
      </c>
      <c r="C3774" s="37" t="s">
        <v>7</v>
      </c>
      <c r="D3774" s="326">
        <v>27.65</v>
      </c>
    </row>
    <row r="3775" spans="1:4" ht="13.5">
      <c r="A3775" s="37">
        <v>89400</v>
      </c>
      <c r="B3775" s="37" t="s">
        <v>15593</v>
      </c>
      <c r="C3775" s="37" t="s">
        <v>7</v>
      </c>
      <c r="D3775" s="326">
        <v>20.76</v>
      </c>
    </row>
    <row r="3776" spans="1:4" ht="13.5">
      <c r="A3776" s="37">
        <v>89404</v>
      </c>
      <c r="B3776" s="37" t="s">
        <v>15594</v>
      </c>
      <c r="C3776" s="37" t="s">
        <v>7</v>
      </c>
      <c r="D3776" s="326">
        <v>6.77</v>
      </c>
    </row>
    <row r="3777" spans="1:4" ht="13.5">
      <c r="A3777" s="37">
        <v>89405</v>
      </c>
      <c r="B3777" s="37" t="s">
        <v>15595</v>
      </c>
      <c r="C3777" s="37" t="s">
        <v>7</v>
      </c>
      <c r="D3777" s="326">
        <v>7.49</v>
      </c>
    </row>
    <row r="3778" spans="1:4" ht="13.5">
      <c r="A3778" s="37">
        <v>89406</v>
      </c>
      <c r="B3778" s="37" t="s">
        <v>15596</v>
      </c>
      <c r="C3778" s="37" t="s">
        <v>7</v>
      </c>
      <c r="D3778" s="326">
        <v>8.8000000000000007</v>
      </c>
    </row>
    <row r="3779" spans="1:4" ht="13.5">
      <c r="A3779" s="37">
        <v>89407</v>
      </c>
      <c r="B3779" s="37" t="s">
        <v>15597</v>
      </c>
      <c r="C3779" s="37" t="s">
        <v>7</v>
      </c>
      <c r="D3779" s="326">
        <v>8.9</v>
      </c>
    </row>
    <row r="3780" spans="1:4" ht="13.5">
      <c r="A3780" s="37">
        <v>89408</v>
      </c>
      <c r="B3780" s="37" t="s">
        <v>15598</v>
      </c>
      <c r="C3780" s="37" t="s">
        <v>7</v>
      </c>
      <c r="D3780" s="326">
        <v>8.1</v>
      </c>
    </row>
    <row r="3781" spans="1:4" ht="13.5">
      <c r="A3781" s="37">
        <v>89409</v>
      </c>
      <c r="B3781" s="37" t="s">
        <v>15599</v>
      </c>
      <c r="C3781" s="37" t="s">
        <v>7</v>
      </c>
      <c r="D3781" s="326">
        <v>9.1300000000000008</v>
      </c>
    </row>
    <row r="3782" spans="1:4" ht="13.5">
      <c r="A3782" s="37">
        <v>89410</v>
      </c>
      <c r="B3782" s="37" t="s">
        <v>15600</v>
      </c>
      <c r="C3782" s="37" t="s">
        <v>7</v>
      </c>
      <c r="D3782" s="326">
        <v>11.11</v>
      </c>
    </row>
    <row r="3783" spans="1:4" ht="13.5">
      <c r="A3783" s="37">
        <v>89411</v>
      </c>
      <c r="B3783" s="37" t="s">
        <v>15601</v>
      </c>
      <c r="C3783" s="37" t="s">
        <v>7</v>
      </c>
      <c r="D3783" s="326">
        <v>10.4</v>
      </c>
    </row>
    <row r="3784" spans="1:4" ht="13.5">
      <c r="A3784" s="37">
        <v>89412</v>
      </c>
      <c r="B3784" s="37" t="s">
        <v>15602</v>
      </c>
      <c r="C3784" s="37" t="s">
        <v>7</v>
      </c>
      <c r="D3784" s="326">
        <v>9.8000000000000007</v>
      </c>
    </row>
    <row r="3785" spans="1:4" ht="13.5">
      <c r="A3785" s="37">
        <v>89413</v>
      </c>
      <c r="B3785" s="37" t="s">
        <v>15603</v>
      </c>
      <c r="C3785" s="37" t="s">
        <v>7</v>
      </c>
      <c r="D3785" s="326">
        <v>11.92</v>
      </c>
    </row>
    <row r="3786" spans="1:4" ht="13.5">
      <c r="A3786" s="37">
        <v>89414</v>
      </c>
      <c r="B3786" s="37" t="s">
        <v>15604</v>
      </c>
      <c r="C3786" s="37" t="s">
        <v>7</v>
      </c>
      <c r="D3786" s="326">
        <v>14.22</v>
      </c>
    </row>
    <row r="3787" spans="1:4" ht="13.5">
      <c r="A3787" s="37">
        <v>89415</v>
      </c>
      <c r="B3787" s="37" t="s">
        <v>15605</v>
      </c>
      <c r="C3787" s="37" t="s">
        <v>7</v>
      </c>
      <c r="D3787" s="326">
        <v>17.3</v>
      </c>
    </row>
    <row r="3788" spans="1:4" ht="13.5">
      <c r="A3788" s="37">
        <v>89416</v>
      </c>
      <c r="B3788" s="37" t="s">
        <v>15606</v>
      </c>
      <c r="C3788" s="37" t="s">
        <v>7</v>
      </c>
      <c r="D3788" s="326">
        <v>14.65</v>
      </c>
    </row>
    <row r="3789" spans="1:4" ht="13.5">
      <c r="A3789" s="37">
        <v>89417</v>
      </c>
      <c r="B3789" s="37" t="s">
        <v>15607</v>
      </c>
      <c r="C3789" s="37" t="s">
        <v>7</v>
      </c>
      <c r="D3789" s="326">
        <v>5.29</v>
      </c>
    </row>
    <row r="3790" spans="1:4" ht="13.5">
      <c r="A3790" s="37">
        <v>89418</v>
      </c>
      <c r="B3790" s="37" t="s">
        <v>15608</v>
      </c>
      <c r="C3790" s="37" t="s">
        <v>7</v>
      </c>
      <c r="D3790" s="326">
        <v>18.399999999999999</v>
      </c>
    </row>
    <row r="3791" spans="1:4" ht="13.5">
      <c r="A3791" s="37">
        <v>89419</v>
      </c>
      <c r="B3791" s="37" t="s">
        <v>15609</v>
      </c>
      <c r="C3791" s="37" t="s">
        <v>7</v>
      </c>
      <c r="D3791" s="326">
        <v>6.56</v>
      </c>
    </row>
    <row r="3792" spans="1:4" ht="13.5">
      <c r="A3792" s="37">
        <v>89421</v>
      </c>
      <c r="B3792" s="37" t="s">
        <v>15610</v>
      </c>
      <c r="C3792" s="37" t="s">
        <v>7</v>
      </c>
      <c r="D3792" s="326">
        <v>13.1</v>
      </c>
    </row>
    <row r="3793" spans="1:4" ht="13.5">
      <c r="A3793" s="37">
        <v>89423</v>
      </c>
      <c r="B3793" s="37" t="s">
        <v>15611</v>
      </c>
      <c r="C3793" s="37" t="s">
        <v>7</v>
      </c>
      <c r="D3793" s="326">
        <v>10.83</v>
      </c>
    </row>
    <row r="3794" spans="1:4" ht="13.5">
      <c r="A3794" s="37">
        <v>89424</v>
      </c>
      <c r="B3794" s="37" t="s">
        <v>15612</v>
      </c>
      <c r="C3794" s="37" t="s">
        <v>7</v>
      </c>
      <c r="D3794" s="326">
        <v>6.21</v>
      </c>
    </row>
    <row r="3795" spans="1:4" ht="13.5">
      <c r="A3795" s="37">
        <v>89425</v>
      </c>
      <c r="B3795" s="37" t="s">
        <v>15613</v>
      </c>
      <c r="C3795" s="37" t="s">
        <v>7</v>
      </c>
      <c r="D3795" s="326">
        <v>21.58</v>
      </c>
    </row>
    <row r="3796" spans="1:4" ht="13.5">
      <c r="A3796" s="37">
        <v>89426</v>
      </c>
      <c r="B3796" s="37" t="s">
        <v>15614</v>
      </c>
      <c r="C3796" s="37" t="s">
        <v>7</v>
      </c>
      <c r="D3796" s="326">
        <v>9.85</v>
      </c>
    </row>
    <row r="3797" spans="1:4" ht="13.5">
      <c r="A3797" s="37">
        <v>89427</v>
      </c>
      <c r="B3797" s="37" t="s">
        <v>15615</v>
      </c>
      <c r="C3797" s="37" t="s">
        <v>7</v>
      </c>
      <c r="D3797" s="326">
        <v>13.45</v>
      </c>
    </row>
    <row r="3798" spans="1:4" ht="13.5">
      <c r="A3798" s="37">
        <v>89428</v>
      </c>
      <c r="B3798" s="37" t="s">
        <v>15616</v>
      </c>
      <c r="C3798" s="37" t="s">
        <v>7</v>
      </c>
      <c r="D3798" s="326">
        <v>15.78</v>
      </c>
    </row>
    <row r="3799" spans="1:4" ht="13.5">
      <c r="A3799" s="37">
        <v>89429</v>
      </c>
      <c r="B3799" s="37" t="s">
        <v>15617</v>
      </c>
      <c r="C3799" s="37" t="s">
        <v>7</v>
      </c>
      <c r="D3799" s="326">
        <v>5.88</v>
      </c>
    </row>
    <row r="3800" spans="1:4" ht="13.5">
      <c r="A3800" s="37">
        <v>89430</v>
      </c>
      <c r="B3800" s="37" t="s">
        <v>15618</v>
      </c>
      <c r="C3800" s="37" t="s">
        <v>7</v>
      </c>
      <c r="D3800" s="326">
        <v>14.04</v>
      </c>
    </row>
    <row r="3801" spans="1:4" ht="13.5">
      <c r="A3801" s="37">
        <v>89431</v>
      </c>
      <c r="B3801" s="37" t="s">
        <v>15619</v>
      </c>
      <c r="C3801" s="37" t="s">
        <v>7</v>
      </c>
      <c r="D3801" s="326">
        <v>8.9600000000000009</v>
      </c>
    </row>
    <row r="3802" spans="1:4" ht="13.5">
      <c r="A3802" s="37">
        <v>89432</v>
      </c>
      <c r="B3802" s="37" t="s">
        <v>15620</v>
      </c>
      <c r="C3802" s="37" t="s">
        <v>7</v>
      </c>
      <c r="D3802" s="326">
        <v>35.520000000000003</v>
      </c>
    </row>
    <row r="3803" spans="1:4" ht="13.5">
      <c r="A3803" s="37">
        <v>89433</v>
      </c>
      <c r="B3803" s="37" t="s">
        <v>15621</v>
      </c>
      <c r="C3803" s="37" t="s">
        <v>7</v>
      </c>
      <c r="D3803" s="326">
        <v>14</v>
      </c>
    </row>
    <row r="3804" spans="1:4" ht="13.5">
      <c r="A3804" s="37">
        <v>89434</v>
      </c>
      <c r="B3804" s="37" t="s">
        <v>15622</v>
      </c>
      <c r="C3804" s="37" t="s">
        <v>7</v>
      </c>
      <c r="D3804" s="326">
        <v>11.72</v>
      </c>
    </row>
    <row r="3805" spans="1:4" ht="13.5">
      <c r="A3805" s="37">
        <v>89435</v>
      </c>
      <c r="B3805" s="37" t="s">
        <v>15623</v>
      </c>
      <c r="C3805" s="37" t="s">
        <v>7</v>
      </c>
      <c r="D3805" s="326">
        <v>24.24</v>
      </c>
    </row>
    <row r="3806" spans="1:4" ht="13.5">
      <c r="A3806" s="37">
        <v>89436</v>
      </c>
      <c r="B3806" s="37" t="s">
        <v>15624</v>
      </c>
      <c r="C3806" s="37" t="s">
        <v>7</v>
      </c>
      <c r="D3806" s="326">
        <v>8.1</v>
      </c>
    </row>
    <row r="3807" spans="1:4" ht="13.5">
      <c r="A3807" s="37">
        <v>89437</v>
      </c>
      <c r="B3807" s="37" t="s">
        <v>15625</v>
      </c>
      <c r="C3807" s="37" t="s">
        <v>7</v>
      </c>
      <c r="D3807" s="326">
        <v>28.3</v>
      </c>
    </row>
    <row r="3808" spans="1:4" ht="13.5">
      <c r="A3808" s="37">
        <v>89438</v>
      </c>
      <c r="B3808" s="37" t="s">
        <v>15626</v>
      </c>
      <c r="C3808" s="37" t="s">
        <v>7</v>
      </c>
      <c r="D3808" s="326">
        <v>9.56</v>
      </c>
    </row>
    <row r="3809" spans="1:4" ht="13.5">
      <c r="A3809" s="37">
        <v>89439</v>
      </c>
      <c r="B3809" s="37" t="s">
        <v>15627</v>
      </c>
      <c r="C3809" s="37" t="s">
        <v>7</v>
      </c>
      <c r="D3809" s="326">
        <v>11.53</v>
      </c>
    </row>
    <row r="3810" spans="1:4" ht="13.5">
      <c r="A3810" s="37">
        <v>89440</v>
      </c>
      <c r="B3810" s="37" t="s">
        <v>15628</v>
      </c>
      <c r="C3810" s="37" t="s">
        <v>7</v>
      </c>
      <c r="D3810" s="326">
        <v>11.31</v>
      </c>
    </row>
    <row r="3811" spans="1:4" ht="13.5">
      <c r="A3811" s="37">
        <v>89442</v>
      </c>
      <c r="B3811" s="37" t="s">
        <v>15629</v>
      </c>
      <c r="C3811" s="37" t="s">
        <v>7</v>
      </c>
      <c r="D3811" s="326">
        <v>14.04</v>
      </c>
    </row>
    <row r="3812" spans="1:4" ht="13.5">
      <c r="A3812" s="37">
        <v>89443</v>
      </c>
      <c r="B3812" s="37" t="s">
        <v>15630</v>
      </c>
      <c r="C3812" s="37" t="s">
        <v>7</v>
      </c>
      <c r="D3812" s="326">
        <v>16.87</v>
      </c>
    </row>
    <row r="3813" spans="1:4" ht="13.5">
      <c r="A3813" s="37">
        <v>89444</v>
      </c>
      <c r="B3813" s="37" t="s">
        <v>15631</v>
      </c>
      <c r="C3813" s="37" t="s">
        <v>7</v>
      </c>
      <c r="D3813" s="326">
        <v>27.09</v>
      </c>
    </row>
    <row r="3814" spans="1:4" ht="13.5">
      <c r="A3814" s="37">
        <v>89445</v>
      </c>
      <c r="B3814" s="37" t="s">
        <v>15632</v>
      </c>
      <c r="C3814" s="37" t="s">
        <v>7</v>
      </c>
      <c r="D3814" s="326">
        <v>19.7</v>
      </c>
    </row>
    <row r="3815" spans="1:4" ht="13.5">
      <c r="A3815" s="37">
        <v>89481</v>
      </c>
      <c r="B3815" s="37" t="s">
        <v>15633</v>
      </c>
      <c r="C3815" s="37" t="s">
        <v>7</v>
      </c>
      <c r="D3815" s="326">
        <v>5.16</v>
      </c>
    </row>
    <row r="3816" spans="1:4" ht="13.5">
      <c r="A3816" s="37">
        <v>89485</v>
      </c>
      <c r="B3816" s="37" t="s">
        <v>15634</v>
      </c>
      <c r="C3816" s="37" t="s">
        <v>7</v>
      </c>
      <c r="D3816" s="326">
        <v>6.19</v>
      </c>
    </row>
    <row r="3817" spans="1:4" ht="13.5">
      <c r="A3817" s="37">
        <v>89489</v>
      </c>
      <c r="B3817" s="37" t="s">
        <v>15635</v>
      </c>
      <c r="C3817" s="37" t="s">
        <v>7</v>
      </c>
      <c r="D3817" s="326">
        <v>8.17</v>
      </c>
    </row>
    <row r="3818" spans="1:4" ht="13.5">
      <c r="A3818" s="37">
        <v>89490</v>
      </c>
      <c r="B3818" s="37" t="s">
        <v>15636</v>
      </c>
      <c r="C3818" s="37" t="s">
        <v>7</v>
      </c>
      <c r="D3818" s="326">
        <v>7.46</v>
      </c>
    </row>
    <row r="3819" spans="1:4" ht="13.5">
      <c r="A3819" s="37">
        <v>89492</v>
      </c>
      <c r="B3819" s="37" t="s">
        <v>15637</v>
      </c>
      <c r="C3819" s="37" t="s">
        <v>7</v>
      </c>
      <c r="D3819" s="326">
        <v>8.49</v>
      </c>
    </row>
    <row r="3820" spans="1:4" ht="13.5">
      <c r="A3820" s="37">
        <v>89493</v>
      </c>
      <c r="B3820" s="37" t="s">
        <v>15638</v>
      </c>
      <c r="C3820" s="37" t="s">
        <v>7</v>
      </c>
      <c r="D3820" s="326">
        <v>10.79</v>
      </c>
    </row>
    <row r="3821" spans="1:4" ht="13.5">
      <c r="A3821" s="37">
        <v>89494</v>
      </c>
      <c r="B3821" s="37" t="s">
        <v>15639</v>
      </c>
      <c r="C3821" s="37" t="s">
        <v>7</v>
      </c>
      <c r="D3821" s="326">
        <v>13.87</v>
      </c>
    </row>
    <row r="3822" spans="1:4" ht="13.5">
      <c r="A3822" s="37">
        <v>89496</v>
      </c>
      <c r="B3822" s="37" t="s">
        <v>15640</v>
      </c>
      <c r="C3822" s="37" t="s">
        <v>7</v>
      </c>
      <c r="D3822" s="326">
        <v>11.22</v>
      </c>
    </row>
    <row r="3823" spans="1:4" ht="13.5">
      <c r="A3823" s="37">
        <v>89497</v>
      </c>
      <c r="B3823" s="37" t="s">
        <v>15641</v>
      </c>
      <c r="C3823" s="37" t="s">
        <v>7</v>
      </c>
      <c r="D3823" s="326">
        <v>14.34</v>
      </c>
    </row>
    <row r="3824" spans="1:4" ht="13.5">
      <c r="A3824" s="37">
        <v>89498</v>
      </c>
      <c r="B3824" s="37" t="s">
        <v>15642</v>
      </c>
      <c r="C3824" s="37" t="s">
        <v>7</v>
      </c>
      <c r="D3824" s="326">
        <v>14.42</v>
      </c>
    </row>
    <row r="3825" spans="1:4" ht="13.5">
      <c r="A3825" s="37">
        <v>89499</v>
      </c>
      <c r="B3825" s="37" t="s">
        <v>15643</v>
      </c>
      <c r="C3825" s="37" t="s">
        <v>7</v>
      </c>
      <c r="D3825" s="326">
        <v>22.51</v>
      </c>
    </row>
    <row r="3826" spans="1:4" ht="13.5">
      <c r="A3826" s="37">
        <v>89500</v>
      </c>
      <c r="B3826" s="37" t="s">
        <v>15644</v>
      </c>
      <c r="C3826" s="37" t="s">
        <v>7</v>
      </c>
      <c r="D3826" s="326">
        <v>13.7</v>
      </c>
    </row>
    <row r="3827" spans="1:4" ht="13.5">
      <c r="A3827" s="37">
        <v>89501</v>
      </c>
      <c r="B3827" s="37" t="s">
        <v>15645</v>
      </c>
      <c r="C3827" s="37" t="s">
        <v>7</v>
      </c>
      <c r="D3827" s="326">
        <v>15.05</v>
      </c>
    </row>
    <row r="3828" spans="1:4" ht="13.5">
      <c r="A3828" s="37">
        <v>89502</v>
      </c>
      <c r="B3828" s="37" t="s">
        <v>15646</v>
      </c>
      <c r="C3828" s="37" t="s">
        <v>7</v>
      </c>
      <c r="D3828" s="326">
        <v>18.38</v>
      </c>
    </row>
    <row r="3829" spans="1:4" ht="13.5">
      <c r="A3829" s="37">
        <v>89503</v>
      </c>
      <c r="B3829" s="37" t="s">
        <v>15647</v>
      </c>
      <c r="C3829" s="37" t="s">
        <v>7</v>
      </c>
      <c r="D3829" s="326">
        <v>25.79</v>
      </c>
    </row>
    <row r="3830" spans="1:4" ht="13.5">
      <c r="A3830" s="37">
        <v>89504</v>
      </c>
      <c r="B3830" s="37" t="s">
        <v>15648</v>
      </c>
      <c r="C3830" s="37" t="s">
        <v>7</v>
      </c>
      <c r="D3830" s="326">
        <v>20.76</v>
      </c>
    </row>
    <row r="3831" spans="1:4" ht="13.5">
      <c r="A3831" s="37">
        <v>89505</v>
      </c>
      <c r="B3831" s="37" t="s">
        <v>15649</v>
      </c>
      <c r="C3831" s="37" t="s">
        <v>7</v>
      </c>
      <c r="D3831" s="326">
        <v>48.94</v>
      </c>
    </row>
    <row r="3832" spans="1:4" ht="13.5">
      <c r="A3832" s="37">
        <v>89506</v>
      </c>
      <c r="B3832" s="37" t="s">
        <v>15650</v>
      </c>
      <c r="C3832" s="37" t="s">
        <v>7</v>
      </c>
      <c r="D3832" s="326">
        <v>46.61</v>
      </c>
    </row>
    <row r="3833" spans="1:4" ht="13.5">
      <c r="A3833" s="37">
        <v>89507</v>
      </c>
      <c r="B3833" s="37" t="s">
        <v>15651</v>
      </c>
      <c r="C3833" s="37" t="s">
        <v>7</v>
      </c>
      <c r="D3833" s="326">
        <v>55.81</v>
      </c>
    </row>
    <row r="3834" spans="1:4" ht="13.5">
      <c r="A3834" s="37">
        <v>89510</v>
      </c>
      <c r="B3834" s="37" t="s">
        <v>15652</v>
      </c>
      <c r="C3834" s="37" t="s">
        <v>7</v>
      </c>
      <c r="D3834" s="326">
        <v>30.3</v>
      </c>
    </row>
    <row r="3835" spans="1:4" ht="13.5">
      <c r="A3835" s="37">
        <v>89513</v>
      </c>
      <c r="B3835" s="37" t="s">
        <v>15653</v>
      </c>
      <c r="C3835" s="37" t="s">
        <v>7</v>
      </c>
      <c r="D3835" s="326">
        <v>127.54</v>
      </c>
    </row>
    <row r="3836" spans="1:4" ht="13.5">
      <c r="A3836" s="37">
        <v>89514</v>
      </c>
      <c r="B3836" s="37" t="s">
        <v>15654</v>
      </c>
      <c r="C3836" s="37" t="s">
        <v>7</v>
      </c>
      <c r="D3836" s="326">
        <v>8.75</v>
      </c>
    </row>
    <row r="3837" spans="1:4" ht="13.5">
      <c r="A3837" s="37">
        <v>89515</v>
      </c>
      <c r="B3837" s="37" t="s">
        <v>15655</v>
      </c>
      <c r="C3837" s="37" t="s">
        <v>7</v>
      </c>
      <c r="D3837" s="326">
        <v>100.66</v>
      </c>
    </row>
    <row r="3838" spans="1:4" ht="13.5">
      <c r="A3838" s="37">
        <v>89516</v>
      </c>
      <c r="B3838" s="37" t="s">
        <v>15656</v>
      </c>
      <c r="C3838" s="37" t="s">
        <v>7</v>
      </c>
      <c r="D3838" s="326">
        <v>8.85</v>
      </c>
    </row>
    <row r="3839" spans="1:4" ht="13.5">
      <c r="A3839" s="37">
        <v>89517</v>
      </c>
      <c r="B3839" s="37" t="s">
        <v>15657</v>
      </c>
      <c r="C3839" s="37" t="s">
        <v>7</v>
      </c>
      <c r="D3839" s="326">
        <v>83.5</v>
      </c>
    </row>
    <row r="3840" spans="1:4" ht="13.5">
      <c r="A3840" s="37">
        <v>89518</v>
      </c>
      <c r="B3840" s="37" t="s">
        <v>15658</v>
      </c>
      <c r="C3840" s="37" t="s">
        <v>7</v>
      </c>
      <c r="D3840" s="326">
        <v>16.5</v>
      </c>
    </row>
    <row r="3841" spans="1:4" ht="13.5">
      <c r="A3841" s="37">
        <v>89519</v>
      </c>
      <c r="B3841" s="37" t="s">
        <v>15659</v>
      </c>
      <c r="C3841" s="37" t="s">
        <v>7</v>
      </c>
      <c r="D3841" s="326">
        <v>54.95</v>
      </c>
    </row>
    <row r="3842" spans="1:4" ht="13.5">
      <c r="A3842" s="37">
        <v>89520</v>
      </c>
      <c r="B3842" s="37" t="s">
        <v>15660</v>
      </c>
      <c r="C3842" s="37" t="s">
        <v>7</v>
      </c>
      <c r="D3842" s="326">
        <v>17.39</v>
      </c>
    </row>
    <row r="3843" spans="1:4" ht="13.5">
      <c r="A3843" s="37">
        <v>89521</v>
      </c>
      <c r="B3843" s="37" t="s">
        <v>15661</v>
      </c>
      <c r="C3843" s="37" t="s">
        <v>7</v>
      </c>
      <c r="D3843" s="326">
        <v>152.19</v>
      </c>
    </row>
    <row r="3844" spans="1:4" ht="13.5">
      <c r="A3844" s="37">
        <v>89522</v>
      </c>
      <c r="B3844" s="37" t="s">
        <v>15662</v>
      </c>
      <c r="C3844" s="37" t="s">
        <v>7</v>
      </c>
      <c r="D3844" s="326">
        <v>33.11</v>
      </c>
    </row>
    <row r="3845" spans="1:4" ht="13.5">
      <c r="A3845" s="37">
        <v>89523</v>
      </c>
      <c r="B3845" s="37" t="s">
        <v>15663</v>
      </c>
      <c r="C3845" s="37" t="s">
        <v>7</v>
      </c>
      <c r="D3845" s="326">
        <v>123.4</v>
      </c>
    </row>
    <row r="3846" spans="1:4" ht="13.5">
      <c r="A3846" s="37">
        <v>89524</v>
      </c>
      <c r="B3846" s="37" t="s">
        <v>15664</v>
      </c>
      <c r="C3846" s="37" t="s">
        <v>7</v>
      </c>
      <c r="D3846" s="326">
        <v>33.67</v>
      </c>
    </row>
    <row r="3847" spans="1:4" ht="13.5">
      <c r="A3847" s="37">
        <v>89525</v>
      </c>
      <c r="B3847" s="37" t="s">
        <v>15665</v>
      </c>
      <c r="C3847" s="37" t="s">
        <v>7</v>
      </c>
      <c r="D3847" s="326">
        <v>105.5</v>
      </c>
    </row>
    <row r="3848" spans="1:4" ht="13.5">
      <c r="A3848" s="37">
        <v>89526</v>
      </c>
      <c r="B3848" s="37" t="s">
        <v>15666</v>
      </c>
      <c r="C3848" s="37" t="s">
        <v>7</v>
      </c>
      <c r="D3848" s="326">
        <v>44.02</v>
      </c>
    </row>
    <row r="3849" spans="1:4" ht="13.5">
      <c r="A3849" s="37">
        <v>89527</v>
      </c>
      <c r="B3849" s="37" t="s">
        <v>15667</v>
      </c>
      <c r="C3849" s="37" t="s">
        <v>7</v>
      </c>
      <c r="D3849" s="326">
        <v>66.44</v>
      </c>
    </row>
    <row r="3850" spans="1:4" ht="13.5">
      <c r="A3850" s="37">
        <v>89528</v>
      </c>
      <c r="B3850" s="37" t="s">
        <v>15668</v>
      </c>
      <c r="C3850" s="37" t="s">
        <v>7</v>
      </c>
      <c r="D3850" s="326">
        <v>4.24</v>
      </c>
    </row>
    <row r="3851" spans="1:4" ht="13.5">
      <c r="A3851" s="37">
        <v>89529</v>
      </c>
      <c r="B3851" s="37" t="s">
        <v>15669</v>
      </c>
      <c r="C3851" s="37" t="s">
        <v>7</v>
      </c>
      <c r="D3851" s="326">
        <v>40.76</v>
      </c>
    </row>
    <row r="3852" spans="1:4" ht="13.5">
      <c r="A3852" s="37">
        <v>89530</v>
      </c>
      <c r="B3852" s="37" t="s">
        <v>15670</v>
      </c>
      <c r="C3852" s="37" t="s">
        <v>7</v>
      </c>
      <c r="D3852" s="326">
        <v>19.61</v>
      </c>
    </row>
    <row r="3853" spans="1:4" ht="13.5">
      <c r="A3853" s="37">
        <v>89531</v>
      </c>
      <c r="B3853" s="37" t="s">
        <v>15671</v>
      </c>
      <c r="C3853" s="37" t="s">
        <v>7</v>
      </c>
      <c r="D3853" s="326">
        <v>42.02</v>
      </c>
    </row>
    <row r="3854" spans="1:4" ht="13.5">
      <c r="A3854" s="37">
        <v>89532</v>
      </c>
      <c r="B3854" s="37" t="s">
        <v>15672</v>
      </c>
      <c r="C3854" s="37" t="s">
        <v>7</v>
      </c>
      <c r="D3854" s="326">
        <v>7.72</v>
      </c>
    </row>
    <row r="3855" spans="1:4" ht="13.5">
      <c r="A3855" s="37">
        <v>89535</v>
      </c>
      <c r="B3855" s="37" t="s">
        <v>15673</v>
      </c>
      <c r="C3855" s="37" t="s">
        <v>7</v>
      </c>
      <c r="D3855" s="326">
        <v>47.44</v>
      </c>
    </row>
    <row r="3856" spans="1:4" ht="13.5">
      <c r="A3856" s="37">
        <v>89536</v>
      </c>
      <c r="B3856" s="37" t="s">
        <v>15674</v>
      </c>
      <c r="C3856" s="37" t="s">
        <v>7</v>
      </c>
      <c r="D3856" s="326">
        <v>13.81</v>
      </c>
    </row>
    <row r="3857" spans="1:4" ht="13.5">
      <c r="A3857" s="37">
        <v>89540</v>
      </c>
      <c r="B3857" s="37" t="s">
        <v>15675</v>
      </c>
      <c r="C3857" s="37" t="s">
        <v>7</v>
      </c>
      <c r="D3857" s="326">
        <v>12.07</v>
      </c>
    </row>
    <row r="3858" spans="1:4" ht="13.5">
      <c r="A3858" s="37">
        <v>89541</v>
      </c>
      <c r="B3858" s="37" t="s">
        <v>15676</v>
      </c>
      <c r="C3858" s="37" t="s">
        <v>7</v>
      </c>
      <c r="D3858" s="326">
        <v>6.67</v>
      </c>
    </row>
    <row r="3859" spans="1:4" ht="13.5">
      <c r="A3859" s="37">
        <v>89542</v>
      </c>
      <c r="B3859" s="37" t="s">
        <v>15677</v>
      </c>
      <c r="C3859" s="37" t="s">
        <v>7</v>
      </c>
      <c r="D3859" s="326">
        <v>33.229999999999997</v>
      </c>
    </row>
    <row r="3860" spans="1:4" ht="13.5">
      <c r="A3860" s="37">
        <v>89544</v>
      </c>
      <c r="B3860" s="37" t="s">
        <v>15678</v>
      </c>
      <c r="C3860" s="37" t="s">
        <v>7</v>
      </c>
      <c r="D3860" s="326">
        <v>9.27</v>
      </c>
    </row>
    <row r="3861" spans="1:4" ht="13.5">
      <c r="A3861" s="37">
        <v>89545</v>
      </c>
      <c r="B3861" s="37" t="s">
        <v>15679</v>
      </c>
      <c r="C3861" s="37" t="s">
        <v>7</v>
      </c>
      <c r="D3861" s="326">
        <v>18.8</v>
      </c>
    </row>
    <row r="3862" spans="1:4" ht="13.5">
      <c r="A3862" s="37">
        <v>89546</v>
      </c>
      <c r="B3862" s="37" t="s">
        <v>15680</v>
      </c>
      <c r="C3862" s="37" t="s">
        <v>7</v>
      </c>
      <c r="D3862" s="326">
        <v>12.24</v>
      </c>
    </row>
    <row r="3863" spans="1:4" ht="13.5">
      <c r="A3863" s="37">
        <v>89547</v>
      </c>
      <c r="B3863" s="37" t="s">
        <v>15681</v>
      </c>
      <c r="C3863" s="37" t="s">
        <v>7</v>
      </c>
      <c r="D3863" s="326">
        <v>24.52</v>
      </c>
    </row>
    <row r="3864" spans="1:4" ht="13.5">
      <c r="A3864" s="37">
        <v>89548</v>
      </c>
      <c r="B3864" s="37" t="s">
        <v>15682</v>
      </c>
      <c r="C3864" s="37" t="s">
        <v>7</v>
      </c>
      <c r="D3864" s="326">
        <v>25.49</v>
      </c>
    </row>
    <row r="3865" spans="1:4" ht="13.5">
      <c r="A3865" s="37">
        <v>89549</v>
      </c>
      <c r="B3865" s="37" t="s">
        <v>15683</v>
      </c>
      <c r="C3865" s="37" t="s">
        <v>7</v>
      </c>
      <c r="D3865" s="326">
        <v>21.09</v>
      </c>
    </row>
    <row r="3866" spans="1:4" ht="13.5">
      <c r="A3866" s="37">
        <v>89550</v>
      </c>
      <c r="B3866" s="37" t="s">
        <v>15684</v>
      </c>
      <c r="C3866" s="37" t="s">
        <v>7</v>
      </c>
      <c r="D3866" s="326">
        <v>47.17</v>
      </c>
    </row>
    <row r="3867" spans="1:4" ht="13.5">
      <c r="A3867" s="37">
        <v>89551</v>
      </c>
      <c r="B3867" s="37" t="s">
        <v>15685</v>
      </c>
      <c r="C3867" s="37" t="s">
        <v>7</v>
      </c>
      <c r="D3867" s="326">
        <v>9.59</v>
      </c>
    </row>
    <row r="3868" spans="1:4" ht="13.5">
      <c r="A3868" s="37">
        <v>89552</v>
      </c>
      <c r="B3868" s="37" t="s">
        <v>15686</v>
      </c>
      <c r="C3868" s="37" t="s">
        <v>7</v>
      </c>
      <c r="D3868" s="326">
        <v>21.95</v>
      </c>
    </row>
    <row r="3869" spans="1:4" ht="13.5">
      <c r="A3869" s="37">
        <v>89553</v>
      </c>
      <c r="B3869" s="37" t="s">
        <v>15687</v>
      </c>
      <c r="C3869" s="37" t="s">
        <v>7</v>
      </c>
      <c r="D3869" s="326">
        <v>5.97</v>
      </c>
    </row>
    <row r="3870" spans="1:4" ht="13.5">
      <c r="A3870" s="37">
        <v>89554</v>
      </c>
      <c r="B3870" s="37" t="s">
        <v>15688</v>
      </c>
      <c r="C3870" s="37" t="s">
        <v>7</v>
      </c>
      <c r="D3870" s="326">
        <v>30.75</v>
      </c>
    </row>
    <row r="3871" spans="1:4" ht="13.5">
      <c r="A3871" s="37">
        <v>89555</v>
      </c>
      <c r="B3871" s="37" t="s">
        <v>15689</v>
      </c>
      <c r="C3871" s="37" t="s">
        <v>7</v>
      </c>
      <c r="D3871" s="326">
        <v>26.01</v>
      </c>
    </row>
    <row r="3872" spans="1:4" ht="13.5">
      <c r="A3872" s="37">
        <v>89556</v>
      </c>
      <c r="B3872" s="37" t="s">
        <v>15690</v>
      </c>
      <c r="C3872" s="37" t="s">
        <v>7</v>
      </c>
      <c r="D3872" s="326">
        <v>45.12</v>
      </c>
    </row>
    <row r="3873" spans="1:4" ht="13.5">
      <c r="A3873" s="37">
        <v>89557</v>
      </c>
      <c r="B3873" s="37" t="s">
        <v>15691</v>
      </c>
      <c r="C3873" s="37" t="s">
        <v>7</v>
      </c>
      <c r="D3873" s="326">
        <v>35.67</v>
      </c>
    </row>
    <row r="3874" spans="1:4" ht="13.5">
      <c r="A3874" s="37">
        <v>89558</v>
      </c>
      <c r="B3874" s="37" t="s">
        <v>15692</v>
      </c>
      <c r="C3874" s="37" t="s">
        <v>7</v>
      </c>
      <c r="D3874" s="326">
        <v>10.59</v>
      </c>
    </row>
    <row r="3875" spans="1:4" ht="13.5">
      <c r="A3875" s="37">
        <v>89559</v>
      </c>
      <c r="B3875" s="37" t="s">
        <v>15693</v>
      </c>
      <c r="C3875" s="37" t="s">
        <v>7</v>
      </c>
      <c r="D3875" s="326">
        <v>77.19</v>
      </c>
    </row>
    <row r="3876" spans="1:4" ht="13.5">
      <c r="A3876" s="37">
        <v>89560</v>
      </c>
      <c r="B3876" s="37" t="s">
        <v>17483</v>
      </c>
      <c r="C3876" s="37" t="s">
        <v>7</v>
      </c>
      <c r="D3876" s="326">
        <v>42.69</v>
      </c>
    </row>
    <row r="3877" spans="1:4" ht="13.5">
      <c r="A3877" s="37">
        <v>89561</v>
      </c>
      <c r="B3877" s="37" t="s">
        <v>15694</v>
      </c>
      <c r="C3877" s="37" t="s">
        <v>7</v>
      </c>
      <c r="D3877" s="326">
        <v>16.07</v>
      </c>
    </row>
    <row r="3878" spans="1:4" ht="13.5">
      <c r="A3878" s="37">
        <v>89562</v>
      </c>
      <c r="B3878" s="37" t="s">
        <v>15695</v>
      </c>
      <c r="C3878" s="37" t="s">
        <v>7</v>
      </c>
      <c r="D3878" s="326">
        <v>11.52</v>
      </c>
    </row>
    <row r="3879" spans="1:4" ht="13.5">
      <c r="A3879" s="37">
        <v>89563</v>
      </c>
      <c r="B3879" s="37" t="s">
        <v>15696</v>
      </c>
      <c r="C3879" s="37" t="s">
        <v>7</v>
      </c>
      <c r="D3879" s="326">
        <v>39.090000000000003</v>
      </c>
    </row>
    <row r="3880" spans="1:4" ht="13.5">
      <c r="A3880" s="37">
        <v>89564</v>
      </c>
      <c r="B3880" s="37" t="s">
        <v>15697</v>
      </c>
      <c r="C3880" s="37" t="s">
        <v>7</v>
      </c>
      <c r="D3880" s="326">
        <v>18.22</v>
      </c>
    </row>
    <row r="3881" spans="1:4" ht="13.5">
      <c r="A3881" s="37">
        <v>89565</v>
      </c>
      <c r="B3881" s="37" t="s">
        <v>15698</v>
      </c>
      <c r="C3881" s="37" t="s">
        <v>7</v>
      </c>
      <c r="D3881" s="326">
        <v>63.36</v>
      </c>
    </row>
    <row r="3882" spans="1:4" ht="13.5">
      <c r="A3882" s="37">
        <v>89566</v>
      </c>
      <c r="B3882" s="37" t="s">
        <v>15699</v>
      </c>
      <c r="C3882" s="37" t="s">
        <v>7</v>
      </c>
      <c r="D3882" s="326">
        <v>53.19</v>
      </c>
    </row>
    <row r="3883" spans="1:4" ht="13.5">
      <c r="A3883" s="37">
        <v>89567</v>
      </c>
      <c r="B3883" s="37" t="s">
        <v>15700</v>
      </c>
      <c r="C3883" s="37" t="s">
        <v>7</v>
      </c>
      <c r="D3883" s="326">
        <v>91.04</v>
      </c>
    </row>
    <row r="3884" spans="1:4" ht="13.5">
      <c r="A3884" s="37">
        <v>89568</v>
      </c>
      <c r="B3884" s="37" t="s">
        <v>15701</v>
      </c>
      <c r="C3884" s="37" t="s">
        <v>7</v>
      </c>
      <c r="D3884" s="326">
        <v>39.43</v>
      </c>
    </row>
    <row r="3885" spans="1:4" ht="13.5">
      <c r="A3885" s="37">
        <v>89569</v>
      </c>
      <c r="B3885" s="37" t="s">
        <v>15702</v>
      </c>
      <c r="C3885" s="37" t="s">
        <v>7</v>
      </c>
      <c r="D3885" s="326">
        <v>107.51</v>
      </c>
    </row>
    <row r="3886" spans="1:4" ht="13.5">
      <c r="A3886" s="37">
        <v>89570</v>
      </c>
      <c r="B3886" s="37" t="s">
        <v>15703</v>
      </c>
      <c r="C3886" s="37" t="s">
        <v>7</v>
      </c>
      <c r="D3886" s="326">
        <v>12.86</v>
      </c>
    </row>
    <row r="3887" spans="1:4" ht="13.5">
      <c r="A3887" s="37">
        <v>89571</v>
      </c>
      <c r="B3887" s="37" t="s">
        <v>15704</v>
      </c>
      <c r="C3887" s="37" t="s">
        <v>7</v>
      </c>
      <c r="D3887" s="326">
        <v>78.23</v>
      </c>
    </row>
    <row r="3888" spans="1:4" ht="13.5">
      <c r="A3888" s="37">
        <v>89572</v>
      </c>
      <c r="B3888" s="37" t="s">
        <v>15705</v>
      </c>
      <c r="C3888" s="37" t="s">
        <v>7</v>
      </c>
      <c r="D3888" s="326">
        <v>9.39</v>
      </c>
    </row>
    <row r="3889" spans="1:4" ht="13.5">
      <c r="A3889" s="37">
        <v>89573</v>
      </c>
      <c r="B3889" s="37" t="s">
        <v>15706</v>
      </c>
      <c r="C3889" s="37" t="s">
        <v>7</v>
      </c>
      <c r="D3889" s="326">
        <v>86.78</v>
      </c>
    </row>
    <row r="3890" spans="1:4" ht="13.5">
      <c r="A3890" s="37">
        <v>89574</v>
      </c>
      <c r="B3890" s="37" t="s">
        <v>15707</v>
      </c>
      <c r="C3890" s="37" t="s">
        <v>7</v>
      </c>
      <c r="D3890" s="326">
        <v>178.06</v>
      </c>
    </row>
    <row r="3891" spans="1:4" ht="13.5">
      <c r="A3891" s="37">
        <v>89575</v>
      </c>
      <c r="B3891" s="37" t="s">
        <v>15708</v>
      </c>
      <c r="C3891" s="37" t="s">
        <v>7</v>
      </c>
      <c r="D3891" s="326">
        <v>12.32</v>
      </c>
    </row>
    <row r="3892" spans="1:4" ht="13.5">
      <c r="A3892" s="37">
        <v>89577</v>
      </c>
      <c r="B3892" s="37" t="s">
        <v>15709</v>
      </c>
      <c r="C3892" s="37" t="s">
        <v>7</v>
      </c>
      <c r="D3892" s="326">
        <v>44.6</v>
      </c>
    </row>
    <row r="3893" spans="1:4" ht="13.5">
      <c r="A3893" s="37">
        <v>89579</v>
      </c>
      <c r="B3893" s="37" t="s">
        <v>15710</v>
      </c>
      <c r="C3893" s="37" t="s">
        <v>7</v>
      </c>
      <c r="D3893" s="326">
        <v>13.12</v>
      </c>
    </row>
    <row r="3894" spans="1:4" ht="13.5">
      <c r="A3894" s="37">
        <v>89581</v>
      </c>
      <c r="B3894" s="37" t="s">
        <v>15711</v>
      </c>
      <c r="C3894" s="37" t="s">
        <v>7</v>
      </c>
      <c r="D3894" s="326">
        <v>36.64</v>
      </c>
    </row>
    <row r="3895" spans="1:4" ht="13.5">
      <c r="A3895" s="37">
        <v>89582</v>
      </c>
      <c r="B3895" s="37" t="s">
        <v>15712</v>
      </c>
      <c r="C3895" s="37" t="s">
        <v>7</v>
      </c>
      <c r="D3895" s="326">
        <v>37.200000000000003</v>
      </c>
    </row>
    <row r="3896" spans="1:4" ht="13.5">
      <c r="A3896" s="37">
        <v>89583</v>
      </c>
      <c r="B3896" s="37" t="s">
        <v>15713</v>
      </c>
      <c r="C3896" s="37" t="s">
        <v>7</v>
      </c>
      <c r="D3896" s="326">
        <v>47.55</v>
      </c>
    </row>
    <row r="3897" spans="1:4" ht="13.5">
      <c r="A3897" s="37">
        <v>89584</v>
      </c>
      <c r="B3897" s="37" t="s">
        <v>15714</v>
      </c>
      <c r="C3897" s="37" t="s">
        <v>7</v>
      </c>
      <c r="D3897" s="326">
        <v>47.14</v>
      </c>
    </row>
    <row r="3898" spans="1:4" ht="13.5">
      <c r="A3898" s="37">
        <v>89585</v>
      </c>
      <c r="B3898" s="37" t="s">
        <v>15715</v>
      </c>
      <c r="C3898" s="37" t="s">
        <v>7</v>
      </c>
      <c r="D3898" s="326">
        <v>48.4</v>
      </c>
    </row>
    <row r="3899" spans="1:4" ht="13.5">
      <c r="A3899" s="37">
        <v>89587</v>
      </c>
      <c r="B3899" s="37" t="s">
        <v>15716</v>
      </c>
      <c r="C3899" s="37" t="s">
        <v>7</v>
      </c>
      <c r="D3899" s="326">
        <v>53.82</v>
      </c>
    </row>
    <row r="3900" spans="1:4" ht="13.5">
      <c r="A3900" s="37">
        <v>89590</v>
      </c>
      <c r="B3900" s="37" t="s">
        <v>15717</v>
      </c>
      <c r="C3900" s="37" t="s">
        <v>7</v>
      </c>
      <c r="D3900" s="326">
        <v>148.38</v>
      </c>
    </row>
    <row r="3901" spans="1:4" ht="13.5">
      <c r="A3901" s="37">
        <v>89591</v>
      </c>
      <c r="B3901" s="37" t="s">
        <v>15718</v>
      </c>
      <c r="C3901" s="37" t="s">
        <v>7</v>
      </c>
      <c r="D3901" s="326">
        <v>144.52000000000001</v>
      </c>
    </row>
    <row r="3902" spans="1:4" ht="13.5">
      <c r="A3902" s="37">
        <v>89592</v>
      </c>
      <c r="B3902" s="37" t="s">
        <v>15719</v>
      </c>
      <c r="C3902" s="37" t="s">
        <v>7</v>
      </c>
      <c r="D3902" s="326">
        <v>178.44</v>
      </c>
    </row>
    <row r="3903" spans="1:4" ht="13.5">
      <c r="A3903" s="37">
        <v>89593</v>
      </c>
      <c r="B3903" s="37" t="s">
        <v>15720</v>
      </c>
      <c r="C3903" s="37" t="s">
        <v>7</v>
      </c>
      <c r="D3903" s="326">
        <v>29.72</v>
      </c>
    </row>
    <row r="3904" spans="1:4" ht="13.5">
      <c r="A3904" s="37">
        <v>89594</v>
      </c>
      <c r="B3904" s="37" t="s">
        <v>15721</v>
      </c>
      <c r="C3904" s="37" t="s">
        <v>7</v>
      </c>
      <c r="D3904" s="326">
        <v>43.36</v>
      </c>
    </row>
    <row r="3905" spans="1:4" ht="13.5">
      <c r="A3905" s="37">
        <v>89595</v>
      </c>
      <c r="B3905" s="37" t="s">
        <v>15722</v>
      </c>
      <c r="C3905" s="37" t="s">
        <v>7</v>
      </c>
      <c r="D3905" s="326">
        <v>16.47</v>
      </c>
    </row>
    <row r="3906" spans="1:4" ht="13.5">
      <c r="A3906" s="37">
        <v>89596</v>
      </c>
      <c r="B3906" s="37" t="s">
        <v>15723</v>
      </c>
      <c r="C3906" s="37" t="s">
        <v>7</v>
      </c>
      <c r="D3906" s="326">
        <v>11.3</v>
      </c>
    </row>
    <row r="3907" spans="1:4" ht="13.5">
      <c r="A3907" s="37">
        <v>89597</v>
      </c>
      <c r="B3907" s="37" t="s">
        <v>15724</v>
      </c>
      <c r="C3907" s="37" t="s">
        <v>7</v>
      </c>
      <c r="D3907" s="326">
        <v>25.91</v>
      </c>
    </row>
    <row r="3908" spans="1:4" ht="13.5">
      <c r="A3908" s="37">
        <v>89598</v>
      </c>
      <c r="B3908" s="37" t="s">
        <v>15725</v>
      </c>
      <c r="C3908" s="37" t="s">
        <v>7</v>
      </c>
      <c r="D3908" s="326">
        <v>60.45</v>
      </c>
    </row>
    <row r="3909" spans="1:4" ht="13.5">
      <c r="A3909" s="37">
        <v>89599</v>
      </c>
      <c r="B3909" s="37" t="s">
        <v>15726</v>
      </c>
      <c r="C3909" s="37" t="s">
        <v>7</v>
      </c>
      <c r="D3909" s="326">
        <v>26.88</v>
      </c>
    </row>
    <row r="3910" spans="1:4" ht="13.5">
      <c r="A3910" s="37">
        <v>89600</v>
      </c>
      <c r="B3910" s="37" t="s">
        <v>15727</v>
      </c>
      <c r="C3910" s="37" t="s">
        <v>7</v>
      </c>
      <c r="D3910" s="326">
        <v>27.84</v>
      </c>
    </row>
    <row r="3911" spans="1:4" ht="13.5">
      <c r="A3911" s="37">
        <v>89605</v>
      </c>
      <c r="B3911" s="37" t="s">
        <v>15728</v>
      </c>
      <c r="C3911" s="37" t="s">
        <v>7</v>
      </c>
      <c r="D3911" s="326">
        <v>23.61</v>
      </c>
    </row>
    <row r="3912" spans="1:4" ht="13.5">
      <c r="A3912" s="37">
        <v>89609</v>
      </c>
      <c r="B3912" s="37" t="s">
        <v>15729</v>
      </c>
      <c r="C3912" s="37" t="s">
        <v>7</v>
      </c>
      <c r="D3912" s="326">
        <v>104</v>
      </c>
    </row>
    <row r="3913" spans="1:4" ht="13.5">
      <c r="A3913" s="37">
        <v>89610</v>
      </c>
      <c r="B3913" s="37" t="s">
        <v>15730</v>
      </c>
      <c r="C3913" s="37" t="s">
        <v>7</v>
      </c>
      <c r="D3913" s="326">
        <v>22.2</v>
      </c>
    </row>
    <row r="3914" spans="1:4" ht="13.5">
      <c r="A3914" s="37">
        <v>89611</v>
      </c>
      <c r="B3914" s="37" t="s">
        <v>15731</v>
      </c>
      <c r="C3914" s="37" t="s">
        <v>7</v>
      </c>
      <c r="D3914" s="326">
        <v>36.96</v>
      </c>
    </row>
    <row r="3915" spans="1:4" ht="13.5">
      <c r="A3915" s="37">
        <v>89612</v>
      </c>
      <c r="B3915" s="37" t="s">
        <v>15732</v>
      </c>
      <c r="C3915" s="37" t="s">
        <v>7</v>
      </c>
      <c r="D3915" s="326">
        <v>206.22</v>
      </c>
    </row>
    <row r="3916" spans="1:4" ht="13.5">
      <c r="A3916" s="37">
        <v>89613</v>
      </c>
      <c r="B3916" s="37" t="s">
        <v>3929</v>
      </c>
      <c r="C3916" s="37" t="s">
        <v>7</v>
      </c>
      <c r="D3916" s="326">
        <v>35.43</v>
      </c>
    </row>
    <row r="3917" spans="1:4" ht="13.5">
      <c r="A3917" s="37">
        <v>89614</v>
      </c>
      <c r="B3917" s="37" t="s">
        <v>15733</v>
      </c>
      <c r="C3917" s="37" t="s">
        <v>7</v>
      </c>
      <c r="D3917" s="326">
        <v>71.45</v>
      </c>
    </row>
    <row r="3918" spans="1:4" ht="13.5">
      <c r="A3918" s="37">
        <v>89615</v>
      </c>
      <c r="B3918" s="37" t="s">
        <v>15734</v>
      </c>
      <c r="C3918" s="37" t="s">
        <v>7</v>
      </c>
      <c r="D3918" s="326">
        <v>243.57</v>
      </c>
    </row>
    <row r="3919" spans="1:4" ht="13.5">
      <c r="A3919" s="37">
        <v>89616</v>
      </c>
      <c r="B3919" s="37" t="s">
        <v>15735</v>
      </c>
      <c r="C3919" s="37" t="s">
        <v>7</v>
      </c>
      <c r="D3919" s="326">
        <v>47.68</v>
      </c>
    </row>
    <row r="3920" spans="1:4" ht="13.5">
      <c r="A3920" s="37">
        <v>89617</v>
      </c>
      <c r="B3920" s="37" t="s">
        <v>15736</v>
      </c>
      <c r="C3920" s="37" t="s">
        <v>7</v>
      </c>
      <c r="D3920" s="326">
        <v>7.38</v>
      </c>
    </row>
    <row r="3921" spans="1:4" ht="13.5">
      <c r="A3921" s="37">
        <v>89620</v>
      </c>
      <c r="B3921" s="37" t="s">
        <v>15737</v>
      </c>
      <c r="C3921" s="37" t="s">
        <v>7</v>
      </c>
      <c r="D3921" s="326">
        <v>12.32</v>
      </c>
    </row>
    <row r="3922" spans="1:4" ht="13.5">
      <c r="A3922" s="37">
        <v>89622</v>
      </c>
      <c r="B3922" s="37" t="s">
        <v>15738</v>
      </c>
      <c r="C3922" s="37" t="s">
        <v>7</v>
      </c>
      <c r="D3922" s="326">
        <v>15.46</v>
      </c>
    </row>
    <row r="3923" spans="1:4" ht="13.5">
      <c r="A3923" s="37">
        <v>89623</v>
      </c>
      <c r="B3923" s="37" t="s">
        <v>15739</v>
      </c>
      <c r="C3923" s="37" t="s">
        <v>7</v>
      </c>
      <c r="D3923" s="326">
        <v>21.26</v>
      </c>
    </row>
    <row r="3924" spans="1:4" ht="13.5">
      <c r="A3924" s="37">
        <v>89624</v>
      </c>
      <c r="B3924" s="37" t="s">
        <v>15740</v>
      </c>
      <c r="C3924" s="37" t="s">
        <v>7</v>
      </c>
      <c r="D3924" s="326">
        <v>19.71</v>
      </c>
    </row>
    <row r="3925" spans="1:4" ht="13.5">
      <c r="A3925" s="37">
        <v>89625</v>
      </c>
      <c r="B3925" s="37" t="s">
        <v>15741</v>
      </c>
      <c r="C3925" s="37" t="s">
        <v>7</v>
      </c>
      <c r="D3925" s="326">
        <v>24.51</v>
      </c>
    </row>
    <row r="3926" spans="1:4" ht="13.5">
      <c r="A3926" s="37">
        <v>89626</v>
      </c>
      <c r="B3926" s="37" t="s">
        <v>15742</v>
      </c>
      <c r="C3926" s="37" t="s">
        <v>7</v>
      </c>
      <c r="D3926" s="326">
        <v>34.43</v>
      </c>
    </row>
    <row r="3927" spans="1:4" ht="13.5">
      <c r="A3927" s="37">
        <v>89627</v>
      </c>
      <c r="B3927" s="37" t="s">
        <v>15743</v>
      </c>
      <c r="C3927" s="37" t="s">
        <v>7</v>
      </c>
      <c r="D3927" s="326">
        <v>22.29</v>
      </c>
    </row>
    <row r="3928" spans="1:4" ht="13.5">
      <c r="A3928" s="37">
        <v>89628</v>
      </c>
      <c r="B3928" s="37" t="s">
        <v>15744</v>
      </c>
      <c r="C3928" s="37" t="s">
        <v>7</v>
      </c>
      <c r="D3928" s="326">
        <v>55.66</v>
      </c>
    </row>
    <row r="3929" spans="1:4" ht="13.5">
      <c r="A3929" s="37">
        <v>89629</v>
      </c>
      <c r="B3929" s="37" t="s">
        <v>15745</v>
      </c>
      <c r="C3929" s="37" t="s">
        <v>7</v>
      </c>
      <c r="D3929" s="326">
        <v>95.74</v>
      </c>
    </row>
    <row r="3930" spans="1:4" ht="13.5">
      <c r="A3930" s="37">
        <v>89630</v>
      </c>
      <c r="B3930" s="37" t="s">
        <v>15746</v>
      </c>
      <c r="C3930" s="37" t="s">
        <v>7</v>
      </c>
      <c r="D3930" s="326">
        <v>72.22</v>
      </c>
    </row>
    <row r="3931" spans="1:4" ht="13.5">
      <c r="A3931" s="37">
        <v>89631</v>
      </c>
      <c r="B3931" s="37" t="s">
        <v>15747</v>
      </c>
      <c r="C3931" s="37" t="s">
        <v>7</v>
      </c>
      <c r="D3931" s="326">
        <v>126.72</v>
      </c>
    </row>
    <row r="3932" spans="1:4" ht="13.5">
      <c r="A3932" s="37">
        <v>89632</v>
      </c>
      <c r="B3932" s="37" t="s">
        <v>15748</v>
      </c>
      <c r="C3932" s="37" t="s">
        <v>7</v>
      </c>
      <c r="D3932" s="326">
        <v>149.76</v>
      </c>
    </row>
    <row r="3933" spans="1:4" ht="13.5">
      <c r="A3933" s="37">
        <v>89637</v>
      </c>
      <c r="B3933" s="37" t="s">
        <v>15749</v>
      </c>
      <c r="C3933" s="37" t="s">
        <v>7</v>
      </c>
      <c r="D3933" s="326">
        <v>10.51</v>
      </c>
    </row>
    <row r="3934" spans="1:4" ht="13.5">
      <c r="A3934" s="37">
        <v>89638</v>
      </c>
      <c r="B3934" s="37" t="s">
        <v>15750</v>
      </c>
      <c r="C3934" s="37" t="s">
        <v>7</v>
      </c>
      <c r="D3934" s="326">
        <v>11.5</v>
      </c>
    </row>
    <row r="3935" spans="1:4" ht="13.5">
      <c r="A3935" s="37">
        <v>89639</v>
      </c>
      <c r="B3935" s="37" t="s">
        <v>15751</v>
      </c>
      <c r="C3935" s="37" t="s">
        <v>7</v>
      </c>
      <c r="D3935" s="326">
        <v>12.2</v>
      </c>
    </row>
    <row r="3936" spans="1:4" ht="13.5">
      <c r="A3936" s="37">
        <v>89640</v>
      </c>
      <c r="B3936" s="37" t="s">
        <v>15752</v>
      </c>
      <c r="C3936" s="37" t="s">
        <v>7</v>
      </c>
      <c r="D3936" s="326">
        <v>19.72</v>
      </c>
    </row>
    <row r="3937" spans="1:4" ht="13.5">
      <c r="A3937" s="37">
        <v>89641</v>
      </c>
      <c r="B3937" s="37" t="s">
        <v>15753</v>
      </c>
      <c r="C3937" s="37" t="s">
        <v>7</v>
      </c>
      <c r="D3937" s="326">
        <v>13.58</v>
      </c>
    </row>
    <row r="3938" spans="1:4" ht="13.5">
      <c r="A3938" s="37">
        <v>89642</v>
      </c>
      <c r="B3938" s="37" t="s">
        <v>15754</v>
      </c>
      <c r="C3938" s="37" t="s">
        <v>7</v>
      </c>
      <c r="D3938" s="326">
        <v>15.32</v>
      </c>
    </row>
    <row r="3939" spans="1:4" ht="13.5">
      <c r="A3939" s="37">
        <v>89643</v>
      </c>
      <c r="B3939" s="37" t="s">
        <v>15755</v>
      </c>
      <c r="C3939" s="37" t="s">
        <v>7</v>
      </c>
      <c r="D3939" s="326">
        <v>16.71</v>
      </c>
    </row>
    <row r="3940" spans="1:4" ht="13.5">
      <c r="A3940" s="37">
        <v>89644</v>
      </c>
      <c r="B3940" s="37" t="s">
        <v>15756</v>
      </c>
      <c r="C3940" s="37" t="s">
        <v>7</v>
      </c>
      <c r="D3940" s="326">
        <v>24.14</v>
      </c>
    </row>
    <row r="3941" spans="1:4" ht="13.5">
      <c r="A3941" s="37">
        <v>89645</v>
      </c>
      <c r="B3941" s="37" t="s">
        <v>15757</v>
      </c>
      <c r="C3941" s="37" t="s">
        <v>7</v>
      </c>
      <c r="D3941" s="326">
        <v>34.06</v>
      </c>
    </row>
    <row r="3942" spans="1:4" ht="13.5">
      <c r="A3942" s="37">
        <v>89646</v>
      </c>
      <c r="B3942" s="37" t="s">
        <v>15758</v>
      </c>
      <c r="C3942" s="37" t="s">
        <v>7</v>
      </c>
      <c r="D3942" s="326">
        <v>20.91</v>
      </c>
    </row>
    <row r="3943" spans="1:4" ht="13.5">
      <c r="A3943" s="37">
        <v>89647</v>
      </c>
      <c r="B3943" s="37" t="s">
        <v>15759</v>
      </c>
      <c r="C3943" s="37" t="s">
        <v>7</v>
      </c>
      <c r="D3943" s="326">
        <v>20.190000000000001</v>
      </c>
    </row>
    <row r="3944" spans="1:4" ht="13.5">
      <c r="A3944" s="37">
        <v>89648</v>
      </c>
      <c r="B3944" s="37" t="s">
        <v>15760</v>
      </c>
      <c r="C3944" s="37" t="s">
        <v>7</v>
      </c>
      <c r="D3944" s="326">
        <v>25.61</v>
      </c>
    </row>
    <row r="3945" spans="1:4" ht="13.5">
      <c r="A3945" s="37">
        <v>89649</v>
      </c>
      <c r="B3945" s="37" t="s">
        <v>15761</v>
      </c>
      <c r="C3945" s="37" t="s">
        <v>7</v>
      </c>
      <c r="D3945" s="326">
        <v>31.2</v>
      </c>
    </row>
    <row r="3946" spans="1:4" ht="13.5">
      <c r="A3946" s="37">
        <v>89650</v>
      </c>
      <c r="B3946" s="37" t="s">
        <v>15762</v>
      </c>
      <c r="C3946" s="37" t="s">
        <v>7</v>
      </c>
      <c r="D3946" s="326">
        <v>29.42</v>
      </c>
    </row>
    <row r="3947" spans="1:4" ht="13.5">
      <c r="A3947" s="37">
        <v>89651</v>
      </c>
      <c r="B3947" s="37" t="s">
        <v>15763</v>
      </c>
      <c r="C3947" s="37" t="s">
        <v>7</v>
      </c>
      <c r="D3947" s="326">
        <v>7.06</v>
      </c>
    </row>
    <row r="3948" spans="1:4" ht="13.5">
      <c r="A3948" s="37">
        <v>89652</v>
      </c>
      <c r="B3948" s="37" t="s">
        <v>15764</v>
      </c>
      <c r="C3948" s="37" t="s">
        <v>7</v>
      </c>
      <c r="D3948" s="326">
        <v>12.59</v>
      </c>
    </row>
    <row r="3949" spans="1:4" ht="13.5">
      <c r="A3949" s="37">
        <v>89653</v>
      </c>
      <c r="B3949" s="37" t="s">
        <v>15765</v>
      </c>
      <c r="C3949" s="37" t="s">
        <v>7</v>
      </c>
      <c r="D3949" s="326">
        <v>18.190000000000001</v>
      </c>
    </row>
    <row r="3950" spans="1:4" ht="13.5">
      <c r="A3950" s="37">
        <v>89654</v>
      </c>
      <c r="B3950" s="37" t="s">
        <v>15766</v>
      </c>
      <c r="C3950" s="37" t="s">
        <v>7</v>
      </c>
      <c r="D3950" s="326">
        <v>21.18</v>
      </c>
    </row>
    <row r="3951" spans="1:4" ht="13.5">
      <c r="A3951" s="37">
        <v>89655</v>
      </c>
      <c r="B3951" s="37" t="s">
        <v>15767</v>
      </c>
      <c r="C3951" s="37" t="s">
        <v>7</v>
      </c>
      <c r="D3951" s="326">
        <v>25.38</v>
      </c>
    </row>
    <row r="3952" spans="1:4" ht="13.5">
      <c r="A3952" s="37">
        <v>89656</v>
      </c>
      <c r="B3952" s="37" t="s">
        <v>15768</v>
      </c>
      <c r="C3952" s="37" t="s">
        <v>7</v>
      </c>
      <c r="D3952" s="326">
        <v>23.6</v>
      </c>
    </row>
    <row r="3953" spans="1:4" ht="13.5">
      <c r="A3953" s="37">
        <v>89657</v>
      </c>
      <c r="B3953" s="37" t="s">
        <v>15769</v>
      </c>
      <c r="C3953" s="37" t="s">
        <v>7</v>
      </c>
      <c r="D3953" s="326">
        <v>14.36</v>
      </c>
    </row>
    <row r="3954" spans="1:4" ht="13.5">
      <c r="A3954" s="37">
        <v>89658</v>
      </c>
      <c r="B3954" s="37" t="s">
        <v>15770</v>
      </c>
      <c r="C3954" s="37" t="s">
        <v>7</v>
      </c>
      <c r="D3954" s="326">
        <v>9.42</v>
      </c>
    </row>
    <row r="3955" spans="1:4" ht="13.5">
      <c r="A3955" s="37">
        <v>89659</v>
      </c>
      <c r="B3955" s="37" t="s">
        <v>15771</v>
      </c>
      <c r="C3955" s="37" t="s">
        <v>7</v>
      </c>
      <c r="D3955" s="326">
        <v>17.77</v>
      </c>
    </row>
    <row r="3956" spans="1:4" ht="13.5">
      <c r="A3956" s="37">
        <v>89660</v>
      </c>
      <c r="B3956" s="37" t="s">
        <v>15772</v>
      </c>
      <c r="C3956" s="37" t="s">
        <v>7</v>
      </c>
      <c r="D3956" s="326">
        <v>9.58</v>
      </c>
    </row>
    <row r="3957" spans="1:4" ht="13.5">
      <c r="A3957" s="37">
        <v>89661</v>
      </c>
      <c r="B3957" s="37" t="s">
        <v>15773</v>
      </c>
      <c r="C3957" s="37" t="s">
        <v>7</v>
      </c>
      <c r="D3957" s="326">
        <v>24.61</v>
      </c>
    </row>
    <row r="3958" spans="1:4" ht="13.5">
      <c r="A3958" s="37">
        <v>89662</v>
      </c>
      <c r="B3958" s="37" t="s">
        <v>15774</v>
      </c>
      <c r="C3958" s="37" t="s">
        <v>7</v>
      </c>
      <c r="D3958" s="326">
        <v>32.96</v>
      </c>
    </row>
    <row r="3959" spans="1:4" ht="13.5">
      <c r="A3959" s="37">
        <v>89663</v>
      </c>
      <c r="B3959" s="37" t="s">
        <v>15775</v>
      </c>
      <c r="C3959" s="37" t="s">
        <v>7</v>
      </c>
      <c r="D3959" s="326">
        <v>31.65</v>
      </c>
    </row>
    <row r="3960" spans="1:4" ht="13.5">
      <c r="A3960" s="37">
        <v>89664</v>
      </c>
      <c r="B3960" s="37" t="s">
        <v>15776</v>
      </c>
      <c r="C3960" s="37" t="s">
        <v>7</v>
      </c>
      <c r="D3960" s="326">
        <v>17.690000000000001</v>
      </c>
    </row>
    <row r="3961" spans="1:4" ht="13.5">
      <c r="A3961" s="37">
        <v>89666</v>
      </c>
      <c r="B3961" s="37" t="s">
        <v>15777</v>
      </c>
      <c r="C3961" s="37" t="s">
        <v>7</v>
      </c>
      <c r="D3961" s="326">
        <v>7.2</v>
      </c>
    </row>
    <row r="3962" spans="1:4" ht="13.5">
      <c r="A3962" s="37">
        <v>89667</v>
      </c>
      <c r="B3962" s="37" t="s">
        <v>15778</v>
      </c>
      <c r="C3962" s="37" t="s">
        <v>7</v>
      </c>
      <c r="D3962" s="326">
        <v>49.52</v>
      </c>
    </row>
    <row r="3963" spans="1:4" ht="13.5">
      <c r="A3963" s="37">
        <v>89668</v>
      </c>
      <c r="B3963" s="37" t="s">
        <v>15779</v>
      </c>
      <c r="C3963" s="37" t="s">
        <v>7</v>
      </c>
      <c r="D3963" s="326">
        <v>30.89</v>
      </c>
    </row>
    <row r="3964" spans="1:4" ht="13.5">
      <c r="A3964" s="37">
        <v>89669</v>
      </c>
      <c r="B3964" s="37" t="s">
        <v>15780</v>
      </c>
      <c r="C3964" s="37" t="s">
        <v>7</v>
      </c>
      <c r="D3964" s="326">
        <v>35.049999999999997</v>
      </c>
    </row>
    <row r="3965" spans="1:4" ht="13.5">
      <c r="A3965" s="37">
        <v>89670</v>
      </c>
      <c r="B3965" s="37" t="s">
        <v>15781</v>
      </c>
      <c r="C3965" s="37" t="s">
        <v>7</v>
      </c>
      <c r="D3965" s="326">
        <v>14.27</v>
      </c>
    </row>
    <row r="3966" spans="1:4" ht="13.5">
      <c r="A3966" s="37">
        <v>89671</v>
      </c>
      <c r="B3966" s="37" t="s">
        <v>15782</v>
      </c>
      <c r="C3966" s="37" t="s">
        <v>7</v>
      </c>
      <c r="D3966" s="326">
        <v>49.38</v>
      </c>
    </row>
    <row r="3967" spans="1:4" ht="13.5">
      <c r="A3967" s="37">
        <v>89672</v>
      </c>
      <c r="B3967" s="37" t="s">
        <v>15783</v>
      </c>
      <c r="C3967" s="37" t="s">
        <v>7</v>
      </c>
      <c r="D3967" s="326">
        <v>24.65</v>
      </c>
    </row>
    <row r="3968" spans="1:4" ht="13.5">
      <c r="A3968" s="37">
        <v>89673</v>
      </c>
      <c r="B3968" s="37" t="s">
        <v>15784</v>
      </c>
      <c r="C3968" s="37" t="s">
        <v>7</v>
      </c>
      <c r="D3968" s="326">
        <v>38.97</v>
      </c>
    </row>
    <row r="3969" spans="1:4" ht="13.5">
      <c r="A3969" s="37">
        <v>89674</v>
      </c>
      <c r="B3969" s="37" t="s">
        <v>15785</v>
      </c>
      <c r="C3969" s="37" t="s">
        <v>7</v>
      </c>
      <c r="D3969" s="326">
        <v>32.15</v>
      </c>
    </row>
    <row r="3970" spans="1:4" ht="13.5">
      <c r="A3970" s="37">
        <v>89675</v>
      </c>
      <c r="B3970" s="37" t="s">
        <v>15786</v>
      </c>
      <c r="C3970" s="37" t="s">
        <v>7</v>
      </c>
      <c r="D3970" s="326">
        <v>81.45</v>
      </c>
    </row>
    <row r="3971" spans="1:4" ht="13.5">
      <c r="A3971" s="37">
        <v>89676</v>
      </c>
      <c r="B3971" s="37" t="s">
        <v>15787</v>
      </c>
      <c r="C3971" s="37" t="s">
        <v>7</v>
      </c>
      <c r="D3971" s="326">
        <v>39</v>
      </c>
    </row>
    <row r="3972" spans="1:4" ht="13.5">
      <c r="A3972" s="37">
        <v>89677</v>
      </c>
      <c r="B3972" s="37" t="s">
        <v>15788</v>
      </c>
      <c r="C3972" s="37" t="s">
        <v>7</v>
      </c>
      <c r="D3972" s="326">
        <v>84.36</v>
      </c>
    </row>
    <row r="3973" spans="1:4" ht="13.5">
      <c r="A3973" s="37">
        <v>89678</v>
      </c>
      <c r="B3973" s="37" t="s">
        <v>15789</v>
      </c>
      <c r="C3973" s="37" t="s">
        <v>7</v>
      </c>
      <c r="D3973" s="326">
        <v>12.08</v>
      </c>
    </row>
    <row r="3974" spans="1:4" ht="13.5">
      <c r="A3974" s="37">
        <v>89679</v>
      </c>
      <c r="B3974" s="37" t="s">
        <v>15790</v>
      </c>
      <c r="C3974" s="37" t="s">
        <v>7</v>
      </c>
      <c r="D3974" s="326">
        <v>138.68</v>
      </c>
    </row>
    <row r="3975" spans="1:4" ht="13.5">
      <c r="A3975" s="37">
        <v>89680</v>
      </c>
      <c r="B3975" s="37" t="s">
        <v>15791</v>
      </c>
      <c r="C3975" s="37" t="s">
        <v>7</v>
      </c>
      <c r="D3975" s="326">
        <v>23.17</v>
      </c>
    </row>
    <row r="3976" spans="1:4" ht="13.5">
      <c r="A3976" s="37">
        <v>89681</v>
      </c>
      <c r="B3976" s="37" t="s">
        <v>15792</v>
      </c>
      <c r="C3976" s="37" t="s">
        <v>7</v>
      </c>
      <c r="D3976" s="326">
        <v>100.9</v>
      </c>
    </row>
    <row r="3977" spans="1:4" ht="13.5">
      <c r="A3977" s="37">
        <v>89682</v>
      </c>
      <c r="B3977" s="37" t="s">
        <v>15793</v>
      </c>
      <c r="C3977" s="37" t="s">
        <v>7</v>
      </c>
      <c r="D3977" s="326">
        <v>32.96</v>
      </c>
    </row>
    <row r="3978" spans="1:4" ht="13.5">
      <c r="A3978" s="37">
        <v>89683</v>
      </c>
      <c r="B3978" s="37" t="s">
        <v>15794</v>
      </c>
      <c r="C3978" s="37" t="s">
        <v>7</v>
      </c>
      <c r="D3978" s="326">
        <v>328.91</v>
      </c>
    </row>
    <row r="3979" spans="1:4" ht="13.5">
      <c r="A3979" s="37">
        <v>89684</v>
      </c>
      <c r="B3979" s="37" t="s">
        <v>15795</v>
      </c>
      <c r="C3979" s="37" t="s">
        <v>7</v>
      </c>
      <c r="D3979" s="326">
        <v>46.98</v>
      </c>
    </row>
    <row r="3980" spans="1:4" ht="13.5">
      <c r="A3980" s="37">
        <v>89685</v>
      </c>
      <c r="B3980" s="37" t="s">
        <v>15796</v>
      </c>
      <c r="C3980" s="37" t="s">
        <v>7</v>
      </c>
      <c r="D3980" s="326">
        <v>68.06</v>
      </c>
    </row>
    <row r="3981" spans="1:4" ht="13.5">
      <c r="A3981" s="37">
        <v>89686</v>
      </c>
      <c r="B3981" s="37" t="s">
        <v>15797</v>
      </c>
      <c r="C3981" s="37" t="s">
        <v>7</v>
      </c>
      <c r="D3981" s="326">
        <v>59.94</v>
      </c>
    </row>
    <row r="3982" spans="1:4" ht="13.5">
      <c r="A3982" s="37">
        <v>89687</v>
      </c>
      <c r="B3982" s="37" t="s">
        <v>15798</v>
      </c>
      <c r="C3982" s="37" t="s">
        <v>7</v>
      </c>
      <c r="D3982" s="326">
        <v>57.89</v>
      </c>
    </row>
    <row r="3983" spans="1:4" ht="13.5">
      <c r="A3983" s="37">
        <v>89689</v>
      </c>
      <c r="B3983" s="37" t="s">
        <v>15799</v>
      </c>
      <c r="C3983" s="37" t="s">
        <v>7</v>
      </c>
      <c r="D3983" s="326">
        <v>39.659999999999997</v>
      </c>
    </row>
    <row r="3984" spans="1:4" ht="13.5">
      <c r="A3984" s="37">
        <v>89690</v>
      </c>
      <c r="B3984" s="37" t="s">
        <v>15800</v>
      </c>
      <c r="C3984" s="37" t="s">
        <v>7</v>
      </c>
      <c r="D3984" s="326">
        <v>99.55</v>
      </c>
    </row>
    <row r="3985" spans="1:4" ht="13.5">
      <c r="A3985" s="37">
        <v>89691</v>
      </c>
      <c r="B3985" s="37" t="s">
        <v>15801</v>
      </c>
      <c r="C3985" s="37" t="s">
        <v>7</v>
      </c>
      <c r="D3985" s="326">
        <v>13.48</v>
      </c>
    </row>
    <row r="3986" spans="1:4" ht="13.5">
      <c r="A3986" s="37">
        <v>89692</v>
      </c>
      <c r="B3986" s="37" t="s">
        <v>15802</v>
      </c>
      <c r="C3986" s="37" t="s">
        <v>7</v>
      </c>
      <c r="D3986" s="326">
        <v>114.75</v>
      </c>
    </row>
    <row r="3987" spans="1:4" ht="13.5">
      <c r="A3987" s="37">
        <v>89693</v>
      </c>
      <c r="B3987" s="37" t="s">
        <v>15803</v>
      </c>
      <c r="C3987" s="37" t="s">
        <v>7</v>
      </c>
      <c r="D3987" s="326">
        <v>86.74</v>
      </c>
    </row>
    <row r="3988" spans="1:4" ht="13.5">
      <c r="A3988" s="37">
        <v>89694</v>
      </c>
      <c r="B3988" s="37" t="s">
        <v>15804</v>
      </c>
      <c r="C3988" s="37" t="s">
        <v>7</v>
      </c>
      <c r="D3988" s="326">
        <v>20.57</v>
      </c>
    </row>
    <row r="3989" spans="1:4" ht="13.5">
      <c r="A3989" s="37">
        <v>89695</v>
      </c>
      <c r="B3989" s="37" t="s">
        <v>15805</v>
      </c>
      <c r="C3989" s="37" t="s">
        <v>7</v>
      </c>
      <c r="D3989" s="326">
        <v>17.3</v>
      </c>
    </row>
    <row r="3990" spans="1:4" ht="13.5">
      <c r="A3990" s="37">
        <v>89696</v>
      </c>
      <c r="B3990" s="37" t="s">
        <v>15806</v>
      </c>
      <c r="C3990" s="37" t="s">
        <v>7</v>
      </c>
      <c r="D3990" s="326">
        <v>94.02</v>
      </c>
    </row>
    <row r="3991" spans="1:4" ht="13.5">
      <c r="A3991" s="37">
        <v>89697</v>
      </c>
      <c r="B3991" s="37" t="s">
        <v>15807</v>
      </c>
      <c r="C3991" s="37" t="s">
        <v>7</v>
      </c>
      <c r="D3991" s="326">
        <v>17.600000000000001</v>
      </c>
    </row>
    <row r="3992" spans="1:4" ht="13.5">
      <c r="A3992" s="37">
        <v>89698</v>
      </c>
      <c r="B3992" s="37" t="s">
        <v>15808</v>
      </c>
      <c r="C3992" s="37" t="s">
        <v>7</v>
      </c>
      <c r="D3992" s="326">
        <v>301.75</v>
      </c>
    </row>
    <row r="3993" spans="1:4" ht="13.5">
      <c r="A3993" s="37">
        <v>89699</v>
      </c>
      <c r="B3993" s="37" t="s">
        <v>15809</v>
      </c>
      <c r="C3993" s="37" t="s">
        <v>7</v>
      </c>
      <c r="D3993" s="326">
        <v>226.71</v>
      </c>
    </row>
    <row r="3994" spans="1:4" ht="13.5">
      <c r="A3994" s="37">
        <v>89700</v>
      </c>
      <c r="B3994" s="37" t="s">
        <v>15810</v>
      </c>
      <c r="C3994" s="37" t="s">
        <v>7</v>
      </c>
      <c r="D3994" s="326">
        <v>23.51</v>
      </c>
    </row>
    <row r="3995" spans="1:4" ht="13.5">
      <c r="A3995" s="37">
        <v>89701</v>
      </c>
      <c r="B3995" s="37" t="s">
        <v>15811</v>
      </c>
      <c r="C3995" s="37" t="s">
        <v>7</v>
      </c>
      <c r="D3995" s="326">
        <v>219.51</v>
      </c>
    </row>
    <row r="3996" spans="1:4" ht="13.5">
      <c r="A3996" s="37">
        <v>89702</v>
      </c>
      <c r="B3996" s="37" t="s">
        <v>15812</v>
      </c>
      <c r="C3996" s="37" t="s">
        <v>7</v>
      </c>
      <c r="D3996" s="326">
        <v>22.24</v>
      </c>
    </row>
    <row r="3997" spans="1:4" ht="13.5">
      <c r="A3997" s="37">
        <v>89703</v>
      </c>
      <c r="B3997" s="37" t="s">
        <v>15813</v>
      </c>
      <c r="C3997" s="37" t="s">
        <v>7</v>
      </c>
      <c r="D3997" s="326">
        <v>50.27</v>
      </c>
    </row>
    <row r="3998" spans="1:4" ht="13.5">
      <c r="A3998" s="37">
        <v>89704</v>
      </c>
      <c r="B3998" s="37" t="s">
        <v>15814</v>
      </c>
      <c r="C3998" s="37" t="s">
        <v>7</v>
      </c>
      <c r="D3998" s="326">
        <v>168.74</v>
      </c>
    </row>
    <row r="3999" spans="1:4" ht="13.5">
      <c r="A3999" s="37">
        <v>89705</v>
      </c>
      <c r="B3999" s="37" t="s">
        <v>15815</v>
      </c>
      <c r="C3999" s="37" t="s">
        <v>7</v>
      </c>
      <c r="D3999" s="326">
        <v>25.77</v>
      </c>
    </row>
    <row r="4000" spans="1:4" ht="13.5">
      <c r="A4000" s="37">
        <v>89706</v>
      </c>
      <c r="B4000" s="37" t="s">
        <v>15816</v>
      </c>
      <c r="C4000" s="37" t="s">
        <v>7</v>
      </c>
      <c r="D4000" s="326">
        <v>58.82</v>
      </c>
    </row>
    <row r="4001" spans="1:4" ht="13.5">
      <c r="A4001" s="37">
        <v>89718</v>
      </c>
      <c r="B4001" s="37" t="s">
        <v>15817</v>
      </c>
      <c r="C4001" s="37" t="s">
        <v>6</v>
      </c>
      <c r="D4001" s="326">
        <v>57.55</v>
      </c>
    </row>
    <row r="4002" spans="1:4" ht="13.5">
      <c r="A4002" s="37">
        <v>89719</v>
      </c>
      <c r="B4002" s="37" t="s">
        <v>15818</v>
      </c>
      <c r="C4002" s="37" t="s">
        <v>7</v>
      </c>
      <c r="D4002" s="326">
        <v>12.93</v>
      </c>
    </row>
    <row r="4003" spans="1:4" ht="13.5">
      <c r="A4003" s="37">
        <v>89720</v>
      </c>
      <c r="B4003" s="37" t="s">
        <v>15819</v>
      </c>
      <c r="C4003" s="37" t="s">
        <v>7</v>
      </c>
      <c r="D4003" s="326">
        <v>14.67</v>
      </c>
    </row>
    <row r="4004" spans="1:4" ht="13.5">
      <c r="A4004" s="37">
        <v>89721</v>
      </c>
      <c r="B4004" s="37" t="s">
        <v>15820</v>
      </c>
      <c r="C4004" s="37" t="s">
        <v>7</v>
      </c>
      <c r="D4004" s="326">
        <v>16.059999999999999</v>
      </c>
    </row>
    <row r="4005" spans="1:4" ht="13.5">
      <c r="A4005" s="37">
        <v>89723</v>
      </c>
      <c r="B4005" s="37" t="s">
        <v>15821</v>
      </c>
      <c r="C4005" s="37" t="s">
        <v>7</v>
      </c>
      <c r="D4005" s="326">
        <v>20.14</v>
      </c>
    </row>
    <row r="4006" spans="1:4" ht="13.5">
      <c r="A4006" s="37">
        <v>89724</v>
      </c>
      <c r="B4006" s="37" t="s">
        <v>15822</v>
      </c>
      <c r="C4006" s="37" t="s">
        <v>7</v>
      </c>
      <c r="D4006" s="326">
        <v>9.98</v>
      </c>
    </row>
    <row r="4007" spans="1:4" ht="13.5">
      <c r="A4007" s="37">
        <v>89725</v>
      </c>
      <c r="B4007" s="37" t="s">
        <v>15823</v>
      </c>
      <c r="C4007" s="37" t="s">
        <v>7</v>
      </c>
      <c r="D4007" s="326">
        <v>19.420000000000002</v>
      </c>
    </row>
    <row r="4008" spans="1:4" ht="13.5">
      <c r="A4008" s="37">
        <v>89726</v>
      </c>
      <c r="B4008" s="37" t="s">
        <v>15824</v>
      </c>
      <c r="C4008" s="37" t="s">
        <v>7</v>
      </c>
      <c r="D4008" s="326">
        <v>10.26</v>
      </c>
    </row>
    <row r="4009" spans="1:4" ht="13.5">
      <c r="A4009" s="37">
        <v>89727</v>
      </c>
      <c r="B4009" s="37" t="s">
        <v>15825</v>
      </c>
      <c r="C4009" s="37" t="s">
        <v>7</v>
      </c>
      <c r="D4009" s="326">
        <v>24.84</v>
      </c>
    </row>
    <row r="4010" spans="1:4" ht="13.5">
      <c r="A4010" s="37">
        <v>89728</v>
      </c>
      <c r="B4010" s="37" t="s">
        <v>15826</v>
      </c>
      <c r="C4010" s="37" t="s">
        <v>7</v>
      </c>
      <c r="D4010" s="326">
        <v>13.56</v>
      </c>
    </row>
    <row r="4011" spans="1:4" ht="13.5">
      <c r="A4011" s="37">
        <v>89729</v>
      </c>
      <c r="B4011" s="37" t="s">
        <v>15827</v>
      </c>
      <c r="C4011" s="37" t="s">
        <v>7</v>
      </c>
      <c r="D4011" s="326">
        <v>30.3</v>
      </c>
    </row>
    <row r="4012" spans="1:4" ht="13.5">
      <c r="A4012" s="37">
        <v>89730</v>
      </c>
      <c r="B4012" s="37" t="s">
        <v>15828</v>
      </c>
      <c r="C4012" s="37" t="s">
        <v>7</v>
      </c>
      <c r="D4012" s="326">
        <v>15.9</v>
      </c>
    </row>
    <row r="4013" spans="1:4" ht="13.5">
      <c r="A4013" s="37">
        <v>89731</v>
      </c>
      <c r="B4013" s="37" t="s">
        <v>15829</v>
      </c>
      <c r="C4013" s="37" t="s">
        <v>7</v>
      </c>
      <c r="D4013" s="326">
        <v>15.1</v>
      </c>
    </row>
    <row r="4014" spans="1:4" ht="13.5">
      <c r="A4014" s="37">
        <v>89732</v>
      </c>
      <c r="B4014" s="37" t="s">
        <v>15830</v>
      </c>
      <c r="C4014" s="37" t="s">
        <v>7</v>
      </c>
      <c r="D4014" s="326">
        <v>15.99</v>
      </c>
    </row>
    <row r="4015" spans="1:4" ht="13.5">
      <c r="A4015" s="37">
        <v>89733</v>
      </c>
      <c r="B4015" s="37" t="s">
        <v>15831</v>
      </c>
      <c r="C4015" s="37" t="s">
        <v>7</v>
      </c>
      <c r="D4015" s="326">
        <v>25.48</v>
      </c>
    </row>
    <row r="4016" spans="1:4" ht="13.5">
      <c r="A4016" s="37">
        <v>89734</v>
      </c>
      <c r="B4016" s="37" t="s">
        <v>15832</v>
      </c>
      <c r="C4016" s="37" t="s">
        <v>7</v>
      </c>
      <c r="D4016" s="326">
        <v>28.52</v>
      </c>
    </row>
    <row r="4017" spans="1:4" ht="13.5">
      <c r="A4017" s="37">
        <v>89735</v>
      </c>
      <c r="B4017" s="37" t="s">
        <v>15833</v>
      </c>
      <c r="C4017" s="37" t="s">
        <v>7</v>
      </c>
      <c r="D4017" s="326">
        <v>28.16</v>
      </c>
    </row>
    <row r="4018" spans="1:4" ht="13.5">
      <c r="A4018" s="37">
        <v>89736</v>
      </c>
      <c r="B4018" s="37" t="s">
        <v>15834</v>
      </c>
      <c r="C4018" s="37" t="s">
        <v>7</v>
      </c>
      <c r="D4018" s="326">
        <v>8.98</v>
      </c>
    </row>
    <row r="4019" spans="1:4" ht="13.5">
      <c r="A4019" s="37">
        <v>89737</v>
      </c>
      <c r="B4019" s="37" t="s">
        <v>15835</v>
      </c>
      <c r="C4019" s="37" t="s">
        <v>7</v>
      </c>
      <c r="D4019" s="326">
        <v>23.62</v>
      </c>
    </row>
    <row r="4020" spans="1:4" ht="13.5">
      <c r="A4020" s="37">
        <v>89738</v>
      </c>
      <c r="B4020" s="37" t="s">
        <v>3936</v>
      </c>
      <c r="C4020" s="37" t="s">
        <v>7</v>
      </c>
      <c r="D4020" s="326">
        <v>17.329999999999998</v>
      </c>
    </row>
    <row r="4021" spans="1:4" ht="13.5">
      <c r="A4021" s="37">
        <v>89739</v>
      </c>
      <c r="B4021" s="37" t="s">
        <v>15836</v>
      </c>
      <c r="C4021" s="37" t="s">
        <v>7</v>
      </c>
      <c r="D4021" s="326">
        <v>24.82</v>
      </c>
    </row>
    <row r="4022" spans="1:4" ht="13.5">
      <c r="A4022" s="37">
        <v>89740</v>
      </c>
      <c r="B4022" s="37" t="s">
        <v>15837</v>
      </c>
      <c r="C4022" s="37" t="s">
        <v>7</v>
      </c>
      <c r="D4022" s="326">
        <v>9.1199999999999992</v>
      </c>
    </row>
    <row r="4023" spans="1:4" ht="13.5">
      <c r="A4023" s="37">
        <v>89741</v>
      </c>
      <c r="B4023" s="37" t="s">
        <v>15838</v>
      </c>
      <c r="C4023" s="37" t="s">
        <v>7</v>
      </c>
      <c r="D4023" s="326">
        <v>24.17</v>
      </c>
    </row>
    <row r="4024" spans="1:4" ht="13.5">
      <c r="A4024" s="37">
        <v>89742</v>
      </c>
      <c r="B4024" s="37" t="s">
        <v>15839</v>
      </c>
      <c r="C4024" s="37" t="s">
        <v>7</v>
      </c>
      <c r="D4024" s="326">
        <v>44.58</v>
      </c>
    </row>
    <row r="4025" spans="1:4" ht="13.5">
      <c r="A4025" s="37">
        <v>89743</v>
      </c>
      <c r="B4025" s="37" t="s">
        <v>15840</v>
      </c>
      <c r="C4025" s="37" t="s">
        <v>7</v>
      </c>
      <c r="D4025" s="326">
        <v>69.86</v>
      </c>
    </row>
    <row r="4026" spans="1:4" ht="13.5">
      <c r="A4026" s="37">
        <v>89744</v>
      </c>
      <c r="B4026" s="37" t="s">
        <v>15841</v>
      </c>
      <c r="C4026" s="37" t="s">
        <v>7</v>
      </c>
      <c r="D4026" s="326">
        <v>28.75</v>
      </c>
    </row>
    <row r="4027" spans="1:4" ht="13.5">
      <c r="A4027" s="37">
        <v>89746</v>
      </c>
      <c r="B4027" s="37" t="s">
        <v>15842</v>
      </c>
      <c r="C4027" s="37" t="s">
        <v>7</v>
      </c>
      <c r="D4027" s="326">
        <v>29.78</v>
      </c>
    </row>
    <row r="4028" spans="1:4" ht="13.5">
      <c r="A4028" s="37">
        <v>89747</v>
      </c>
      <c r="B4028" s="37" t="s">
        <v>15843</v>
      </c>
      <c r="C4028" s="37" t="s">
        <v>7</v>
      </c>
      <c r="D4028" s="326">
        <v>31.21</v>
      </c>
    </row>
    <row r="4029" spans="1:4" ht="13.5">
      <c r="A4029" s="37">
        <v>89748</v>
      </c>
      <c r="B4029" s="37" t="s">
        <v>15844</v>
      </c>
      <c r="C4029" s="37" t="s">
        <v>7</v>
      </c>
      <c r="D4029" s="326">
        <v>47.23</v>
      </c>
    </row>
    <row r="4030" spans="1:4" ht="13.5">
      <c r="A4030" s="37">
        <v>89749</v>
      </c>
      <c r="B4030" s="37" t="s">
        <v>15845</v>
      </c>
      <c r="C4030" s="37" t="s">
        <v>7</v>
      </c>
      <c r="D4030" s="326">
        <v>17.25</v>
      </c>
    </row>
    <row r="4031" spans="1:4" ht="13.5">
      <c r="A4031" s="37">
        <v>89750</v>
      </c>
      <c r="B4031" s="37" t="s">
        <v>15846</v>
      </c>
      <c r="C4031" s="37" t="s">
        <v>7</v>
      </c>
      <c r="D4031" s="326">
        <v>90.26</v>
      </c>
    </row>
    <row r="4032" spans="1:4" ht="13.5">
      <c r="A4032" s="37">
        <v>89752</v>
      </c>
      <c r="B4032" s="37" t="s">
        <v>15847</v>
      </c>
      <c r="C4032" s="37" t="s">
        <v>7</v>
      </c>
      <c r="D4032" s="326">
        <v>7.48</v>
      </c>
    </row>
    <row r="4033" spans="1:4" ht="13.5">
      <c r="A4033" s="37">
        <v>89753</v>
      </c>
      <c r="B4033" s="37" t="s">
        <v>15848</v>
      </c>
      <c r="C4033" s="37" t="s">
        <v>7</v>
      </c>
      <c r="D4033" s="326">
        <v>9.52</v>
      </c>
    </row>
    <row r="4034" spans="1:4" ht="13.5">
      <c r="A4034" s="37">
        <v>89754</v>
      </c>
      <c r="B4034" s="37" t="s">
        <v>15849</v>
      </c>
      <c r="C4034" s="37" t="s">
        <v>7</v>
      </c>
      <c r="D4034" s="326">
        <v>23.14</v>
      </c>
    </row>
    <row r="4035" spans="1:4" ht="13.5">
      <c r="A4035" s="37">
        <v>89755</v>
      </c>
      <c r="B4035" s="37" t="s">
        <v>15850</v>
      </c>
      <c r="C4035" s="37" t="s">
        <v>7</v>
      </c>
      <c r="D4035" s="326">
        <v>13.76</v>
      </c>
    </row>
    <row r="4036" spans="1:4" ht="13.5">
      <c r="A4036" s="37">
        <v>89756</v>
      </c>
      <c r="B4036" s="37" t="s">
        <v>15851</v>
      </c>
      <c r="C4036" s="37" t="s">
        <v>7</v>
      </c>
      <c r="D4036" s="326">
        <v>24.14</v>
      </c>
    </row>
    <row r="4037" spans="1:4" ht="13.5">
      <c r="A4037" s="37">
        <v>89757</v>
      </c>
      <c r="B4037" s="37" t="s">
        <v>15852</v>
      </c>
      <c r="C4037" s="37" t="s">
        <v>7</v>
      </c>
      <c r="D4037" s="326">
        <v>31.64</v>
      </c>
    </row>
    <row r="4038" spans="1:4" ht="13.5">
      <c r="A4038" s="37">
        <v>89758</v>
      </c>
      <c r="B4038" s="37" t="s">
        <v>15853</v>
      </c>
      <c r="C4038" s="37" t="s">
        <v>7</v>
      </c>
      <c r="D4038" s="326">
        <v>38.96</v>
      </c>
    </row>
    <row r="4039" spans="1:4" ht="13.5">
      <c r="A4039" s="37">
        <v>89759</v>
      </c>
      <c r="B4039" s="37" t="s">
        <v>15854</v>
      </c>
      <c r="C4039" s="37" t="s">
        <v>7</v>
      </c>
      <c r="D4039" s="326">
        <v>11.59</v>
      </c>
    </row>
    <row r="4040" spans="1:4" ht="13.5">
      <c r="A4040" s="37">
        <v>89760</v>
      </c>
      <c r="B4040" s="37" t="s">
        <v>15855</v>
      </c>
      <c r="C4040" s="37" t="s">
        <v>7</v>
      </c>
      <c r="D4040" s="326">
        <v>22.57</v>
      </c>
    </row>
    <row r="4041" spans="1:4" ht="13.5">
      <c r="A4041" s="37">
        <v>89761</v>
      </c>
      <c r="B4041" s="37" t="s">
        <v>15856</v>
      </c>
      <c r="C4041" s="37" t="s">
        <v>7</v>
      </c>
      <c r="D4041" s="326">
        <v>32.36</v>
      </c>
    </row>
    <row r="4042" spans="1:4" ht="13.5">
      <c r="A4042" s="37">
        <v>89762</v>
      </c>
      <c r="B4042" s="37" t="s">
        <v>15857</v>
      </c>
      <c r="C4042" s="37" t="s">
        <v>7</v>
      </c>
      <c r="D4042" s="326">
        <v>46.38</v>
      </c>
    </row>
    <row r="4043" spans="1:4" ht="13.5">
      <c r="A4043" s="37">
        <v>89763</v>
      </c>
      <c r="B4043" s="37" t="s">
        <v>15858</v>
      </c>
      <c r="C4043" s="37" t="s">
        <v>7</v>
      </c>
      <c r="D4043" s="326">
        <v>59.35</v>
      </c>
    </row>
    <row r="4044" spans="1:4" ht="13.5">
      <c r="A4044" s="37">
        <v>89764</v>
      </c>
      <c r="B4044" s="37" t="s">
        <v>15859</v>
      </c>
      <c r="C4044" s="37" t="s">
        <v>7</v>
      </c>
      <c r="D4044" s="326">
        <v>39.11</v>
      </c>
    </row>
    <row r="4045" spans="1:4" ht="13.5">
      <c r="A4045" s="37">
        <v>89765</v>
      </c>
      <c r="B4045" s="37" t="s">
        <v>15860</v>
      </c>
      <c r="C4045" s="37" t="s">
        <v>7</v>
      </c>
      <c r="D4045" s="326">
        <v>16.72</v>
      </c>
    </row>
    <row r="4046" spans="1:4" ht="13.5">
      <c r="A4046" s="37">
        <v>89767</v>
      </c>
      <c r="B4046" s="37" t="s">
        <v>15861</v>
      </c>
      <c r="C4046" s="37" t="s">
        <v>7</v>
      </c>
      <c r="D4046" s="326">
        <v>21.36</v>
      </c>
    </row>
    <row r="4047" spans="1:4" ht="13.5">
      <c r="A4047" s="37">
        <v>89768</v>
      </c>
      <c r="B4047" s="37" t="s">
        <v>15862</v>
      </c>
      <c r="C4047" s="37" t="s">
        <v>7</v>
      </c>
      <c r="D4047" s="326">
        <v>24.74</v>
      </c>
    </row>
    <row r="4048" spans="1:4" ht="13.5">
      <c r="A4048" s="37">
        <v>89769</v>
      </c>
      <c r="B4048" s="37" t="s">
        <v>15863</v>
      </c>
      <c r="C4048" s="37" t="s">
        <v>7</v>
      </c>
      <c r="D4048" s="326">
        <v>57.62</v>
      </c>
    </row>
    <row r="4049" spans="1:4" ht="13.5">
      <c r="A4049" s="37">
        <v>89772</v>
      </c>
      <c r="B4049" s="37" t="s">
        <v>15864</v>
      </c>
      <c r="C4049" s="37" t="s">
        <v>6</v>
      </c>
      <c r="D4049" s="326">
        <v>96.84</v>
      </c>
    </row>
    <row r="4050" spans="1:4" ht="13.5">
      <c r="A4050" s="37">
        <v>89774</v>
      </c>
      <c r="B4050" s="37" t="s">
        <v>15865</v>
      </c>
      <c r="C4050" s="37" t="s">
        <v>7</v>
      </c>
      <c r="D4050" s="326">
        <v>16.28</v>
      </c>
    </row>
    <row r="4051" spans="1:4" ht="13.5">
      <c r="A4051" s="37">
        <v>89776</v>
      </c>
      <c r="B4051" s="37" t="s">
        <v>15866</v>
      </c>
      <c r="C4051" s="37" t="s">
        <v>7</v>
      </c>
      <c r="D4051" s="326">
        <v>28.01</v>
      </c>
    </row>
    <row r="4052" spans="1:4" ht="13.5">
      <c r="A4052" s="37">
        <v>89777</v>
      </c>
      <c r="B4052" s="37" t="s">
        <v>15867</v>
      </c>
      <c r="C4052" s="37" t="s">
        <v>7</v>
      </c>
      <c r="D4052" s="326">
        <v>26.74</v>
      </c>
    </row>
    <row r="4053" spans="1:4" ht="13.5">
      <c r="A4053" s="37">
        <v>89778</v>
      </c>
      <c r="B4053" s="37" t="s">
        <v>15868</v>
      </c>
      <c r="C4053" s="37" t="s">
        <v>7</v>
      </c>
      <c r="D4053" s="326">
        <v>18.350000000000001</v>
      </c>
    </row>
    <row r="4054" spans="1:4" ht="13.5">
      <c r="A4054" s="37">
        <v>89779</v>
      </c>
      <c r="B4054" s="37" t="s">
        <v>15869</v>
      </c>
      <c r="C4054" s="37" t="s">
        <v>7</v>
      </c>
      <c r="D4054" s="326">
        <v>38.39</v>
      </c>
    </row>
    <row r="4055" spans="1:4" ht="13.5">
      <c r="A4055" s="37">
        <v>89780</v>
      </c>
      <c r="B4055" s="37" t="s">
        <v>15870</v>
      </c>
      <c r="C4055" s="37" t="s">
        <v>7</v>
      </c>
      <c r="D4055" s="326">
        <v>24.96</v>
      </c>
    </row>
    <row r="4056" spans="1:4" ht="13.5">
      <c r="A4056" s="37">
        <v>89781</v>
      </c>
      <c r="B4056" s="37" t="s">
        <v>15871</v>
      </c>
      <c r="C4056" s="37" t="s">
        <v>7</v>
      </c>
      <c r="D4056" s="326">
        <v>38.15</v>
      </c>
    </row>
    <row r="4057" spans="1:4" ht="13.5">
      <c r="A4057" s="37">
        <v>89782</v>
      </c>
      <c r="B4057" s="37" t="s">
        <v>15872</v>
      </c>
      <c r="C4057" s="37" t="s">
        <v>7</v>
      </c>
      <c r="D4057" s="326">
        <v>14.69</v>
      </c>
    </row>
    <row r="4058" spans="1:4" ht="13.5">
      <c r="A4058" s="37">
        <v>89783</v>
      </c>
      <c r="B4058" s="37" t="s">
        <v>15873</v>
      </c>
      <c r="C4058" s="37" t="s">
        <v>7</v>
      </c>
      <c r="D4058" s="326">
        <v>14.81</v>
      </c>
    </row>
    <row r="4059" spans="1:4" ht="13.5">
      <c r="A4059" s="37">
        <v>89784</v>
      </c>
      <c r="B4059" s="37" t="s">
        <v>15874</v>
      </c>
      <c r="C4059" s="37" t="s">
        <v>7</v>
      </c>
      <c r="D4059" s="326">
        <v>25.24</v>
      </c>
    </row>
    <row r="4060" spans="1:4" ht="13.5">
      <c r="A4060" s="37">
        <v>89785</v>
      </c>
      <c r="B4060" s="37" t="s">
        <v>15875</v>
      </c>
      <c r="C4060" s="37" t="s">
        <v>7</v>
      </c>
      <c r="D4060" s="326">
        <v>28.12</v>
      </c>
    </row>
    <row r="4061" spans="1:4" ht="13.5">
      <c r="A4061" s="37">
        <v>89786</v>
      </c>
      <c r="B4061" s="37" t="s">
        <v>15876</v>
      </c>
      <c r="C4061" s="37" t="s">
        <v>7</v>
      </c>
      <c r="D4061" s="326">
        <v>41.81</v>
      </c>
    </row>
    <row r="4062" spans="1:4" ht="13.5">
      <c r="A4062" s="37">
        <v>89787</v>
      </c>
      <c r="B4062" s="37" t="s">
        <v>15877</v>
      </c>
      <c r="C4062" s="37" t="s">
        <v>7</v>
      </c>
      <c r="D4062" s="326">
        <v>37.71</v>
      </c>
    </row>
    <row r="4063" spans="1:4" ht="13.5">
      <c r="A4063" s="37">
        <v>89788</v>
      </c>
      <c r="B4063" s="37" t="s">
        <v>15878</v>
      </c>
      <c r="C4063" s="37" t="s">
        <v>7</v>
      </c>
      <c r="D4063" s="326">
        <v>84.1</v>
      </c>
    </row>
    <row r="4064" spans="1:4" ht="13.5">
      <c r="A4064" s="37">
        <v>89789</v>
      </c>
      <c r="B4064" s="37" t="s">
        <v>15879</v>
      </c>
      <c r="C4064" s="37" t="s">
        <v>7</v>
      </c>
      <c r="D4064" s="326">
        <v>71.11</v>
      </c>
    </row>
    <row r="4065" spans="1:4" ht="13.5">
      <c r="A4065" s="37">
        <v>89790</v>
      </c>
      <c r="B4065" s="37" t="s">
        <v>15880</v>
      </c>
      <c r="C4065" s="37" t="s">
        <v>7</v>
      </c>
      <c r="D4065" s="326">
        <v>169.32</v>
      </c>
    </row>
    <row r="4066" spans="1:4" ht="13.5">
      <c r="A4066" s="37">
        <v>89791</v>
      </c>
      <c r="B4066" s="37" t="s">
        <v>15881</v>
      </c>
      <c r="C4066" s="37" t="s">
        <v>7</v>
      </c>
      <c r="D4066" s="326">
        <v>163.44999999999999</v>
      </c>
    </row>
    <row r="4067" spans="1:4" ht="13.5">
      <c r="A4067" s="37">
        <v>89792</v>
      </c>
      <c r="B4067" s="37" t="s">
        <v>15882</v>
      </c>
      <c r="C4067" s="37" t="s">
        <v>7</v>
      </c>
      <c r="D4067" s="326">
        <v>199.76</v>
      </c>
    </row>
    <row r="4068" spans="1:4" ht="13.5">
      <c r="A4068" s="37">
        <v>89793</v>
      </c>
      <c r="B4068" s="37" t="s">
        <v>15883</v>
      </c>
      <c r="C4068" s="37" t="s">
        <v>7</v>
      </c>
      <c r="D4068" s="326">
        <v>236.3</v>
      </c>
    </row>
    <row r="4069" spans="1:4" ht="13.5">
      <c r="A4069" s="37">
        <v>89794</v>
      </c>
      <c r="B4069" s="37" t="s">
        <v>15884</v>
      </c>
      <c r="C4069" s="37" t="s">
        <v>7</v>
      </c>
      <c r="D4069" s="326">
        <v>20.21</v>
      </c>
    </row>
    <row r="4070" spans="1:4" ht="13.5">
      <c r="A4070" s="37">
        <v>89795</v>
      </c>
      <c r="B4070" s="37" t="s">
        <v>15885</v>
      </c>
      <c r="C4070" s="37" t="s">
        <v>7</v>
      </c>
      <c r="D4070" s="326">
        <v>44.36</v>
      </c>
    </row>
    <row r="4071" spans="1:4" ht="13.5">
      <c r="A4071" s="37">
        <v>89796</v>
      </c>
      <c r="B4071" s="37" t="s">
        <v>15886</v>
      </c>
      <c r="C4071" s="37" t="s">
        <v>7</v>
      </c>
      <c r="D4071" s="326">
        <v>46.05</v>
      </c>
    </row>
    <row r="4072" spans="1:4" ht="13.5">
      <c r="A4072" s="37">
        <v>89797</v>
      </c>
      <c r="B4072" s="37" t="s">
        <v>15887</v>
      </c>
      <c r="C4072" s="37" t="s">
        <v>7</v>
      </c>
      <c r="D4072" s="326">
        <v>55.93</v>
      </c>
    </row>
    <row r="4073" spans="1:4" ht="13.5">
      <c r="A4073" s="37">
        <v>89801</v>
      </c>
      <c r="B4073" s="37" t="s">
        <v>15888</v>
      </c>
      <c r="C4073" s="37" t="s">
        <v>7</v>
      </c>
      <c r="D4073" s="326">
        <v>10.51</v>
      </c>
    </row>
    <row r="4074" spans="1:4" ht="13.5">
      <c r="A4074" s="37">
        <v>89802</v>
      </c>
      <c r="B4074" s="37" t="s">
        <v>15889</v>
      </c>
      <c r="C4074" s="37" t="s">
        <v>7</v>
      </c>
      <c r="D4074" s="326">
        <v>11.4</v>
      </c>
    </row>
    <row r="4075" spans="1:4" ht="13.5">
      <c r="A4075" s="37">
        <v>89803</v>
      </c>
      <c r="B4075" s="37" t="s">
        <v>15890</v>
      </c>
      <c r="C4075" s="37" t="s">
        <v>7</v>
      </c>
      <c r="D4075" s="326">
        <v>20.89</v>
      </c>
    </row>
    <row r="4076" spans="1:4" ht="13.5">
      <c r="A4076" s="37">
        <v>89804</v>
      </c>
      <c r="B4076" s="37" t="s">
        <v>15891</v>
      </c>
      <c r="C4076" s="37" t="s">
        <v>7</v>
      </c>
      <c r="D4076" s="326">
        <v>23.57</v>
      </c>
    </row>
    <row r="4077" spans="1:4" ht="13.5">
      <c r="A4077" s="37">
        <v>89805</v>
      </c>
      <c r="B4077" s="37" t="s">
        <v>15892</v>
      </c>
      <c r="C4077" s="37" t="s">
        <v>7</v>
      </c>
      <c r="D4077" s="326">
        <v>21.87</v>
      </c>
    </row>
    <row r="4078" spans="1:4" ht="13.5">
      <c r="A4078" s="37">
        <v>89806</v>
      </c>
      <c r="B4078" s="37" t="s">
        <v>15893</v>
      </c>
      <c r="C4078" s="37" t="s">
        <v>7</v>
      </c>
      <c r="D4078" s="326">
        <v>23.07</v>
      </c>
    </row>
    <row r="4079" spans="1:4" ht="13.5">
      <c r="A4079" s="37">
        <v>89807</v>
      </c>
      <c r="B4079" s="37" t="s">
        <v>15894</v>
      </c>
      <c r="C4079" s="37" t="s">
        <v>7</v>
      </c>
      <c r="D4079" s="326">
        <v>42.83</v>
      </c>
    </row>
    <row r="4080" spans="1:4" ht="13.5">
      <c r="A4080" s="37">
        <v>89808</v>
      </c>
      <c r="B4080" s="37" t="s">
        <v>15895</v>
      </c>
      <c r="C4080" s="37" t="s">
        <v>7</v>
      </c>
      <c r="D4080" s="326">
        <v>68.11</v>
      </c>
    </row>
    <row r="4081" spans="1:4" ht="13.5">
      <c r="A4081" s="37">
        <v>89809</v>
      </c>
      <c r="B4081" s="37" t="s">
        <v>15896</v>
      </c>
      <c r="C4081" s="37" t="s">
        <v>7</v>
      </c>
      <c r="D4081" s="326">
        <v>29.83</v>
      </c>
    </row>
    <row r="4082" spans="1:4" ht="13.5">
      <c r="A4082" s="37">
        <v>89810</v>
      </c>
      <c r="B4082" s="37" t="s">
        <v>15897</v>
      </c>
      <c r="C4082" s="37" t="s">
        <v>7</v>
      </c>
      <c r="D4082" s="326">
        <v>30.86</v>
      </c>
    </row>
    <row r="4083" spans="1:4" ht="13.5">
      <c r="A4083" s="37">
        <v>89811</v>
      </c>
      <c r="B4083" s="37" t="s">
        <v>15898</v>
      </c>
      <c r="C4083" s="37" t="s">
        <v>7</v>
      </c>
      <c r="D4083" s="326">
        <v>48.31</v>
      </c>
    </row>
    <row r="4084" spans="1:4" ht="13.5">
      <c r="A4084" s="37">
        <v>89812</v>
      </c>
      <c r="B4084" s="37" t="s">
        <v>15899</v>
      </c>
      <c r="C4084" s="37" t="s">
        <v>7</v>
      </c>
      <c r="D4084" s="326">
        <v>91.34</v>
      </c>
    </row>
    <row r="4085" spans="1:4" ht="13.5">
      <c r="A4085" s="37">
        <v>89813</v>
      </c>
      <c r="B4085" s="37" t="s">
        <v>15900</v>
      </c>
      <c r="C4085" s="37" t="s">
        <v>7</v>
      </c>
      <c r="D4085" s="326">
        <v>6.39</v>
      </c>
    </row>
    <row r="4086" spans="1:4" ht="13.5">
      <c r="A4086" s="37">
        <v>89814</v>
      </c>
      <c r="B4086" s="37" t="s">
        <v>15901</v>
      </c>
      <c r="C4086" s="37" t="s">
        <v>7</v>
      </c>
      <c r="D4086" s="326">
        <v>20.09</v>
      </c>
    </row>
    <row r="4087" spans="1:4" ht="13.5">
      <c r="A4087" s="37">
        <v>89815</v>
      </c>
      <c r="B4087" s="37" t="s">
        <v>15902</v>
      </c>
      <c r="C4087" s="37" t="s">
        <v>7</v>
      </c>
      <c r="D4087" s="326">
        <v>30</v>
      </c>
    </row>
    <row r="4088" spans="1:4" ht="13.5">
      <c r="A4088" s="37">
        <v>89816</v>
      </c>
      <c r="B4088" s="37" t="s">
        <v>15903</v>
      </c>
      <c r="C4088" s="37" t="s">
        <v>7</v>
      </c>
      <c r="D4088" s="326">
        <v>44.02</v>
      </c>
    </row>
    <row r="4089" spans="1:4" ht="13.5">
      <c r="A4089" s="37">
        <v>89817</v>
      </c>
      <c r="B4089" s="37" t="s">
        <v>15904</v>
      </c>
      <c r="C4089" s="37" t="s">
        <v>7</v>
      </c>
      <c r="D4089" s="326">
        <v>15.06</v>
      </c>
    </row>
    <row r="4090" spans="1:4" ht="13.5">
      <c r="A4090" s="37">
        <v>89818</v>
      </c>
      <c r="B4090" s="37" t="s">
        <v>15905</v>
      </c>
      <c r="C4090" s="37" t="s">
        <v>7</v>
      </c>
      <c r="D4090" s="326">
        <v>57.06</v>
      </c>
    </row>
    <row r="4091" spans="1:4" ht="13.5">
      <c r="A4091" s="37">
        <v>89819</v>
      </c>
      <c r="B4091" s="37" t="s">
        <v>15906</v>
      </c>
      <c r="C4091" s="37" t="s">
        <v>7</v>
      </c>
      <c r="D4091" s="326">
        <v>26.83</v>
      </c>
    </row>
    <row r="4092" spans="1:4" ht="13.5">
      <c r="A4092" s="37">
        <v>89821</v>
      </c>
      <c r="B4092" s="37" t="s">
        <v>15907</v>
      </c>
      <c r="C4092" s="37" t="s">
        <v>7</v>
      </c>
      <c r="D4092" s="326">
        <v>19.079999999999998</v>
      </c>
    </row>
    <row r="4093" spans="1:4" ht="13.5">
      <c r="A4093" s="37">
        <v>89822</v>
      </c>
      <c r="B4093" s="37" t="s">
        <v>15908</v>
      </c>
      <c r="C4093" s="37" t="s">
        <v>7</v>
      </c>
      <c r="D4093" s="326">
        <v>26.55</v>
      </c>
    </row>
    <row r="4094" spans="1:4" ht="13.5">
      <c r="A4094" s="37">
        <v>89823</v>
      </c>
      <c r="B4094" s="37" t="s">
        <v>15909</v>
      </c>
      <c r="C4094" s="37" t="s">
        <v>7</v>
      </c>
      <c r="D4094" s="326">
        <v>39.119999999999997</v>
      </c>
    </row>
    <row r="4095" spans="1:4" ht="13.5">
      <c r="A4095" s="37">
        <v>89824</v>
      </c>
      <c r="B4095" s="37" t="s">
        <v>15910</v>
      </c>
      <c r="C4095" s="37" t="s">
        <v>7</v>
      </c>
      <c r="D4095" s="326">
        <v>40.950000000000003</v>
      </c>
    </row>
    <row r="4096" spans="1:4" ht="13.5">
      <c r="A4096" s="37">
        <v>89825</v>
      </c>
      <c r="B4096" s="37" t="s">
        <v>15911</v>
      </c>
      <c r="C4096" s="37" t="s">
        <v>7</v>
      </c>
      <c r="D4096" s="326">
        <v>19.12</v>
      </c>
    </row>
    <row r="4097" spans="1:4" ht="13.5">
      <c r="A4097" s="37">
        <v>89826</v>
      </c>
      <c r="B4097" s="37" t="s">
        <v>15912</v>
      </c>
      <c r="C4097" s="37" t="s">
        <v>7</v>
      </c>
      <c r="D4097" s="326">
        <v>136.52000000000001</v>
      </c>
    </row>
    <row r="4098" spans="1:4" ht="13.5">
      <c r="A4098" s="37">
        <v>89827</v>
      </c>
      <c r="B4098" s="37" t="s">
        <v>15913</v>
      </c>
      <c r="C4098" s="37" t="s">
        <v>7</v>
      </c>
      <c r="D4098" s="326">
        <v>22</v>
      </c>
    </row>
    <row r="4099" spans="1:4" ht="13.5">
      <c r="A4099" s="37">
        <v>89828</v>
      </c>
      <c r="B4099" s="37" t="s">
        <v>15914</v>
      </c>
      <c r="C4099" s="37" t="s">
        <v>7</v>
      </c>
      <c r="D4099" s="326">
        <v>64.41</v>
      </c>
    </row>
    <row r="4100" spans="1:4" ht="13.5">
      <c r="A4100" s="37">
        <v>89829</v>
      </c>
      <c r="B4100" s="37" t="s">
        <v>15915</v>
      </c>
      <c r="C4100" s="37" t="s">
        <v>7</v>
      </c>
      <c r="D4100" s="326">
        <v>39.479999999999997</v>
      </c>
    </row>
    <row r="4101" spans="1:4" ht="13.5">
      <c r="A4101" s="37">
        <v>89830</v>
      </c>
      <c r="B4101" s="37" t="s">
        <v>15916</v>
      </c>
      <c r="C4101" s="37" t="s">
        <v>7</v>
      </c>
      <c r="D4101" s="326">
        <v>42.03</v>
      </c>
    </row>
    <row r="4102" spans="1:4" ht="13.5">
      <c r="A4102" s="37">
        <v>89831</v>
      </c>
      <c r="B4102" s="37" t="s">
        <v>15917</v>
      </c>
      <c r="C4102" s="37" t="s">
        <v>7</v>
      </c>
      <c r="D4102" s="326">
        <v>69.040000000000006</v>
      </c>
    </row>
    <row r="4103" spans="1:4" ht="13.5">
      <c r="A4103" s="37">
        <v>89832</v>
      </c>
      <c r="B4103" s="37" t="s">
        <v>15918</v>
      </c>
      <c r="C4103" s="37" t="s">
        <v>7</v>
      </c>
      <c r="D4103" s="326">
        <v>43.71</v>
      </c>
    </row>
    <row r="4104" spans="1:4" ht="13.5">
      <c r="A4104" s="37">
        <v>89833</v>
      </c>
      <c r="B4104" s="37" t="s">
        <v>15919</v>
      </c>
      <c r="C4104" s="37" t="s">
        <v>7</v>
      </c>
      <c r="D4104" s="326">
        <v>47.51</v>
      </c>
    </row>
    <row r="4105" spans="1:4" ht="13.5">
      <c r="A4105" s="37">
        <v>89834</v>
      </c>
      <c r="B4105" s="37" t="s">
        <v>15920</v>
      </c>
      <c r="C4105" s="37" t="s">
        <v>7</v>
      </c>
      <c r="D4105" s="326">
        <v>57.39</v>
      </c>
    </row>
    <row r="4106" spans="1:4" ht="13.5">
      <c r="A4106" s="37">
        <v>89835</v>
      </c>
      <c r="B4106" s="37" t="s">
        <v>15921</v>
      </c>
      <c r="C4106" s="37" t="s">
        <v>7</v>
      </c>
      <c r="D4106" s="326">
        <v>46.31</v>
      </c>
    </row>
    <row r="4107" spans="1:4" ht="13.5">
      <c r="A4107" s="37">
        <v>89836</v>
      </c>
      <c r="B4107" s="37" t="s">
        <v>15922</v>
      </c>
      <c r="C4107" s="37" t="s">
        <v>7</v>
      </c>
      <c r="D4107" s="326">
        <v>214.94</v>
      </c>
    </row>
    <row r="4108" spans="1:4" ht="13.5">
      <c r="A4108" s="37">
        <v>89837</v>
      </c>
      <c r="B4108" s="37" t="s">
        <v>15923</v>
      </c>
      <c r="C4108" s="37" t="s">
        <v>7</v>
      </c>
      <c r="D4108" s="326">
        <v>143.61000000000001</v>
      </c>
    </row>
    <row r="4109" spans="1:4" ht="13.5">
      <c r="A4109" s="37">
        <v>89838</v>
      </c>
      <c r="B4109" s="37" t="s">
        <v>15924</v>
      </c>
      <c r="C4109" s="37" t="s">
        <v>7</v>
      </c>
      <c r="D4109" s="326">
        <v>164.31</v>
      </c>
    </row>
    <row r="4110" spans="1:4" ht="13.5">
      <c r="A4110" s="37">
        <v>89839</v>
      </c>
      <c r="B4110" s="37" t="s">
        <v>15925</v>
      </c>
      <c r="C4110" s="37" t="s">
        <v>7</v>
      </c>
      <c r="D4110" s="326">
        <v>186.58</v>
      </c>
    </row>
    <row r="4111" spans="1:4" ht="13.5">
      <c r="A4111" s="37">
        <v>89840</v>
      </c>
      <c r="B4111" s="37" t="s">
        <v>15926</v>
      </c>
      <c r="C4111" s="37" t="s">
        <v>7</v>
      </c>
      <c r="D4111" s="326">
        <v>193.24</v>
      </c>
    </row>
    <row r="4112" spans="1:4" ht="13.5">
      <c r="A4112" s="37">
        <v>89841</v>
      </c>
      <c r="B4112" s="37" t="s">
        <v>15927</v>
      </c>
      <c r="C4112" s="37" t="s">
        <v>7</v>
      </c>
      <c r="D4112" s="326">
        <v>283.58999999999997</v>
      </c>
    </row>
    <row r="4113" spans="1:4" ht="13.5">
      <c r="A4113" s="37">
        <v>89842</v>
      </c>
      <c r="B4113" s="37" t="s">
        <v>15928</v>
      </c>
      <c r="C4113" s="37" t="s">
        <v>7</v>
      </c>
      <c r="D4113" s="326">
        <v>52.91</v>
      </c>
    </row>
    <row r="4114" spans="1:4" ht="13.5">
      <c r="A4114" s="37">
        <v>89844</v>
      </c>
      <c r="B4114" s="37" t="s">
        <v>15929</v>
      </c>
      <c r="C4114" s="37" t="s">
        <v>7</v>
      </c>
      <c r="D4114" s="326">
        <v>66.760000000000005</v>
      </c>
    </row>
    <row r="4115" spans="1:4" ht="13.5">
      <c r="A4115" s="37">
        <v>89845</v>
      </c>
      <c r="B4115" s="37" t="s">
        <v>15930</v>
      </c>
      <c r="C4115" s="37" t="s">
        <v>7</v>
      </c>
      <c r="D4115" s="326">
        <v>105.41</v>
      </c>
    </row>
    <row r="4116" spans="1:4" ht="13.5">
      <c r="A4116" s="37">
        <v>89846</v>
      </c>
      <c r="B4116" s="37" t="s">
        <v>15931</v>
      </c>
      <c r="C4116" s="37" t="s">
        <v>7</v>
      </c>
      <c r="D4116" s="326">
        <v>227.77</v>
      </c>
    </row>
    <row r="4117" spans="1:4" ht="13.5">
      <c r="A4117" s="37">
        <v>89847</v>
      </c>
      <c r="B4117" s="37" t="s">
        <v>15932</v>
      </c>
      <c r="C4117" s="37" t="s">
        <v>7</v>
      </c>
      <c r="D4117" s="326">
        <v>271.41000000000003</v>
      </c>
    </row>
    <row r="4118" spans="1:4" ht="13.5">
      <c r="A4118" s="37">
        <v>89850</v>
      </c>
      <c r="B4118" s="37" t="s">
        <v>15933</v>
      </c>
      <c r="C4118" s="37" t="s">
        <v>7</v>
      </c>
      <c r="D4118" s="326">
        <v>32.5</v>
      </c>
    </row>
    <row r="4119" spans="1:4" ht="13.5">
      <c r="A4119" s="37">
        <v>89851</v>
      </c>
      <c r="B4119" s="37" t="s">
        <v>15934</v>
      </c>
      <c r="C4119" s="37" t="s">
        <v>7</v>
      </c>
      <c r="D4119" s="326">
        <v>33.53</v>
      </c>
    </row>
    <row r="4120" spans="1:4" ht="13.5">
      <c r="A4120" s="37">
        <v>89852</v>
      </c>
      <c r="B4120" s="37" t="s">
        <v>15935</v>
      </c>
      <c r="C4120" s="37" t="s">
        <v>7</v>
      </c>
      <c r="D4120" s="326">
        <v>50.98</v>
      </c>
    </row>
    <row r="4121" spans="1:4" ht="13.5">
      <c r="A4121" s="37">
        <v>89853</v>
      </c>
      <c r="B4121" s="37" t="s">
        <v>15936</v>
      </c>
      <c r="C4121" s="37" t="s">
        <v>7</v>
      </c>
      <c r="D4121" s="326">
        <v>94.01</v>
      </c>
    </row>
    <row r="4122" spans="1:4" ht="13.5">
      <c r="A4122" s="37">
        <v>89854</v>
      </c>
      <c r="B4122" s="37" t="s">
        <v>15937</v>
      </c>
      <c r="C4122" s="37" t="s">
        <v>7</v>
      </c>
      <c r="D4122" s="326">
        <v>118.92</v>
      </c>
    </row>
    <row r="4123" spans="1:4" ht="13.5">
      <c r="A4123" s="37">
        <v>89855</v>
      </c>
      <c r="B4123" s="37" t="s">
        <v>15938</v>
      </c>
      <c r="C4123" s="37" t="s">
        <v>7</v>
      </c>
      <c r="D4123" s="326">
        <v>125.33</v>
      </c>
    </row>
    <row r="4124" spans="1:4" ht="13.5">
      <c r="A4124" s="37">
        <v>89856</v>
      </c>
      <c r="B4124" s="37" t="s">
        <v>15939</v>
      </c>
      <c r="C4124" s="37" t="s">
        <v>7</v>
      </c>
      <c r="D4124" s="326">
        <v>20.86</v>
      </c>
    </row>
    <row r="4125" spans="1:4" ht="13.5">
      <c r="A4125" s="37">
        <v>89857</v>
      </c>
      <c r="B4125" s="37" t="s">
        <v>15940</v>
      </c>
      <c r="C4125" s="37" t="s">
        <v>7</v>
      </c>
      <c r="D4125" s="326">
        <v>40.9</v>
      </c>
    </row>
    <row r="4126" spans="1:4" ht="13.5">
      <c r="A4126" s="37">
        <v>89860</v>
      </c>
      <c r="B4126" s="37" t="s">
        <v>15941</v>
      </c>
      <c r="C4126" s="37" t="s">
        <v>7</v>
      </c>
      <c r="D4126" s="326">
        <v>51.06</v>
      </c>
    </row>
    <row r="4127" spans="1:4" ht="13.5">
      <c r="A4127" s="37">
        <v>89861</v>
      </c>
      <c r="B4127" s="37" t="s">
        <v>15942</v>
      </c>
      <c r="C4127" s="37" t="s">
        <v>7</v>
      </c>
      <c r="D4127" s="326">
        <v>60.94</v>
      </c>
    </row>
    <row r="4128" spans="1:4" ht="13.5">
      <c r="A4128" s="37">
        <v>89866</v>
      </c>
      <c r="B4128" s="37" t="s">
        <v>15943</v>
      </c>
      <c r="C4128" s="37" t="s">
        <v>7</v>
      </c>
      <c r="D4128" s="326">
        <v>6.93</v>
      </c>
    </row>
    <row r="4129" spans="1:4" ht="13.5">
      <c r="A4129" s="37">
        <v>89867</v>
      </c>
      <c r="B4129" s="37" t="s">
        <v>15944</v>
      </c>
      <c r="C4129" s="37" t="s">
        <v>7</v>
      </c>
      <c r="D4129" s="326">
        <v>7.96</v>
      </c>
    </row>
    <row r="4130" spans="1:4" ht="13.5">
      <c r="A4130" s="37">
        <v>89868</v>
      </c>
      <c r="B4130" s="37" t="s">
        <v>15945</v>
      </c>
      <c r="C4130" s="37" t="s">
        <v>7</v>
      </c>
      <c r="D4130" s="326">
        <v>5.4</v>
      </c>
    </row>
    <row r="4131" spans="1:4" ht="13.5">
      <c r="A4131" s="37">
        <v>89869</v>
      </c>
      <c r="B4131" s="37" t="s">
        <v>15946</v>
      </c>
      <c r="C4131" s="37" t="s">
        <v>7</v>
      </c>
      <c r="D4131" s="326">
        <v>9.7200000000000006</v>
      </c>
    </row>
    <row r="4132" spans="1:4" ht="13.5">
      <c r="A4132" s="37">
        <v>89979</v>
      </c>
      <c r="B4132" s="37" t="s">
        <v>15947</v>
      </c>
      <c r="C4132" s="37" t="s">
        <v>7</v>
      </c>
      <c r="D4132" s="326">
        <v>29.43</v>
      </c>
    </row>
    <row r="4133" spans="1:4" ht="13.5">
      <c r="A4133" s="37">
        <v>89981</v>
      </c>
      <c r="B4133" s="37" t="s">
        <v>15948</v>
      </c>
      <c r="C4133" s="37" t="s">
        <v>7</v>
      </c>
      <c r="D4133" s="326">
        <v>26.76</v>
      </c>
    </row>
    <row r="4134" spans="1:4" ht="13.5">
      <c r="A4134" s="37">
        <v>90373</v>
      </c>
      <c r="B4134" s="37" t="s">
        <v>15949</v>
      </c>
      <c r="C4134" s="37" t="s">
        <v>7</v>
      </c>
      <c r="D4134" s="326">
        <v>13.91</v>
      </c>
    </row>
    <row r="4135" spans="1:4" ht="13.5">
      <c r="A4135" s="37">
        <v>90374</v>
      </c>
      <c r="B4135" s="37" t="s">
        <v>15950</v>
      </c>
      <c r="C4135" s="37" t="s">
        <v>7</v>
      </c>
      <c r="D4135" s="326">
        <v>24.52</v>
      </c>
    </row>
    <row r="4136" spans="1:4" ht="13.5">
      <c r="A4136" s="37">
        <v>92287</v>
      </c>
      <c r="B4136" s="37" t="s">
        <v>15951</v>
      </c>
      <c r="C4136" s="37" t="s">
        <v>7</v>
      </c>
      <c r="D4136" s="326">
        <v>16.38</v>
      </c>
    </row>
    <row r="4137" spans="1:4" ht="13.5">
      <c r="A4137" s="37">
        <v>92288</v>
      </c>
      <c r="B4137" s="37" t="s">
        <v>15952</v>
      </c>
      <c r="C4137" s="37" t="s">
        <v>7</v>
      </c>
      <c r="D4137" s="326">
        <v>25.89</v>
      </c>
    </row>
    <row r="4138" spans="1:4" ht="13.5">
      <c r="A4138" s="37">
        <v>92289</v>
      </c>
      <c r="B4138" s="37" t="s">
        <v>15953</v>
      </c>
      <c r="C4138" s="37" t="s">
        <v>7</v>
      </c>
      <c r="D4138" s="326">
        <v>46.05</v>
      </c>
    </row>
    <row r="4139" spans="1:4" ht="13.5">
      <c r="A4139" s="37">
        <v>92290</v>
      </c>
      <c r="B4139" s="37" t="s">
        <v>15954</v>
      </c>
      <c r="C4139" s="37" t="s">
        <v>7</v>
      </c>
      <c r="D4139" s="326">
        <v>69.900000000000006</v>
      </c>
    </row>
    <row r="4140" spans="1:4" ht="13.5">
      <c r="A4140" s="37">
        <v>92291</v>
      </c>
      <c r="B4140" s="37" t="s">
        <v>15955</v>
      </c>
      <c r="C4140" s="37" t="s">
        <v>7</v>
      </c>
      <c r="D4140" s="326">
        <v>108.41</v>
      </c>
    </row>
    <row r="4141" spans="1:4" ht="13.5">
      <c r="A4141" s="37">
        <v>92292</v>
      </c>
      <c r="B4141" s="37" t="s">
        <v>15956</v>
      </c>
      <c r="C4141" s="37" t="s">
        <v>7</v>
      </c>
      <c r="D4141" s="326">
        <v>336.99</v>
      </c>
    </row>
    <row r="4142" spans="1:4" ht="13.5">
      <c r="A4142" s="37">
        <v>92293</v>
      </c>
      <c r="B4142" s="37" t="s">
        <v>15957</v>
      </c>
      <c r="C4142" s="37" t="s">
        <v>7</v>
      </c>
      <c r="D4142" s="326">
        <v>9.2799999999999994</v>
      </c>
    </row>
    <row r="4143" spans="1:4" ht="13.5">
      <c r="A4143" s="37">
        <v>92294</v>
      </c>
      <c r="B4143" s="37" t="s">
        <v>15958</v>
      </c>
      <c r="C4143" s="37" t="s">
        <v>7</v>
      </c>
      <c r="D4143" s="326">
        <v>15.77</v>
      </c>
    </row>
    <row r="4144" spans="1:4" ht="13.5">
      <c r="A4144" s="37">
        <v>92295</v>
      </c>
      <c r="B4144" s="37" t="s">
        <v>15959</v>
      </c>
      <c r="C4144" s="37" t="s">
        <v>7</v>
      </c>
      <c r="D4144" s="326">
        <v>29.86</v>
      </c>
    </row>
    <row r="4145" spans="1:4" ht="13.5">
      <c r="A4145" s="37">
        <v>92296</v>
      </c>
      <c r="B4145" s="37" t="s">
        <v>15960</v>
      </c>
      <c r="C4145" s="37" t="s">
        <v>7</v>
      </c>
      <c r="D4145" s="326">
        <v>39.61</v>
      </c>
    </row>
    <row r="4146" spans="1:4" ht="13.5">
      <c r="A4146" s="37">
        <v>92297</v>
      </c>
      <c r="B4146" s="37" t="s">
        <v>15961</v>
      </c>
      <c r="C4146" s="37" t="s">
        <v>7</v>
      </c>
      <c r="D4146" s="326">
        <v>61.52</v>
      </c>
    </row>
    <row r="4147" spans="1:4" ht="13.5">
      <c r="A4147" s="37">
        <v>92298</v>
      </c>
      <c r="B4147" s="37" t="s">
        <v>15962</v>
      </c>
      <c r="C4147" s="37" t="s">
        <v>7</v>
      </c>
      <c r="D4147" s="326">
        <v>173.51</v>
      </c>
    </row>
    <row r="4148" spans="1:4" ht="13.5">
      <c r="A4148" s="37">
        <v>92299</v>
      </c>
      <c r="B4148" s="37" t="s">
        <v>15963</v>
      </c>
      <c r="C4148" s="37" t="s">
        <v>7</v>
      </c>
      <c r="D4148" s="326">
        <v>21.55</v>
      </c>
    </row>
    <row r="4149" spans="1:4" ht="13.5">
      <c r="A4149" s="37">
        <v>92300</v>
      </c>
      <c r="B4149" s="37" t="s">
        <v>15964</v>
      </c>
      <c r="C4149" s="37" t="s">
        <v>7</v>
      </c>
      <c r="D4149" s="326">
        <v>32.909999999999997</v>
      </c>
    </row>
    <row r="4150" spans="1:4" ht="13.5">
      <c r="A4150" s="37">
        <v>92301</v>
      </c>
      <c r="B4150" s="37" t="s">
        <v>15965</v>
      </c>
      <c r="C4150" s="37" t="s">
        <v>7</v>
      </c>
      <c r="D4150" s="326">
        <v>65.44</v>
      </c>
    </row>
    <row r="4151" spans="1:4" ht="13.5">
      <c r="A4151" s="37">
        <v>92302</v>
      </c>
      <c r="B4151" s="37" t="s">
        <v>15966</v>
      </c>
      <c r="C4151" s="37" t="s">
        <v>7</v>
      </c>
      <c r="D4151" s="326">
        <v>86.52</v>
      </c>
    </row>
    <row r="4152" spans="1:4" ht="13.5">
      <c r="A4152" s="37">
        <v>92303</v>
      </c>
      <c r="B4152" s="37" t="s">
        <v>15967</v>
      </c>
      <c r="C4152" s="37" t="s">
        <v>7</v>
      </c>
      <c r="D4152" s="326">
        <v>159.16</v>
      </c>
    </row>
    <row r="4153" spans="1:4" ht="13.5">
      <c r="A4153" s="37">
        <v>92304</v>
      </c>
      <c r="B4153" s="37" t="s">
        <v>15968</v>
      </c>
      <c r="C4153" s="37" t="s">
        <v>7</v>
      </c>
      <c r="D4153" s="326">
        <v>414.3</v>
      </c>
    </row>
    <row r="4154" spans="1:4" ht="13.5">
      <c r="A4154" s="37">
        <v>92311</v>
      </c>
      <c r="B4154" s="37" t="s">
        <v>15969</v>
      </c>
      <c r="C4154" s="37" t="s">
        <v>7</v>
      </c>
      <c r="D4154" s="326">
        <v>11.99</v>
      </c>
    </row>
    <row r="4155" spans="1:4" ht="13.5">
      <c r="A4155" s="37">
        <v>92312</v>
      </c>
      <c r="B4155" s="37" t="s">
        <v>15970</v>
      </c>
      <c r="C4155" s="37" t="s">
        <v>7</v>
      </c>
      <c r="D4155" s="326">
        <v>20.13</v>
      </c>
    </row>
    <row r="4156" spans="1:4" ht="13.5">
      <c r="A4156" s="37">
        <v>92313</v>
      </c>
      <c r="B4156" s="37" t="s">
        <v>15971</v>
      </c>
      <c r="C4156" s="37" t="s">
        <v>7</v>
      </c>
      <c r="D4156" s="326">
        <v>29.36</v>
      </c>
    </row>
    <row r="4157" spans="1:4" ht="13.5">
      <c r="A4157" s="37">
        <v>92314</v>
      </c>
      <c r="B4157" s="37" t="s">
        <v>15972</v>
      </c>
      <c r="C4157" s="37" t="s">
        <v>7</v>
      </c>
      <c r="D4157" s="326">
        <v>8.01</v>
      </c>
    </row>
    <row r="4158" spans="1:4" ht="13.5">
      <c r="A4158" s="37">
        <v>92315</v>
      </c>
      <c r="B4158" s="37" t="s">
        <v>15973</v>
      </c>
      <c r="C4158" s="37" t="s">
        <v>7</v>
      </c>
      <c r="D4158" s="326">
        <v>11.79</v>
      </c>
    </row>
    <row r="4159" spans="1:4" ht="13.5">
      <c r="A4159" s="37">
        <v>92316</v>
      </c>
      <c r="B4159" s="37" t="s">
        <v>15974</v>
      </c>
      <c r="C4159" s="37" t="s">
        <v>7</v>
      </c>
      <c r="D4159" s="326">
        <v>18.09</v>
      </c>
    </row>
    <row r="4160" spans="1:4" ht="13.5">
      <c r="A4160" s="37">
        <v>92317</v>
      </c>
      <c r="B4160" s="37" t="s">
        <v>15975</v>
      </c>
      <c r="C4160" s="37" t="s">
        <v>7</v>
      </c>
      <c r="D4160" s="326">
        <v>16.82</v>
      </c>
    </row>
    <row r="4161" spans="1:4" ht="13.5">
      <c r="A4161" s="37">
        <v>92318</v>
      </c>
      <c r="B4161" s="37" t="s">
        <v>15976</v>
      </c>
      <c r="C4161" s="37" t="s">
        <v>7</v>
      </c>
      <c r="D4161" s="326">
        <v>26.56</v>
      </c>
    </row>
    <row r="4162" spans="1:4" ht="13.5">
      <c r="A4162" s="37">
        <v>92319</v>
      </c>
      <c r="B4162" s="37" t="s">
        <v>15977</v>
      </c>
      <c r="C4162" s="37" t="s">
        <v>7</v>
      </c>
      <c r="D4162" s="326">
        <v>37.53</v>
      </c>
    </row>
    <row r="4163" spans="1:4" ht="13.5">
      <c r="A4163" s="37">
        <v>92326</v>
      </c>
      <c r="B4163" s="37" t="s">
        <v>15978</v>
      </c>
      <c r="C4163" s="37" t="s">
        <v>7</v>
      </c>
      <c r="D4163" s="326">
        <v>12.6</v>
      </c>
    </row>
    <row r="4164" spans="1:4" ht="13.5">
      <c r="A4164" s="37">
        <v>92327</v>
      </c>
      <c r="B4164" s="37" t="s">
        <v>15979</v>
      </c>
      <c r="C4164" s="37" t="s">
        <v>7</v>
      </c>
      <c r="D4164" s="326">
        <v>22.91</v>
      </c>
    </row>
    <row r="4165" spans="1:4" ht="13.5">
      <c r="A4165" s="37">
        <v>92328</v>
      </c>
      <c r="B4165" s="37" t="s">
        <v>15980</v>
      </c>
      <c r="C4165" s="37" t="s">
        <v>7</v>
      </c>
      <c r="D4165" s="326">
        <v>34.299999999999997</v>
      </c>
    </row>
    <row r="4166" spans="1:4" ht="13.5">
      <c r="A4166" s="37">
        <v>92329</v>
      </c>
      <c r="B4166" s="37" t="s">
        <v>15981</v>
      </c>
      <c r="C4166" s="37" t="s">
        <v>7</v>
      </c>
      <c r="D4166" s="326">
        <v>8.17</v>
      </c>
    </row>
    <row r="4167" spans="1:4" ht="13.5">
      <c r="A4167" s="37">
        <v>92330</v>
      </c>
      <c r="B4167" s="37" t="s">
        <v>15982</v>
      </c>
      <c r="C4167" s="37" t="s">
        <v>7</v>
      </c>
      <c r="D4167" s="326">
        <v>13.66</v>
      </c>
    </row>
    <row r="4168" spans="1:4" ht="13.5">
      <c r="A4168" s="37">
        <v>92331</v>
      </c>
      <c r="B4168" s="37" t="s">
        <v>15983</v>
      </c>
      <c r="C4168" s="37" t="s">
        <v>7</v>
      </c>
      <c r="D4168" s="326">
        <v>21.41</v>
      </c>
    </row>
    <row r="4169" spans="1:4" ht="13.5">
      <c r="A4169" s="37">
        <v>92332</v>
      </c>
      <c r="B4169" s="37" t="s">
        <v>15984</v>
      </c>
      <c r="C4169" s="37" t="s">
        <v>7</v>
      </c>
      <c r="D4169" s="326">
        <v>17.14</v>
      </c>
    </row>
    <row r="4170" spans="1:4" ht="13.5">
      <c r="A4170" s="37">
        <v>92333</v>
      </c>
      <c r="B4170" s="37" t="s">
        <v>15985</v>
      </c>
      <c r="C4170" s="37" t="s">
        <v>7</v>
      </c>
      <c r="D4170" s="326">
        <v>30.26</v>
      </c>
    </row>
    <row r="4171" spans="1:4" ht="13.5">
      <c r="A4171" s="37">
        <v>92334</v>
      </c>
      <c r="B4171" s="37" t="s">
        <v>15986</v>
      </c>
      <c r="C4171" s="37" t="s">
        <v>7</v>
      </c>
      <c r="D4171" s="326">
        <v>44.15</v>
      </c>
    </row>
    <row r="4172" spans="1:4" ht="13.5">
      <c r="A4172" s="37">
        <v>92344</v>
      </c>
      <c r="B4172" s="37" t="s">
        <v>8124</v>
      </c>
      <c r="C4172" s="37" t="s">
        <v>7</v>
      </c>
      <c r="D4172" s="326">
        <v>68.31</v>
      </c>
    </row>
    <row r="4173" spans="1:4" ht="13.5">
      <c r="A4173" s="37">
        <v>92345</v>
      </c>
      <c r="B4173" s="37" t="s">
        <v>8125</v>
      </c>
      <c r="C4173" s="37" t="s">
        <v>7</v>
      </c>
      <c r="D4173" s="326">
        <v>68.28</v>
      </c>
    </row>
    <row r="4174" spans="1:4" ht="13.5">
      <c r="A4174" s="37">
        <v>92346</v>
      </c>
      <c r="B4174" s="37" t="s">
        <v>8126</v>
      </c>
      <c r="C4174" s="37" t="s">
        <v>7</v>
      </c>
      <c r="D4174" s="326">
        <v>91.76</v>
      </c>
    </row>
    <row r="4175" spans="1:4" ht="13.5">
      <c r="A4175" s="37">
        <v>92347</v>
      </c>
      <c r="B4175" s="37" t="s">
        <v>8127</v>
      </c>
      <c r="C4175" s="37" t="s">
        <v>7</v>
      </c>
      <c r="D4175" s="326">
        <v>103.23</v>
      </c>
    </row>
    <row r="4176" spans="1:4" ht="13.5">
      <c r="A4176" s="37">
        <v>92348</v>
      </c>
      <c r="B4176" s="37" t="s">
        <v>8128</v>
      </c>
      <c r="C4176" s="37" t="s">
        <v>7</v>
      </c>
      <c r="D4176" s="326">
        <v>131.96</v>
      </c>
    </row>
    <row r="4177" spans="1:4" ht="13.5">
      <c r="A4177" s="37">
        <v>92349</v>
      </c>
      <c r="B4177" s="37" t="s">
        <v>8129</v>
      </c>
      <c r="C4177" s="37" t="s">
        <v>7</v>
      </c>
      <c r="D4177" s="326">
        <v>142.16999999999999</v>
      </c>
    </row>
    <row r="4178" spans="1:4" ht="13.5">
      <c r="A4178" s="37">
        <v>92350</v>
      </c>
      <c r="B4178" s="37" t="s">
        <v>8130</v>
      </c>
      <c r="C4178" s="37" t="s">
        <v>7</v>
      </c>
      <c r="D4178" s="326">
        <v>101.58</v>
      </c>
    </row>
    <row r="4179" spans="1:4" ht="13.5">
      <c r="A4179" s="37">
        <v>92351</v>
      </c>
      <c r="B4179" s="37" t="s">
        <v>8131</v>
      </c>
      <c r="C4179" s="37" t="s">
        <v>7</v>
      </c>
      <c r="D4179" s="326">
        <v>99.03</v>
      </c>
    </row>
    <row r="4180" spans="1:4" ht="13.5">
      <c r="A4180" s="37">
        <v>92352</v>
      </c>
      <c r="B4180" s="37" t="s">
        <v>8132</v>
      </c>
      <c r="C4180" s="37" t="s">
        <v>7</v>
      </c>
      <c r="D4180" s="326">
        <v>159.81</v>
      </c>
    </row>
    <row r="4181" spans="1:4" ht="13.5">
      <c r="A4181" s="37">
        <v>92353</v>
      </c>
      <c r="B4181" s="37" t="s">
        <v>8133</v>
      </c>
      <c r="C4181" s="37" t="s">
        <v>7</v>
      </c>
      <c r="D4181" s="326">
        <v>148.58000000000001</v>
      </c>
    </row>
    <row r="4182" spans="1:4" ht="13.5">
      <c r="A4182" s="37">
        <v>92354</v>
      </c>
      <c r="B4182" s="37" t="s">
        <v>8134</v>
      </c>
      <c r="C4182" s="37" t="s">
        <v>7</v>
      </c>
      <c r="D4182" s="326">
        <v>215.68</v>
      </c>
    </row>
    <row r="4183" spans="1:4" ht="13.5">
      <c r="A4183" s="37">
        <v>92355</v>
      </c>
      <c r="B4183" s="37" t="s">
        <v>8135</v>
      </c>
      <c r="C4183" s="37" t="s">
        <v>7</v>
      </c>
      <c r="D4183" s="326">
        <v>194.04</v>
      </c>
    </row>
    <row r="4184" spans="1:4" ht="13.5">
      <c r="A4184" s="37">
        <v>92356</v>
      </c>
      <c r="B4184" s="37" t="s">
        <v>8136</v>
      </c>
      <c r="C4184" s="37" t="s">
        <v>7</v>
      </c>
      <c r="D4184" s="326">
        <v>131.94999999999999</v>
      </c>
    </row>
    <row r="4185" spans="1:4" ht="13.5">
      <c r="A4185" s="37">
        <v>92357</v>
      </c>
      <c r="B4185" s="37" t="s">
        <v>8137</v>
      </c>
      <c r="C4185" s="37" t="s">
        <v>7</v>
      </c>
      <c r="D4185" s="326">
        <v>203.7</v>
      </c>
    </row>
    <row r="4186" spans="1:4" ht="13.5">
      <c r="A4186" s="37">
        <v>92358</v>
      </c>
      <c r="B4186" s="37" t="s">
        <v>8138</v>
      </c>
      <c r="C4186" s="37" t="s">
        <v>7</v>
      </c>
      <c r="D4186" s="326">
        <v>256.58999999999997</v>
      </c>
    </row>
    <row r="4187" spans="1:4" ht="13.5">
      <c r="A4187" s="37">
        <v>92369</v>
      </c>
      <c r="B4187" s="37" t="s">
        <v>8139</v>
      </c>
      <c r="C4187" s="37" t="s">
        <v>7</v>
      </c>
      <c r="D4187" s="326">
        <v>34.85</v>
      </c>
    </row>
    <row r="4188" spans="1:4" ht="13.5">
      <c r="A4188" s="37">
        <v>92370</v>
      </c>
      <c r="B4188" s="37" t="s">
        <v>8140</v>
      </c>
      <c r="C4188" s="37" t="s">
        <v>7</v>
      </c>
      <c r="D4188" s="326">
        <v>36.909999999999997</v>
      </c>
    </row>
    <row r="4189" spans="1:4" ht="13.5">
      <c r="A4189" s="37">
        <v>92371</v>
      </c>
      <c r="B4189" s="37" t="s">
        <v>8141</v>
      </c>
      <c r="C4189" s="37" t="s">
        <v>7</v>
      </c>
      <c r="D4189" s="326">
        <v>42.93</v>
      </c>
    </row>
    <row r="4190" spans="1:4" ht="13.5">
      <c r="A4190" s="37">
        <v>92372</v>
      </c>
      <c r="B4190" s="37" t="s">
        <v>8142</v>
      </c>
      <c r="C4190" s="37" t="s">
        <v>7</v>
      </c>
      <c r="D4190" s="326">
        <v>44.86</v>
      </c>
    </row>
    <row r="4191" spans="1:4" ht="13.5">
      <c r="A4191" s="37">
        <v>92373</v>
      </c>
      <c r="B4191" s="37" t="s">
        <v>8143</v>
      </c>
      <c r="C4191" s="37" t="s">
        <v>7</v>
      </c>
      <c r="D4191" s="326">
        <v>51.41</v>
      </c>
    </row>
    <row r="4192" spans="1:4" ht="13.5">
      <c r="A4192" s="37">
        <v>92374</v>
      </c>
      <c r="B4192" s="37" t="s">
        <v>8144</v>
      </c>
      <c r="C4192" s="37" t="s">
        <v>7</v>
      </c>
      <c r="D4192" s="326">
        <v>51.78</v>
      </c>
    </row>
    <row r="4193" spans="1:4" ht="13.5">
      <c r="A4193" s="37">
        <v>92375</v>
      </c>
      <c r="B4193" s="37" t="s">
        <v>8145</v>
      </c>
      <c r="C4193" s="37" t="s">
        <v>7</v>
      </c>
      <c r="D4193" s="326">
        <v>68.260000000000005</v>
      </c>
    </row>
    <row r="4194" spans="1:4" ht="13.5">
      <c r="A4194" s="37">
        <v>92376</v>
      </c>
      <c r="B4194" s="37" t="s">
        <v>8146</v>
      </c>
      <c r="C4194" s="37" t="s">
        <v>7</v>
      </c>
      <c r="D4194" s="326">
        <v>68.23</v>
      </c>
    </row>
    <row r="4195" spans="1:4" ht="13.5">
      <c r="A4195" s="37">
        <v>92377</v>
      </c>
      <c r="B4195" s="37" t="s">
        <v>8147</v>
      </c>
      <c r="C4195" s="37" t="s">
        <v>7</v>
      </c>
      <c r="D4195" s="326">
        <v>93.26</v>
      </c>
    </row>
    <row r="4196" spans="1:4" ht="13.5">
      <c r="A4196" s="37">
        <v>92378</v>
      </c>
      <c r="B4196" s="37" t="s">
        <v>8148</v>
      </c>
      <c r="C4196" s="37" t="s">
        <v>7</v>
      </c>
      <c r="D4196" s="326">
        <v>104.73</v>
      </c>
    </row>
    <row r="4197" spans="1:4" ht="13.5">
      <c r="A4197" s="37">
        <v>92379</v>
      </c>
      <c r="B4197" s="37" t="s">
        <v>8149</v>
      </c>
      <c r="C4197" s="37" t="s">
        <v>7</v>
      </c>
      <c r="D4197" s="326">
        <v>135.07</v>
      </c>
    </row>
    <row r="4198" spans="1:4" ht="13.5">
      <c r="A4198" s="37">
        <v>92380</v>
      </c>
      <c r="B4198" s="37" t="s">
        <v>8150</v>
      </c>
      <c r="C4198" s="37" t="s">
        <v>7</v>
      </c>
      <c r="D4198" s="326">
        <v>145.28</v>
      </c>
    </row>
    <row r="4199" spans="1:4" ht="13.5">
      <c r="A4199" s="37">
        <v>92381</v>
      </c>
      <c r="B4199" s="37" t="s">
        <v>8151</v>
      </c>
      <c r="C4199" s="37" t="s">
        <v>7</v>
      </c>
      <c r="D4199" s="326">
        <v>52.94</v>
      </c>
    </row>
    <row r="4200" spans="1:4" ht="13.5">
      <c r="A4200" s="37">
        <v>92382</v>
      </c>
      <c r="B4200" s="37" t="s">
        <v>8152</v>
      </c>
      <c r="C4200" s="37" t="s">
        <v>7</v>
      </c>
      <c r="D4200" s="326">
        <v>50.2</v>
      </c>
    </row>
    <row r="4201" spans="1:4" ht="13.5">
      <c r="A4201" s="37">
        <v>92383</v>
      </c>
      <c r="B4201" s="37" t="s">
        <v>8153</v>
      </c>
      <c r="C4201" s="37" t="s">
        <v>7</v>
      </c>
      <c r="D4201" s="326">
        <v>68.42</v>
      </c>
    </row>
    <row r="4202" spans="1:4" ht="13.5">
      <c r="A4202" s="37">
        <v>92384</v>
      </c>
      <c r="B4202" s="37" t="s">
        <v>8154</v>
      </c>
      <c r="C4202" s="37" t="s">
        <v>7</v>
      </c>
      <c r="D4202" s="326">
        <v>62.97</v>
      </c>
    </row>
    <row r="4203" spans="1:4" ht="13.5">
      <c r="A4203" s="37">
        <v>92385</v>
      </c>
      <c r="B4203" s="37" t="s">
        <v>8155</v>
      </c>
      <c r="C4203" s="37" t="s">
        <v>7</v>
      </c>
      <c r="D4203" s="326">
        <v>79.069999999999993</v>
      </c>
    </row>
    <row r="4204" spans="1:4" ht="13.5">
      <c r="A4204" s="37">
        <v>92386</v>
      </c>
      <c r="B4204" s="37" t="s">
        <v>8156</v>
      </c>
      <c r="C4204" s="37" t="s">
        <v>7</v>
      </c>
      <c r="D4204" s="326">
        <v>75.31</v>
      </c>
    </row>
    <row r="4205" spans="1:4" ht="13.5">
      <c r="A4205" s="37">
        <v>92387</v>
      </c>
      <c r="B4205" s="37" t="s">
        <v>8157</v>
      </c>
      <c r="C4205" s="37" t="s">
        <v>7</v>
      </c>
      <c r="D4205" s="326">
        <v>101.5</v>
      </c>
    </row>
    <row r="4206" spans="1:4" ht="13.5">
      <c r="A4206" s="37">
        <v>92388</v>
      </c>
      <c r="B4206" s="37" t="s">
        <v>8158</v>
      </c>
      <c r="C4206" s="37" t="s">
        <v>7</v>
      </c>
      <c r="D4206" s="326">
        <v>98.95</v>
      </c>
    </row>
    <row r="4207" spans="1:4" ht="13.5">
      <c r="A4207" s="37">
        <v>92389</v>
      </c>
      <c r="B4207" s="37" t="s">
        <v>8159</v>
      </c>
      <c r="C4207" s="37" t="s">
        <v>7</v>
      </c>
      <c r="D4207" s="326">
        <v>162.11000000000001</v>
      </c>
    </row>
    <row r="4208" spans="1:4" ht="13.5">
      <c r="A4208" s="37">
        <v>92390</v>
      </c>
      <c r="B4208" s="37" t="s">
        <v>8160</v>
      </c>
      <c r="C4208" s="37" t="s">
        <v>7</v>
      </c>
      <c r="D4208" s="326">
        <v>150.88</v>
      </c>
    </row>
    <row r="4209" spans="1:4" ht="13.5">
      <c r="A4209" s="37">
        <v>92635</v>
      </c>
      <c r="B4209" s="37" t="s">
        <v>8161</v>
      </c>
      <c r="C4209" s="37" t="s">
        <v>7</v>
      </c>
      <c r="D4209" s="326">
        <v>220.34</v>
      </c>
    </row>
    <row r="4210" spans="1:4" ht="13.5">
      <c r="A4210" s="37">
        <v>92636</v>
      </c>
      <c r="B4210" s="37" t="s">
        <v>8162</v>
      </c>
      <c r="C4210" s="37" t="s">
        <v>7</v>
      </c>
      <c r="D4210" s="326">
        <v>198.7</v>
      </c>
    </row>
    <row r="4211" spans="1:4" ht="13.5">
      <c r="A4211" s="37">
        <v>92637</v>
      </c>
      <c r="B4211" s="37" t="s">
        <v>8163</v>
      </c>
      <c r="C4211" s="37" t="s">
        <v>7</v>
      </c>
      <c r="D4211" s="326">
        <v>67.94</v>
      </c>
    </row>
    <row r="4212" spans="1:4" ht="13.5">
      <c r="A4212" s="37">
        <v>92638</v>
      </c>
      <c r="B4212" s="37" t="s">
        <v>8164</v>
      </c>
      <c r="C4212" s="37" t="s">
        <v>7</v>
      </c>
      <c r="D4212" s="326">
        <v>84.64</v>
      </c>
    </row>
    <row r="4213" spans="1:4" ht="13.5">
      <c r="A4213" s="37">
        <v>92639</v>
      </c>
      <c r="B4213" s="37" t="s">
        <v>8165</v>
      </c>
      <c r="C4213" s="37" t="s">
        <v>7</v>
      </c>
      <c r="D4213" s="326">
        <v>98.91</v>
      </c>
    </row>
    <row r="4214" spans="1:4" ht="13.5">
      <c r="A4214" s="37">
        <v>92640</v>
      </c>
      <c r="B4214" s="37" t="s">
        <v>8166</v>
      </c>
      <c r="C4214" s="37" t="s">
        <v>7</v>
      </c>
      <c r="D4214" s="326">
        <v>131.81</v>
      </c>
    </row>
    <row r="4215" spans="1:4" ht="13.5">
      <c r="A4215" s="37">
        <v>92642</v>
      </c>
      <c r="B4215" s="37" t="s">
        <v>8167</v>
      </c>
      <c r="C4215" s="37" t="s">
        <v>7</v>
      </c>
      <c r="D4215" s="326">
        <v>206.72</v>
      </c>
    </row>
    <row r="4216" spans="1:4" ht="13.5">
      <c r="A4216" s="37">
        <v>92644</v>
      </c>
      <c r="B4216" s="37" t="s">
        <v>8168</v>
      </c>
      <c r="C4216" s="37" t="s">
        <v>7</v>
      </c>
      <c r="D4216" s="326">
        <v>262.8</v>
      </c>
    </row>
    <row r="4217" spans="1:4" ht="13.5">
      <c r="A4217" s="37">
        <v>92657</v>
      </c>
      <c r="B4217" s="37" t="s">
        <v>8169</v>
      </c>
      <c r="C4217" s="37" t="s">
        <v>7</v>
      </c>
      <c r="D4217" s="326">
        <v>26.48</v>
      </c>
    </row>
    <row r="4218" spans="1:4" ht="13.5">
      <c r="A4218" s="37">
        <v>92658</v>
      </c>
      <c r="B4218" s="37" t="s">
        <v>8170</v>
      </c>
      <c r="C4218" s="37" t="s">
        <v>7</v>
      </c>
      <c r="D4218" s="326">
        <v>28.54</v>
      </c>
    </row>
    <row r="4219" spans="1:4" ht="13.5">
      <c r="A4219" s="37">
        <v>92659</v>
      </c>
      <c r="B4219" s="37" t="s">
        <v>8171</v>
      </c>
      <c r="C4219" s="37" t="s">
        <v>7</v>
      </c>
      <c r="D4219" s="326">
        <v>33.4</v>
      </c>
    </row>
    <row r="4220" spans="1:4" ht="13.5">
      <c r="A4220" s="37">
        <v>92660</v>
      </c>
      <c r="B4220" s="37" t="s">
        <v>8172</v>
      </c>
      <c r="C4220" s="37" t="s">
        <v>7</v>
      </c>
      <c r="D4220" s="326">
        <v>35.33</v>
      </c>
    </row>
    <row r="4221" spans="1:4" ht="13.5">
      <c r="A4221" s="37">
        <v>92661</v>
      </c>
      <c r="B4221" s="37" t="s">
        <v>8173</v>
      </c>
      <c r="C4221" s="37" t="s">
        <v>7</v>
      </c>
      <c r="D4221" s="326">
        <v>40.549999999999997</v>
      </c>
    </row>
    <row r="4222" spans="1:4" ht="13.5">
      <c r="A4222" s="37">
        <v>92662</v>
      </c>
      <c r="B4222" s="37" t="s">
        <v>8174</v>
      </c>
      <c r="C4222" s="37" t="s">
        <v>7</v>
      </c>
      <c r="D4222" s="326">
        <v>40.92</v>
      </c>
    </row>
    <row r="4223" spans="1:4" ht="13.5">
      <c r="A4223" s="37">
        <v>92663</v>
      </c>
      <c r="B4223" s="37" t="s">
        <v>8175</v>
      </c>
      <c r="C4223" s="37" t="s">
        <v>7</v>
      </c>
      <c r="D4223" s="326">
        <v>55.77</v>
      </c>
    </row>
    <row r="4224" spans="1:4" ht="13.5">
      <c r="A4224" s="37">
        <v>92664</v>
      </c>
      <c r="B4224" s="37" t="s">
        <v>8176</v>
      </c>
      <c r="C4224" s="37" t="s">
        <v>7</v>
      </c>
      <c r="D4224" s="326">
        <v>55.74</v>
      </c>
    </row>
    <row r="4225" spans="1:4" ht="13.5">
      <c r="A4225" s="37">
        <v>92665</v>
      </c>
      <c r="B4225" s="37" t="s">
        <v>8177</v>
      </c>
      <c r="C4225" s="37" t="s">
        <v>7</v>
      </c>
      <c r="D4225" s="326">
        <v>78.28</v>
      </c>
    </row>
    <row r="4226" spans="1:4" ht="13.5">
      <c r="A4226" s="37">
        <v>92666</v>
      </c>
      <c r="B4226" s="37" t="s">
        <v>8178</v>
      </c>
      <c r="C4226" s="37" t="s">
        <v>7</v>
      </c>
      <c r="D4226" s="326">
        <v>89.75</v>
      </c>
    </row>
    <row r="4227" spans="1:4" ht="13.5">
      <c r="A4227" s="37">
        <v>92667</v>
      </c>
      <c r="B4227" s="37" t="s">
        <v>8179</v>
      </c>
      <c r="C4227" s="37" t="s">
        <v>7</v>
      </c>
      <c r="D4227" s="326">
        <v>117.65</v>
      </c>
    </row>
    <row r="4228" spans="1:4" ht="13.5">
      <c r="A4228" s="37">
        <v>92668</v>
      </c>
      <c r="B4228" s="37" t="s">
        <v>8180</v>
      </c>
      <c r="C4228" s="37" t="s">
        <v>7</v>
      </c>
      <c r="D4228" s="326">
        <v>127.86</v>
      </c>
    </row>
    <row r="4229" spans="1:4" ht="13.5">
      <c r="A4229" s="37">
        <v>92669</v>
      </c>
      <c r="B4229" s="37" t="s">
        <v>8181</v>
      </c>
      <c r="C4229" s="37" t="s">
        <v>7</v>
      </c>
      <c r="D4229" s="326">
        <v>40.35</v>
      </c>
    </row>
    <row r="4230" spans="1:4" ht="13.5">
      <c r="A4230" s="37">
        <v>92670</v>
      </c>
      <c r="B4230" s="37" t="s">
        <v>8182</v>
      </c>
      <c r="C4230" s="37" t="s">
        <v>7</v>
      </c>
      <c r="D4230" s="326">
        <v>37.61</v>
      </c>
    </row>
    <row r="4231" spans="1:4" ht="13.5">
      <c r="A4231" s="37">
        <v>92671</v>
      </c>
      <c r="B4231" s="37" t="s">
        <v>8183</v>
      </c>
      <c r="C4231" s="37" t="s">
        <v>7</v>
      </c>
      <c r="D4231" s="326">
        <v>54.16</v>
      </c>
    </row>
    <row r="4232" spans="1:4" ht="13.5">
      <c r="A4232" s="37">
        <v>92672</v>
      </c>
      <c r="B4232" s="37" t="s">
        <v>8184</v>
      </c>
      <c r="C4232" s="37" t="s">
        <v>7</v>
      </c>
      <c r="D4232" s="326">
        <v>48.71</v>
      </c>
    </row>
    <row r="4233" spans="1:4" ht="13.5">
      <c r="A4233" s="37">
        <v>92673</v>
      </c>
      <c r="B4233" s="37" t="s">
        <v>8185</v>
      </c>
      <c r="C4233" s="37" t="s">
        <v>7</v>
      </c>
      <c r="D4233" s="326">
        <v>62.8</v>
      </c>
    </row>
    <row r="4234" spans="1:4" ht="13.5">
      <c r="A4234" s="37">
        <v>92674</v>
      </c>
      <c r="B4234" s="37" t="s">
        <v>8186</v>
      </c>
      <c r="C4234" s="37" t="s">
        <v>7</v>
      </c>
      <c r="D4234" s="326">
        <v>59.04</v>
      </c>
    </row>
    <row r="4235" spans="1:4" ht="13.5">
      <c r="A4235" s="37">
        <v>92675</v>
      </c>
      <c r="B4235" s="37" t="s">
        <v>8187</v>
      </c>
      <c r="C4235" s="37" t="s">
        <v>7</v>
      </c>
      <c r="D4235" s="326">
        <v>82.8</v>
      </c>
    </row>
    <row r="4236" spans="1:4" ht="13.5">
      <c r="A4236" s="37">
        <v>92676</v>
      </c>
      <c r="B4236" s="37" t="s">
        <v>8188</v>
      </c>
      <c r="C4236" s="37" t="s">
        <v>7</v>
      </c>
      <c r="D4236" s="326">
        <v>80.25</v>
      </c>
    </row>
    <row r="4237" spans="1:4" ht="13.5">
      <c r="A4237" s="37">
        <v>92677</v>
      </c>
      <c r="B4237" s="37" t="s">
        <v>8189</v>
      </c>
      <c r="C4237" s="37" t="s">
        <v>7</v>
      </c>
      <c r="D4237" s="326">
        <v>139.69</v>
      </c>
    </row>
    <row r="4238" spans="1:4" ht="13.5">
      <c r="A4238" s="37">
        <v>92678</v>
      </c>
      <c r="B4238" s="37" t="s">
        <v>8190</v>
      </c>
      <c r="C4238" s="37" t="s">
        <v>7</v>
      </c>
      <c r="D4238" s="326">
        <v>128.46</v>
      </c>
    </row>
    <row r="4239" spans="1:4" ht="13.5">
      <c r="A4239" s="37">
        <v>92679</v>
      </c>
      <c r="B4239" s="37" t="s">
        <v>8191</v>
      </c>
      <c r="C4239" s="37" t="s">
        <v>7</v>
      </c>
      <c r="D4239" s="326">
        <v>194.23</v>
      </c>
    </row>
    <row r="4240" spans="1:4" ht="13.5">
      <c r="A4240" s="37">
        <v>92680</v>
      </c>
      <c r="B4240" s="37" t="s">
        <v>8192</v>
      </c>
      <c r="C4240" s="37" t="s">
        <v>7</v>
      </c>
      <c r="D4240" s="326">
        <v>172.59</v>
      </c>
    </row>
    <row r="4241" spans="1:4" ht="13.5">
      <c r="A4241" s="37">
        <v>92681</v>
      </c>
      <c r="B4241" s="37" t="s">
        <v>8193</v>
      </c>
      <c r="C4241" s="37" t="s">
        <v>7</v>
      </c>
      <c r="D4241" s="326">
        <v>51.15</v>
      </c>
    </row>
    <row r="4242" spans="1:4" ht="13.5">
      <c r="A4242" s="37">
        <v>92682</v>
      </c>
      <c r="B4242" s="37" t="s">
        <v>8194</v>
      </c>
      <c r="C4242" s="37" t="s">
        <v>7</v>
      </c>
      <c r="D4242" s="326">
        <v>65.540000000000006</v>
      </c>
    </row>
    <row r="4243" spans="1:4" ht="13.5">
      <c r="A4243" s="37">
        <v>92683</v>
      </c>
      <c r="B4243" s="37" t="s">
        <v>8195</v>
      </c>
      <c r="C4243" s="37" t="s">
        <v>7</v>
      </c>
      <c r="D4243" s="326">
        <v>77.239999999999995</v>
      </c>
    </row>
    <row r="4244" spans="1:4" ht="13.5">
      <c r="A4244" s="37">
        <v>92684</v>
      </c>
      <c r="B4244" s="37" t="s">
        <v>8196</v>
      </c>
      <c r="C4244" s="37" t="s">
        <v>7</v>
      </c>
      <c r="D4244" s="326">
        <v>106.87</v>
      </c>
    </row>
    <row r="4245" spans="1:4" ht="13.5">
      <c r="A4245" s="37">
        <v>92685</v>
      </c>
      <c r="B4245" s="37" t="s">
        <v>8197</v>
      </c>
      <c r="C4245" s="37" t="s">
        <v>7</v>
      </c>
      <c r="D4245" s="326">
        <v>176.86</v>
      </c>
    </row>
    <row r="4246" spans="1:4" ht="13.5">
      <c r="A4246" s="37">
        <v>92686</v>
      </c>
      <c r="B4246" s="37" t="s">
        <v>8198</v>
      </c>
      <c r="C4246" s="37" t="s">
        <v>7</v>
      </c>
      <c r="D4246" s="326">
        <v>227.97</v>
      </c>
    </row>
    <row r="4247" spans="1:4" ht="13.5">
      <c r="A4247" s="37">
        <v>92692</v>
      </c>
      <c r="B4247" s="37" t="s">
        <v>8199</v>
      </c>
      <c r="C4247" s="37" t="s">
        <v>7</v>
      </c>
      <c r="D4247" s="326">
        <v>14.11</v>
      </c>
    </row>
    <row r="4248" spans="1:4" ht="13.5">
      <c r="A4248" s="37">
        <v>92693</v>
      </c>
      <c r="B4248" s="37" t="s">
        <v>8200</v>
      </c>
      <c r="C4248" s="37" t="s">
        <v>7</v>
      </c>
      <c r="D4248" s="326">
        <v>14.57</v>
      </c>
    </row>
    <row r="4249" spans="1:4" ht="13.5">
      <c r="A4249" s="37">
        <v>92694</v>
      </c>
      <c r="B4249" s="37" t="s">
        <v>8201</v>
      </c>
      <c r="C4249" s="37" t="s">
        <v>7</v>
      </c>
      <c r="D4249" s="326">
        <v>22.12</v>
      </c>
    </row>
    <row r="4250" spans="1:4" ht="13.5">
      <c r="A4250" s="37">
        <v>92695</v>
      </c>
      <c r="B4250" s="37" t="s">
        <v>8202</v>
      </c>
      <c r="C4250" s="37" t="s">
        <v>7</v>
      </c>
      <c r="D4250" s="326">
        <v>22.58</v>
      </c>
    </row>
    <row r="4251" spans="1:4" ht="13.5">
      <c r="A4251" s="37">
        <v>92696</v>
      </c>
      <c r="B4251" s="37" t="s">
        <v>8203</v>
      </c>
      <c r="C4251" s="37" t="s">
        <v>7</v>
      </c>
      <c r="D4251" s="326">
        <v>34.49</v>
      </c>
    </row>
    <row r="4252" spans="1:4" ht="13.5">
      <c r="A4252" s="37">
        <v>92697</v>
      </c>
      <c r="B4252" s="37" t="s">
        <v>8204</v>
      </c>
      <c r="C4252" s="37" t="s">
        <v>7</v>
      </c>
      <c r="D4252" s="326">
        <v>36.549999999999997</v>
      </c>
    </row>
    <row r="4253" spans="1:4" ht="13.5">
      <c r="A4253" s="37">
        <v>92698</v>
      </c>
      <c r="B4253" s="37" t="s">
        <v>8205</v>
      </c>
      <c r="C4253" s="37" t="s">
        <v>7</v>
      </c>
      <c r="D4253" s="326">
        <v>20.86</v>
      </c>
    </row>
    <row r="4254" spans="1:4" ht="13.5">
      <c r="A4254" s="37">
        <v>92699</v>
      </c>
      <c r="B4254" s="37" t="s">
        <v>8206</v>
      </c>
      <c r="C4254" s="37" t="s">
        <v>7</v>
      </c>
      <c r="D4254" s="326">
        <v>19.37</v>
      </c>
    </row>
    <row r="4255" spans="1:4" ht="13.5">
      <c r="A4255" s="37">
        <v>92700</v>
      </c>
      <c r="B4255" s="37" t="s">
        <v>8207</v>
      </c>
      <c r="C4255" s="37" t="s">
        <v>7</v>
      </c>
      <c r="D4255" s="326">
        <v>33.74</v>
      </c>
    </row>
    <row r="4256" spans="1:4" ht="13.5">
      <c r="A4256" s="37">
        <v>92701</v>
      </c>
      <c r="B4256" s="37" t="s">
        <v>8208</v>
      </c>
      <c r="C4256" s="37" t="s">
        <v>7</v>
      </c>
      <c r="D4256" s="326">
        <v>31.52</v>
      </c>
    </row>
    <row r="4257" spans="1:4" ht="13.5">
      <c r="A4257" s="37">
        <v>92702</v>
      </c>
      <c r="B4257" s="37" t="s">
        <v>8209</v>
      </c>
      <c r="C4257" s="37" t="s">
        <v>7</v>
      </c>
      <c r="D4257" s="326">
        <v>52.45</v>
      </c>
    </row>
    <row r="4258" spans="1:4" ht="13.5">
      <c r="A4258" s="37">
        <v>92703</v>
      </c>
      <c r="B4258" s="37" t="s">
        <v>8210</v>
      </c>
      <c r="C4258" s="37" t="s">
        <v>7</v>
      </c>
      <c r="D4258" s="326">
        <v>49.71</v>
      </c>
    </row>
    <row r="4259" spans="1:4" ht="13.5">
      <c r="A4259" s="37">
        <v>92704</v>
      </c>
      <c r="B4259" s="37" t="s">
        <v>8211</v>
      </c>
      <c r="C4259" s="37" t="s">
        <v>7</v>
      </c>
      <c r="D4259" s="326">
        <v>26.09</v>
      </c>
    </row>
    <row r="4260" spans="1:4" ht="13.5">
      <c r="A4260" s="37">
        <v>92705</v>
      </c>
      <c r="B4260" s="37" t="s">
        <v>8212</v>
      </c>
      <c r="C4260" s="37" t="s">
        <v>7</v>
      </c>
      <c r="D4260" s="326">
        <v>41.56</v>
      </c>
    </row>
    <row r="4261" spans="1:4" ht="13.5">
      <c r="A4261" s="37">
        <v>92706</v>
      </c>
      <c r="B4261" s="37" t="s">
        <v>8213</v>
      </c>
      <c r="C4261" s="37" t="s">
        <v>7</v>
      </c>
      <c r="D4261" s="326">
        <v>67.28</v>
      </c>
    </row>
    <row r="4262" spans="1:4" ht="13.5">
      <c r="A4262" s="37">
        <v>92889</v>
      </c>
      <c r="B4262" s="37" t="s">
        <v>8214</v>
      </c>
      <c r="C4262" s="37" t="s">
        <v>7</v>
      </c>
      <c r="D4262" s="326">
        <v>142.77000000000001</v>
      </c>
    </row>
    <row r="4263" spans="1:4" ht="13.5">
      <c r="A4263" s="37">
        <v>92890</v>
      </c>
      <c r="B4263" s="37" t="s">
        <v>8215</v>
      </c>
      <c r="C4263" s="37" t="s">
        <v>7</v>
      </c>
      <c r="D4263" s="326">
        <v>219.82</v>
      </c>
    </row>
    <row r="4264" spans="1:4" ht="13.5">
      <c r="A4264" s="37">
        <v>92891</v>
      </c>
      <c r="B4264" s="37" t="s">
        <v>8216</v>
      </c>
      <c r="C4264" s="37" t="s">
        <v>7</v>
      </c>
      <c r="D4264" s="326">
        <v>325.70999999999998</v>
      </c>
    </row>
    <row r="4265" spans="1:4" ht="13.5">
      <c r="A4265" s="37">
        <v>92892</v>
      </c>
      <c r="B4265" s="37" t="s">
        <v>8217</v>
      </c>
      <c r="C4265" s="37" t="s">
        <v>7</v>
      </c>
      <c r="D4265" s="326">
        <v>59.08</v>
      </c>
    </row>
    <row r="4266" spans="1:4" ht="13.5">
      <c r="A4266" s="37">
        <v>92893</v>
      </c>
      <c r="B4266" s="37" t="s">
        <v>8218</v>
      </c>
      <c r="C4266" s="37" t="s">
        <v>7</v>
      </c>
      <c r="D4266" s="326">
        <v>86.07</v>
      </c>
    </row>
    <row r="4267" spans="1:4" ht="13.5">
      <c r="A4267" s="37">
        <v>92894</v>
      </c>
      <c r="B4267" s="37" t="s">
        <v>8219</v>
      </c>
      <c r="C4267" s="37" t="s">
        <v>7</v>
      </c>
      <c r="D4267" s="326">
        <v>103.5</v>
      </c>
    </row>
    <row r="4268" spans="1:4" ht="13.5">
      <c r="A4268" s="37">
        <v>92895</v>
      </c>
      <c r="B4268" s="37" t="s">
        <v>8220</v>
      </c>
      <c r="C4268" s="37" t="s">
        <v>7</v>
      </c>
      <c r="D4268" s="326">
        <v>142.72</v>
      </c>
    </row>
    <row r="4269" spans="1:4" ht="13.5">
      <c r="A4269" s="37">
        <v>92896</v>
      </c>
      <c r="B4269" s="37" t="s">
        <v>8221</v>
      </c>
      <c r="C4269" s="37" t="s">
        <v>7</v>
      </c>
      <c r="D4269" s="326">
        <v>221.32</v>
      </c>
    </row>
    <row r="4270" spans="1:4" ht="13.5">
      <c r="A4270" s="37">
        <v>92897</v>
      </c>
      <c r="B4270" s="37" t="s">
        <v>8222</v>
      </c>
      <c r="C4270" s="37" t="s">
        <v>7</v>
      </c>
      <c r="D4270" s="326">
        <v>328.82</v>
      </c>
    </row>
    <row r="4271" spans="1:4" ht="13.5">
      <c r="A4271" s="37">
        <v>92898</v>
      </c>
      <c r="B4271" s="37" t="s">
        <v>8223</v>
      </c>
      <c r="C4271" s="37" t="s">
        <v>7</v>
      </c>
      <c r="D4271" s="326">
        <v>50.71</v>
      </c>
    </row>
    <row r="4272" spans="1:4" ht="13.5">
      <c r="A4272" s="37">
        <v>92899</v>
      </c>
      <c r="B4272" s="37" t="s">
        <v>8224</v>
      </c>
      <c r="C4272" s="37" t="s">
        <v>7</v>
      </c>
      <c r="D4272" s="326">
        <v>76.540000000000006</v>
      </c>
    </row>
    <row r="4273" spans="1:4" ht="13.5">
      <c r="A4273" s="37">
        <v>92900</v>
      </c>
      <c r="B4273" s="37" t="s">
        <v>8225</v>
      </c>
      <c r="C4273" s="37" t="s">
        <v>7</v>
      </c>
      <c r="D4273" s="326">
        <v>92.64</v>
      </c>
    </row>
    <row r="4274" spans="1:4" ht="13.5">
      <c r="A4274" s="37">
        <v>92901</v>
      </c>
      <c r="B4274" s="37" t="s">
        <v>8226</v>
      </c>
      <c r="C4274" s="37" t="s">
        <v>7</v>
      </c>
      <c r="D4274" s="326">
        <v>130.22999999999999</v>
      </c>
    </row>
    <row r="4275" spans="1:4" ht="13.5">
      <c r="A4275" s="37">
        <v>92902</v>
      </c>
      <c r="B4275" s="37" t="s">
        <v>8227</v>
      </c>
      <c r="C4275" s="37" t="s">
        <v>7</v>
      </c>
      <c r="D4275" s="326">
        <v>206.34</v>
      </c>
    </row>
    <row r="4276" spans="1:4" ht="13.5">
      <c r="A4276" s="37">
        <v>92903</v>
      </c>
      <c r="B4276" s="37" t="s">
        <v>8228</v>
      </c>
      <c r="C4276" s="37" t="s">
        <v>7</v>
      </c>
      <c r="D4276" s="326">
        <v>311.39999999999998</v>
      </c>
    </row>
    <row r="4277" spans="1:4" ht="13.5">
      <c r="A4277" s="37">
        <v>92904</v>
      </c>
      <c r="B4277" s="37" t="s">
        <v>8229</v>
      </c>
      <c r="C4277" s="37" t="s">
        <v>7</v>
      </c>
      <c r="D4277" s="326">
        <v>34.92</v>
      </c>
    </row>
    <row r="4278" spans="1:4" ht="13.5">
      <c r="A4278" s="37">
        <v>92905</v>
      </c>
      <c r="B4278" s="37" t="s">
        <v>8230</v>
      </c>
      <c r="C4278" s="37" t="s">
        <v>7</v>
      </c>
      <c r="D4278" s="326">
        <v>49.28</v>
      </c>
    </row>
    <row r="4279" spans="1:4" ht="13.5">
      <c r="A4279" s="37">
        <v>92906</v>
      </c>
      <c r="B4279" s="37" t="s">
        <v>8231</v>
      </c>
      <c r="C4279" s="37" t="s">
        <v>7</v>
      </c>
      <c r="D4279" s="326">
        <v>58.72</v>
      </c>
    </row>
    <row r="4280" spans="1:4" ht="13.5">
      <c r="A4280" s="37">
        <v>92907</v>
      </c>
      <c r="B4280" s="37" t="s">
        <v>8232</v>
      </c>
      <c r="C4280" s="37" t="s">
        <v>7</v>
      </c>
      <c r="D4280" s="326">
        <v>72.61</v>
      </c>
    </row>
    <row r="4281" spans="1:4" ht="13.5">
      <c r="A4281" s="37">
        <v>92908</v>
      </c>
      <c r="B4281" s="37" t="s">
        <v>8233</v>
      </c>
      <c r="C4281" s="37" t="s">
        <v>7</v>
      </c>
      <c r="D4281" s="326">
        <v>72.61</v>
      </c>
    </row>
    <row r="4282" spans="1:4" ht="13.5">
      <c r="A4282" s="37">
        <v>92909</v>
      </c>
      <c r="B4282" s="37" t="s">
        <v>8234</v>
      </c>
      <c r="C4282" s="37" t="s">
        <v>7</v>
      </c>
      <c r="D4282" s="326">
        <v>72.61</v>
      </c>
    </row>
    <row r="4283" spans="1:4" ht="13.5">
      <c r="A4283" s="37">
        <v>92910</v>
      </c>
      <c r="B4283" s="37" t="s">
        <v>8235</v>
      </c>
      <c r="C4283" s="37" t="s">
        <v>7</v>
      </c>
      <c r="D4283" s="326">
        <v>108.08</v>
      </c>
    </row>
    <row r="4284" spans="1:4" ht="13.5">
      <c r="A4284" s="37">
        <v>92911</v>
      </c>
      <c r="B4284" s="37" t="s">
        <v>8236</v>
      </c>
      <c r="C4284" s="37" t="s">
        <v>7</v>
      </c>
      <c r="D4284" s="326">
        <v>108.08</v>
      </c>
    </row>
    <row r="4285" spans="1:4" ht="13.5">
      <c r="A4285" s="37">
        <v>92912</v>
      </c>
      <c r="B4285" s="37" t="s">
        <v>8237</v>
      </c>
      <c r="C4285" s="37" t="s">
        <v>7</v>
      </c>
      <c r="D4285" s="326">
        <v>148.07</v>
      </c>
    </row>
    <row r="4286" spans="1:4" ht="13.5">
      <c r="A4286" s="37">
        <v>92913</v>
      </c>
      <c r="B4286" s="37" t="s">
        <v>8238</v>
      </c>
      <c r="C4286" s="37" t="s">
        <v>7</v>
      </c>
      <c r="D4286" s="326">
        <v>150.63</v>
      </c>
    </row>
    <row r="4287" spans="1:4" ht="13.5">
      <c r="A4287" s="37">
        <v>92914</v>
      </c>
      <c r="B4287" s="37" t="s">
        <v>8239</v>
      </c>
      <c r="C4287" s="37" t="s">
        <v>7</v>
      </c>
      <c r="D4287" s="326">
        <v>150.63</v>
      </c>
    </row>
    <row r="4288" spans="1:4" ht="13.5">
      <c r="A4288" s="37">
        <v>92918</v>
      </c>
      <c r="B4288" s="37" t="s">
        <v>8240</v>
      </c>
      <c r="C4288" s="37" t="s">
        <v>7</v>
      </c>
      <c r="D4288" s="326">
        <v>36.74</v>
      </c>
    </row>
    <row r="4289" spans="1:4" ht="13.5">
      <c r="A4289" s="37">
        <v>92920</v>
      </c>
      <c r="B4289" s="37" t="s">
        <v>8241</v>
      </c>
      <c r="C4289" s="37" t="s">
        <v>7</v>
      </c>
      <c r="D4289" s="326">
        <v>37.03</v>
      </c>
    </row>
    <row r="4290" spans="1:4" ht="13.5">
      <c r="A4290" s="37">
        <v>92925</v>
      </c>
      <c r="B4290" s="37" t="s">
        <v>8242</v>
      </c>
      <c r="C4290" s="37" t="s">
        <v>7</v>
      </c>
      <c r="D4290" s="326">
        <v>46.39</v>
      </c>
    </row>
    <row r="4291" spans="1:4" ht="13.5">
      <c r="A4291" s="37">
        <v>92926</v>
      </c>
      <c r="B4291" s="37" t="s">
        <v>8243</v>
      </c>
      <c r="C4291" s="37" t="s">
        <v>7</v>
      </c>
      <c r="D4291" s="326">
        <v>46.38</v>
      </c>
    </row>
    <row r="4292" spans="1:4" ht="13.5">
      <c r="A4292" s="37">
        <v>92927</v>
      </c>
      <c r="B4292" s="37" t="s">
        <v>8244</v>
      </c>
      <c r="C4292" s="37" t="s">
        <v>7</v>
      </c>
      <c r="D4292" s="326">
        <v>46.38</v>
      </c>
    </row>
    <row r="4293" spans="1:4" ht="13.5">
      <c r="A4293" s="37">
        <v>92928</v>
      </c>
      <c r="B4293" s="37" t="s">
        <v>8245</v>
      </c>
      <c r="C4293" s="37" t="s">
        <v>7</v>
      </c>
      <c r="D4293" s="326">
        <v>53.38</v>
      </c>
    </row>
    <row r="4294" spans="1:4" ht="13.5">
      <c r="A4294" s="37">
        <v>92929</v>
      </c>
      <c r="B4294" s="37" t="s">
        <v>8246</v>
      </c>
      <c r="C4294" s="37" t="s">
        <v>7</v>
      </c>
      <c r="D4294" s="326">
        <v>53.38</v>
      </c>
    </row>
    <row r="4295" spans="1:4" ht="13.5">
      <c r="A4295" s="37">
        <v>92930</v>
      </c>
      <c r="B4295" s="37" t="s">
        <v>8247</v>
      </c>
      <c r="C4295" s="37" t="s">
        <v>7</v>
      </c>
      <c r="D4295" s="326">
        <v>53.38</v>
      </c>
    </row>
    <row r="4296" spans="1:4" ht="13.5">
      <c r="A4296" s="37">
        <v>92931</v>
      </c>
      <c r="B4296" s="37" t="s">
        <v>8248</v>
      </c>
      <c r="C4296" s="37" t="s">
        <v>7</v>
      </c>
      <c r="D4296" s="326">
        <v>72.56</v>
      </c>
    </row>
    <row r="4297" spans="1:4" ht="13.5">
      <c r="A4297" s="37">
        <v>92932</v>
      </c>
      <c r="B4297" s="37" t="s">
        <v>8249</v>
      </c>
      <c r="C4297" s="37" t="s">
        <v>7</v>
      </c>
      <c r="D4297" s="326">
        <v>72.56</v>
      </c>
    </row>
    <row r="4298" spans="1:4" ht="13.5">
      <c r="A4298" s="37">
        <v>92933</v>
      </c>
      <c r="B4298" s="37" t="s">
        <v>8250</v>
      </c>
      <c r="C4298" s="37" t="s">
        <v>7</v>
      </c>
      <c r="D4298" s="326">
        <v>72.56</v>
      </c>
    </row>
    <row r="4299" spans="1:4" ht="13.5">
      <c r="A4299" s="37">
        <v>92934</v>
      </c>
      <c r="B4299" s="37" t="s">
        <v>8251</v>
      </c>
      <c r="C4299" s="37" t="s">
        <v>7</v>
      </c>
      <c r="D4299" s="326">
        <v>109.58</v>
      </c>
    </row>
    <row r="4300" spans="1:4" ht="13.5">
      <c r="A4300" s="37">
        <v>92935</v>
      </c>
      <c r="B4300" s="37" t="s">
        <v>8252</v>
      </c>
      <c r="C4300" s="37" t="s">
        <v>7</v>
      </c>
      <c r="D4300" s="326">
        <v>109.58</v>
      </c>
    </row>
    <row r="4301" spans="1:4" ht="13.5">
      <c r="A4301" s="37">
        <v>92936</v>
      </c>
      <c r="B4301" s="37" t="s">
        <v>8253</v>
      </c>
      <c r="C4301" s="37" t="s">
        <v>7</v>
      </c>
      <c r="D4301" s="326">
        <v>153.74</v>
      </c>
    </row>
    <row r="4302" spans="1:4" ht="13.5">
      <c r="A4302" s="37">
        <v>92937</v>
      </c>
      <c r="B4302" s="37" t="s">
        <v>8254</v>
      </c>
      <c r="C4302" s="37" t="s">
        <v>7</v>
      </c>
      <c r="D4302" s="326">
        <v>153.74</v>
      </c>
    </row>
    <row r="4303" spans="1:4" ht="13.5">
      <c r="A4303" s="37">
        <v>92938</v>
      </c>
      <c r="B4303" s="37" t="s">
        <v>8255</v>
      </c>
      <c r="C4303" s="37" t="s">
        <v>7</v>
      </c>
      <c r="D4303" s="326">
        <v>28.37</v>
      </c>
    </row>
    <row r="4304" spans="1:4" ht="13.5">
      <c r="A4304" s="37">
        <v>92939</v>
      </c>
      <c r="B4304" s="37" t="s">
        <v>8256</v>
      </c>
      <c r="C4304" s="37" t="s">
        <v>7</v>
      </c>
      <c r="D4304" s="326">
        <v>28.66</v>
      </c>
    </row>
    <row r="4305" spans="1:4" ht="13.5">
      <c r="A4305" s="37">
        <v>92940</v>
      </c>
      <c r="B4305" s="37" t="s">
        <v>8257</v>
      </c>
      <c r="C4305" s="37" t="s">
        <v>7</v>
      </c>
      <c r="D4305" s="326">
        <v>36.86</v>
      </c>
    </row>
    <row r="4306" spans="1:4" ht="13.5">
      <c r="A4306" s="37">
        <v>92941</v>
      </c>
      <c r="B4306" s="37" t="s">
        <v>8258</v>
      </c>
      <c r="C4306" s="37" t="s">
        <v>7</v>
      </c>
      <c r="D4306" s="326">
        <v>36.85</v>
      </c>
    </row>
    <row r="4307" spans="1:4" ht="13.5">
      <c r="A4307" s="37">
        <v>92942</v>
      </c>
      <c r="B4307" s="37" t="s">
        <v>8259</v>
      </c>
      <c r="C4307" s="37" t="s">
        <v>7</v>
      </c>
      <c r="D4307" s="326">
        <v>36.85</v>
      </c>
    </row>
    <row r="4308" spans="1:4" ht="13.5">
      <c r="A4308" s="37">
        <v>92943</v>
      </c>
      <c r="B4308" s="37" t="s">
        <v>8260</v>
      </c>
      <c r="C4308" s="37" t="s">
        <v>7</v>
      </c>
      <c r="D4308" s="326">
        <v>42.52</v>
      </c>
    </row>
    <row r="4309" spans="1:4" ht="13.5">
      <c r="A4309" s="37">
        <v>92944</v>
      </c>
      <c r="B4309" s="37" t="s">
        <v>8261</v>
      </c>
      <c r="C4309" s="37" t="s">
        <v>7</v>
      </c>
      <c r="D4309" s="326">
        <v>42.52</v>
      </c>
    </row>
    <row r="4310" spans="1:4" ht="13.5">
      <c r="A4310" s="37">
        <v>92945</v>
      </c>
      <c r="B4310" s="37" t="s">
        <v>8262</v>
      </c>
      <c r="C4310" s="37" t="s">
        <v>7</v>
      </c>
      <c r="D4310" s="326">
        <v>42.52</v>
      </c>
    </row>
    <row r="4311" spans="1:4" ht="13.5">
      <c r="A4311" s="37">
        <v>92946</v>
      </c>
      <c r="B4311" s="37" t="s">
        <v>8263</v>
      </c>
      <c r="C4311" s="37" t="s">
        <v>7</v>
      </c>
      <c r="D4311" s="326">
        <v>60.07</v>
      </c>
    </row>
    <row r="4312" spans="1:4" ht="13.5">
      <c r="A4312" s="37">
        <v>92947</v>
      </c>
      <c r="B4312" s="37" t="s">
        <v>8264</v>
      </c>
      <c r="C4312" s="37" t="s">
        <v>7</v>
      </c>
      <c r="D4312" s="326">
        <v>60.07</v>
      </c>
    </row>
    <row r="4313" spans="1:4" ht="13.5">
      <c r="A4313" s="37">
        <v>92948</v>
      </c>
      <c r="B4313" s="37" t="s">
        <v>8265</v>
      </c>
      <c r="C4313" s="37" t="s">
        <v>7</v>
      </c>
      <c r="D4313" s="326">
        <v>60.07</v>
      </c>
    </row>
    <row r="4314" spans="1:4" ht="13.5">
      <c r="A4314" s="37">
        <v>92949</v>
      </c>
      <c r="B4314" s="37" t="s">
        <v>8266</v>
      </c>
      <c r="C4314" s="37" t="s">
        <v>7</v>
      </c>
      <c r="D4314" s="326">
        <v>94.6</v>
      </c>
    </row>
    <row r="4315" spans="1:4" ht="13.5">
      <c r="A4315" s="37">
        <v>92950</v>
      </c>
      <c r="B4315" s="37" t="s">
        <v>8267</v>
      </c>
      <c r="C4315" s="37" t="s">
        <v>7</v>
      </c>
      <c r="D4315" s="326">
        <v>94.6</v>
      </c>
    </row>
    <row r="4316" spans="1:4" ht="13.5">
      <c r="A4316" s="37">
        <v>92951</v>
      </c>
      <c r="B4316" s="37" t="s">
        <v>8268</v>
      </c>
      <c r="C4316" s="37" t="s">
        <v>7</v>
      </c>
      <c r="D4316" s="326">
        <v>136.32</v>
      </c>
    </row>
    <row r="4317" spans="1:4" ht="13.5">
      <c r="A4317" s="37">
        <v>92952</v>
      </c>
      <c r="B4317" s="37" t="s">
        <v>8269</v>
      </c>
      <c r="C4317" s="37" t="s">
        <v>7</v>
      </c>
      <c r="D4317" s="326">
        <v>136.32</v>
      </c>
    </row>
    <row r="4318" spans="1:4" ht="13.5">
      <c r="A4318" s="37">
        <v>92953</v>
      </c>
      <c r="B4318" s="37" t="s">
        <v>8270</v>
      </c>
      <c r="C4318" s="37" t="s">
        <v>7</v>
      </c>
      <c r="D4318" s="326">
        <v>24.07</v>
      </c>
    </row>
    <row r="4319" spans="1:4" ht="13.5">
      <c r="A4319" s="37">
        <v>93050</v>
      </c>
      <c r="B4319" s="37" t="s">
        <v>15987</v>
      </c>
      <c r="C4319" s="37" t="s">
        <v>7</v>
      </c>
      <c r="D4319" s="326">
        <v>10.53</v>
      </c>
    </row>
    <row r="4320" spans="1:4" ht="13.5">
      <c r="A4320" s="37">
        <v>93052</v>
      </c>
      <c r="B4320" s="37" t="s">
        <v>15988</v>
      </c>
      <c r="C4320" s="37" t="s">
        <v>7</v>
      </c>
      <c r="D4320" s="326">
        <v>490.93</v>
      </c>
    </row>
    <row r="4321" spans="1:4" ht="13.5">
      <c r="A4321" s="37">
        <v>93054</v>
      </c>
      <c r="B4321" s="37" t="s">
        <v>15989</v>
      </c>
      <c r="C4321" s="37" t="s">
        <v>7</v>
      </c>
      <c r="D4321" s="326">
        <v>20.98</v>
      </c>
    </row>
    <row r="4322" spans="1:4" ht="13.5">
      <c r="A4322" s="37">
        <v>93055</v>
      </c>
      <c r="B4322" s="37" t="s">
        <v>15990</v>
      </c>
      <c r="C4322" s="37" t="s">
        <v>7</v>
      </c>
      <c r="D4322" s="326">
        <v>42.34</v>
      </c>
    </row>
    <row r="4323" spans="1:4" ht="13.5">
      <c r="A4323" s="37">
        <v>93056</v>
      </c>
      <c r="B4323" s="37" t="s">
        <v>15991</v>
      </c>
      <c r="C4323" s="37" t="s">
        <v>7</v>
      </c>
      <c r="D4323" s="326">
        <v>15.77</v>
      </c>
    </row>
    <row r="4324" spans="1:4" ht="13.5">
      <c r="A4324" s="37">
        <v>93057</v>
      </c>
      <c r="B4324" s="37" t="s">
        <v>15992</v>
      </c>
      <c r="C4324" s="37" t="s">
        <v>7</v>
      </c>
      <c r="D4324" s="326">
        <v>13.11</v>
      </c>
    </row>
    <row r="4325" spans="1:4" ht="13.5">
      <c r="A4325" s="37">
        <v>93058</v>
      </c>
      <c r="B4325" s="37" t="s">
        <v>15993</v>
      </c>
      <c r="C4325" s="37" t="s">
        <v>7</v>
      </c>
      <c r="D4325" s="326">
        <v>540.07000000000005</v>
      </c>
    </row>
    <row r="4326" spans="1:4" ht="13.5">
      <c r="A4326" s="37">
        <v>93059</v>
      </c>
      <c r="B4326" s="37" t="s">
        <v>15994</v>
      </c>
      <c r="C4326" s="37" t="s">
        <v>7</v>
      </c>
      <c r="D4326" s="326">
        <v>27.5</v>
      </c>
    </row>
    <row r="4327" spans="1:4" ht="13.5">
      <c r="A4327" s="37">
        <v>93060</v>
      </c>
      <c r="B4327" s="37" t="s">
        <v>15995</v>
      </c>
      <c r="C4327" s="37" t="s">
        <v>7</v>
      </c>
      <c r="D4327" s="326">
        <v>74.27</v>
      </c>
    </row>
    <row r="4328" spans="1:4" ht="13.5">
      <c r="A4328" s="37">
        <v>93061</v>
      </c>
      <c r="B4328" s="37" t="s">
        <v>15996</v>
      </c>
      <c r="C4328" s="37" t="s">
        <v>7</v>
      </c>
      <c r="D4328" s="326">
        <v>29.98</v>
      </c>
    </row>
    <row r="4329" spans="1:4" ht="13.5">
      <c r="A4329" s="37">
        <v>93062</v>
      </c>
      <c r="B4329" s="37" t="s">
        <v>15997</v>
      </c>
      <c r="C4329" s="37" t="s">
        <v>7</v>
      </c>
      <c r="D4329" s="326">
        <v>25.29</v>
      </c>
    </row>
    <row r="4330" spans="1:4" ht="13.5">
      <c r="A4330" s="37">
        <v>93063</v>
      </c>
      <c r="B4330" s="37" t="s">
        <v>15998</v>
      </c>
      <c r="C4330" s="37" t="s">
        <v>7</v>
      </c>
      <c r="D4330" s="326">
        <v>618.85</v>
      </c>
    </row>
    <row r="4331" spans="1:4" ht="13.5">
      <c r="A4331" s="37">
        <v>93064</v>
      </c>
      <c r="B4331" s="37" t="s">
        <v>15999</v>
      </c>
      <c r="C4331" s="37" t="s">
        <v>7</v>
      </c>
      <c r="D4331" s="326">
        <v>46.1</v>
      </c>
    </row>
    <row r="4332" spans="1:4" ht="13.5">
      <c r="A4332" s="37">
        <v>93065</v>
      </c>
      <c r="B4332" s="37" t="s">
        <v>16000</v>
      </c>
      <c r="C4332" s="37" t="s">
        <v>7</v>
      </c>
      <c r="D4332" s="326">
        <v>41.38</v>
      </c>
    </row>
    <row r="4333" spans="1:4" ht="13.5">
      <c r="A4333" s="37">
        <v>93066</v>
      </c>
      <c r="B4333" s="37" t="s">
        <v>16001</v>
      </c>
      <c r="C4333" s="37" t="s">
        <v>7</v>
      </c>
      <c r="D4333" s="326">
        <v>776.65</v>
      </c>
    </row>
    <row r="4334" spans="1:4" ht="13.5">
      <c r="A4334" s="37">
        <v>93067</v>
      </c>
      <c r="B4334" s="37" t="s">
        <v>16002</v>
      </c>
      <c r="C4334" s="37" t="s">
        <v>7</v>
      </c>
      <c r="D4334" s="326">
        <v>68.58</v>
      </c>
    </row>
    <row r="4335" spans="1:4" ht="13.5">
      <c r="A4335" s="37">
        <v>93068</v>
      </c>
      <c r="B4335" s="37" t="s">
        <v>16003</v>
      </c>
      <c r="C4335" s="37" t="s">
        <v>7</v>
      </c>
      <c r="D4335" s="326">
        <v>58.3</v>
      </c>
    </row>
    <row r="4336" spans="1:4" ht="13.5">
      <c r="A4336" s="37">
        <v>93069</v>
      </c>
      <c r="B4336" s="37" t="s">
        <v>16004</v>
      </c>
      <c r="C4336" s="37" t="s">
        <v>7</v>
      </c>
      <c r="D4336" s="38">
        <v>1076.57</v>
      </c>
    </row>
    <row r="4337" spans="1:4" ht="13.5">
      <c r="A4337" s="37">
        <v>93070</v>
      </c>
      <c r="B4337" s="37" t="s">
        <v>16005</v>
      </c>
      <c r="C4337" s="37" t="s">
        <v>7</v>
      </c>
      <c r="D4337" s="326">
        <v>173.51</v>
      </c>
    </row>
    <row r="4338" spans="1:4" ht="13.5">
      <c r="A4338" s="37">
        <v>93071</v>
      </c>
      <c r="B4338" s="37" t="s">
        <v>16006</v>
      </c>
      <c r="C4338" s="37" t="s">
        <v>7</v>
      </c>
      <c r="D4338" s="326">
        <v>159.51</v>
      </c>
    </row>
    <row r="4339" spans="1:4" ht="13.5">
      <c r="A4339" s="37">
        <v>93072</v>
      </c>
      <c r="B4339" s="37" t="s">
        <v>16007</v>
      </c>
      <c r="C4339" s="37" t="s">
        <v>7</v>
      </c>
      <c r="D4339" s="38">
        <v>1420.81</v>
      </c>
    </row>
    <row r="4340" spans="1:4" ht="13.5">
      <c r="A4340" s="37">
        <v>93074</v>
      </c>
      <c r="B4340" s="37" t="s">
        <v>16008</v>
      </c>
      <c r="C4340" s="37" t="s">
        <v>7</v>
      </c>
      <c r="D4340" s="326">
        <v>12.37</v>
      </c>
    </row>
    <row r="4341" spans="1:4" ht="13.5">
      <c r="A4341" s="37">
        <v>93075</v>
      </c>
      <c r="B4341" s="37" t="s">
        <v>16009</v>
      </c>
      <c r="C4341" s="37" t="s">
        <v>7</v>
      </c>
      <c r="D4341" s="326">
        <v>18.38</v>
      </c>
    </row>
    <row r="4342" spans="1:4" ht="13.5">
      <c r="A4342" s="37">
        <v>93076</v>
      </c>
      <c r="B4342" s="37" t="s">
        <v>16010</v>
      </c>
      <c r="C4342" s="37" t="s">
        <v>7</v>
      </c>
      <c r="D4342" s="326">
        <v>19.850000000000001</v>
      </c>
    </row>
    <row r="4343" spans="1:4" ht="13.5">
      <c r="A4343" s="37">
        <v>93077</v>
      </c>
      <c r="B4343" s="37" t="s">
        <v>16011</v>
      </c>
      <c r="C4343" s="37" t="s">
        <v>7</v>
      </c>
      <c r="D4343" s="326">
        <v>26.07</v>
      </c>
    </row>
    <row r="4344" spans="1:4" ht="13.5">
      <c r="A4344" s="37">
        <v>93078</v>
      </c>
      <c r="B4344" s="37" t="s">
        <v>16012</v>
      </c>
      <c r="C4344" s="37" t="s">
        <v>7</v>
      </c>
      <c r="D4344" s="326">
        <v>29.33</v>
      </c>
    </row>
    <row r="4345" spans="1:4" ht="13.5">
      <c r="A4345" s="37">
        <v>93079</v>
      </c>
      <c r="B4345" s="37" t="s">
        <v>16013</v>
      </c>
      <c r="C4345" s="37" t="s">
        <v>7</v>
      </c>
      <c r="D4345" s="326">
        <v>27.69</v>
      </c>
    </row>
    <row r="4346" spans="1:4" ht="13.5">
      <c r="A4346" s="37">
        <v>93080</v>
      </c>
      <c r="B4346" s="37" t="s">
        <v>16014</v>
      </c>
      <c r="C4346" s="37" t="s">
        <v>7</v>
      </c>
      <c r="D4346" s="326">
        <v>8.0399999999999991</v>
      </c>
    </row>
    <row r="4347" spans="1:4" ht="13.5">
      <c r="A4347" s="37">
        <v>93081</v>
      </c>
      <c r="B4347" s="37" t="s">
        <v>16015</v>
      </c>
      <c r="C4347" s="37" t="s">
        <v>7</v>
      </c>
      <c r="D4347" s="326">
        <v>17.37</v>
      </c>
    </row>
    <row r="4348" spans="1:4" ht="13.5">
      <c r="A4348" s="37">
        <v>93082</v>
      </c>
      <c r="B4348" s="37" t="s">
        <v>16016</v>
      </c>
      <c r="C4348" s="37" t="s">
        <v>7</v>
      </c>
      <c r="D4348" s="326">
        <v>22.52</v>
      </c>
    </row>
    <row r="4349" spans="1:4" ht="13.5">
      <c r="A4349" s="37">
        <v>93083</v>
      </c>
      <c r="B4349" s="37" t="s">
        <v>16017</v>
      </c>
      <c r="C4349" s="37" t="s">
        <v>7</v>
      </c>
      <c r="D4349" s="326">
        <v>425.03</v>
      </c>
    </row>
    <row r="4350" spans="1:4" ht="13.5">
      <c r="A4350" s="37">
        <v>93084</v>
      </c>
      <c r="B4350" s="37" t="s">
        <v>16018</v>
      </c>
      <c r="C4350" s="37" t="s">
        <v>7</v>
      </c>
      <c r="D4350" s="326">
        <v>13.04</v>
      </c>
    </row>
    <row r="4351" spans="1:4" ht="13.5">
      <c r="A4351" s="37">
        <v>93085</v>
      </c>
      <c r="B4351" s="37" t="s">
        <v>16019</v>
      </c>
      <c r="C4351" s="37" t="s">
        <v>7</v>
      </c>
      <c r="D4351" s="326">
        <v>13.93</v>
      </c>
    </row>
    <row r="4352" spans="1:4" ht="13.5">
      <c r="A4352" s="37">
        <v>93086</v>
      </c>
      <c r="B4352" s="37" t="s">
        <v>16020</v>
      </c>
      <c r="C4352" s="37" t="s">
        <v>7</v>
      </c>
      <c r="D4352" s="326">
        <v>493.44</v>
      </c>
    </row>
    <row r="4353" spans="1:4" ht="13.5">
      <c r="A4353" s="37">
        <v>93087</v>
      </c>
      <c r="B4353" s="37" t="s">
        <v>16021</v>
      </c>
      <c r="C4353" s="37" t="s">
        <v>7</v>
      </c>
      <c r="D4353" s="326">
        <v>18.190000000000001</v>
      </c>
    </row>
    <row r="4354" spans="1:4" ht="13.5">
      <c r="A4354" s="37">
        <v>93088</v>
      </c>
      <c r="B4354" s="37" t="s">
        <v>16022</v>
      </c>
      <c r="C4354" s="37" t="s">
        <v>7</v>
      </c>
      <c r="D4354" s="326">
        <v>22.54</v>
      </c>
    </row>
    <row r="4355" spans="1:4" ht="13.5">
      <c r="A4355" s="37">
        <v>93089</v>
      </c>
      <c r="B4355" s="37" t="s">
        <v>16023</v>
      </c>
      <c r="C4355" s="37" t="s">
        <v>7</v>
      </c>
      <c r="D4355" s="326">
        <v>44.85</v>
      </c>
    </row>
    <row r="4356" spans="1:4" ht="13.5">
      <c r="A4356" s="37">
        <v>93090</v>
      </c>
      <c r="B4356" s="37" t="s">
        <v>16024</v>
      </c>
      <c r="C4356" s="37" t="s">
        <v>7</v>
      </c>
      <c r="D4356" s="326">
        <v>18.09</v>
      </c>
    </row>
    <row r="4357" spans="1:4" ht="13.5">
      <c r="A4357" s="37">
        <v>93091</v>
      </c>
      <c r="B4357" s="37" t="s">
        <v>16025</v>
      </c>
      <c r="C4357" s="37" t="s">
        <v>7</v>
      </c>
      <c r="D4357" s="326">
        <v>15.52</v>
      </c>
    </row>
    <row r="4358" spans="1:4" ht="13.5">
      <c r="A4358" s="37">
        <v>93092</v>
      </c>
      <c r="B4358" s="37" t="s">
        <v>16026</v>
      </c>
      <c r="C4358" s="37" t="s">
        <v>7</v>
      </c>
      <c r="D4358" s="326">
        <v>542.39</v>
      </c>
    </row>
    <row r="4359" spans="1:4" ht="13.5">
      <c r="A4359" s="37">
        <v>93093</v>
      </c>
      <c r="B4359" s="37" t="s">
        <v>16027</v>
      </c>
      <c r="C4359" s="37" t="s">
        <v>7</v>
      </c>
      <c r="D4359" s="326">
        <v>28.65</v>
      </c>
    </row>
    <row r="4360" spans="1:4" ht="13.5">
      <c r="A4360" s="37">
        <v>93094</v>
      </c>
      <c r="B4360" s="37" t="s">
        <v>16028</v>
      </c>
      <c r="C4360" s="37" t="s">
        <v>7</v>
      </c>
      <c r="D4360" s="326">
        <v>76.59</v>
      </c>
    </row>
    <row r="4361" spans="1:4" ht="13.5">
      <c r="A4361" s="37">
        <v>93097</v>
      </c>
      <c r="B4361" s="37" t="s">
        <v>16029</v>
      </c>
      <c r="C4361" s="37" t="s">
        <v>7</v>
      </c>
      <c r="D4361" s="326">
        <v>12.59</v>
      </c>
    </row>
    <row r="4362" spans="1:4" ht="13.5">
      <c r="A4362" s="37">
        <v>93098</v>
      </c>
      <c r="B4362" s="37" t="s">
        <v>16030</v>
      </c>
      <c r="C4362" s="37" t="s">
        <v>7</v>
      </c>
      <c r="D4362" s="326">
        <v>18.489999999999998</v>
      </c>
    </row>
    <row r="4363" spans="1:4" ht="13.5">
      <c r="A4363" s="37">
        <v>93099</v>
      </c>
      <c r="B4363" s="37" t="s">
        <v>16031</v>
      </c>
      <c r="C4363" s="37" t="s">
        <v>7</v>
      </c>
      <c r="D4363" s="326">
        <v>22.63</v>
      </c>
    </row>
    <row r="4364" spans="1:4" ht="13.5">
      <c r="A4364" s="37">
        <v>93100</v>
      </c>
      <c r="B4364" s="37" t="s">
        <v>16032</v>
      </c>
      <c r="C4364" s="37" t="s">
        <v>7</v>
      </c>
      <c r="D4364" s="326">
        <v>27.46</v>
      </c>
    </row>
    <row r="4365" spans="1:4" ht="13.5">
      <c r="A4365" s="37">
        <v>93101</v>
      </c>
      <c r="B4365" s="37" t="s">
        <v>16033</v>
      </c>
      <c r="C4365" s="37" t="s">
        <v>7</v>
      </c>
      <c r="D4365" s="326">
        <v>30.71</v>
      </c>
    </row>
    <row r="4366" spans="1:4" ht="13.5">
      <c r="A4366" s="37">
        <v>93102</v>
      </c>
      <c r="B4366" s="37" t="s">
        <v>16034</v>
      </c>
      <c r="C4366" s="37" t="s">
        <v>7</v>
      </c>
      <c r="D4366" s="326">
        <v>32.630000000000003</v>
      </c>
    </row>
    <row r="4367" spans="1:4" ht="13.5">
      <c r="A4367" s="37">
        <v>93103</v>
      </c>
      <c r="B4367" s="37" t="s">
        <v>16035</v>
      </c>
      <c r="C4367" s="37" t="s">
        <v>7</v>
      </c>
      <c r="D4367" s="326">
        <v>8.1999999999999993</v>
      </c>
    </row>
    <row r="4368" spans="1:4" ht="13.5">
      <c r="A4368" s="37">
        <v>93104</v>
      </c>
      <c r="B4368" s="37" t="s">
        <v>16036</v>
      </c>
      <c r="C4368" s="37" t="s">
        <v>7</v>
      </c>
      <c r="D4368" s="326">
        <v>17.45</v>
      </c>
    </row>
    <row r="4369" spans="1:4" ht="13.5">
      <c r="A4369" s="37">
        <v>93105</v>
      </c>
      <c r="B4369" s="37" t="s">
        <v>16037</v>
      </c>
      <c r="C4369" s="37" t="s">
        <v>7</v>
      </c>
      <c r="D4369" s="326">
        <v>22.68</v>
      </c>
    </row>
    <row r="4370" spans="1:4" ht="13.5">
      <c r="A4370" s="37">
        <v>93106</v>
      </c>
      <c r="B4370" s="37" t="s">
        <v>16038</v>
      </c>
      <c r="C4370" s="37" t="s">
        <v>7</v>
      </c>
      <c r="D4370" s="326">
        <v>425.19</v>
      </c>
    </row>
    <row r="4371" spans="1:4" ht="13.5">
      <c r="A4371" s="37">
        <v>93107</v>
      </c>
      <c r="B4371" s="37" t="s">
        <v>16039</v>
      </c>
      <c r="C4371" s="37" t="s">
        <v>7</v>
      </c>
      <c r="D4371" s="326">
        <v>14.91</v>
      </c>
    </row>
    <row r="4372" spans="1:4" ht="13.5">
      <c r="A4372" s="37">
        <v>93108</v>
      </c>
      <c r="B4372" s="37" t="s">
        <v>16040</v>
      </c>
      <c r="C4372" s="37" t="s">
        <v>7</v>
      </c>
      <c r="D4372" s="326">
        <v>12.57</v>
      </c>
    </row>
    <row r="4373" spans="1:4" ht="13.5">
      <c r="A4373" s="37">
        <v>93109</v>
      </c>
      <c r="B4373" s="37" t="s">
        <v>16041</v>
      </c>
      <c r="C4373" s="37" t="s">
        <v>7</v>
      </c>
      <c r="D4373" s="326">
        <v>495.31</v>
      </c>
    </row>
    <row r="4374" spans="1:4" ht="13.5">
      <c r="A4374" s="37">
        <v>93110</v>
      </c>
      <c r="B4374" s="37" t="s">
        <v>16042</v>
      </c>
      <c r="C4374" s="37" t="s">
        <v>7</v>
      </c>
      <c r="D4374" s="326">
        <v>19.11</v>
      </c>
    </row>
    <row r="4375" spans="1:4" ht="13.5">
      <c r="A4375" s="37">
        <v>93111</v>
      </c>
      <c r="B4375" s="37" t="s">
        <v>16043</v>
      </c>
      <c r="C4375" s="37" t="s">
        <v>7</v>
      </c>
      <c r="D4375" s="326">
        <v>23.18</v>
      </c>
    </row>
    <row r="4376" spans="1:4" ht="13.5">
      <c r="A4376" s="37">
        <v>93112</v>
      </c>
      <c r="B4376" s="37" t="s">
        <v>16044</v>
      </c>
      <c r="C4376" s="37" t="s">
        <v>7</v>
      </c>
      <c r="D4376" s="326">
        <v>46.72</v>
      </c>
    </row>
    <row r="4377" spans="1:4" ht="13.5">
      <c r="A4377" s="37">
        <v>93113</v>
      </c>
      <c r="B4377" s="37" t="s">
        <v>16045</v>
      </c>
      <c r="C4377" s="37" t="s">
        <v>7</v>
      </c>
      <c r="D4377" s="326">
        <v>21.41</v>
      </c>
    </row>
    <row r="4378" spans="1:4" ht="13.5">
      <c r="A4378" s="37">
        <v>93114</v>
      </c>
      <c r="B4378" s="37" t="s">
        <v>16046</v>
      </c>
      <c r="C4378" s="37" t="s">
        <v>7</v>
      </c>
      <c r="D4378" s="326">
        <v>30.32</v>
      </c>
    </row>
    <row r="4379" spans="1:4" ht="13.5">
      <c r="A4379" s="37">
        <v>93115</v>
      </c>
      <c r="B4379" s="37" t="s">
        <v>16047</v>
      </c>
      <c r="C4379" s="37" t="s">
        <v>7</v>
      </c>
      <c r="D4379" s="326">
        <v>79.91</v>
      </c>
    </row>
    <row r="4380" spans="1:4" ht="13.5">
      <c r="A4380" s="37">
        <v>93116</v>
      </c>
      <c r="B4380" s="37" t="s">
        <v>16048</v>
      </c>
      <c r="C4380" s="37" t="s">
        <v>7</v>
      </c>
      <c r="D4380" s="326">
        <v>545.71</v>
      </c>
    </row>
    <row r="4381" spans="1:4" ht="13.5">
      <c r="A4381" s="37">
        <v>93117</v>
      </c>
      <c r="B4381" s="37" t="s">
        <v>16049</v>
      </c>
      <c r="C4381" s="37" t="s">
        <v>7</v>
      </c>
      <c r="D4381" s="326">
        <v>54.54</v>
      </c>
    </row>
    <row r="4382" spans="1:4" ht="13.5">
      <c r="A4382" s="37">
        <v>93118</v>
      </c>
      <c r="B4382" s="37" t="s">
        <v>16050</v>
      </c>
      <c r="C4382" s="37" t="s">
        <v>7</v>
      </c>
      <c r="D4382" s="326">
        <v>80.41</v>
      </c>
    </row>
    <row r="4383" spans="1:4" ht="13.5">
      <c r="A4383" s="37">
        <v>93119</v>
      </c>
      <c r="B4383" s="37" t="s">
        <v>16051</v>
      </c>
      <c r="C4383" s="37" t="s">
        <v>7</v>
      </c>
      <c r="D4383" s="326">
        <v>16.100000000000001</v>
      </c>
    </row>
    <row r="4384" spans="1:4" ht="13.5">
      <c r="A4384" s="37">
        <v>93120</v>
      </c>
      <c r="B4384" s="37" t="s">
        <v>16052</v>
      </c>
      <c r="C4384" s="37" t="s">
        <v>7</v>
      </c>
      <c r="D4384" s="326">
        <v>24.19</v>
      </c>
    </row>
    <row r="4385" spans="1:4" ht="13.5">
      <c r="A4385" s="37">
        <v>93121</v>
      </c>
      <c r="B4385" s="37" t="s">
        <v>16053</v>
      </c>
      <c r="C4385" s="37" t="s">
        <v>7</v>
      </c>
      <c r="D4385" s="326">
        <v>27.45</v>
      </c>
    </row>
    <row r="4386" spans="1:4" ht="13.5">
      <c r="A4386" s="37">
        <v>93122</v>
      </c>
      <c r="B4386" s="37" t="s">
        <v>16054</v>
      </c>
      <c r="C4386" s="37" t="s">
        <v>7</v>
      </c>
      <c r="D4386" s="326">
        <v>24.22</v>
      </c>
    </row>
    <row r="4387" spans="1:4" ht="13.5">
      <c r="A4387" s="37">
        <v>93123</v>
      </c>
      <c r="B4387" s="37" t="s">
        <v>16055</v>
      </c>
      <c r="C4387" s="37" t="s">
        <v>7</v>
      </c>
      <c r="D4387" s="326">
        <v>54.26</v>
      </c>
    </row>
    <row r="4388" spans="1:4" ht="13.5">
      <c r="A4388" s="37">
        <v>93124</v>
      </c>
      <c r="B4388" s="37" t="s">
        <v>16056</v>
      </c>
      <c r="C4388" s="37" t="s">
        <v>7</v>
      </c>
      <c r="D4388" s="326">
        <v>85.3</v>
      </c>
    </row>
    <row r="4389" spans="1:4" ht="13.5">
      <c r="A4389" s="37">
        <v>93125</v>
      </c>
      <c r="B4389" s="37" t="s">
        <v>16057</v>
      </c>
      <c r="C4389" s="37" t="s">
        <v>7</v>
      </c>
      <c r="D4389" s="326">
        <v>125.47</v>
      </c>
    </row>
    <row r="4390" spans="1:4" ht="13.5">
      <c r="A4390" s="37">
        <v>93126</v>
      </c>
      <c r="B4390" s="37" t="s">
        <v>16058</v>
      </c>
      <c r="C4390" s="37" t="s">
        <v>7</v>
      </c>
      <c r="D4390" s="326">
        <v>277.64999999999998</v>
      </c>
    </row>
    <row r="4391" spans="1:4" ht="13.5">
      <c r="A4391" s="37">
        <v>93133</v>
      </c>
      <c r="B4391" s="37" t="s">
        <v>16059</v>
      </c>
      <c r="C4391" s="37" t="s">
        <v>7</v>
      </c>
      <c r="D4391" s="326">
        <v>18.12</v>
      </c>
    </row>
    <row r="4392" spans="1:4" ht="13.5">
      <c r="A4392" s="37">
        <v>94465</v>
      </c>
      <c r="B4392" s="37" t="s">
        <v>3944</v>
      </c>
      <c r="C4392" s="37" t="s">
        <v>7</v>
      </c>
      <c r="D4392" s="326">
        <v>55.02</v>
      </c>
    </row>
    <row r="4393" spans="1:4" ht="13.5">
      <c r="A4393" s="37">
        <v>94466</v>
      </c>
      <c r="B4393" s="37" t="s">
        <v>3945</v>
      </c>
      <c r="C4393" s="37" t="s">
        <v>7</v>
      </c>
      <c r="D4393" s="326">
        <v>55.05</v>
      </c>
    </row>
    <row r="4394" spans="1:4" ht="13.5">
      <c r="A4394" s="37">
        <v>94467</v>
      </c>
      <c r="B4394" s="37" t="s">
        <v>3946</v>
      </c>
      <c r="C4394" s="37" t="s">
        <v>7</v>
      </c>
      <c r="D4394" s="326">
        <v>87.34</v>
      </c>
    </row>
    <row r="4395" spans="1:4" ht="13.5">
      <c r="A4395" s="37">
        <v>94468</v>
      </c>
      <c r="B4395" s="37" t="s">
        <v>3947</v>
      </c>
      <c r="C4395" s="37" t="s">
        <v>7</v>
      </c>
      <c r="D4395" s="326">
        <v>75.87</v>
      </c>
    </row>
    <row r="4396" spans="1:4" ht="13.5">
      <c r="A4396" s="37">
        <v>94469</v>
      </c>
      <c r="B4396" s="37" t="s">
        <v>3948</v>
      </c>
      <c r="C4396" s="37" t="s">
        <v>7</v>
      </c>
      <c r="D4396" s="326">
        <v>127.69</v>
      </c>
    </row>
    <row r="4397" spans="1:4" ht="13.5">
      <c r="A4397" s="37">
        <v>94470</v>
      </c>
      <c r="B4397" s="37" t="s">
        <v>3949</v>
      </c>
      <c r="C4397" s="37" t="s">
        <v>7</v>
      </c>
      <c r="D4397" s="326">
        <v>117.48</v>
      </c>
    </row>
    <row r="4398" spans="1:4" ht="13.5">
      <c r="A4398" s="37">
        <v>94471</v>
      </c>
      <c r="B4398" s="37" t="s">
        <v>3950</v>
      </c>
      <c r="C4398" s="37" t="s">
        <v>7</v>
      </c>
      <c r="D4398" s="326">
        <v>79.22</v>
      </c>
    </row>
    <row r="4399" spans="1:4" ht="13.5">
      <c r="A4399" s="37">
        <v>94472</v>
      </c>
      <c r="B4399" s="37" t="s">
        <v>3951</v>
      </c>
      <c r="C4399" s="37" t="s">
        <v>7</v>
      </c>
      <c r="D4399" s="326">
        <v>81.77</v>
      </c>
    </row>
    <row r="4400" spans="1:4" ht="13.5">
      <c r="A4400" s="37">
        <v>94473</v>
      </c>
      <c r="B4400" s="37" t="s">
        <v>3952</v>
      </c>
      <c r="C4400" s="37" t="s">
        <v>7</v>
      </c>
      <c r="D4400" s="326">
        <v>124.89</v>
      </c>
    </row>
    <row r="4401" spans="1:4" ht="13.5">
      <c r="A4401" s="37">
        <v>94474</v>
      </c>
      <c r="B4401" s="37" t="s">
        <v>3953</v>
      </c>
      <c r="C4401" s="37" t="s">
        <v>7</v>
      </c>
      <c r="D4401" s="326">
        <v>136.12</v>
      </c>
    </row>
    <row r="4402" spans="1:4" ht="13.5">
      <c r="A4402" s="37">
        <v>94475</v>
      </c>
      <c r="B4402" s="37" t="s">
        <v>3954</v>
      </c>
      <c r="C4402" s="37" t="s">
        <v>7</v>
      </c>
      <c r="D4402" s="326">
        <v>172.38</v>
      </c>
    </row>
    <row r="4403" spans="1:4" ht="13.5">
      <c r="A4403" s="37">
        <v>94476</v>
      </c>
      <c r="B4403" s="37" t="s">
        <v>3955</v>
      </c>
      <c r="C4403" s="37" t="s">
        <v>7</v>
      </c>
      <c r="D4403" s="326">
        <v>194.02</v>
      </c>
    </row>
    <row r="4404" spans="1:4" ht="13.5">
      <c r="A4404" s="37">
        <v>94477</v>
      </c>
      <c r="B4404" s="37" t="s">
        <v>3956</v>
      </c>
      <c r="C4404" s="37" t="s">
        <v>7</v>
      </c>
      <c r="D4404" s="326">
        <v>105.4</v>
      </c>
    </row>
    <row r="4405" spans="1:4" ht="13.5">
      <c r="A4405" s="37">
        <v>94478</v>
      </c>
      <c r="B4405" s="37" t="s">
        <v>3957</v>
      </c>
      <c r="C4405" s="37" t="s">
        <v>7</v>
      </c>
      <c r="D4405" s="326">
        <v>171.96</v>
      </c>
    </row>
    <row r="4406" spans="1:4" ht="13.5">
      <c r="A4406" s="37">
        <v>94479</v>
      </c>
      <c r="B4406" s="37" t="s">
        <v>3958</v>
      </c>
      <c r="C4406" s="37" t="s">
        <v>7</v>
      </c>
      <c r="D4406" s="326">
        <v>227.54</v>
      </c>
    </row>
    <row r="4407" spans="1:4" ht="13.5">
      <c r="A4407" s="37">
        <v>94606</v>
      </c>
      <c r="B4407" s="37" t="s">
        <v>3959</v>
      </c>
      <c r="C4407" s="37" t="s">
        <v>7</v>
      </c>
      <c r="D4407" s="326">
        <v>74.98</v>
      </c>
    </row>
    <row r="4408" spans="1:4" ht="13.5">
      <c r="A4408" s="37">
        <v>94608</v>
      </c>
      <c r="B4408" s="37" t="s">
        <v>3960</v>
      </c>
      <c r="C4408" s="37" t="s">
        <v>7</v>
      </c>
      <c r="D4408" s="326">
        <v>183.7</v>
      </c>
    </row>
    <row r="4409" spans="1:4" ht="13.5">
      <c r="A4409" s="37">
        <v>94610</v>
      </c>
      <c r="B4409" s="37" t="s">
        <v>3961</v>
      </c>
      <c r="C4409" s="37" t="s">
        <v>7</v>
      </c>
      <c r="D4409" s="326">
        <v>272.72000000000003</v>
      </c>
    </row>
    <row r="4410" spans="1:4" ht="13.5">
      <c r="A4410" s="37">
        <v>94612</v>
      </c>
      <c r="B4410" s="37" t="s">
        <v>3962</v>
      </c>
      <c r="C4410" s="37" t="s">
        <v>7</v>
      </c>
      <c r="D4410" s="326">
        <v>382.47</v>
      </c>
    </row>
    <row r="4411" spans="1:4" ht="13.5">
      <c r="A4411" s="37">
        <v>94614</v>
      </c>
      <c r="B4411" s="37" t="s">
        <v>3963</v>
      </c>
      <c r="C4411" s="37" t="s">
        <v>7</v>
      </c>
      <c r="D4411" s="326">
        <v>126.76</v>
      </c>
    </row>
    <row r="4412" spans="1:4" ht="13.5">
      <c r="A4412" s="37">
        <v>94615</v>
      </c>
      <c r="B4412" s="37" t="s">
        <v>3964</v>
      </c>
      <c r="C4412" s="37" t="s">
        <v>7</v>
      </c>
      <c r="D4412" s="326">
        <v>143.82</v>
      </c>
    </row>
    <row r="4413" spans="1:4" ht="13.5">
      <c r="A4413" s="37">
        <v>94616</v>
      </c>
      <c r="B4413" s="37" t="s">
        <v>3965</v>
      </c>
      <c r="C4413" s="37" t="s">
        <v>7</v>
      </c>
      <c r="D4413" s="326">
        <v>351.06</v>
      </c>
    </row>
    <row r="4414" spans="1:4" ht="13.5">
      <c r="A4414" s="37">
        <v>94617</v>
      </c>
      <c r="B4414" s="37" t="s">
        <v>3966</v>
      </c>
      <c r="C4414" s="37" t="s">
        <v>7</v>
      </c>
      <c r="D4414" s="326">
        <v>291.72000000000003</v>
      </c>
    </row>
    <row r="4415" spans="1:4" ht="13.5">
      <c r="A4415" s="37">
        <v>94618</v>
      </c>
      <c r="B4415" s="37" t="s">
        <v>3967</v>
      </c>
      <c r="C4415" s="37" t="s">
        <v>7</v>
      </c>
      <c r="D4415" s="326">
        <v>344.82</v>
      </c>
    </row>
    <row r="4416" spans="1:4" ht="13.5">
      <c r="A4416" s="37">
        <v>94620</v>
      </c>
      <c r="B4416" s="37" t="s">
        <v>3968</v>
      </c>
      <c r="C4416" s="37" t="s">
        <v>7</v>
      </c>
      <c r="D4416" s="326">
        <v>788.69</v>
      </c>
    </row>
    <row r="4417" spans="1:4" ht="13.5">
      <c r="A4417" s="37">
        <v>94622</v>
      </c>
      <c r="B4417" s="37" t="s">
        <v>3969</v>
      </c>
      <c r="C4417" s="37" t="s">
        <v>7</v>
      </c>
      <c r="D4417" s="326">
        <v>185.38</v>
      </c>
    </row>
    <row r="4418" spans="1:4" ht="13.5">
      <c r="A4418" s="37">
        <v>94623</v>
      </c>
      <c r="B4418" s="37" t="s">
        <v>3970</v>
      </c>
      <c r="C4418" s="37" t="s">
        <v>7</v>
      </c>
      <c r="D4418" s="326">
        <v>434.87</v>
      </c>
    </row>
    <row r="4419" spans="1:4" ht="13.5">
      <c r="A4419" s="37">
        <v>94624</v>
      </c>
      <c r="B4419" s="37" t="s">
        <v>3971</v>
      </c>
      <c r="C4419" s="37" t="s">
        <v>7</v>
      </c>
      <c r="D4419" s="326">
        <v>661.4</v>
      </c>
    </row>
    <row r="4420" spans="1:4" ht="13.5">
      <c r="A4420" s="37">
        <v>94625</v>
      </c>
      <c r="B4420" s="37" t="s">
        <v>3972</v>
      </c>
      <c r="C4420" s="37" t="s">
        <v>7</v>
      </c>
      <c r="D4420" s="38">
        <v>1375.32</v>
      </c>
    </row>
    <row r="4421" spans="1:4" ht="13.5">
      <c r="A4421" s="37">
        <v>94656</v>
      </c>
      <c r="B4421" s="37" t="s">
        <v>3973</v>
      </c>
      <c r="C4421" s="37" t="s">
        <v>7</v>
      </c>
      <c r="D4421" s="326">
        <v>6.32</v>
      </c>
    </row>
    <row r="4422" spans="1:4" ht="13.5">
      <c r="A4422" s="37">
        <v>94657</v>
      </c>
      <c r="B4422" s="37" t="s">
        <v>3974</v>
      </c>
      <c r="C4422" s="37" t="s">
        <v>7</v>
      </c>
      <c r="D4422" s="326">
        <v>6.22</v>
      </c>
    </row>
    <row r="4423" spans="1:4" ht="13.5">
      <c r="A4423" s="37">
        <v>94658</v>
      </c>
      <c r="B4423" s="37" t="s">
        <v>3975</v>
      </c>
      <c r="C4423" s="37" t="s">
        <v>7</v>
      </c>
      <c r="D4423" s="326">
        <v>7.52</v>
      </c>
    </row>
    <row r="4424" spans="1:4" ht="13.5">
      <c r="A4424" s="37">
        <v>94659</v>
      </c>
      <c r="B4424" s="37" t="s">
        <v>3976</v>
      </c>
      <c r="C4424" s="37" t="s">
        <v>7</v>
      </c>
      <c r="D4424" s="326">
        <v>7.8</v>
      </c>
    </row>
    <row r="4425" spans="1:4" ht="13.5">
      <c r="A4425" s="37">
        <v>94660</v>
      </c>
      <c r="B4425" s="37" t="s">
        <v>3977</v>
      </c>
      <c r="C4425" s="37" t="s">
        <v>7</v>
      </c>
      <c r="D4425" s="326">
        <v>12.87</v>
      </c>
    </row>
    <row r="4426" spans="1:4" ht="13.5">
      <c r="A4426" s="37">
        <v>94661</v>
      </c>
      <c r="B4426" s="37" t="s">
        <v>3978</v>
      </c>
      <c r="C4426" s="37" t="s">
        <v>7</v>
      </c>
      <c r="D4426" s="326">
        <v>13.61</v>
      </c>
    </row>
    <row r="4427" spans="1:4" ht="13.5">
      <c r="A4427" s="37">
        <v>94662</v>
      </c>
      <c r="B4427" s="37" t="s">
        <v>3979</v>
      </c>
      <c r="C4427" s="37" t="s">
        <v>7</v>
      </c>
      <c r="D4427" s="326">
        <v>13.88</v>
      </c>
    </row>
    <row r="4428" spans="1:4" ht="13.5">
      <c r="A4428" s="37">
        <v>94663</v>
      </c>
      <c r="B4428" s="37" t="s">
        <v>3980</v>
      </c>
      <c r="C4428" s="37" t="s">
        <v>7</v>
      </c>
      <c r="D4428" s="326">
        <v>13.75</v>
      </c>
    </row>
    <row r="4429" spans="1:4" ht="13.5">
      <c r="A4429" s="37">
        <v>94664</v>
      </c>
      <c r="B4429" s="37" t="s">
        <v>3981</v>
      </c>
      <c r="C4429" s="37" t="s">
        <v>7</v>
      </c>
      <c r="D4429" s="326">
        <v>29.43</v>
      </c>
    </row>
    <row r="4430" spans="1:4" ht="13.5">
      <c r="A4430" s="37">
        <v>94665</v>
      </c>
      <c r="B4430" s="37" t="s">
        <v>3982</v>
      </c>
      <c r="C4430" s="37" t="s">
        <v>7</v>
      </c>
      <c r="D4430" s="326">
        <v>32.35</v>
      </c>
    </row>
    <row r="4431" spans="1:4" ht="13.5">
      <c r="A4431" s="37">
        <v>94666</v>
      </c>
      <c r="B4431" s="37" t="s">
        <v>3983</v>
      </c>
      <c r="C4431" s="37" t="s">
        <v>7</v>
      </c>
      <c r="D4431" s="326">
        <v>40.46</v>
      </c>
    </row>
    <row r="4432" spans="1:4" ht="13.5">
      <c r="A4432" s="37">
        <v>94667</v>
      </c>
      <c r="B4432" s="37" t="s">
        <v>3984</v>
      </c>
      <c r="C4432" s="37" t="s">
        <v>7</v>
      </c>
      <c r="D4432" s="326">
        <v>40.590000000000003</v>
      </c>
    </row>
    <row r="4433" spans="1:4" ht="13.5">
      <c r="A4433" s="37">
        <v>94668</v>
      </c>
      <c r="B4433" s="37" t="s">
        <v>3985</v>
      </c>
      <c r="C4433" s="37" t="s">
        <v>7</v>
      </c>
      <c r="D4433" s="326">
        <v>62.01</v>
      </c>
    </row>
    <row r="4434" spans="1:4" ht="13.5">
      <c r="A4434" s="37">
        <v>94669</v>
      </c>
      <c r="B4434" s="37" t="s">
        <v>3986</v>
      </c>
      <c r="C4434" s="37" t="s">
        <v>7</v>
      </c>
      <c r="D4434" s="326">
        <v>84.76</v>
      </c>
    </row>
    <row r="4435" spans="1:4" ht="13.5">
      <c r="A4435" s="37">
        <v>94670</v>
      </c>
      <c r="B4435" s="37" t="s">
        <v>3987</v>
      </c>
      <c r="C4435" s="37" t="s">
        <v>7</v>
      </c>
      <c r="D4435" s="326">
        <v>83.96</v>
      </c>
    </row>
    <row r="4436" spans="1:4" ht="13.5">
      <c r="A4436" s="37">
        <v>94671</v>
      </c>
      <c r="B4436" s="37" t="s">
        <v>3988</v>
      </c>
      <c r="C4436" s="37" t="s">
        <v>7</v>
      </c>
      <c r="D4436" s="326">
        <v>125.6</v>
      </c>
    </row>
    <row r="4437" spans="1:4" ht="13.5">
      <c r="A4437" s="37">
        <v>94672</v>
      </c>
      <c r="B4437" s="37" t="s">
        <v>3989</v>
      </c>
      <c r="C4437" s="37" t="s">
        <v>7</v>
      </c>
      <c r="D4437" s="326">
        <v>10.16</v>
      </c>
    </row>
    <row r="4438" spans="1:4" ht="13.5">
      <c r="A4438" s="37">
        <v>94673</v>
      </c>
      <c r="B4438" s="37" t="s">
        <v>3990</v>
      </c>
      <c r="C4438" s="37" t="s">
        <v>7</v>
      </c>
      <c r="D4438" s="326">
        <v>10.9</v>
      </c>
    </row>
    <row r="4439" spans="1:4" ht="13.5">
      <c r="A4439" s="37">
        <v>94674</v>
      </c>
      <c r="B4439" s="37" t="s">
        <v>3991</v>
      </c>
      <c r="C4439" s="37" t="s">
        <v>7</v>
      </c>
      <c r="D4439" s="326">
        <v>10.15</v>
      </c>
    </row>
    <row r="4440" spans="1:4" ht="13.5">
      <c r="A4440" s="37">
        <v>94675</v>
      </c>
      <c r="B4440" s="37" t="s">
        <v>3992</v>
      </c>
      <c r="C4440" s="37" t="s">
        <v>7</v>
      </c>
      <c r="D4440" s="326">
        <v>15.53</v>
      </c>
    </row>
    <row r="4441" spans="1:4" ht="13.5">
      <c r="A4441" s="37">
        <v>94676</v>
      </c>
      <c r="B4441" s="37" t="s">
        <v>3993</v>
      </c>
      <c r="C4441" s="37" t="s">
        <v>7</v>
      </c>
      <c r="D4441" s="326">
        <v>18.34</v>
      </c>
    </row>
    <row r="4442" spans="1:4" ht="13.5">
      <c r="A4442" s="37">
        <v>94677</v>
      </c>
      <c r="B4442" s="37" t="s">
        <v>3994</v>
      </c>
      <c r="C4442" s="37" t="s">
        <v>7</v>
      </c>
      <c r="D4442" s="326">
        <v>26.51</v>
      </c>
    </row>
    <row r="4443" spans="1:4" ht="13.5">
      <c r="A4443" s="37">
        <v>94678</v>
      </c>
      <c r="B4443" s="37" t="s">
        <v>3995</v>
      </c>
      <c r="C4443" s="37" t="s">
        <v>7</v>
      </c>
      <c r="D4443" s="326">
        <v>17.13</v>
      </c>
    </row>
    <row r="4444" spans="1:4" ht="13.5">
      <c r="A4444" s="37">
        <v>94679</v>
      </c>
      <c r="B4444" s="37" t="s">
        <v>3996</v>
      </c>
      <c r="C4444" s="37" t="s">
        <v>7</v>
      </c>
      <c r="D4444" s="326">
        <v>27.87</v>
      </c>
    </row>
    <row r="4445" spans="1:4" ht="13.5">
      <c r="A4445" s="37">
        <v>94680</v>
      </c>
      <c r="B4445" s="37" t="s">
        <v>3998</v>
      </c>
      <c r="C4445" s="37" t="s">
        <v>7</v>
      </c>
      <c r="D4445" s="326">
        <v>57.24</v>
      </c>
    </row>
    <row r="4446" spans="1:4" ht="13.5">
      <c r="A4446" s="37">
        <v>94681</v>
      </c>
      <c r="B4446" s="37" t="s">
        <v>3999</v>
      </c>
      <c r="C4446" s="37" t="s">
        <v>7</v>
      </c>
      <c r="D4446" s="326">
        <v>64.11</v>
      </c>
    </row>
    <row r="4447" spans="1:4" ht="13.5">
      <c r="A4447" s="37">
        <v>94682</v>
      </c>
      <c r="B4447" s="37" t="s">
        <v>4000</v>
      </c>
      <c r="C4447" s="37" t="s">
        <v>7</v>
      </c>
      <c r="D4447" s="326">
        <v>132.51</v>
      </c>
    </row>
    <row r="4448" spans="1:4" ht="13.5">
      <c r="A4448" s="37">
        <v>94683</v>
      </c>
      <c r="B4448" s="37" t="s">
        <v>4001</v>
      </c>
      <c r="C4448" s="37" t="s">
        <v>7</v>
      </c>
      <c r="D4448" s="326">
        <v>88.47</v>
      </c>
    </row>
    <row r="4449" spans="1:4" ht="13.5">
      <c r="A4449" s="37">
        <v>94684</v>
      </c>
      <c r="B4449" s="37" t="s">
        <v>4002</v>
      </c>
      <c r="C4449" s="37" t="s">
        <v>7</v>
      </c>
      <c r="D4449" s="326">
        <v>169.63</v>
      </c>
    </row>
    <row r="4450" spans="1:4" ht="13.5">
      <c r="A4450" s="37">
        <v>94685</v>
      </c>
      <c r="B4450" s="37" t="s">
        <v>4003</v>
      </c>
      <c r="C4450" s="37" t="s">
        <v>7</v>
      </c>
      <c r="D4450" s="326">
        <v>122.94</v>
      </c>
    </row>
    <row r="4451" spans="1:4" ht="13.5">
      <c r="A4451" s="37">
        <v>94686</v>
      </c>
      <c r="B4451" s="37" t="s">
        <v>4004</v>
      </c>
      <c r="C4451" s="37" t="s">
        <v>7</v>
      </c>
      <c r="D4451" s="326">
        <v>309.36</v>
      </c>
    </row>
    <row r="4452" spans="1:4" ht="13.5">
      <c r="A4452" s="37">
        <v>94687</v>
      </c>
      <c r="B4452" s="37" t="s">
        <v>4005</v>
      </c>
      <c r="C4452" s="37" t="s">
        <v>7</v>
      </c>
      <c r="D4452" s="326">
        <v>278.37</v>
      </c>
    </row>
    <row r="4453" spans="1:4" ht="13.5">
      <c r="A4453" s="37">
        <v>94688</v>
      </c>
      <c r="B4453" s="37" t="s">
        <v>4006</v>
      </c>
      <c r="C4453" s="37" t="s">
        <v>7</v>
      </c>
      <c r="D4453" s="326">
        <v>11</v>
      </c>
    </row>
    <row r="4454" spans="1:4" ht="13.5">
      <c r="A4454" s="37">
        <v>94689</v>
      </c>
      <c r="B4454" s="37" t="s">
        <v>4007</v>
      </c>
      <c r="C4454" s="37" t="s">
        <v>7</v>
      </c>
      <c r="D4454" s="326">
        <v>15.04</v>
      </c>
    </row>
    <row r="4455" spans="1:4" ht="13.5">
      <c r="A4455" s="37">
        <v>94690</v>
      </c>
      <c r="B4455" s="37" t="s">
        <v>4008</v>
      </c>
      <c r="C4455" s="37" t="s">
        <v>7</v>
      </c>
      <c r="D4455" s="326">
        <v>14.43</v>
      </c>
    </row>
    <row r="4456" spans="1:4" ht="13.5">
      <c r="A4456" s="37">
        <v>94691</v>
      </c>
      <c r="B4456" s="37" t="s">
        <v>4009</v>
      </c>
      <c r="C4456" s="37" t="s">
        <v>7</v>
      </c>
      <c r="D4456" s="326">
        <v>18.32</v>
      </c>
    </row>
    <row r="4457" spans="1:4" ht="13.5">
      <c r="A4457" s="37">
        <v>94692</v>
      </c>
      <c r="B4457" s="37" t="s">
        <v>4010</v>
      </c>
      <c r="C4457" s="37" t="s">
        <v>7</v>
      </c>
      <c r="D4457" s="326">
        <v>26.74</v>
      </c>
    </row>
    <row r="4458" spans="1:4" ht="13.5">
      <c r="A4458" s="37">
        <v>94693</v>
      </c>
      <c r="B4458" s="37" t="s">
        <v>4011</v>
      </c>
      <c r="C4458" s="37" t="s">
        <v>7</v>
      </c>
      <c r="D4458" s="326">
        <v>26</v>
      </c>
    </row>
    <row r="4459" spans="1:4" ht="13.5">
      <c r="A4459" s="37">
        <v>94694</v>
      </c>
      <c r="B4459" s="37" t="s">
        <v>4012</v>
      </c>
      <c r="C4459" s="37" t="s">
        <v>7</v>
      </c>
      <c r="D4459" s="326">
        <v>27.29</v>
      </c>
    </row>
    <row r="4460" spans="1:4" ht="13.5">
      <c r="A4460" s="37">
        <v>94695</v>
      </c>
      <c r="B4460" s="37" t="s">
        <v>4013</v>
      </c>
      <c r="C4460" s="37" t="s">
        <v>7</v>
      </c>
      <c r="D4460" s="326">
        <v>38.56</v>
      </c>
    </row>
    <row r="4461" spans="1:4" ht="13.5">
      <c r="A4461" s="37">
        <v>94696</v>
      </c>
      <c r="B4461" s="37" t="s">
        <v>4014</v>
      </c>
      <c r="C4461" s="37" t="s">
        <v>7</v>
      </c>
      <c r="D4461" s="326">
        <v>67.290000000000006</v>
      </c>
    </row>
    <row r="4462" spans="1:4" ht="13.5">
      <c r="A4462" s="37">
        <v>94697</v>
      </c>
      <c r="B4462" s="37" t="s">
        <v>4015</v>
      </c>
      <c r="C4462" s="37" t="s">
        <v>7</v>
      </c>
      <c r="D4462" s="326">
        <v>102.61</v>
      </c>
    </row>
    <row r="4463" spans="1:4" ht="13.5">
      <c r="A4463" s="37">
        <v>94698</v>
      </c>
      <c r="B4463" s="37" t="s">
        <v>4016</v>
      </c>
      <c r="C4463" s="37" t="s">
        <v>7</v>
      </c>
      <c r="D4463" s="326">
        <v>82.82</v>
      </c>
    </row>
    <row r="4464" spans="1:4" ht="13.5">
      <c r="A4464" s="37">
        <v>94699</v>
      </c>
      <c r="B4464" s="37" t="s">
        <v>4017</v>
      </c>
      <c r="C4464" s="37" t="s">
        <v>7</v>
      </c>
      <c r="D4464" s="326">
        <v>150.83000000000001</v>
      </c>
    </row>
    <row r="4465" spans="1:4" ht="13.5">
      <c r="A4465" s="37">
        <v>94700</v>
      </c>
      <c r="B4465" s="37" t="s">
        <v>4018</v>
      </c>
      <c r="C4465" s="37" t="s">
        <v>7</v>
      </c>
      <c r="D4465" s="326">
        <v>177.95</v>
      </c>
    </row>
    <row r="4466" spans="1:4" ht="13.5">
      <c r="A4466" s="37">
        <v>94701</v>
      </c>
      <c r="B4466" s="37" t="s">
        <v>4019</v>
      </c>
      <c r="C4466" s="37" t="s">
        <v>7</v>
      </c>
      <c r="D4466" s="326">
        <v>270.33</v>
      </c>
    </row>
    <row r="4467" spans="1:4" ht="13.5">
      <c r="A4467" s="37">
        <v>94702</v>
      </c>
      <c r="B4467" s="37" t="s">
        <v>4020</v>
      </c>
      <c r="C4467" s="37" t="s">
        <v>7</v>
      </c>
      <c r="D4467" s="326">
        <v>236.6</v>
      </c>
    </row>
    <row r="4468" spans="1:4" ht="13.5">
      <c r="A4468" s="37">
        <v>94703</v>
      </c>
      <c r="B4468" s="37" t="s">
        <v>4021</v>
      </c>
      <c r="C4468" s="37" t="s">
        <v>7</v>
      </c>
      <c r="D4468" s="326">
        <v>24.29</v>
      </c>
    </row>
    <row r="4469" spans="1:4" ht="13.5">
      <c r="A4469" s="37">
        <v>94704</v>
      </c>
      <c r="B4469" s="37" t="s">
        <v>4022</v>
      </c>
      <c r="C4469" s="37" t="s">
        <v>7</v>
      </c>
      <c r="D4469" s="326">
        <v>32.58</v>
      </c>
    </row>
    <row r="4470" spans="1:4" ht="13.5">
      <c r="A4470" s="37">
        <v>94705</v>
      </c>
      <c r="B4470" s="37" t="s">
        <v>4023</v>
      </c>
      <c r="C4470" s="37" t="s">
        <v>7</v>
      </c>
      <c r="D4470" s="326">
        <v>44.86</v>
      </c>
    </row>
    <row r="4471" spans="1:4" ht="13.5">
      <c r="A4471" s="37">
        <v>94706</v>
      </c>
      <c r="B4471" s="37" t="s">
        <v>4024</v>
      </c>
      <c r="C4471" s="37" t="s">
        <v>7</v>
      </c>
      <c r="D4471" s="326">
        <v>51.07</v>
      </c>
    </row>
    <row r="4472" spans="1:4" ht="13.5">
      <c r="A4472" s="37">
        <v>94707</v>
      </c>
      <c r="B4472" s="37" t="s">
        <v>4025</v>
      </c>
      <c r="C4472" s="37" t="s">
        <v>7</v>
      </c>
      <c r="D4472" s="326">
        <v>77.209999999999994</v>
      </c>
    </row>
    <row r="4473" spans="1:4" ht="13.5">
      <c r="A4473" s="37">
        <v>94713</v>
      </c>
      <c r="B4473" s="37" t="s">
        <v>4027</v>
      </c>
      <c r="C4473" s="37" t="s">
        <v>7</v>
      </c>
      <c r="D4473" s="326">
        <v>306.63</v>
      </c>
    </row>
    <row r="4474" spans="1:4" ht="13.5">
      <c r="A4474" s="37">
        <v>94714</v>
      </c>
      <c r="B4474" s="37" t="s">
        <v>4028</v>
      </c>
      <c r="C4474" s="37" t="s">
        <v>7</v>
      </c>
      <c r="D4474" s="326">
        <v>429.05</v>
      </c>
    </row>
    <row r="4475" spans="1:4" ht="13.5">
      <c r="A4475" s="37">
        <v>94715</v>
      </c>
      <c r="B4475" s="37" t="s">
        <v>4029</v>
      </c>
      <c r="C4475" s="37" t="s">
        <v>7</v>
      </c>
      <c r="D4475" s="326">
        <v>378.09</v>
      </c>
    </row>
    <row r="4476" spans="1:4" ht="13.5">
      <c r="A4476" s="37">
        <v>94724</v>
      </c>
      <c r="B4476" s="37" t="s">
        <v>4030</v>
      </c>
      <c r="C4476" s="37" t="s">
        <v>7</v>
      </c>
      <c r="D4476" s="326">
        <v>28.04</v>
      </c>
    </row>
    <row r="4477" spans="1:4" ht="13.5">
      <c r="A4477" s="37">
        <v>94725</v>
      </c>
      <c r="B4477" s="37" t="s">
        <v>4031</v>
      </c>
      <c r="C4477" s="37" t="s">
        <v>7</v>
      </c>
      <c r="D4477" s="326">
        <v>6.44</v>
      </c>
    </row>
    <row r="4478" spans="1:4" ht="13.5">
      <c r="A4478" s="37">
        <v>94726</v>
      </c>
      <c r="B4478" s="37" t="s">
        <v>4032</v>
      </c>
      <c r="C4478" s="37" t="s">
        <v>7</v>
      </c>
      <c r="D4478" s="326">
        <v>35.020000000000003</v>
      </c>
    </row>
    <row r="4479" spans="1:4" ht="13.5">
      <c r="A4479" s="37">
        <v>94727</v>
      </c>
      <c r="B4479" s="37" t="s">
        <v>4033</v>
      </c>
      <c r="C4479" s="37" t="s">
        <v>7</v>
      </c>
      <c r="D4479" s="326">
        <v>9.65</v>
      </c>
    </row>
    <row r="4480" spans="1:4" ht="13.5">
      <c r="A4480" s="37">
        <v>94728</v>
      </c>
      <c r="B4480" s="37" t="s">
        <v>4034</v>
      </c>
      <c r="C4480" s="37" t="s">
        <v>7</v>
      </c>
      <c r="D4480" s="326">
        <v>55.14</v>
      </c>
    </row>
    <row r="4481" spans="1:4" ht="13.5">
      <c r="A4481" s="37">
        <v>94729</v>
      </c>
      <c r="B4481" s="37" t="s">
        <v>4035</v>
      </c>
      <c r="C4481" s="37" t="s">
        <v>7</v>
      </c>
      <c r="D4481" s="326">
        <v>18.190000000000001</v>
      </c>
    </row>
    <row r="4482" spans="1:4" ht="13.5">
      <c r="A4482" s="37">
        <v>94730</v>
      </c>
      <c r="B4482" s="37" t="s">
        <v>4036</v>
      </c>
      <c r="C4482" s="37" t="s">
        <v>7</v>
      </c>
      <c r="D4482" s="326">
        <v>66.33</v>
      </c>
    </row>
    <row r="4483" spans="1:4" ht="13.5">
      <c r="A4483" s="37">
        <v>94731</v>
      </c>
      <c r="B4483" s="37" t="s">
        <v>4037</v>
      </c>
      <c r="C4483" s="37" t="s">
        <v>7</v>
      </c>
      <c r="D4483" s="326">
        <v>23.16</v>
      </c>
    </row>
    <row r="4484" spans="1:4" ht="13.5">
      <c r="A4484" s="37">
        <v>94732</v>
      </c>
      <c r="B4484" s="37" t="s">
        <v>17484</v>
      </c>
      <c r="C4484" s="37" t="s">
        <v>7</v>
      </c>
      <c r="D4484" s="326">
        <v>108.41</v>
      </c>
    </row>
    <row r="4485" spans="1:4" ht="13.5">
      <c r="A4485" s="37">
        <v>94733</v>
      </c>
      <c r="B4485" s="37" t="s">
        <v>4038</v>
      </c>
      <c r="C4485" s="37" t="s">
        <v>7</v>
      </c>
      <c r="D4485" s="326">
        <v>44.38</v>
      </c>
    </row>
    <row r="4486" spans="1:4" ht="13.5">
      <c r="A4486" s="37">
        <v>94734</v>
      </c>
      <c r="B4486" s="37" t="s">
        <v>17485</v>
      </c>
      <c r="C4486" s="37" t="s">
        <v>7</v>
      </c>
      <c r="D4486" s="326">
        <v>393.05</v>
      </c>
    </row>
    <row r="4487" spans="1:4" ht="13.5">
      <c r="A4487" s="37">
        <v>94736</v>
      </c>
      <c r="B4487" s="37" t="s">
        <v>17486</v>
      </c>
      <c r="C4487" s="37" t="s">
        <v>7</v>
      </c>
      <c r="D4487" s="326">
        <v>574.98</v>
      </c>
    </row>
    <row r="4488" spans="1:4" ht="13.5">
      <c r="A4488" s="37">
        <v>94737</v>
      </c>
      <c r="B4488" s="37" t="s">
        <v>4039</v>
      </c>
      <c r="C4488" s="37" t="s">
        <v>7</v>
      </c>
      <c r="D4488" s="326">
        <v>190.33</v>
      </c>
    </row>
    <row r="4489" spans="1:4" ht="13.5">
      <c r="A4489" s="37">
        <v>94738</v>
      </c>
      <c r="B4489" s="37" t="s">
        <v>17487</v>
      </c>
      <c r="C4489" s="37" t="s">
        <v>7</v>
      </c>
      <c r="D4489" s="38">
        <v>1727.83</v>
      </c>
    </row>
    <row r="4490" spans="1:4" ht="13.5">
      <c r="A4490" s="37">
        <v>94739</v>
      </c>
      <c r="B4490" s="37" t="s">
        <v>17488</v>
      </c>
      <c r="C4490" s="37" t="s">
        <v>7</v>
      </c>
      <c r="D4490" s="326">
        <v>218.55</v>
      </c>
    </row>
    <row r="4491" spans="1:4" ht="13.5">
      <c r="A4491" s="37">
        <v>94740</v>
      </c>
      <c r="B4491" s="37" t="s">
        <v>4040</v>
      </c>
      <c r="C4491" s="37" t="s">
        <v>7</v>
      </c>
      <c r="D4491" s="326">
        <v>10.18</v>
      </c>
    </row>
    <row r="4492" spans="1:4" ht="13.5">
      <c r="A4492" s="37">
        <v>94741</v>
      </c>
      <c r="B4492" s="37" t="s">
        <v>4041</v>
      </c>
      <c r="C4492" s="37" t="s">
        <v>7</v>
      </c>
      <c r="D4492" s="326">
        <v>13.31</v>
      </c>
    </row>
    <row r="4493" spans="1:4" ht="13.5">
      <c r="A4493" s="37">
        <v>94742</v>
      </c>
      <c r="B4493" s="37" t="s">
        <v>4042</v>
      </c>
      <c r="C4493" s="37" t="s">
        <v>7</v>
      </c>
      <c r="D4493" s="326">
        <v>15.5</v>
      </c>
    </row>
    <row r="4494" spans="1:4" ht="13.5">
      <c r="A4494" s="37">
        <v>94743</v>
      </c>
      <c r="B4494" s="37" t="s">
        <v>4043</v>
      </c>
      <c r="C4494" s="37" t="s">
        <v>7</v>
      </c>
      <c r="D4494" s="326">
        <v>20.2</v>
      </c>
    </row>
    <row r="4495" spans="1:4" ht="13.5">
      <c r="A4495" s="37">
        <v>94744</v>
      </c>
      <c r="B4495" s="37" t="s">
        <v>4044</v>
      </c>
      <c r="C4495" s="37" t="s">
        <v>7</v>
      </c>
      <c r="D4495" s="326">
        <v>25.49</v>
      </c>
    </row>
    <row r="4496" spans="1:4" ht="13.5">
      <c r="A4496" s="37">
        <v>94746</v>
      </c>
      <c r="B4496" s="37" t="s">
        <v>4045</v>
      </c>
      <c r="C4496" s="37" t="s">
        <v>7</v>
      </c>
      <c r="D4496" s="326">
        <v>35.270000000000003</v>
      </c>
    </row>
    <row r="4497" spans="1:4" ht="13.5">
      <c r="A4497" s="37">
        <v>94748</v>
      </c>
      <c r="B4497" s="37" t="s">
        <v>4046</v>
      </c>
      <c r="C4497" s="37" t="s">
        <v>7</v>
      </c>
      <c r="D4497" s="326">
        <v>83.89</v>
      </c>
    </row>
    <row r="4498" spans="1:4" ht="13.5">
      <c r="A4498" s="37">
        <v>94750</v>
      </c>
      <c r="B4498" s="37" t="s">
        <v>4047</v>
      </c>
      <c r="C4498" s="37" t="s">
        <v>7</v>
      </c>
      <c r="D4498" s="326">
        <v>165.83</v>
      </c>
    </row>
    <row r="4499" spans="1:4" ht="13.5">
      <c r="A4499" s="37">
        <v>94752</v>
      </c>
      <c r="B4499" s="37" t="s">
        <v>4048</v>
      </c>
      <c r="C4499" s="37" t="s">
        <v>7</v>
      </c>
      <c r="D4499" s="326">
        <v>201.34</v>
      </c>
    </row>
    <row r="4500" spans="1:4" ht="13.5">
      <c r="A4500" s="37">
        <v>94754</v>
      </c>
      <c r="B4500" s="37" t="s">
        <v>17489</v>
      </c>
      <c r="C4500" s="37" t="s">
        <v>7</v>
      </c>
      <c r="D4500" s="326">
        <v>270.95</v>
      </c>
    </row>
    <row r="4501" spans="1:4" ht="13.5">
      <c r="A4501" s="37">
        <v>94756</v>
      </c>
      <c r="B4501" s="37" t="s">
        <v>4049</v>
      </c>
      <c r="C4501" s="37" t="s">
        <v>7</v>
      </c>
      <c r="D4501" s="326">
        <v>12.7</v>
      </c>
    </row>
    <row r="4502" spans="1:4" ht="13.5">
      <c r="A4502" s="37">
        <v>94757</v>
      </c>
      <c r="B4502" s="37" t="s">
        <v>4050</v>
      </c>
      <c r="C4502" s="37" t="s">
        <v>7</v>
      </c>
      <c r="D4502" s="326">
        <v>18.04</v>
      </c>
    </row>
    <row r="4503" spans="1:4" ht="13.5">
      <c r="A4503" s="37">
        <v>94758</v>
      </c>
      <c r="B4503" s="37" t="s">
        <v>4051</v>
      </c>
      <c r="C4503" s="37" t="s">
        <v>7</v>
      </c>
      <c r="D4503" s="326">
        <v>50.57</v>
      </c>
    </row>
    <row r="4504" spans="1:4" ht="13.5">
      <c r="A4504" s="37">
        <v>94759</v>
      </c>
      <c r="B4504" s="37" t="s">
        <v>4052</v>
      </c>
      <c r="C4504" s="37" t="s">
        <v>7</v>
      </c>
      <c r="D4504" s="326">
        <v>62.14</v>
      </c>
    </row>
    <row r="4505" spans="1:4" ht="13.5">
      <c r="A4505" s="37">
        <v>94760</v>
      </c>
      <c r="B4505" s="37" t="s">
        <v>4053</v>
      </c>
      <c r="C4505" s="37" t="s">
        <v>7</v>
      </c>
      <c r="D4505" s="326">
        <v>104.2</v>
      </c>
    </row>
    <row r="4506" spans="1:4" ht="13.5">
      <c r="A4506" s="37">
        <v>94761</v>
      </c>
      <c r="B4506" s="37" t="s">
        <v>4054</v>
      </c>
      <c r="C4506" s="37" t="s">
        <v>7</v>
      </c>
      <c r="D4506" s="326">
        <v>222</v>
      </c>
    </row>
    <row r="4507" spans="1:4" ht="13.5">
      <c r="A4507" s="37">
        <v>94762</v>
      </c>
      <c r="B4507" s="37" t="s">
        <v>4055</v>
      </c>
      <c r="C4507" s="37" t="s">
        <v>7</v>
      </c>
      <c r="D4507" s="326">
        <v>271.58</v>
      </c>
    </row>
    <row r="4508" spans="1:4" ht="13.5">
      <c r="A4508" s="37">
        <v>94763</v>
      </c>
      <c r="B4508" s="37" t="s">
        <v>17490</v>
      </c>
      <c r="C4508" s="37" t="s">
        <v>7</v>
      </c>
      <c r="D4508" s="326">
        <v>330.94</v>
      </c>
    </row>
    <row r="4509" spans="1:4" ht="13.5">
      <c r="A4509" s="37">
        <v>94764</v>
      </c>
      <c r="B4509" s="37" t="s">
        <v>17491</v>
      </c>
      <c r="C4509" s="37" t="s">
        <v>7</v>
      </c>
      <c r="D4509" s="326">
        <v>38.22</v>
      </c>
    </row>
    <row r="4510" spans="1:4" ht="13.5">
      <c r="A4510" s="37">
        <v>94765</v>
      </c>
      <c r="B4510" s="37" t="s">
        <v>17492</v>
      </c>
      <c r="C4510" s="37" t="s">
        <v>7</v>
      </c>
      <c r="D4510" s="326">
        <v>41.6</v>
      </c>
    </row>
    <row r="4511" spans="1:4" ht="13.5">
      <c r="A4511" s="37">
        <v>94766</v>
      </c>
      <c r="B4511" s="37" t="s">
        <v>17493</v>
      </c>
      <c r="C4511" s="37" t="s">
        <v>7</v>
      </c>
      <c r="D4511" s="326">
        <v>46.07</v>
      </c>
    </row>
    <row r="4512" spans="1:4" ht="13.5">
      <c r="A4512" s="37">
        <v>94767</v>
      </c>
      <c r="B4512" s="37" t="s">
        <v>17494</v>
      </c>
      <c r="C4512" s="37" t="s">
        <v>7</v>
      </c>
      <c r="D4512" s="326">
        <v>68.760000000000005</v>
      </c>
    </row>
    <row r="4513" spans="1:4" ht="13.5">
      <c r="A4513" s="37">
        <v>94768</v>
      </c>
      <c r="B4513" s="37" t="s">
        <v>17495</v>
      </c>
      <c r="C4513" s="37" t="s">
        <v>7</v>
      </c>
      <c r="D4513" s="326">
        <v>77.58</v>
      </c>
    </row>
    <row r="4514" spans="1:4" ht="13.5">
      <c r="A4514" s="37">
        <v>94769</v>
      </c>
      <c r="B4514" s="37" t="s">
        <v>17496</v>
      </c>
      <c r="C4514" s="37" t="s">
        <v>7</v>
      </c>
      <c r="D4514" s="326">
        <v>106.51</v>
      </c>
    </row>
    <row r="4515" spans="1:4" ht="13.5">
      <c r="A4515" s="37">
        <v>94770</v>
      </c>
      <c r="B4515" s="37" t="s">
        <v>17497</v>
      </c>
      <c r="C4515" s="37" t="s">
        <v>7</v>
      </c>
      <c r="D4515" s="326">
        <v>42.96</v>
      </c>
    </row>
    <row r="4516" spans="1:4" ht="13.5">
      <c r="A4516" s="37">
        <v>94771</v>
      </c>
      <c r="B4516" s="37" t="s">
        <v>17498</v>
      </c>
      <c r="C4516" s="37" t="s">
        <v>7</v>
      </c>
      <c r="D4516" s="326">
        <v>46.34</v>
      </c>
    </row>
    <row r="4517" spans="1:4" ht="13.5">
      <c r="A4517" s="37">
        <v>94772</v>
      </c>
      <c r="B4517" s="37" t="s">
        <v>17499</v>
      </c>
      <c r="C4517" s="37" t="s">
        <v>7</v>
      </c>
      <c r="D4517" s="326">
        <v>50.81</v>
      </c>
    </row>
    <row r="4518" spans="1:4" ht="13.5">
      <c r="A4518" s="37">
        <v>94773</v>
      </c>
      <c r="B4518" s="37" t="s">
        <v>17500</v>
      </c>
      <c r="C4518" s="37" t="s">
        <v>7</v>
      </c>
      <c r="D4518" s="326">
        <v>73.5</v>
      </c>
    </row>
    <row r="4519" spans="1:4" ht="13.5">
      <c r="A4519" s="37">
        <v>94774</v>
      </c>
      <c r="B4519" s="37" t="s">
        <v>17501</v>
      </c>
      <c r="C4519" s="37" t="s">
        <v>7</v>
      </c>
      <c r="D4519" s="326">
        <v>82.32</v>
      </c>
    </row>
    <row r="4520" spans="1:4" ht="13.5">
      <c r="A4520" s="37">
        <v>94775</v>
      </c>
      <c r="B4520" s="37" t="s">
        <v>17502</v>
      </c>
      <c r="C4520" s="37" t="s">
        <v>7</v>
      </c>
      <c r="D4520" s="326">
        <v>112.8</v>
      </c>
    </row>
    <row r="4521" spans="1:4" ht="13.5">
      <c r="A4521" s="37">
        <v>94783</v>
      </c>
      <c r="B4521" s="37" t="s">
        <v>4056</v>
      </c>
      <c r="C4521" s="37" t="s">
        <v>7</v>
      </c>
      <c r="D4521" s="326">
        <v>22.96</v>
      </c>
    </row>
    <row r="4522" spans="1:4" ht="13.5">
      <c r="A4522" s="37">
        <v>94785</v>
      </c>
      <c r="B4522" s="37" t="s">
        <v>4057</v>
      </c>
      <c r="C4522" s="37" t="s">
        <v>7</v>
      </c>
      <c r="D4522" s="326">
        <v>26.55</v>
      </c>
    </row>
    <row r="4523" spans="1:4" ht="13.5">
      <c r="A4523" s="37">
        <v>94789</v>
      </c>
      <c r="B4523" s="37" t="s">
        <v>4058</v>
      </c>
      <c r="C4523" s="37" t="s">
        <v>7</v>
      </c>
      <c r="D4523" s="326">
        <v>292.79000000000002</v>
      </c>
    </row>
    <row r="4524" spans="1:4" ht="13.5">
      <c r="A4524" s="37">
        <v>94790</v>
      </c>
      <c r="B4524" s="37" t="s">
        <v>4059</v>
      </c>
      <c r="C4524" s="37" t="s">
        <v>7</v>
      </c>
      <c r="D4524" s="326">
        <v>405.81</v>
      </c>
    </row>
    <row r="4525" spans="1:4" ht="13.5">
      <c r="A4525" s="37">
        <v>94791</v>
      </c>
      <c r="B4525" s="37" t="s">
        <v>4060</v>
      </c>
      <c r="C4525" s="37" t="s">
        <v>7</v>
      </c>
      <c r="D4525" s="326">
        <v>536.79</v>
      </c>
    </row>
    <row r="4526" spans="1:4" ht="13.5">
      <c r="A4526" s="37">
        <v>94863</v>
      </c>
      <c r="B4526" s="37" t="s">
        <v>4061</v>
      </c>
      <c r="C4526" s="37" t="s">
        <v>7</v>
      </c>
      <c r="D4526" s="326">
        <v>159.72</v>
      </c>
    </row>
    <row r="4527" spans="1:4" ht="13.5">
      <c r="A4527" s="37">
        <v>95237</v>
      </c>
      <c r="B4527" s="37" t="s">
        <v>16060</v>
      </c>
      <c r="C4527" s="37" t="s">
        <v>7</v>
      </c>
      <c r="D4527" s="326">
        <v>28.89</v>
      </c>
    </row>
    <row r="4528" spans="1:4" ht="13.5">
      <c r="A4528" s="37">
        <v>95693</v>
      </c>
      <c r="B4528" s="37" t="s">
        <v>16061</v>
      </c>
      <c r="C4528" s="37" t="s">
        <v>7</v>
      </c>
      <c r="D4528" s="326">
        <v>56.76</v>
      </c>
    </row>
    <row r="4529" spans="1:4" ht="13.5">
      <c r="A4529" s="37">
        <v>95694</v>
      </c>
      <c r="B4529" s="37" t="s">
        <v>16062</v>
      </c>
      <c r="C4529" s="37" t="s">
        <v>7</v>
      </c>
      <c r="D4529" s="326">
        <v>60.52</v>
      </c>
    </row>
    <row r="4530" spans="1:4" ht="13.5">
      <c r="A4530" s="37">
        <v>95695</v>
      </c>
      <c r="B4530" s="37" t="s">
        <v>16063</v>
      </c>
      <c r="C4530" s="37" t="s">
        <v>7</v>
      </c>
      <c r="D4530" s="326">
        <v>66.900000000000006</v>
      </c>
    </row>
    <row r="4531" spans="1:4" ht="13.5">
      <c r="A4531" s="37">
        <v>95696</v>
      </c>
      <c r="B4531" s="37" t="s">
        <v>8271</v>
      </c>
      <c r="C4531" s="37" t="s">
        <v>7</v>
      </c>
      <c r="D4531" s="326">
        <v>49.66</v>
      </c>
    </row>
    <row r="4532" spans="1:4" ht="13.5">
      <c r="A4532" s="37">
        <v>96637</v>
      </c>
      <c r="B4532" s="37" t="s">
        <v>16064</v>
      </c>
      <c r="C4532" s="37" t="s">
        <v>7</v>
      </c>
      <c r="D4532" s="326">
        <v>13.98</v>
      </c>
    </row>
    <row r="4533" spans="1:4" ht="13.5">
      <c r="A4533" s="37">
        <v>96638</v>
      </c>
      <c r="B4533" s="37" t="s">
        <v>16065</v>
      </c>
      <c r="C4533" s="37" t="s">
        <v>7</v>
      </c>
      <c r="D4533" s="326">
        <v>14.34</v>
      </c>
    </row>
    <row r="4534" spans="1:4" ht="13.5">
      <c r="A4534" s="37">
        <v>96639</v>
      </c>
      <c r="B4534" s="37" t="s">
        <v>16066</v>
      </c>
      <c r="C4534" s="37" t="s">
        <v>7</v>
      </c>
      <c r="D4534" s="326">
        <v>9.76</v>
      </c>
    </row>
    <row r="4535" spans="1:4" ht="13.5">
      <c r="A4535" s="37">
        <v>96640</v>
      </c>
      <c r="B4535" s="37" t="s">
        <v>16067</v>
      </c>
      <c r="C4535" s="37" t="s">
        <v>7</v>
      </c>
      <c r="D4535" s="326">
        <v>23.31</v>
      </c>
    </row>
    <row r="4536" spans="1:4" ht="13.5">
      <c r="A4536" s="37">
        <v>96641</v>
      </c>
      <c r="B4536" s="37" t="s">
        <v>16068</v>
      </c>
      <c r="C4536" s="37" t="s">
        <v>7</v>
      </c>
      <c r="D4536" s="326">
        <v>15.47</v>
      </c>
    </row>
    <row r="4537" spans="1:4" ht="13.5">
      <c r="A4537" s="37">
        <v>96642</v>
      </c>
      <c r="B4537" s="37" t="s">
        <v>16069</v>
      </c>
      <c r="C4537" s="37" t="s">
        <v>7</v>
      </c>
      <c r="D4537" s="326">
        <v>18.39</v>
      </c>
    </row>
    <row r="4538" spans="1:4" ht="13.5">
      <c r="A4538" s="37">
        <v>96643</v>
      </c>
      <c r="B4538" s="37" t="s">
        <v>16070</v>
      </c>
      <c r="C4538" s="37" t="s">
        <v>7</v>
      </c>
      <c r="D4538" s="326">
        <v>40.81</v>
      </c>
    </row>
    <row r="4539" spans="1:4" ht="13.5">
      <c r="A4539" s="37">
        <v>96650</v>
      </c>
      <c r="B4539" s="37" t="s">
        <v>16071</v>
      </c>
      <c r="C4539" s="37" t="s">
        <v>7</v>
      </c>
      <c r="D4539" s="326">
        <v>7.88</v>
      </c>
    </row>
    <row r="4540" spans="1:4" ht="13.5">
      <c r="A4540" s="37">
        <v>96651</v>
      </c>
      <c r="B4540" s="37" t="s">
        <v>16072</v>
      </c>
      <c r="C4540" s="37" t="s">
        <v>7</v>
      </c>
      <c r="D4540" s="326">
        <v>8.24</v>
      </c>
    </row>
    <row r="4541" spans="1:4" ht="13.5">
      <c r="A4541" s="37">
        <v>96652</v>
      </c>
      <c r="B4541" s="37" t="s">
        <v>16073</v>
      </c>
      <c r="C4541" s="37" t="s">
        <v>7</v>
      </c>
      <c r="D4541" s="326">
        <v>9.4</v>
      </c>
    </row>
    <row r="4542" spans="1:4" ht="13.5">
      <c r="A4542" s="37">
        <v>96653</v>
      </c>
      <c r="B4542" s="37" t="s">
        <v>16074</v>
      </c>
      <c r="C4542" s="37" t="s">
        <v>7</v>
      </c>
      <c r="D4542" s="326">
        <v>12.45</v>
      </c>
    </row>
    <row r="4543" spans="1:4" ht="13.5">
      <c r="A4543" s="37">
        <v>96654</v>
      </c>
      <c r="B4543" s="37" t="s">
        <v>16075</v>
      </c>
      <c r="C4543" s="37" t="s">
        <v>7</v>
      </c>
      <c r="D4543" s="326">
        <v>14.18</v>
      </c>
    </row>
    <row r="4544" spans="1:4" ht="13.5">
      <c r="A4544" s="37">
        <v>96655</v>
      </c>
      <c r="B4544" s="37" t="s">
        <v>16076</v>
      </c>
      <c r="C4544" s="37" t="s">
        <v>7</v>
      </c>
      <c r="D4544" s="326">
        <v>19.14</v>
      </c>
    </row>
    <row r="4545" spans="1:4" ht="13.5">
      <c r="A4545" s="37">
        <v>96656</v>
      </c>
      <c r="B4545" s="37" t="s">
        <v>16077</v>
      </c>
      <c r="C4545" s="37" t="s">
        <v>7</v>
      </c>
      <c r="D4545" s="326">
        <v>5.69</v>
      </c>
    </row>
    <row r="4546" spans="1:4" ht="13.5">
      <c r="A4546" s="37">
        <v>96657</v>
      </c>
      <c r="B4546" s="37" t="s">
        <v>16078</v>
      </c>
      <c r="C4546" s="37" t="s">
        <v>7</v>
      </c>
      <c r="D4546" s="326">
        <v>21.5</v>
      </c>
    </row>
    <row r="4547" spans="1:4" ht="13.5">
      <c r="A4547" s="37">
        <v>96658</v>
      </c>
      <c r="B4547" s="37" t="s">
        <v>16079</v>
      </c>
      <c r="C4547" s="37" t="s">
        <v>7</v>
      </c>
      <c r="D4547" s="326">
        <v>13.66</v>
      </c>
    </row>
    <row r="4548" spans="1:4" ht="13.5">
      <c r="A4548" s="37">
        <v>96659</v>
      </c>
      <c r="B4548" s="37" t="s">
        <v>16080</v>
      </c>
      <c r="C4548" s="37" t="s">
        <v>7</v>
      </c>
      <c r="D4548" s="326">
        <v>7.48</v>
      </c>
    </row>
    <row r="4549" spans="1:4" ht="13.5">
      <c r="A4549" s="37">
        <v>96660</v>
      </c>
      <c r="B4549" s="37" t="s">
        <v>16081</v>
      </c>
      <c r="C4549" s="37" t="s">
        <v>7</v>
      </c>
      <c r="D4549" s="326">
        <v>29.28</v>
      </c>
    </row>
    <row r="4550" spans="1:4" ht="13.5">
      <c r="A4550" s="37">
        <v>96661</v>
      </c>
      <c r="B4550" s="37" t="s">
        <v>16082</v>
      </c>
      <c r="C4550" s="37" t="s">
        <v>7</v>
      </c>
      <c r="D4550" s="326">
        <v>29</v>
      </c>
    </row>
    <row r="4551" spans="1:4" ht="13.5">
      <c r="A4551" s="37">
        <v>96662</v>
      </c>
      <c r="B4551" s="37" t="s">
        <v>16083</v>
      </c>
      <c r="C4551" s="37" t="s">
        <v>7</v>
      </c>
      <c r="D4551" s="326">
        <v>8.36</v>
      </c>
    </row>
    <row r="4552" spans="1:4" ht="13.5">
      <c r="A4552" s="37">
        <v>96663</v>
      </c>
      <c r="B4552" s="37" t="s">
        <v>16084</v>
      </c>
      <c r="C4552" s="37" t="s">
        <v>7</v>
      </c>
      <c r="D4552" s="326">
        <v>14.3</v>
      </c>
    </row>
    <row r="4553" spans="1:4" ht="13.5">
      <c r="A4553" s="37">
        <v>96664</v>
      </c>
      <c r="B4553" s="37" t="s">
        <v>16085</v>
      </c>
      <c r="C4553" s="37" t="s">
        <v>7</v>
      </c>
      <c r="D4553" s="326">
        <v>15.75</v>
      </c>
    </row>
    <row r="4554" spans="1:4" ht="13.5">
      <c r="A4554" s="37">
        <v>96665</v>
      </c>
      <c r="B4554" s="37" t="s">
        <v>16086</v>
      </c>
      <c r="C4554" s="37" t="s">
        <v>7</v>
      </c>
      <c r="D4554" s="326">
        <v>10.26</v>
      </c>
    </row>
    <row r="4555" spans="1:4" ht="13.5">
      <c r="A4555" s="37">
        <v>96666</v>
      </c>
      <c r="B4555" s="37" t="s">
        <v>16087</v>
      </c>
      <c r="C4555" s="37" t="s">
        <v>7</v>
      </c>
      <c r="D4555" s="326">
        <v>14.91</v>
      </c>
    </row>
    <row r="4556" spans="1:4" ht="13.5">
      <c r="A4556" s="37">
        <v>96667</v>
      </c>
      <c r="B4556" s="37" t="s">
        <v>16088</v>
      </c>
      <c r="C4556" s="37" t="s">
        <v>7</v>
      </c>
      <c r="D4556" s="326">
        <v>21.21</v>
      </c>
    </row>
    <row r="4557" spans="1:4" ht="13.5">
      <c r="A4557" s="37">
        <v>96684</v>
      </c>
      <c r="B4557" s="37" t="s">
        <v>16089</v>
      </c>
      <c r="C4557" s="37" t="s">
        <v>7</v>
      </c>
      <c r="D4557" s="326">
        <v>10.09</v>
      </c>
    </row>
    <row r="4558" spans="1:4" ht="13.5">
      <c r="A4558" s="37">
        <v>96685</v>
      </c>
      <c r="B4558" s="37" t="s">
        <v>16090</v>
      </c>
      <c r="C4558" s="37" t="s">
        <v>7</v>
      </c>
      <c r="D4558" s="326">
        <v>10.45</v>
      </c>
    </row>
    <row r="4559" spans="1:4" ht="13.5">
      <c r="A4559" s="37">
        <v>96686</v>
      </c>
      <c r="B4559" s="37" t="s">
        <v>16091</v>
      </c>
      <c r="C4559" s="37" t="s">
        <v>7</v>
      </c>
      <c r="D4559" s="326">
        <v>13.01</v>
      </c>
    </row>
    <row r="4560" spans="1:4" ht="13.5">
      <c r="A4560" s="37">
        <v>96687</v>
      </c>
      <c r="B4560" s="37" t="s">
        <v>16092</v>
      </c>
      <c r="C4560" s="37" t="s">
        <v>7</v>
      </c>
      <c r="D4560" s="326">
        <v>16.059999999999999</v>
      </c>
    </row>
    <row r="4561" spans="1:4" ht="13.5">
      <c r="A4561" s="37">
        <v>96688</v>
      </c>
      <c r="B4561" s="37" t="s">
        <v>16093</v>
      </c>
      <c r="C4561" s="37" t="s">
        <v>7</v>
      </c>
      <c r="D4561" s="326">
        <v>19.41</v>
      </c>
    </row>
    <row r="4562" spans="1:4" ht="13.5">
      <c r="A4562" s="37">
        <v>96689</v>
      </c>
      <c r="B4562" s="37" t="s">
        <v>16094</v>
      </c>
      <c r="C4562" s="37" t="s">
        <v>7</v>
      </c>
      <c r="D4562" s="326">
        <v>24.37</v>
      </c>
    </row>
    <row r="4563" spans="1:4" ht="13.5">
      <c r="A4563" s="37">
        <v>96690</v>
      </c>
      <c r="B4563" s="37" t="s">
        <v>16095</v>
      </c>
      <c r="C4563" s="37" t="s">
        <v>7</v>
      </c>
      <c r="D4563" s="326">
        <v>27.12</v>
      </c>
    </row>
    <row r="4564" spans="1:4" ht="13.5">
      <c r="A4564" s="37">
        <v>96691</v>
      </c>
      <c r="B4564" s="37" t="s">
        <v>16096</v>
      </c>
      <c r="C4564" s="37" t="s">
        <v>7</v>
      </c>
      <c r="D4564" s="326">
        <v>34.97</v>
      </c>
    </row>
    <row r="4565" spans="1:4" ht="13.5">
      <c r="A4565" s="37">
        <v>96692</v>
      </c>
      <c r="B4565" s="37" t="s">
        <v>16097</v>
      </c>
      <c r="C4565" s="37" t="s">
        <v>7</v>
      </c>
      <c r="D4565" s="326">
        <v>38.549999999999997</v>
      </c>
    </row>
    <row r="4566" spans="1:4" ht="13.5">
      <c r="A4566" s="37">
        <v>96693</v>
      </c>
      <c r="B4566" s="37" t="s">
        <v>16098</v>
      </c>
      <c r="C4566" s="37" t="s">
        <v>7</v>
      </c>
      <c r="D4566" s="326">
        <v>52.57</v>
      </c>
    </row>
    <row r="4567" spans="1:4" ht="13.5">
      <c r="A4567" s="37">
        <v>96694</v>
      </c>
      <c r="B4567" s="37" t="s">
        <v>16099</v>
      </c>
      <c r="C4567" s="37" t="s">
        <v>7</v>
      </c>
      <c r="D4567" s="326">
        <v>82.57</v>
      </c>
    </row>
    <row r="4568" spans="1:4" ht="13.5">
      <c r="A4568" s="37">
        <v>96695</v>
      </c>
      <c r="B4568" s="37" t="s">
        <v>16100</v>
      </c>
      <c r="C4568" s="37" t="s">
        <v>7</v>
      </c>
      <c r="D4568" s="326">
        <v>91.12</v>
      </c>
    </row>
    <row r="4569" spans="1:4" ht="13.5">
      <c r="A4569" s="37">
        <v>96696</v>
      </c>
      <c r="B4569" s="37" t="s">
        <v>16101</v>
      </c>
      <c r="C4569" s="37" t="s">
        <v>7</v>
      </c>
      <c r="D4569" s="326">
        <v>103.16</v>
      </c>
    </row>
    <row r="4570" spans="1:4" ht="13.5">
      <c r="A4570" s="37">
        <v>96697</v>
      </c>
      <c r="B4570" s="37" t="s">
        <v>16102</v>
      </c>
      <c r="C4570" s="37" t="s">
        <v>7</v>
      </c>
      <c r="D4570" s="326">
        <v>307.45999999999998</v>
      </c>
    </row>
    <row r="4571" spans="1:4" ht="13.5">
      <c r="A4571" s="37">
        <v>96698</v>
      </c>
      <c r="B4571" s="37" t="s">
        <v>16103</v>
      </c>
      <c r="C4571" s="37" t="s">
        <v>7</v>
      </c>
      <c r="D4571" s="326">
        <v>7.16</v>
      </c>
    </row>
    <row r="4572" spans="1:4" ht="13.5">
      <c r="A4572" s="37">
        <v>96699</v>
      </c>
      <c r="B4572" s="37" t="s">
        <v>16104</v>
      </c>
      <c r="C4572" s="37" t="s">
        <v>7</v>
      </c>
      <c r="D4572" s="326">
        <v>22.97</v>
      </c>
    </row>
    <row r="4573" spans="1:4" ht="13.5">
      <c r="A4573" s="37">
        <v>96700</v>
      </c>
      <c r="B4573" s="37" t="s">
        <v>16105</v>
      </c>
      <c r="C4573" s="37" t="s">
        <v>7</v>
      </c>
      <c r="D4573" s="326">
        <v>15.13</v>
      </c>
    </row>
    <row r="4574" spans="1:4" ht="13.5">
      <c r="A4574" s="37">
        <v>96701</v>
      </c>
      <c r="B4574" s="37" t="s">
        <v>16106</v>
      </c>
      <c r="C4574" s="37" t="s">
        <v>7</v>
      </c>
      <c r="D4574" s="326">
        <v>9.8800000000000008</v>
      </c>
    </row>
    <row r="4575" spans="1:4" ht="13.5">
      <c r="A4575" s="37">
        <v>96702</v>
      </c>
      <c r="B4575" s="37" t="s">
        <v>16107</v>
      </c>
      <c r="C4575" s="37" t="s">
        <v>7</v>
      </c>
      <c r="D4575" s="326">
        <v>10.29</v>
      </c>
    </row>
    <row r="4576" spans="1:4" ht="13.5">
      <c r="A4576" s="37">
        <v>96703</v>
      </c>
      <c r="B4576" s="37" t="s">
        <v>16108</v>
      </c>
      <c r="C4576" s="37" t="s">
        <v>7</v>
      </c>
      <c r="D4576" s="326">
        <v>17.79</v>
      </c>
    </row>
    <row r="4577" spans="1:4" ht="13.5">
      <c r="A4577" s="37">
        <v>96704</v>
      </c>
      <c r="B4577" s="37" t="s">
        <v>16109</v>
      </c>
      <c r="C4577" s="37" t="s">
        <v>7</v>
      </c>
      <c r="D4577" s="326">
        <v>18.22</v>
      </c>
    </row>
    <row r="4578" spans="1:4" ht="13.5">
      <c r="A4578" s="37">
        <v>96705</v>
      </c>
      <c r="B4578" s="37" t="s">
        <v>16110</v>
      </c>
      <c r="C4578" s="37" t="s">
        <v>7</v>
      </c>
      <c r="D4578" s="326">
        <v>21.59</v>
      </c>
    </row>
    <row r="4579" spans="1:4" ht="13.5">
      <c r="A4579" s="37">
        <v>96706</v>
      </c>
      <c r="B4579" s="37" t="s">
        <v>16111</v>
      </c>
      <c r="C4579" s="37" t="s">
        <v>7</v>
      </c>
      <c r="D4579" s="326">
        <v>32.11</v>
      </c>
    </row>
    <row r="4580" spans="1:4" ht="13.5">
      <c r="A4580" s="37">
        <v>96707</v>
      </c>
      <c r="B4580" s="37" t="s">
        <v>16112</v>
      </c>
      <c r="C4580" s="37" t="s">
        <v>7</v>
      </c>
      <c r="D4580" s="326">
        <v>51.85</v>
      </c>
    </row>
    <row r="4581" spans="1:4" ht="13.5">
      <c r="A4581" s="37">
        <v>96708</v>
      </c>
      <c r="B4581" s="37" t="s">
        <v>16113</v>
      </c>
      <c r="C4581" s="37" t="s">
        <v>7</v>
      </c>
      <c r="D4581" s="326">
        <v>78.849999999999994</v>
      </c>
    </row>
    <row r="4582" spans="1:4" ht="13.5">
      <c r="A4582" s="37">
        <v>96709</v>
      </c>
      <c r="B4582" s="37" t="s">
        <v>16114</v>
      </c>
      <c r="C4582" s="37" t="s">
        <v>7</v>
      </c>
      <c r="D4582" s="326">
        <v>100.68</v>
      </c>
    </row>
    <row r="4583" spans="1:4" ht="13.5">
      <c r="A4583" s="37">
        <v>96710</v>
      </c>
      <c r="B4583" s="37" t="s">
        <v>16115</v>
      </c>
      <c r="C4583" s="37" t="s">
        <v>7</v>
      </c>
      <c r="D4583" s="326">
        <v>13.2</v>
      </c>
    </row>
    <row r="4584" spans="1:4" ht="13.5">
      <c r="A4584" s="37">
        <v>96711</v>
      </c>
      <c r="B4584" s="37" t="s">
        <v>16116</v>
      </c>
      <c r="C4584" s="37" t="s">
        <v>7</v>
      </c>
      <c r="D4584" s="326">
        <v>19.73</v>
      </c>
    </row>
    <row r="4585" spans="1:4" ht="13.5">
      <c r="A4585" s="37">
        <v>96712</v>
      </c>
      <c r="B4585" s="37" t="s">
        <v>16117</v>
      </c>
      <c r="C4585" s="37" t="s">
        <v>7</v>
      </c>
      <c r="D4585" s="326">
        <v>28.18</v>
      </c>
    </row>
    <row r="4586" spans="1:4" ht="13.5">
      <c r="A4586" s="37">
        <v>96713</v>
      </c>
      <c r="B4586" s="37" t="s">
        <v>16118</v>
      </c>
      <c r="C4586" s="37" t="s">
        <v>7</v>
      </c>
      <c r="D4586" s="326">
        <v>43.46</v>
      </c>
    </row>
    <row r="4587" spans="1:4" ht="13.5">
      <c r="A4587" s="37">
        <v>96714</v>
      </c>
      <c r="B4587" s="37" t="s">
        <v>16119</v>
      </c>
      <c r="C4587" s="37" t="s">
        <v>7</v>
      </c>
      <c r="D4587" s="326">
        <v>62</v>
      </c>
    </row>
    <row r="4588" spans="1:4" ht="13.5">
      <c r="A4588" s="37">
        <v>96715</v>
      </c>
      <c r="B4588" s="37" t="s">
        <v>16120</v>
      </c>
      <c r="C4588" s="37" t="s">
        <v>7</v>
      </c>
      <c r="D4588" s="326">
        <v>111.06</v>
      </c>
    </row>
    <row r="4589" spans="1:4" ht="13.5">
      <c r="A4589" s="37">
        <v>96716</v>
      </c>
      <c r="B4589" s="37" t="s">
        <v>16121</v>
      </c>
      <c r="C4589" s="37" t="s">
        <v>7</v>
      </c>
      <c r="D4589" s="326">
        <v>144.81</v>
      </c>
    </row>
    <row r="4590" spans="1:4" ht="13.5">
      <c r="A4590" s="37">
        <v>96717</v>
      </c>
      <c r="B4590" s="37" t="s">
        <v>16122</v>
      </c>
      <c r="C4590" s="37" t="s">
        <v>7</v>
      </c>
      <c r="D4590" s="326">
        <v>279.14</v>
      </c>
    </row>
    <row r="4591" spans="1:4" ht="13.5">
      <c r="A4591" s="37">
        <v>96736</v>
      </c>
      <c r="B4591" s="37" t="s">
        <v>4063</v>
      </c>
      <c r="C4591" s="37" t="s">
        <v>7</v>
      </c>
      <c r="D4591" s="326">
        <v>5.99</v>
      </c>
    </row>
    <row r="4592" spans="1:4" ht="13.5">
      <c r="A4592" s="37">
        <v>96737</v>
      </c>
      <c r="B4592" s="37" t="s">
        <v>4064</v>
      </c>
      <c r="C4592" s="37" t="s">
        <v>7</v>
      </c>
      <c r="D4592" s="326">
        <v>5.8</v>
      </c>
    </row>
    <row r="4593" spans="1:4" ht="13.5">
      <c r="A4593" s="37">
        <v>96738</v>
      </c>
      <c r="B4593" s="37" t="s">
        <v>4065</v>
      </c>
      <c r="C4593" s="37" t="s">
        <v>7</v>
      </c>
      <c r="D4593" s="326">
        <v>21.61</v>
      </c>
    </row>
    <row r="4594" spans="1:4" ht="13.5">
      <c r="A4594" s="37">
        <v>96739</v>
      </c>
      <c r="B4594" s="37" t="s">
        <v>4066</v>
      </c>
      <c r="C4594" s="37" t="s">
        <v>7</v>
      </c>
      <c r="D4594" s="326">
        <v>8.4499999999999993</v>
      </c>
    </row>
    <row r="4595" spans="1:4" ht="13.5">
      <c r="A4595" s="37">
        <v>96740</v>
      </c>
      <c r="B4595" s="37" t="s">
        <v>4067</v>
      </c>
      <c r="C4595" s="37" t="s">
        <v>7</v>
      </c>
      <c r="D4595" s="326">
        <v>30.34</v>
      </c>
    </row>
    <row r="4596" spans="1:4" ht="13.5">
      <c r="A4596" s="37">
        <v>96741</v>
      </c>
      <c r="B4596" s="37" t="s">
        <v>4068</v>
      </c>
      <c r="C4596" s="37" t="s">
        <v>7</v>
      </c>
      <c r="D4596" s="326">
        <v>15.06</v>
      </c>
    </row>
    <row r="4597" spans="1:4" ht="13.5">
      <c r="A4597" s="37">
        <v>96742</v>
      </c>
      <c r="B4597" s="37" t="s">
        <v>4069</v>
      </c>
      <c r="C4597" s="37" t="s">
        <v>7</v>
      </c>
      <c r="D4597" s="326">
        <v>19.809999999999999</v>
      </c>
    </row>
    <row r="4598" spans="1:4" ht="13.5">
      <c r="A4598" s="37">
        <v>96743</v>
      </c>
      <c r="B4598" s="37" t="s">
        <v>4070</v>
      </c>
      <c r="C4598" s="37" t="s">
        <v>7</v>
      </c>
      <c r="D4598" s="326">
        <v>28.22</v>
      </c>
    </row>
    <row r="4599" spans="1:4" ht="13.5">
      <c r="A4599" s="37">
        <v>96744</v>
      </c>
      <c r="B4599" s="37" t="s">
        <v>4071</v>
      </c>
      <c r="C4599" s="37" t="s">
        <v>7</v>
      </c>
      <c r="D4599" s="326">
        <v>50.81</v>
      </c>
    </row>
    <row r="4600" spans="1:4" ht="13.5">
      <c r="A4600" s="37">
        <v>96745</v>
      </c>
      <c r="B4600" s="37" t="s">
        <v>4072</v>
      </c>
      <c r="C4600" s="37" t="s">
        <v>7</v>
      </c>
      <c r="D4600" s="326">
        <v>75.349999999999994</v>
      </c>
    </row>
    <row r="4601" spans="1:4" ht="13.5">
      <c r="A4601" s="37">
        <v>96746</v>
      </c>
      <c r="B4601" s="37" t="s">
        <v>4073</v>
      </c>
      <c r="C4601" s="37" t="s">
        <v>7</v>
      </c>
      <c r="D4601" s="326">
        <v>100.87</v>
      </c>
    </row>
    <row r="4602" spans="1:4" ht="13.5">
      <c r="A4602" s="37">
        <v>96747</v>
      </c>
      <c r="B4602" s="37" t="s">
        <v>4074</v>
      </c>
      <c r="C4602" s="37" t="s">
        <v>7</v>
      </c>
      <c r="D4602" s="326">
        <v>7.44</v>
      </c>
    </row>
    <row r="4603" spans="1:4" ht="13.5">
      <c r="A4603" s="37">
        <v>96748</v>
      </c>
      <c r="B4603" s="37" t="s">
        <v>4075</v>
      </c>
      <c r="C4603" s="37" t="s">
        <v>7</v>
      </c>
      <c r="D4603" s="326">
        <v>8.0399999999999991</v>
      </c>
    </row>
    <row r="4604" spans="1:4" ht="13.5">
      <c r="A4604" s="37">
        <v>96749</v>
      </c>
      <c r="B4604" s="37" t="s">
        <v>4076</v>
      </c>
      <c r="C4604" s="37" t="s">
        <v>7</v>
      </c>
      <c r="D4604" s="326">
        <v>10.86</v>
      </c>
    </row>
    <row r="4605" spans="1:4" ht="13.5">
      <c r="A4605" s="37">
        <v>96750</v>
      </c>
      <c r="B4605" s="37" t="s">
        <v>4077</v>
      </c>
      <c r="C4605" s="37" t="s">
        <v>7</v>
      </c>
      <c r="D4605" s="326">
        <v>15.32</v>
      </c>
    </row>
    <row r="4606" spans="1:4" ht="13.5">
      <c r="A4606" s="37">
        <v>96751</v>
      </c>
      <c r="B4606" s="37" t="s">
        <v>4078</v>
      </c>
      <c r="C4606" s="37" t="s">
        <v>7</v>
      </c>
      <c r="D4606" s="326">
        <v>24.41</v>
      </c>
    </row>
    <row r="4607" spans="1:4" ht="13.5">
      <c r="A4607" s="37">
        <v>96752</v>
      </c>
      <c r="B4607" s="37" t="s">
        <v>4079</v>
      </c>
      <c r="C4607" s="37" t="s">
        <v>7</v>
      </c>
      <c r="D4607" s="326">
        <v>32.68</v>
      </c>
    </row>
    <row r="4608" spans="1:4" ht="13.5">
      <c r="A4608" s="37">
        <v>96753</v>
      </c>
      <c r="B4608" s="37" t="s">
        <v>4080</v>
      </c>
      <c r="C4608" s="37" t="s">
        <v>7</v>
      </c>
      <c r="D4608" s="326">
        <v>80.95</v>
      </c>
    </row>
    <row r="4609" spans="1:4" ht="13.5">
      <c r="A4609" s="37">
        <v>96754</v>
      </c>
      <c r="B4609" s="37" t="s">
        <v>4081</v>
      </c>
      <c r="C4609" s="37" t="s">
        <v>7</v>
      </c>
      <c r="D4609" s="326">
        <v>97.88</v>
      </c>
    </row>
    <row r="4610" spans="1:4" ht="13.5">
      <c r="A4610" s="37">
        <v>96755</v>
      </c>
      <c r="B4610" s="37" t="s">
        <v>4082</v>
      </c>
      <c r="C4610" s="37" t="s">
        <v>7</v>
      </c>
      <c r="D4610" s="326">
        <v>307.74</v>
      </c>
    </row>
    <row r="4611" spans="1:4" ht="13.5">
      <c r="A4611" s="37">
        <v>96756</v>
      </c>
      <c r="B4611" s="37" t="s">
        <v>4083</v>
      </c>
      <c r="C4611" s="37" t="s">
        <v>7</v>
      </c>
      <c r="D4611" s="326">
        <v>18.78</v>
      </c>
    </row>
    <row r="4612" spans="1:4" ht="13.5">
      <c r="A4612" s="37">
        <v>96757</v>
      </c>
      <c r="B4612" s="37" t="s">
        <v>4084</v>
      </c>
      <c r="C4612" s="37" t="s">
        <v>7</v>
      </c>
      <c r="D4612" s="326">
        <v>22.56</v>
      </c>
    </row>
    <row r="4613" spans="1:4" ht="13.5">
      <c r="A4613" s="37">
        <v>96758</v>
      </c>
      <c r="B4613" s="37" t="s">
        <v>4085</v>
      </c>
      <c r="C4613" s="37" t="s">
        <v>7</v>
      </c>
      <c r="D4613" s="326">
        <v>16.87</v>
      </c>
    </row>
    <row r="4614" spans="1:4" ht="13.5">
      <c r="A4614" s="37">
        <v>96759</v>
      </c>
      <c r="B4614" s="37" t="s">
        <v>4087</v>
      </c>
      <c r="C4614" s="37" t="s">
        <v>7</v>
      </c>
      <c r="D4614" s="326">
        <v>22.73</v>
      </c>
    </row>
    <row r="4615" spans="1:4" ht="13.5">
      <c r="A4615" s="37">
        <v>96760</v>
      </c>
      <c r="B4615" s="37" t="s">
        <v>4088</v>
      </c>
      <c r="C4615" s="37" t="s">
        <v>7</v>
      </c>
      <c r="D4615" s="326">
        <v>39.85</v>
      </c>
    </row>
    <row r="4616" spans="1:4" ht="13.5">
      <c r="A4616" s="37">
        <v>96761</v>
      </c>
      <c r="B4616" s="37" t="s">
        <v>4089</v>
      </c>
      <c r="C4616" s="37" t="s">
        <v>7</v>
      </c>
      <c r="D4616" s="326">
        <v>54.17</v>
      </c>
    </row>
    <row r="4617" spans="1:4" ht="13.5">
      <c r="A4617" s="37">
        <v>96762</v>
      </c>
      <c r="B4617" s="37" t="s">
        <v>4090</v>
      </c>
      <c r="C4617" s="37" t="s">
        <v>7</v>
      </c>
      <c r="D4617" s="326">
        <v>108.89</v>
      </c>
    </row>
    <row r="4618" spans="1:4" ht="13.5">
      <c r="A4618" s="37">
        <v>96763</v>
      </c>
      <c r="B4618" s="37" t="s">
        <v>4091</v>
      </c>
      <c r="C4618" s="37" t="s">
        <v>7</v>
      </c>
      <c r="D4618" s="326">
        <v>137.75</v>
      </c>
    </row>
    <row r="4619" spans="1:4" ht="13.5">
      <c r="A4619" s="37">
        <v>96764</v>
      </c>
      <c r="B4619" s="37" t="s">
        <v>4092</v>
      </c>
      <c r="C4619" s="37" t="s">
        <v>7</v>
      </c>
      <c r="D4619" s="326">
        <v>279.52999999999997</v>
      </c>
    </row>
    <row r="4620" spans="1:4" ht="13.5">
      <c r="A4620" s="37">
        <v>96802</v>
      </c>
      <c r="B4620" s="37" t="s">
        <v>17503</v>
      </c>
      <c r="C4620" s="37" t="s">
        <v>7</v>
      </c>
      <c r="D4620" s="326">
        <v>368.79</v>
      </c>
    </row>
    <row r="4621" spans="1:4" ht="13.5">
      <c r="A4621" s="37">
        <v>96803</v>
      </c>
      <c r="B4621" s="37" t="s">
        <v>17504</v>
      </c>
      <c r="C4621" s="37" t="s">
        <v>7</v>
      </c>
      <c r="D4621" s="326">
        <v>66.41</v>
      </c>
    </row>
    <row r="4622" spans="1:4" ht="13.5">
      <c r="A4622" s="37">
        <v>96804</v>
      </c>
      <c r="B4622" s="37" t="s">
        <v>17505</v>
      </c>
      <c r="C4622" s="37" t="s">
        <v>7</v>
      </c>
      <c r="D4622" s="326">
        <v>106.2</v>
      </c>
    </row>
    <row r="4623" spans="1:4" ht="13.5">
      <c r="A4623" s="37">
        <v>96805</v>
      </c>
      <c r="B4623" s="37" t="s">
        <v>17506</v>
      </c>
      <c r="C4623" s="37" t="s">
        <v>7</v>
      </c>
      <c r="D4623" s="326">
        <v>189.64</v>
      </c>
    </row>
    <row r="4624" spans="1:4" ht="13.5">
      <c r="A4624" s="37">
        <v>96806</v>
      </c>
      <c r="B4624" s="37" t="s">
        <v>17507</v>
      </c>
      <c r="C4624" s="37" t="s">
        <v>7</v>
      </c>
      <c r="D4624" s="326">
        <v>72.23</v>
      </c>
    </row>
    <row r="4625" spans="1:4" ht="13.5">
      <c r="A4625" s="37">
        <v>96807</v>
      </c>
      <c r="B4625" s="37" t="s">
        <v>17508</v>
      </c>
      <c r="C4625" s="37" t="s">
        <v>7</v>
      </c>
      <c r="D4625" s="326">
        <v>115.49</v>
      </c>
    </row>
    <row r="4626" spans="1:4" ht="13.5">
      <c r="A4626" s="37">
        <v>96808</v>
      </c>
      <c r="B4626" s="37" t="s">
        <v>17509</v>
      </c>
      <c r="C4626" s="37" t="s">
        <v>7</v>
      </c>
      <c r="D4626" s="326">
        <v>14.55</v>
      </c>
    </row>
    <row r="4627" spans="1:4" ht="13.5">
      <c r="A4627" s="37">
        <v>96809</v>
      </c>
      <c r="B4627" s="37" t="s">
        <v>17510</v>
      </c>
      <c r="C4627" s="37" t="s">
        <v>7</v>
      </c>
      <c r="D4627" s="326">
        <v>16.11</v>
      </c>
    </row>
    <row r="4628" spans="1:4" ht="13.5">
      <c r="A4628" s="37">
        <v>96810</v>
      </c>
      <c r="B4628" s="37" t="s">
        <v>17511</v>
      </c>
      <c r="C4628" s="37" t="s">
        <v>7</v>
      </c>
      <c r="D4628" s="326">
        <v>17.47</v>
      </c>
    </row>
    <row r="4629" spans="1:4" ht="13.5">
      <c r="A4629" s="37">
        <v>96811</v>
      </c>
      <c r="B4629" s="37" t="s">
        <v>17512</v>
      </c>
      <c r="C4629" s="37" t="s">
        <v>7</v>
      </c>
      <c r="D4629" s="326">
        <v>18.420000000000002</v>
      </c>
    </row>
    <row r="4630" spans="1:4" ht="13.5">
      <c r="A4630" s="37">
        <v>96812</v>
      </c>
      <c r="B4630" s="37" t="s">
        <v>17513</v>
      </c>
      <c r="C4630" s="37" t="s">
        <v>7</v>
      </c>
      <c r="D4630" s="326">
        <v>16.79</v>
      </c>
    </row>
    <row r="4631" spans="1:4" ht="13.5">
      <c r="A4631" s="37">
        <v>96813</v>
      </c>
      <c r="B4631" s="37" t="s">
        <v>17514</v>
      </c>
      <c r="C4631" s="37" t="s">
        <v>7</v>
      </c>
      <c r="D4631" s="326">
        <v>19.14</v>
      </c>
    </row>
    <row r="4632" spans="1:4" ht="13.5">
      <c r="A4632" s="37">
        <v>96814</v>
      </c>
      <c r="B4632" s="37" t="s">
        <v>17515</v>
      </c>
      <c r="C4632" s="37" t="s">
        <v>7</v>
      </c>
      <c r="D4632" s="326">
        <v>13.79</v>
      </c>
    </row>
    <row r="4633" spans="1:4" ht="13.5">
      <c r="A4633" s="37">
        <v>96815</v>
      </c>
      <c r="B4633" s="37" t="s">
        <v>17516</v>
      </c>
      <c r="C4633" s="37" t="s">
        <v>7</v>
      </c>
      <c r="D4633" s="326">
        <v>28.81</v>
      </c>
    </row>
    <row r="4634" spans="1:4" ht="13.5">
      <c r="A4634" s="37">
        <v>96816</v>
      </c>
      <c r="B4634" s="37" t="s">
        <v>17517</v>
      </c>
      <c r="C4634" s="37" t="s">
        <v>7</v>
      </c>
      <c r="D4634" s="326">
        <v>21.66</v>
      </c>
    </row>
    <row r="4635" spans="1:4" ht="13.5">
      <c r="A4635" s="37">
        <v>96817</v>
      </c>
      <c r="B4635" s="37" t="s">
        <v>17518</v>
      </c>
      <c r="C4635" s="37" t="s">
        <v>7</v>
      </c>
      <c r="D4635" s="326">
        <v>29.05</v>
      </c>
    </row>
    <row r="4636" spans="1:4" ht="13.5">
      <c r="A4636" s="37">
        <v>96818</v>
      </c>
      <c r="B4636" s="37" t="s">
        <v>17519</v>
      </c>
      <c r="C4636" s="37" t="s">
        <v>7</v>
      </c>
      <c r="D4636" s="326">
        <v>18.649999999999999</v>
      </c>
    </row>
    <row r="4637" spans="1:4" ht="13.5">
      <c r="A4637" s="37">
        <v>96819</v>
      </c>
      <c r="B4637" s="37" t="s">
        <v>17520</v>
      </c>
      <c r="C4637" s="37" t="s">
        <v>7</v>
      </c>
      <c r="D4637" s="326">
        <v>20</v>
      </c>
    </row>
    <row r="4638" spans="1:4" ht="13.5">
      <c r="A4638" s="37">
        <v>96820</v>
      </c>
      <c r="B4638" s="37" t="s">
        <v>17521</v>
      </c>
      <c r="C4638" s="37" t="s">
        <v>7</v>
      </c>
      <c r="D4638" s="326">
        <v>34.630000000000003</v>
      </c>
    </row>
    <row r="4639" spans="1:4" ht="13.5">
      <c r="A4639" s="37">
        <v>96821</v>
      </c>
      <c r="B4639" s="37" t="s">
        <v>17522</v>
      </c>
      <c r="C4639" s="37" t="s">
        <v>7</v>
      </c>
      <c r="D4639" s="326">
        <v>32.36</v>
      </c>
    </row>
    <row r="4640" spans="1:4" ht="13.5">
      <c r="A4640" s="37">
        <v>96822</v>
      </c>
      <c r="B4640" s="37" t="s">
        <v>17523</v>
      </c>
      <c r="C4640" s="37" t="s">
        <v>7</v>
      </c>
      <c r="D4640" s="326">
        <v>26.31</v>
      </c>
    </row>
    <row r="4641" spans="1:4" ht="13.5">
      <c r="A4641" s="37">
        <v>96823</v>
      </c>
      <c r="B4641" s="37" t="s">
        <v>17524</v>
      </c>
      <c r="C4641" s="37" t="s">
        <v>7</v>
      </c>
      <c r="D4641" s="326">
        <v>9.7200000000000006</v>
      </c>
    </row>
    <row r="4642" spans="1:4" ht="13.5">
      <c r="A4642" s="37">
        <v>96824</v>
      </c>
      <c r="B4642" s="37" t="s">
        <v>17525</v>
      </c>
      <c r="C4642" s="37" t="s">
        <v>7</v>
      </c>
      <c r="D4642" s="326">
        <v>15.13</v>
      </c>
    </row>
    <row r="4643" spans="1:4" ht="13.5">
      <c r="A4643" s="37">
        <v>96826</v>
      </c>
      <c r="B4643" s="37" t="s">
        <v>17526</v>
      </c>
      <c r="C4643" s="37" t="s">
        <v>7</v>
      </c>
      <c r="D4643" s="326">
        <v>11.28</v>
      </c>
    </row>
    <row r="4644" spans="1:4" ht="13.5">
      <c r="A4644" s="37">
        <v>96827</v>
      </c>
      <c r="B4644" s="37" t="s">
        <v>17527</v>
      </c>
      <c r="C4644" s="37" t="s">
        <v>7</v>
      </c>
      <c r="D4644" s="326">
        <v>16.510000000000002</v>
      </c>
    </row>
    <row r="4645" spans="1:4" ht="13.5">
      <c r="A4645" s="37">
        <v>96828</v>
      </c>
      <c r="B4645" s="37" t="s">
        <v>17528</v>
      </c>
      <c r="C4645" s="37" t="s">
        <v>7</v>
      </c>
      <c r="D4645" s="326">
        <v>20.399999999999999</v>
      </c>
    </row>
    <row r="4646" spans="1:4" ht="13.5">
      <c r="A4646" s="37">
        <v>96829</v>
      </c>
      <c r="B4646" s="37" t="s">
        <v>17529</v>
      </c>
      <c r="C4646" s="37" t="s">
        <v>7</v>
      </c>
      <c r="D4646" s="326">
        <v>15.96</v>
      </c>
    </row>
    <row r="4647" spans="1:4" ht="13.5">
      <c r="A4647" s="37">
        <v>96830</v>
      </c>
      <c r="B4647" s="37" t="s">
        <v>17530</v>
      </c>
      <c r="C4647" s="37" t="s">
        <v>7</v>
      </c>
      <c r="D4647" s="326">
        <v>17.89</v>
      </c>
    </row>
    <row r="4648" spans="1:4" ht="13.5">
      <c r="A4648" s="37">
        <v>96832</v>
      </c>
      <c r="B4648" s="37" t="s">
        <v>17531</v>
      </c>
      <c r="C4648" s="37" t="s">
        <v>7</v>
      </c>
      <c r="D4648" s="326">
        <v>25.75</v>
      </c>
    </row>
    <row r="4649" spans="1:4" ht="13.5">
      <c r="A4649" s="37">
        <v>96833</v>
      </c>
      <c r="B4649" s="37" t="s">
        <v>17532</v>
      </c>
      <c r="C4649" s="37" t="s">
        <v>7</v>
      </c>
      <c r="D4649" s="326">
        <v>20.41</v>
      </c>
    </row>
    <row r="4650" spans="1:4" ht="13.5">
      <c r="A4650" s="37">
        <v>96834</v>
      </c>
      <c r="B4650" s="37" t="s">
        <v>17533</v>
      </c>
      <c r="C4650" s="37" t="s">
        <v>7</v>
      </c>
      <c r="D4650" s="326">
        <v>24.29</v>
      </c>
    </row>
    <row r="4651" spans="1:4" ht="13.5">
      <c r="A4651" s="37">
        <v>96836</v>
      </c>
      <c r="B4651" s="37" t="s">
        <v>17534</v>
      </c>
      <c r="C4651" s="37" t="s">
        <v>7</v>
      </c>
      <c r="D4651" s="326">
        <v>29.24</v>
      </c>
    </row>
    <row r="4652" spans="1:4" ht="13.5">
      <c r="A4652" s="37">
        <v>96837</v>
      </c>
      <c r="B4652" s="37" t="s">
        <v>17535</v>
      </c>
      <c r="C4652" s="37" t="s">
        <v>7</v>
      </c>
      <c r="D4652" s="326">
        <v>17.95</v>
      </c>
    </row>
    <row r="4653" spans="1:4" ht="13.5">
      <c r="A4653" s="37">
        <v>96838</v>
      </c>
      <c r="B4653" s="37" t="s">
        <v>17536</v>
      </c>
      <c r="C4653" s="37" t="s">
        <v>7</v>
      </c>
      <c r="D4653" s="326">
        <v>21.54</v>
      </c>
    </row>
    <row r="4654" spans="1:4" ht="13.5">
      <c r="A4654" s="37">
        <v>96839</v>
      </c>
      <c r="B4654" s="37" t="s">
        <v>17537</v>
      </c>
      <c r="C4654" s="37" t="s">
        <v>7</v>
      </c>
      <c r="D4654" s="326">
        <v>22.3</v>
      </c>
    </row>
    <row r="4655" spans="1:4" ht="13.5">
      <c r="A4655" s="37">
        <v>96840</v>
      </c>
      <c r="B4655" s="37" t="s">
        <v>17538</v>
      </c>
      <c r="C4655" s="37" t="s">
        <v>7</v>
      </c>
      <c r="D4655" s="326">
        <v>21.69</v>
      </c>
    </row>
    <row r="4656" spans="1:4" ht="13.5">
      <c r="A4656" s="37">
        <v>96841</v>
      </c>
      <c r="B4656" s="37" t="s">
        <v>17539</v>
      </c>
      <c r="C4656" s="37" t="s">
        <v>7</v>
      </c>
      <c r="D4656" s="326">
        <v>23.95</v>
      </c>
    </row>
    <row r="4657" spans="1:4" ht="13.5">
      <c r="A4657" s="37">
        <v>96842</v>
      </c>
      <c r="B4657" s="37" t="s">
        <v>17540</v>
      </c>
      <c r="C4657" s="37" t="s">
        <v>7</v>
      </c>
      <c r="D4657" s="326">
        <v>27.44</v>
      </c>
    </row>
    <row r="4658" spans="1:4" ht="13.5">
      <c r="A4658" s="37">
        <v>96843</v>
      </c>
      <c r="B4658" s="37" t="s">
        <v>17541</v>
      </c>
      <c r="C4658" s="37" t="s">
        <v>7</v>
      </c>
      <c r="D4658" s="326">
        <v>24.97</v>
      </c>
    </row>
    <row r="4659" spans="1:4" ht="13.5">
      <c r="A4659" s="37">
        <v>96844</v>
      </c>
      <c r="B4659" s="37" t="s">
        <v>17542</v>
      </c>
      <c r="C4659" s="37" t="s">
        <v>7</v>
      </c>
      <c r="D4659" s="326">
        <v>28.77</v>
      </c>
    </row>
    <row r="4660" spans="1:4" ht="13.5">
      <c r="A4660" s="37">
        <v>96845</v>
      </c>
      <c r="B4660" s="37" t="s">
        <v>17543</v>
      </c>
      <c r="C4660" s="37" t="s">
        <v>7</v>
      </c>
      <c r="D4660" s="326">
        <v>34.39</v>
      </c>
    </row>
    <row r="4661" spans="1:4" ht="13.5">
      <c r="A4661" s="37">
        <v>96846</v>
      </c>
      <c r="B4661" s="37" t="s">
        <v>17544</v>
      </c>
      <c r="C4661" s="37" t="s">
        <v>7</v>
      </c>
      <c r="D4661" s="326">
        <v>32.08</v>
      </c>
    </row>
    <row r="4662" spans="1:4" ht="13.5">
      <c r="A4662" s="37">
        <v>96847</v>
      </c>
      <c r="B4662" s="37" t="s">
        <v>17545</v>
      </c>
      <c r="C4662" s="37" t="s">
        <v>7</v>
      </c>
      <c r="D4662" s="326">
        <v>31.63</v>
      </c>
    </row>
    <row r="4663" spans="1:4" ht="13.5">
      <c r="A4663" s="37">
        <v>96848</v>
      </c>
      <c r="B4663" s="37" t="s">
        <v>17546</v>
      </c>
      <c r="C4663" s="37" t="s">
        <v>7</v>
      </c>
      <c r="D4663" s="326">
        <v>45.72</v>
      </c>
    </row>
    <row r="4664" spans="1:4" ht="13.5">
      <c r="A4664" s="37">
        <v>96849</v>
      </c>
      <c r="B4664" s="37" t="s">
        <v>17547</v>
      </c>
      <c r="C4664" s="37" t="s">
        <v>7</v>
      </c>
      <c r="D4664" s="326">
        <v>14.37</v>
      </c>
    </row>
    <row r="4665" spans="1:4" ht="13.5">
      <c r="A4665" s="37">
        <v>96850</v>
      </c>
      <c r="B4665" s="37" t="s">
        <v>17548</v>
      </c>
      <c r="C4665" s="37" t="s">
        <v>7</v>
      </c>
      <c r="D4665" s="326">
        <v>20.11</v>
      </c>
    </row>
    <row r="4666" spans="1:4" ht="13.5">
      <c r="A4666" s="37">
        <v>96852</v>
      </c>
      <c r="B4666" s="37" t="s">
        <v>17549</v>
      </c>
      <c r="C4666" s="37" t="s">
        <v>7</v>
      </c>
      <c r="D4666" s="326">
        <v>18.32</v>
      </c>
    </row>
    <row r="4667" spans="1:4" ht="13.5">
      <c r="A4667" s="37">
        <v>96853</v>
      </c>
      <c r="B4667" s="37" t="s">
        <v>17550</v>
      </c>
      <c r="C4667" s="37" t="s">
        <v>7</v>
      </c>
      <c r="D4667" s="326">
        <v>21.63</v>
      </c>
    </row>
    <row r="4668" spans="1:4" ht="13.5">
      <c r="A4668" s="37">
        <v>96854</v>
      </c>
      <c r="B4668" s="37" t="s">
        <v>17551</v>
      </c>
      <c r="C4668" s="37" t="s">
        <v>7</v>
      </c>
      <c r="D4668" s="326">
        <v>26.71</v>
      </c>
    </row>
    <row r="4669" spans="1:4" ht="13.5">
      <c r="A4669" s="37">
        <v>96855</v>
      </c>
      <c r="B4669" s="37" t="s">
        <v>17552</v>
      </c>
      <c r="C4669" s="37" t="s">
        <v>7</v>
      </c>
      <c r="D4669" s="326">
        <v>28.91</v>
      </c>
    </row>
    <row r="4670" spans="1:4" ht="13.5">
      <c r="A4670" s="37">
        <v>96856</v>
      </c>
      <c r="B4670" s="37" t="s">
        <v>17553</v>
      </c>
      <c r="C4670" s="37" t="s">
        <v>7</v>
      </c>
      <c r="D4670" s="326">
        <v>30.8</v>
      </c>
    </row>
    <row r="4671" spans="1:4" ht="13.5">
      <c r="A4671" s="37">
        <v>96860</v>
      </c>
      <c r="B4671" s="37" t="s">
        <v>17554</v>
      </c>
      <c r="C4671" s="37" t="s">
        <v>7</v>
      </c>
      <c r="D4671" s="326">
        <v>25.74</v>
      </c>
    </row>
    <row r="4672" spans="1:4" ht="13.5">
      <c r="A4672" s="37">
        <v>96861</v>
      </c>
      <c r="B4672" s="37" t="s">
        <v>17555</v>
      </c>
      <c r="C4672" s="37" t="s">
        <v>7</v>
      </c>
      <c r="D4672" s="326">
        <v>32.54</v>
      </c>
    </row>
    <row r="4673" spans="1:4" ht="13.5">
      <c r="A4673" s="37">
        <v>96862</v>
      </c>
      <c r="B4673" s="37" t="s">
        <v>17556</v>
      </c>
      <c r="C4673" s="37" t="s">
        <v>7</v>
      </c>
      <c r="D4673" s="326">
        <v>31.66</v>
      </c>
    </row>
    <row r="4674" spans="1:4" ht="13.5">
      <c r="A4674" s="37">
        <v>96863</v>
      </c>
      <c r="B4674" s="37" t="s">
        <v>17557</v>
      </c>
      <c r="C4674" s="37" t="s">
        <v>7</v>
      </c>
      <c r="D4674" s="326">
        <v>33.28</v>
      </c>
    </row>
    <row r="4675" spans="1:4" ht="13.5">
      <c r="A4675" s="37">
        <v>96864</v>
      </c>
      <c r="B4675" s="37" t="s">
        <v>17558</v>
      </c>
      <c r="C4675" s="37" t="s">
        <v>7</v>
      </c>
      <c r="D4675" s="326">
        <v>44.93</v>
      </c>
    </row>
    <row r="4676" spans="1:4" ht="13.5">
      <c r="A4676" s="37">
        <v>96865</v>
      </c>
      <c r="B4676" s="37" t="s">
        <v>17559</v>
      </c>
      <c r="C4676" s="37" t="s">
        <v>7</v>
      </c>
      <c r="D4676" s="326">
        <v>39.26</v>
      </c>
    </row>
    <row r="4677" spans="1:4" ht="13.5">
      <c r="A4677" s="37">
        <v>96866</v>
      </c>
      <c r="B4677" s="37" t="s">
        <v>17560</v>
      </c>
      <c r="C4677" s="37" t="s">
        <v>7</v>
      </c>
      <c r="D4677" s="326">
        <v>58.53</v>
      </c>
    </row>
    <row r="4678" spans="1:4" ht="13.5">
      <c r="A4678" s="37">
        <v>96868</v>
      </c>
      <c r="B4678" s="37" t="s">
        <v>17561</v>
      </c>
      <c r="C4678" s="37" t="s">
        <v>7</v>
      </c>
      <c r="D4678" s="326">
        <v>16.78</v>
      </c>
    </row>
    <row r="4679" spans="1:4" ht="13.5">
      <c r="A4679" s="37">
        <v>96869</v>
      </c>
      <c r="B4679" s="37" t="s">
        <v>17562</v>
      </c>
      <c r="C4679" s="37" t="s">
        <v>7</v>
      </c>
      <c r="D4679" s="326">
        <v>25.88</v>
      </c>
    </row>
    <row r="4680" spans="1:4" ht="13.5">
      <c r="A4680" s="37">
        <v>96870</v>
      </c>
      <c r="B4680" s="37" t="s">
        <v>17563</v>
      </c>
      <c r="C4680" s="37" t="s">
        <v>7</v>
      </c>
      <c r="D4680" s="326">
        <v>39.06</v>
      </c>
    </row>
    <row r="4681" spans="1:4" ht="13.5">
      <c r="A4681" s="37">
        <v>96871</v>
      </c>
      <c r="B4681" s="37" t="s">
        <v>17564</v>
      </c>
      <c r="C4681" s="37" t="s">
        <v>7</v>
      </c>
      <c r="D4681" s="326">
        <v>44.58</v>
      </c>
    </row>
    <row r="4682" spans="1:4" ht="13.5">
      <c r="A4682" s="37">
        <v>96872</v>
      </c>
      <c r="B4682" s="37" t="s">
        <v>17565</v>
      </c>
      <c r="C4682" s="37" t="s">
        <v>7</v>
      </c>
      <c r="D4682" s="326">
        <v>41.1</v>
      </c>
    </row>
    <row r="4683" spans="1:4" ht="13.5">
      <c r="A4683" s="37">
        <v>96873</v>
      </c>
      <c r="B4683" s="37" t="s">
        <v>17566</v>
      </c>
      <c r="C4683" s="37" t="s">
        <v>7</v>
      </c>
      <c r="D4683" s="326">
        <v>54.96</v>
      </c>
    </row>
    <row r="4684" spans="1:4" ht="13.5">
      <c r="A4684" s="37">
        <v>96874</v>
      </c>
      <c r="B4684" s="37" t="s">
        <v>17567</v>
      </c>
      <c r="C4684" s="37" t="s">
        <v>7</v>
      </c>
      <c r="D4684" s="326">
        <v>50.02</v>
      </c>
    </row>
    <row r="4685" spans="1:4" ht="13.5">
      <c r="A4685" s="37">
        <v>96875</v>
      </c>
      <c r="B4685" s="37" t="s">
        <v>17568</v>
      </c>
      <c r="C4685" s="37" t="s">
        <v>7</v>
      </c>
      <c r="D4685" s="326">
        <v>65.89</v>
      </c>
    </row>
    <row r="4686" spans="1:4" ht="13.5">
      <c r="A4686" s="37">
        <v>96876</v>
      </c>
      <c r="B4686" s="37" t="s">
        <v>17569</v>
      </c>
      <c r="C4686" s="37" t="s">
        <v>7</v>
      </c>
      <c r="D4686" s="326">
        <v>158.12</v>
      </c>
    </row>
    <row r="4687" spans="1:4" ht="13.5">
      <c r="A4687" s="37">
        <v>96878</v>
      </c>
      <c r="B4687" s="37" t="s">
        <v>17570</v>
      </c>
      <c r="C4687" s="37" t="s">
        <v>7</v>
      </c>
      <c r="D4687" s="326">
        <v>177.18</v>
      </c>
    </row>
    <row r="4688" spans="1:4" ht="13.5">
      <c r="A4688" s="37">
        <v>96879</v>
      </c>
      <c r="B4688" s="37" t="s">
        <v>17571</v>
      </c>
      <c r="C4688" s="37" t="s">
        <v>7</v>
      </c>
      <c r="D4688" s="326">
        <v>171.72</v>
      </c>
    </row>
    <row r="4689" spans="1:4" ht="13.5">
      <c r="A4689" s="37">
        <v>96881</v>
      </c>
      <c r="B4689" s="37" t="s">
        <v>17572</v>
      </c>
      <c r="C4689" s="37" t="s">
        <v>7</v>
      </c>
      <c r="D4689" s="326">
        <v>203.18</v>
      </c>
    </row>
    <row r="4690" spans="1:4" ht="13.5">
      <c r="A4690" s="37">
        <v>97425</v>
      </c>
      <c r="B4690" s="37" t="s">
        <v>4095</v>
      </c>
      <c r="C4690" s="37" t="s">
        <v>7</v>
      </c>
      <c r="D4690" s="326">
        <v>32.340000000000003</v>
      </c>
    </row>
    <row r="4691" spans="1:4" ht="13.5">
      <c r="A4691" s="37">
        <v>97426</v>
      </c>
      <c r="B4691" s="37" t="s">
        <v>4096</v>
      </c>
      <c r="C4691" s="37" t="s">
        <v>7</v>
      </c>
      <c r="D4691" s="326">
        <v>39.85</v>
      </c>
    </row>
    <row r="4692" spans="1:4" ht="13.5">
      <c r="A4692" s="37">
        <v>97427</v>
      </c>
      <c r="B4692" s="37" t="s">
        <v>4097</v>
      </c>
      <c r="C4692" s="37" t="s">
        <v>7</v>
      </c>
      <c r="D4692" s="326">
        <v>45.53</v>
      </c>
    </row>
    <row r="4693" spans="1:4" ht="13.5">
      <c r="A4693" s="37">
        <v>97428</v>
      </c>
      <c r="B4693" s="37" t="s">
        <v>4098</v>
      </c>
      <c r="C4693" s="37" t="s">
        <v>7</v>
      </c>
      <c r="D4693" s="326">
        <v>58.71</v>
      </c>
    </row>
    <row r="4694" spans="1:4" ht="13.5">
      <c r="A4694" s="37">
        <v>97429</v>
      </c>
      <c r="B4694" s="37" t="s">
        <v>4099</v>
      </c>
      <c r="C4694" s="37" t="s">
        <v>7</v>
      </c>
      <c r="D4694" s="326">
        <v>70.84</v>
      </c>
    </row>
    <row r="4695" spans="1:4" ht="13.5">
      <c r="A4695" s="37">
        <v>97430</v>
      </c>
      <c r="B4695" s="37" t="s">
        <v>8272</v>
      </c>
      <c r="C4695" s="37" t="s">
        <v>7</v>
      </c>
      <c r="D4695" s="326">
        <v>39.76</v>
      </c>
    </row>
    <row r="4696" spans="1:4" ht="13.5">
      <c r="A4696" s="37">
        <v>97431</v>
      </c>
      <c r="B4696" s="37" t="s">
        <v>8273</v>
      </c>
      <c r="C4696" s="37" t="s">
        <v>7</v>
      </c>
      <c r="D4696" s="326">
        <v>44.27</v>
      </c>
    </row>
    <row r="4697" spans="1:4" ht="13.5">
      <c r="A4697" s="37">
        <v>97432</v>
      </c>
      <c r="B4697" s="37" t="s">
        <v>8274</v>
      </c>
      <c r="C4697" s="37" t="s">
        <v>7</v>
      </c>
      <c r="D4697" s="326">
        <v>49.93</v>
      </c>
    </row>
    <row r="4698" spans="1:4" ht="13.5">
      <c r="A4698" s="37">
        <v>97433</v>
      </c>
      <c r="B4698" s="37" t="s">
        <v>8275</v>
      </c>
      <c r="C4698" s="37" t="s">
        <v>7</v>
      </c>
      <c r="D4698" s="326">
        <v>92.35</v>
      </c>
    </row>
    <row r="4699" spans="1:4" ht="13.5">
      <c r="A4699" s="37">
        <v>97434</v>
      </c>
      <c r="B4699" s="37" t="s">
        <v>8276</v>
      </c>
      <c r="C4699" s="37" t="s">
        <v>7</v>
      </c>
      <c r="D4699" s="326">
        <v>94.15</v>
      </c>
    </row>
    <row r="4700" spans="1:4" ht="13.5">
      <c r="A4700" s="37">
        <v>97435</v>
      </c>
      <c r="B4700" s="37" t="s">
        <v>8277</v>
      </c>
      <c r="C4700" s="37" t="s">
        <v>7</v>
      </c>
      <c r="D4700" s="326">
        <v>108.08</v>
      </c>
    </row>
    <row r="4701" spans="1:4" ht="13.5">
      <c r="A4701" s="37">
        <v>97436</v>
      </c>
      <c r="B4701" s="37" t="s">
        <v>8278</v>
      </c>
      <c r="C4701" s="37" t="s">
        <v>7</v>
      </c>
      <c r="D4701" s="326">
        <v>111.52</v>
      </c>
    </row>
    <row r="4702" spans="1:4" ht="13.5">
      <c r="A4702" s="37">
        <v>97437</v>
      </c>
      <c r="B4702" s="37" t="s">
        <v>8279</v>
      </c>
      <c r="C4702" s="37" t="s">
        <v>7</v>
      </c>
      <c r="D4702" s="326">
        <v>123.74</v>
      </c>
    </row>
    <row r="4703" spans="1:4" ht="13.5">
      <c r="A4703" s="37">
        <v>97438</v>
      </c>
      <c r="B4703" s="37" t="s">
        <v>8280</v>
      </c>
      <c r="C4703" s="37" t="s">
        <v>7</v>
      </c>
      <c r="D4703" s="326">
        <v>127.42</v>
      </c>
    </row>
    <row r="4704" spans="1:4" ht="13.5">
      <c r="A4704" s="37">
        <v>97439</v>
      </c>
      <c r="B4704" s="37" t="s">
        <v>8281</v>
      </c>
      <c r="C4704" s="37" t="s">
        <v>7</v>
      </c>
      <c r="D4704" s="326">
        <v>140.31</v>
      </c>
    </row>
    <row r="4705" spans="1:4" ht="13.5">
      <c r="A4705" s="37">
        <v>97440</v>
      </c>
      <c r="B4705" s="37" t="s">
        <v>8282</v>
      </c>
      <c r="C4705" s="37" t="s">
        <v>7</v>
      </c>
      <c r="D4705" s="326">
        <v>168.41</v>
      </c>
    </row>
    <row r="4706" spans="1:4" ht="13.5">
      <c r="A4706" s="37">
        <v>97442</v>
      </c>
      <c r="B4706" s="37" t="s">
        <v>8283</v>
      </c>
      <c r="C4706" s="37" t="s">
        <v>7</v>
      </c>
      <c r="D4706" s="326">
        <v>185.89</v>
      </c>
    </row>
    <row r="4707" spans="1:4" ht="13.5">
      <c r="A4707" s="37">
        <v>97443</v>
      </c>
      <c r="B4707" s="37" t="s">
        <v>8284</v>
      </c>
      <c r="C4707" s="37" t="s">
        <v>7</v>
      </c>
      <c r="D4707" s="326">
        <v>130.93</v>
      </c>
    </row>
    <row r="4708" spans="1:4" ht="13.5">
      <c r="A4708" s="37">
        <v>97444</v>
      </c>
      <c r="B4708" s="37" t="s">
        <v>8285</v>
      </c>
      <c r="C4708" s="37" t="s">
        <v>7</v>
      </c>
      <c r="D4708" s="326">
        <v>157.12</v>
      </c>
    </row>
    <row r="4709" spans="1:4" ht="13.5">
      <c r="A4709" s="37">
        <v>97446</v>
      </c>
      <c r="B4709" s="37" t="s">
        <v>8286</v>
      </c>
      <c r="C4709" s="37" t="s">
        <v>7</v>
      </c>
      <c r="D4709" s="326">
        <v>282.02</v>
      </c>
    </row>
    <row r="4710" spans="1:4" ht="13.5">
      <c r="A4710" s="37">
        <v>97447</v>
      </c>
      <c r="B4710" s="37" t="s">
        <v>8287</v>
      </c>
      <c r="C4710" s="37" t="s">
        <v>7</v>
      </c>
      <c r="D4710" s="326">
        <v>282.02</v>
      </c>
    </row>
    <row r="4711" spans="1:4" ht="13.5">
      <c r="A4711" s="37">
        <v>97449</v>
      </c>
      <c r="B4711" s="37" t="s">
        <v>8288</v>
      </c>
      <c r="C4711" s="37" t="s">
        <v>7</v>
      </c>
      <c r="D4711" s="326">
        <v>299.51</v>
      </c>
    </row>
    <row r="4712" spans="1:4" ht="13.5">
      <c r="A4712" s="37">
        <v>97450</v>
      </c>
      <c r="B4712" s="37" t="s">
        <v>8289</v>
      </c>
      <c r="C4712" s="37" t="s">
        <v>7</v>
      </c>
      <c r="D4712" s="326">
        <v>370.82</v>
      </c>
    </row>
    <row r="4713" spans="1:4" ht="13.5">
      <c r="A4713" s="37">
        <v>97452</v>
      </c>
      <c r="B4713" s="37" t="s">
        <v>8290</v>
      </c>
      <c r="C4713" s="37" t="s">
        <v>7</v>
      </c>
      <c r="D4713" s="326">
        <v>218.15</v>
      </c>
    </row>
    <row r="4714" spans="1:4" ht="13.5">
      <c r="A4714" s="37">
        <v>97453</v>
      </c>
      <c r="B4714" s="37" t="s">
        <v>8291</v>
      </c>
      <c r="C4714" s="37" t="s">
        <v>7</v>
      </c>
      <c r="D4714" s="326">
        <v>233.1</v>
      </c>
    </row>
    <row r="4715" spans="1:4" ht="13.5">
      <c r="A4715" s="37">
        <v>97454</v>
      </c>
      <c r="B4715" s="37" t="s">
        <v>8292</v>
      </c>
      <c r="C4715" s="37" t="s">
        <v>7</v>
      </c>
      <c r="D4715" s="326">
        <v>385.76</v>
      </c>
    </row>
    <row r="4716" spans="1:4" ht="13.5">
      <c r="A4716" s="37">
        <v>97455</v>
      </c>
      <c r="B4716" s="37" t="s">
        <v>8293</v>
      </c>
      <c r="C4716" s="37" t="s">
        <v>7</v>
      </c>
      <c r="D4716" s="326">
        <v>409.67</v>
      </c>
    </row>
    <row r="4717" spans="1:4" ht="13.5">
      <c r="A4717" s="37">
        <v>97456</v>
      </c>
      <c r="B4717" s="37" t="s">
        <v>8294</v>
      </c>
      <c r="C4717" s="37" t="s">
        <v>7</v>
      </c>
      <c r="D4717" s="326">
        <v>906.17</v>
      </c>
    </row>
    <row r="4718" spans="1:4" ht="13.5">
      <c r="A4718" s="37">
        <v>97457</v>
      </c>
      <c r="B4718" s="37" t="s">
        <v>8295</v>
      </c>
      <c r="C4718" s="37" t="s">
        <v>7</v>
      </c>
      <c r="D4718" s="326">
        <v>798.92</v>
      </c>
    </row>
    <row r="4719" spans="1:4" ht="13.5">
      <c r="A4719" s="37">
        <v>97458</v>
      </c>
      <c r="B4719" s="37" t="s">
        <v>8296</v>
      </c>
      <c r="C4719" s="37" t="s">
        <v>7</v>
      </c>
      <c r="D4719" s="326">
        <v>350.82</v>
      </c>
    </row>
    <row r="4720" spans="1:4" ht="13.5">
      <c r="A4720" s="37">
        <v>97459</v>
      </c>
      <c r="B4720" s="37" t="s">
        <v>8297</v>
      </c>
      <c r="C4720" s="37" t="s">
        <v>7</v>
      </c>
      <c r="D4720" s="326">
        <v>621.55999999999995</v>
      </c>
    </row>
    <row r="4721" spans="1:4" ht="13.5">
      <c r="A4721" s="37">
        <v>97460</v>
      </c>
      <c r="B4721" s="37" t="s">
        <v>8298</v>
      </c>
      <c r="C4721" s="37" t="s">
        <v>7</v>
      </c>
      <c r="D4721" s="326">
        <v>971.4</v>
      </c>
    </row>
    <row r="4722" spans="1:4" ht="13.5">
      <c r="A4722" s="37">
        <v>97461</v>
      </c>
      <c r="B4722" s="37" t="s">
        <v>8299</v>
      </c>
      <c r="C4722" s="37" t="s">
        <v>7</v>
      </c>
      <c r="D4722" s="326">
        <v>41.55</v>
      </c>
    </row>
    <row r="4723" spans="1:4" ht="13.5">
      <c r="A4723" s="37">
        <v>97462</v>
      </c>
      <c r="B4723" s="37" t="s">
        <v>8300</v>
      </c>
      <c r="C4723" s="37" t="s">
        <v>7</v>
      </c>
      <c r="D4723" s="326">
        <v>33.869999999999997</v>
      </c>
    </row>
    <row r="4724" spans="1:4" ht="13.5">
      <c r="A4724" s="37">
        <v>97464</v>
      </c>
      <c r="B4724" s="37" t="s">
        <v>8301</v>
      </c>
      <c r="C4724" s="37" t="s">
        <v>7</v>
      </c>
      <c r="D4724" s="326">
        <v>60.6</v>
      </c>
    </row>
    <row r="4725" spans="1:4" ht="13.5">
      <c r="A4725" s="37">
        <v>97465</v>
      </c>
      <c r="B4725" s="37" t="s">
        <v>8302</v>
      </c>
      <c r="C4725" s="37" t="s">
        <v>7</v>
      </c>
      <c r="D4725" s="326">
        <v>73.540000000000006</v>
      </c>
    </row>
    <row r="4726" spans="1:4" ht="13.5">
      <c r="A4726" s="37">
        <v>97467</v>
      </c>
      <c r="B4726" s="37" t="s">
        <v>8303</v>
      </c>
      <c r="C4726" s="37" t="s">
        <v>7</v>
      </c>
      <c r="D4726" s="326">
        <v>77.05</v>
      </c>
    </row>
    <row r="4727" spans="1:4" ht="13.5">
      <c r="A4727" s="37">
        <v>97468</v>
      </c>
      <c r="B4727" s="37" t="s">
        <v>8304</v>
      </c>
      <c r="C4727" s="37" t="s">
        <v>7</v>
      </c>
      <c r="D4727" s="326">
        <v>93.61</v>
      </c>
    </row>
    <row r="4728" spans="1:4" ht="13.5">
      <c r="A4728" s="37">
        <v>97470</v>
      </c>
      <c r="B4728" s="37" t="s">
        <v>8305</v>
      </c>
      <c r="C4728" s="37" t="s">
        <v>7</v>
      </c>
      <c r="D4728" s="326">
        <v>115.53</v>
      </c>
    </row>
    <row r="4729" spans="1:4" ht="13.5">
      <c r="A4729" s="37">
        <v>97471</v>
      </c>
      <c r="B4729" s="37" t="s">
        <v>8306</v>
      </c>
      <c r="C4729" s="37" t="s">
        <v>7</v>
      </c>
      <c r="D4729" s="326">
        <v>141.72</v>
      </c>
    </row>
    <row r="4730" spans="1:4" ht="13.5">
      <c r="A4730" s="37">
        <v>97474</v>
      </c>
      <c r="B4730" s="37" t="s">
        <v>8307</v>
      </c>
      <c r="C4730" s="37" t="s">
        <v>7</v>
      </c>
      <c r="D4730" s="326">
        <v>216.31</v>
      </c>
    </row>
    <row r="4731" spans="1:4" ht="13.5">
      <c r="A4731" s="37">
        <v>97475</v>
      </c>
      <c r="B4731" s="37" t="s">
        <v>8308</v>
      </c>
      <c r="C4731" s="37" t="s">
        <v>7</v>
      </c>
      <c r="D4731" s="326">
        <v>269.25</v>
      </c>
    </row>
    <row r="4732" spans="1:4" ht="13.5">
      <c r="A4732" s="37">
        <v>97477</v>
      </c>
      <c r="B4732" s="37" t="s">
        <v>8309</v>
      </c>
      <c r="C4732" s="37" t="s">
        <v>7</v>
      </c>
      <c r="D4732" s="326">
        <v>289.37</v>
      </c>
    </row>
    <row r="4733" spans="1:4" ht="13.5">
      <c r="A4733" s="37">
        <v>97478</v>
      </c>
      <c r="B4733" s="37" t="s">
        <v>8310</v>
      </c>
      <c r="C4733" s="37" t="s">
        <v>7</v>
      </c>
      <c r="D4733" s="326">
        <v>360.68</v>
      </c>
    </row>
    <row r="4734" spans="1:4" ht="13.5">
      <c r="A4734" s="37">
        <v>97479</v>
      </c>
      <c r="B4734" s="37" t="s">
        <v>8311</v>
      </c>
      <c r="C4734" s="37" t="s">
        <v>7</v>
      </c>
      <c r="D4734" s="326">
        <v>67.680000000000007</v>
      </c>
    </row>
    <row r="4735" spans="1:4" ht="13.5">
      <c r="A4735" s="37">
        <v>97480</v>
      </c>
      <c r="B4735" s="37" t="s">
        <v>8312</v>
      </c>
      <c r="C4735" s="37" t="s">
        <v>7</v>
      </c>
      <c r="D4735" s="326">
        <v>67.680000000000007</v>
      </c>
    </row>
    <row r="4736" spans="1:4" ht="13.5">
      <c r="A4736" s="37">
        <v>97481</v>
      </c>
      <c r="B4736" s="37" t="s">
        <v>8313</v>
      </c>
      <c r="C4736" s="37" t="s">
        <v>7</v>
      </c>
      <c r="D4736" s="326">
        <v>99.29</v>
      </c>
    </row>
    <row r="4737" spans="1:4" ht="13.5">
      <c r="A4737" s="37">
        <v>97482</v>
      </c>
      <c r="B4737" s="37" t="s">
        <v>8314</v>
      </c>
      <c r="C4737" s="37" t="s">
        <v>7</v>
      </c>
      <c r="D4737" s="326">
        <v>99.29</v>
      </c>
    </row>
    <row r="4738" spans="1:4" ht="13.5">
      <c r="A4738" s="37">
        <v>97483</v>
      </c>
      <c r="B4738" s="37" t="s">
        <v>8315</v>
      </c>
      <c r="C4738" s="37" t="s">
        <v>7</v>
      </c>
      <c r="D4738" s="326">
        <v>140.44</v>
      </c>
    </row>
    <row r="4739" spans="1:4" ht="13.5">
      <c r="A4739" s="37">
        <v>97484</v>
      </c>
      <c r="B4739" s="37" t="s">
        <v>8316</v>
      </c>
      <c r="C4739" s="37" t="s">
        <v>7</v>
      </c>
      <c r="D4739" s="326">
        <v>140.44</v>
      </c>
    </row>
    <row r="4740" spans="1:4" ht="13.5">
      <c r="A4740" s="37">
        <v>97485</v>
      </c>
      <c r="B4740" s="37" t="s">
        <v>8317</v>
      </c>
      <c r="C4740" s="37" t="s">
        <v>7</v>
      </c>
      <c r="D4740" s="326">
        <v>195.1</v>
      </c>
    </row>
    <row r="4741" spans="1:4" ht="13.5">
      <c r="A4741" s="37">
        <v>97486</v>
      </c>
      <c r="B4741" s="37" t="s">
        <v>8318</v>
      </c>
      <c r="C4741" s="37" t="s">
        <v>7</v>
      </c>
      <c r="D4741" s="326">
        <v>210.05</v>
      </c>
    </row>
    <row r="4742" spans="1:4" ht="13.5">
      <c r="A4742" s="37">
        <v>97487</v>
      </c>
      <c r="B4742" s="37" t="s">
        <v>8319</v>
      </c>
      <c r="C4742" s="37" t="s">
        <v>7</v>
      </c>
      <c r="D4742" s="326">
        <v>366.65</v>
      </c>
    </row>
    <row r="4743" spans="1:4" ht="13.5">
      <c r="A4743" s="37">
        <v>97488</v>
      </c>
      <c r="B4743" s="37" t="s">
        <v>8320</v>
      </c>
      <c r="C4743" s="37" t="s">
        <v>7</v>
      </c>
      <c r="D4743" s="326">
        <v>390.56</v>
      </c>
    </row>
    <row r="4744" spans="1:4" ht="13.5">
      <c r="A4744" s="37">
        <v>97489</v>
      </c>
      <c r="B4744" s="37" t="s">
        <v>8321</v>
      </c>
      <c r="C4744" s="37" t="s">
        <v>7</v>
      </c>
      <c r="D4744" s="326">
        <v>890.92</v>
      </c>
    </row>
    <row r="4745" spans="1:4" ht="13.5">
      <c r="A4745" s="37">
        <v>97490</v>
      </c>
      <c r="B4745" s="37" t="s">
        <v>8322</v>
      </c>
      <c r="C4745" s="37" t="s">
        <v>7</v>
      </c>
      <c r="D4745" s="326">
        <v>783.67</v>
      </c>
    </row>
    <row r="4746" spans="1:4" ht="13.5">
      <c r="A4746" s="37">
        <v>97491</v>
      </c>
      <c r="B4746" s="37" t="s">
        <v>8323</v>
      </c>
      <c r="C4746" s="37" t="s">
        <v>7</v>
      </c>
      <c r="D4746" s="326">
        <v>106.07</v>
      </c>
    </row>
    <row r="4747" spans="1:4" ht="13.5">
      <c r="A4747" s="37">
        <v>97492</v>
      </c>
      <c r="B4747" s="37" t="s">
        <v>8324</v>
      </c>
      <c r="C4747" s="37" t="s">
        <v>7</v>
      </c>
      <c r="D4747" s="326">
        <v>157.30000000000001</v>
      </c>
    </row>
    <row r="4748" spans="1:4" ht="13.5">
      <c r="A4748" s="37">
        <v>97493</v>
      </c>
      <c r="B4748" s="37" t="s">
        <v>8325</v>
      </c>
      <c r="C4748" s="37" t="s">
        <v>7</v>
      </c>
      <c r="D4748" s="326">
        <v>203.38</v>
      </c>
    </row>
    <row r="4749" spans="1:4" ht="13.5">
      <c r="A4749" s="37">
        <v>97494</v>
      </c>
      <c r="B4749" s="37" t="s">
        <v>8326</v>
      </c>
      <c r="C4749" s="37" t="s">
        <v>7</v>
      </c>
      <c r="D4749" s="326">
        <v>320.02999999999997</v>
      </c>
    </row>
    <row r="4750" spans="1:4" ht="13.5">
      <c r="A4750" s="37">
        <v>97495</v>
      </c>
      <c r="B4750" s="37" t="s">
        <v>8327</v>
      </c>
      <c r="C4750" s="37" t="s">
        <v>7</v>
      </c>
      <c r="D4750" s="326">
        <v>596.02</v>
      </c>
    </row>
    <row r="4751" spans="1:4" ht="13.5">
      <c r="A4751" s="37">
        <v>97496</v>
      </c>
      <c r="B4751" s="37" t="s">
        <v>8328</v>
      </c>
      <c r="C4751" s="37" t="s">
        <v>7</v>
      </c>
      <c r="D4751" s="326">
        <v>951.12</v>
      </c>
    </row>
    <row r="4752" spans="1:4" ht="13.5">
      <c r="A4752" s="37">
        <v>97499</v>
      </c>
      <c r="B4752" s="37" t="s">
        <v>8329</v>
      </c>
      <c r="C4752" s="37" t="s">
        <v>7</v>
      </c>
      <c r="D4752" s="326">
        <v>39.07</v>
      </c>
    </row>
    <row r="4753" spans="1:4" ht="13.5">
      <c r="A4753" s="37">
        <v>97500</v>
      </c>
      <c r="B4753" s="37" t="s">
        <v>8330</v>
      </c>
      <c r="C4753" s="37" t="s">
        <v>7</v>
      </c>
      <c r="D4753" s="326">
        <v>31.39</v>
      </c>
    </row>
    <row r="4754" spans="1:4" ht="13.5">
      <c r="A4754" s="37">
        <v>97502</v>
      </c>
      <c r="B4754" s="37" t="s">
        <v>8331</v>
      </c>
      <c r="C4754" s="37" t="s">
        <v>7</v>
      </c>
      <c r="D4754" s="326">
        <v>56.02</v>
      </c>
    </row>
    <row r="4755" spans="1:4" ht="13.5">
      <c r="A4755" s="37">
        <v>97503</v>
      </c>
      <c r="B4755" s="37" t="s">
        <v>8332</v>
      </c>
      <c r="C4755" s="37" t="s">
        <v>7</v>
      </c>
      <c r="D4755" s="326">
        <v>69.17</v>
      </c>
    </row>
    <row r="4756" spans="1:4" ht="13.5">
      <c r="A4756" s="37">
        <v>97505</v>
      </c>
      <c r="B4756" s="37" t="s">
        <v>8333</v>
      </c>
      <c r="C4756" s="37" t="s">
        <v>7</v>
      </c>
      <c r="D4756" s="326">
        <v>70.56</v>
      </c>
    </row>
    <row r="4757" spans="1:4" ht="13.5">
      <c r="A4757" s="37">
        <v>97506</v>
      </c>
      <c r="B4757" s="37" t="s">
        <v>8334</v>
      </c>
      <c r="C4757" s="37" t="s">
        <v>7</v>
      </c>
      <c r="D4757" s="326">
        <v>87.12</v>
      </c>
    </row>
    <row r="4758" spans="1:4" ht="13.5">
      <c r="A4758" s="37">
        <v>97508</v>
      </c>
      <c r="B4758" s="37" t="s">
        <v>8335</v>
      </c>
      <c r="C4758" s="37" t="s">
        <v>7</v>
      </c>
      <c r="D4758" s="326">
        <v>106.34</v>
      </c>
    </row>
    <row r="4759" spans="1:4" ht="13.5">
      <c r="A4759" s="37">
        <v>97509</v>
      </c>
      <c r="B4759" s="37" t="s">
        <v>8336</v>
      </c>
      <c r="C4759" s="37" t="s">
        <v>7</v>
      </c>
      <c r="D4759" s="326">
        <v>132.53</v>
      </c>
    </row>
    <row r="4760" spans="1:4" ht="13.5">
      <c r="A4760" s="37">
        <v>97511</v>
      </c>
      <c r="B4760" s="37" t="s">
        <v>8337</v>
      </c>
      <c r="C4760" s="37" t="s">
        <v>7</v>
      </c>
      <c r="D4760" s="326">
        <v>203.1</v>
      </c>
    </row>
    <row r="4761" spans="1:4" ht="13.5">
      <c r="A4761" s="37">
        <v>97512</v>
      </c>
      <c r="B4761" s="37" t="s">
        <v>8338</v>
      </c>
      <c r="C4761" s="37" t="s">
        <v>7</v>
      </c>
      <c r="D4761" s="326">
        <v>256.04000000000002</v>
      </c>
    </row>
    <row r="4762" spans="1:4" ht="13.5">
      <c r="A4762" s="37">
        <v>97514</v>
      </c>
      <c r="B4762" s="37" t="s">
        <v>8339</v>
      </c>
      <c r="C4762" s="37" t="s">
        <v>7</v>
      </c>
      <c r="D4762" s="326">
        <v>272.01</v>
      </c>
    </row>
    <row r="4763" spans="1:4" ht="13.5">
      <c r="A4763" s="37">
        <v>97515</v>
      </c>
      <c r="B4763" s="37" t="s">
        <v>8340</v>
      </c>
      <c r="C4763" s="37" t="s">
        <v>7</v>
      </c>
      <c r="D4763" s="326">
        <v>343.32</v>
      </c>
    </row>
    <row r="4764" spans="1:4" ht="13.5">
      <c r="A4764" s="37">
        <v>97517</v>
      </c>
      <c r="B4764" s="37" t="s">
        <v>8341</v>
      </c>
      <c r="C4764" s="37" t="s">
        <v>7</v>
      </c>
      <c r="D4764" s="326">
        <v>63.96</v>
      </c>
    </row>
    <row r="4765" spans="1:4" ht="13.5">
      <c r="A4765" s="37">
        <v>97518</v>
      </c>
      <c r="B4765" s="37" t="s">
        <v>8342</v>
      </c>
      <c r="C4765" s="37" t="s">
        <v>7</v>
      </c>
      <c r="D4765" s="326">
        <v>63.96</v>
      </c>
    </row>
    <row r="4766" spans="1:4" ht="13.5">
      <c r="A4766" s="37">
        <v>97519</v>
      </c>
      <c r="B4766" s="37" t="s">
        <v>8343</v>
      </c>
      <c r="C4766" s="37" t="s">
        <v>7</v>
      </c>
      <c r="D4766" s="326">
        <v>92.73</v>
      </c>
    </row>
    <row r="4767" spans="1:4" ht="13.5">
      <c r="A4767" s="37">
        <v>97520</v>
      </c>
      <c r="B4767" s="37" t="s">
        <v>8344</v>
      </c>
      <c r="C4767" s="37" t="s">
        <v>7</v>
      </c>
      <c r="D4767" s="326">
        <v>92.73</v>
      </c>
    </row>
    <row r="4768" spans="1:4" ht="13.5">
      <c r="A4768" s="37">
        <v>97521</v>
      </c>
      <c r="B4768" s="37" t="s">
        <v>8345</v>
      </c>
      <c r="C4768" s="37" t="s">
        <v>7</v>
      </c>
      <c r="D4768" s="326">
        <v>130.66999999999999</v>
      </c>
    </row>
    <row r="4769" spans="1:4" ht="13.5">
      <c r="A4769" s="37">
        <v>97522</v>
      </c>
      <c r="B4769" s="37" t="s">
        <v>8346</v>
      </c>
      <c r="C4769" s="37" t="s">
        <v>7</v>
      </c>
      <c r="D4769" s="326">
        <v>130.66999999999999</v>
      </c>
    </row>
    <row r="4770" spans="1:4" ht="13.5">
      <c r="A4770" s="37">
        <v>97523</v>
      </c>
      <c r="B4770" s="37" t="s">
        <v>8347</v>
      </c>
      <c r="C4770" s="37" t="s">
        <v>7</v>
      </c>
      <c r="D4770" s="326">
        <v>181.31</v>
      </c>
    </row>
    <row r="4771" spans="1:4" ht="13.5">
      <c r="A4771" s="37">
        <v>97524</v>
      </c>
      <c r="B4771" s="37" t="s">
        <v>8348</v>
      </c>
      <c r="C4771" s="37" t="s">
        <v>7</v>
      </c>
      <c r="D4771" s="326">
        <v>196.26</v>
      </c>
    </row>
    <row r="4772" spans="1:4" ht="13.5">
      <c r="A4772" s="37">
        <v>97525</v>
      </c>
      <c r="B4772" s="37" t="s">
        <v>8349</v>
      </c>
      <c r="C4772" s="37" t="s">
        <v>7</v>
      </c>
      <c r="D4772" s="326">
        <v>346.73</v>
      </c>
    </row>
    <row r="4773" spans="1:4" ht="13.5">
      <c r="A4773" s="37">
        <v>97526</v>
      </c>
      <c r="B4773" s="37" t="s">
        <v>8350</v>
      </c>
      <c r="C4773" s="37" t="s">
        <v>7</v>
      </c>
      <c r="D4773" s="326">
        <v>370.64</v>
      </c>
    </row>
    <row r="4774" spans="1:4" ht="13.5">
      <c r="A4774" s="37">
        <v>97527</v>
      </c>
      <c r="B4774" s="37" t="s">
        <v>8351</v>
      </c>
      <c r="C4774" s="37" t="s">
        <v>7</v>
      </c>
      <c r="D4774" s="326">
        <v>864.94</v>
      </c>
    </row>
    <row r="4775" spans="1:4" ht="13.5">
      <c r="A4775" s="37">
        <v>97528</v>
      </c>
      <c r="B4775" s="37" t="s">
        <v>8352</v>
      </c>
      <c r="C4775" s="37" t="s">
        <v>7</v>
      </c>
      <c r="D4775" s="326">
        <v>757.69</v>
      </c>
    </row>
    <row r="4776" spans="1:4" ht="13.5">
      <c r="A4776" s="37">
        <v>97529</v>
      </c>
      <c r="B4776" s="37" t="s">
        <v>8353</v>
      </c>
      <c r="C4776" s="37" t="s">
        <v>7</v>
      </c>
      <c r="D4776" s="326">
        <v>101.18</v>
      </c>
    </row>
    <row r="4777" spans="1:4" ht="13.5">
      <c r="A4777" s="37">
        <v>97530</v>
      </c>
      <c r="B4777" s="37" t="s">
        <v>8354</v>
      </c>
      <c r="C4777" s="37" t="s">
        <v>7</v>
      </c>
      <c r="D4777" s="326">
        <v>148.55000000000001</v>
      </c>
    </row>
    <row r="4778" spans="1:4" ht="13.5">
      <c r="A4778" s="37">
        <v>97531</v>
      </c>
      <c r="B4778" s="37" t="s">
        <v>8355</v>
      </c>
      <c r="C4778" s="37" t="s">
        <v>7</v>
      </c>
      <c r="D4778" s="326">
        <v>190.32</v>
      </c>
    </row>
    <row r="4779" spans="1:4" ht="13.5">
      <c r="A4779" s="37">
        <v>97532</v>
      </c>
      <c r="B4779" s="37" t="s">
        <v>8356</v>
      </c>
      <c r="C4779" s="37" t="s">
        <v>7</v>
      </c>
      <c r="D4779" s="326">
        <v>301.64</v>
      </c>
    </row>
    <row r="4780" spans="1:4" ht="13.5">
      <c r="A4780" s="37">
        <v>97533</v>
      </c>
      <c r="B4780" s="37" t="s">
        <v>8357</v>
      </c>
      <c r="C4780" s="37" t="s">
        <v>7</v>
      </c>
      <c r="D4780" s="326">
        <v>573.4</v>
      </c>
    </row>
    <row r="4781" spans="1:4" ht="13.5">
      <c r="A4781" s="37">
        <v>97534</v>
      </c>
      <c r="B4781" s="37" t="s">
        <v>8358</v>
      </c>
      <c r="C4781" s="37" t="s">
        <v>7</v>
      </c>
      <c r="D4781" s="326">
        <v>916.47</v>
      </c>
    </row>
    <row r="4782" spans="1:4" ht="13.5">
      <c r="A4782" s="37">
        <v>97537</v>
      </c>
      <c r="B4782" s="37" t="s">
        <v>8359</v>
      </c>
      <c r="C4782" s="37" t="s">
        <v>7</v>
      </c>
      <c r="D4782" s="326">
        <v>28.56</v>
      </c>
    </row>
    <row r="4783" spans="1:4" ht="13.5">
      <c r="A4783" s="37">
        <v>97540</v>
      </c>
      <c r="B4783" s="37" t="s">
        <v>8360</v>
      </c>
      <c r="C4783" s="37" t="s">
        <v>7</v>
      </c>
      <c r="D4783" s="326">
        <v>37.06</v>
      </c>
    </row>
    <row r="4784" spans="1:4" ht="13.5">
      <c r="A4784" s="37">
        <v>97541</v>
      </c>
      <c r="B4784" s="37" t="s">
        <v>8361</v>
      </c>
      <c r="C4784" s="37" t="s">
        <v>7</v>
      </c>
      <c r="D4784" s="326">
        <v>30.69</v>
      </c>
    </row>
    <row r="4785" spans="1:4" ht="13.5">
      <c r="A4785" s="37">
        <v>97543</v>
      </c>
      <c r="B4785" s="37" t="s">
        <v>8362</v>
      </c>
      <c r="C4785" s="37" t="s">
        <v>7</v>
      </c>
      <c r="D4785" s="326">
        <v>58.4</v>
      </c>
    </row>
    <row r="4786" spans="1:4" ht="13.5">
      <c r="A4786" s="37">
        <v>97544</v>
      </c>
      <c r="B4786" s="37" t="s">
        <v>8363</v>
      </c>
      <c r="C4786" s="37" t="s">
        <v>7</v>
      </c>
      <c r="D4786" s="326">
        <v>50.72</v>
      </c>
    </row>
    <row r="4787" spans="1:4" ht="13.5">
      <c r="A4787" s="37">
        <v>97546</v>
      </c>
      <c r="B4787" s="37" t="s">
        <v>8364</v>
      </c>
      <c r="C4787" s="37" t="s">
        <v>7</v>
      </c>
      <c r="D4787" s="326">
        <v>39.61</v>
      </c>
    </row>
    <row r="4788" spans="1:4" ht="13.5">
      <c r="A4788" s="37">
        <v>97547</v>
      </c>
      <c r="B4788" s="37" t="s">
        <v>8365</v>
      </c>
      <c r="C4788" s="37" t="s">
        <v>7</v>
      </c>
      <c r="D4788" s="326">
        <v>39.61</v>
      </c>
    </row>
    <row r="4789" spans="1:4" ht="13.5">
      <c r="A4789" s="37">
        <v>97548</v>
      </c>
      <c r="B4789" s="37" t="s">
        <v>8366</v>
      </c>
      <c r="C4789" s="37" t="s">
        <v>7</v>
      </c>
      <c r="D4789" s="326">
        <v>57.55</v>
      </c>
    </row>
    <row r="4790" spans="1:4" ht="13.5">
      <c r="A4790" s="37">
        <v>97549</v>
      </c>
      <c r="B4790" s="37" t="s">
        <v>8367</v>
      </c>
      <c r="C4790" s="37" t="s">
        <v>7</v>
      </c>
      <c r="D4790" s="326">
        <v>57.55</v>
      </c>
    </row>
    <row r="4791" spans="1:4" ht="13.5">
      <c r="A4791" s="37">
        <v>97550</v>
      </c>
      <c r="B4791" s="37" t="s">
        <v>8368</v>
      </c>
      <c r="C4791" s="37" t="s">
        <v>7</v>
      </c>
      <c r="D4791" s="326">
        <v>93</v>
      </c>
    </row>
    <row r="4792" spans="1:4" ht="13.5">
      <c r="A4792" s="37">
        <v>97551</v>
      </c>
      <c r="B4792" s="37" t="s">
        <v>8369</v>
      </c>
      <c r="C4792" s="37" t="s">
        <v>7</v>
      </c>
      <c r="D4792" s="326">
        <v>93</v>
      </c>
    </row>
    <row r="4793" spans="1:4" ht="13.5">
      <c r="A4793" s="37">
        <v>97552</v>
      </c>
      <c r="B4793" s="37" t="s">
        <v>8370</v>
      </c>
      <c r="C4793" s="37" t="s">
        <v>7</v>
      </c>
      <c r="D4793" s="326">
        <v>58.36</v>
      </c>
    </row>
    <row r="4794" spans="1:4" ht="13.5">
      <c r="A4794" s="37">
        <v>97553</v>
      </c>
      <c r="B4794" s="37" t="s">
        <v>8371</v>
      </c>
      <c r="C4794" s="37" t="s">
        <v>7</v>
      </c>
      <c r="D4794" s="326">
        <v>82.25</v>
      </c>
    </row>
    <row r="4795" spans="1:4" ht="13.5">
      <c r="A4795" s="37">
        <v>97554</v>
      </c>
      <c r="B4795" s="37" t="s">
        <v>8372</v>
      </c>
      <c r="C4795" s="37" t="s">
        <v>7</v>
      </c>
      <c r="D4795" s="326">
        <v>139.91999999999999</v>
      </c>
    </row>
    <row r="4796" spans="1:4" ht="13.5">
      <c r="A4796" s="37">
        <v>98602</v>
      </c>
      <c r="B4796" s="37" t="s">
        <v>16123</v>
      </c>
      <c r="C4796" s="37" t="s">
        <v>7</v>
      </c>
      <c r="D4796" s="326">
        <v>16.93</v>
      </c>
    </row>
    <row r="4797" spans="1:4" ht="13.5">
      <c r="A4797" s="37">
        <v>103805</v>
      </c>
      <c r="B4797" s="37" t="s">
        <v>16124</v>
      </c>
      <c r="C4797" s="37" t="s">
        <v>7</v>
      </c>
      <c r="D4797" s="326">
        <v>16.61</v>
      </c>
    </row>
    <row r="4798" spans="1:4" ht="13.5">
      <c r="A4798" s="37">
        <v>103806</v>
      </c>
      <c r="B4798" s="37" t="s">
        <v>16125</v>
      </c>
      <c r="C4798" s="37" t="s">
        <v>7</v>
      </c>
      <c r="D4798" s="326">
        <v>16.579999999999998</v>
      </c>
    </row>
    <row r="4799" spans="1:4" ht="13.5">
      <c r="A4799" s="37">
        <v>103807</v>
      </c>
      <c r="B4799" s="37" t="s">
        <v>16126</v>
      </c>
      <c r="C4799" s="37" t="s">
        <v>7</v>
      </c>
      <c r="D4799" s="326">
        <v>20.48</v>
      </c>
    </row>
    <row r="4800" spans="1:4" ht="13.5">
      <c r="A4800" s="37">
        <v>103808</v>
      </c>
      <c r="B4800" s="37" t="s">
        <v>16127</v>
      </c>
      <c r="C4800" s="37" t="s">
        <v>7</v>
      </c>
      <c r="D4800" s="326">
        <v>31.14</v>
      </c>
    </row>
    <row r="4801" spans="1:4" ht="13.5">
      <c r="A4801" s="37">
        <v>103809</v>
      </c>
      <c r="B4801" s="37" t="s">
        <v>16128</v>
      </c>
      <c r="C4801" s="37" t="s">
        <v>7</v>
      </c>
      <c r="D4801" s="326">
        <v>30.86</v>
      </c>
    </row>
    <row r="4802" spans="1:4" ht="13.5">
      <c r="A4802" s="37">
        <v>103810</v>
      </c>
      <c r="B4802" s="37" t="s">
        <v>16129</v>
      </c>
      <c r="C4802" s="37" t="s">
        <v>7</v>
      </c>
      <c r="D4802" s="326">
        <v>31.58</v>
      </c>
    </row>
    <row r="4803" spans="1:4" ht="13.5">
      <c r="A4803" s="37">
        <v>103811</v>
      </c>
      <c r="B4803" s="37" t="s">
        <v>16130</v>
      </c>
      <c r="C4803" s="37" t="s">
        <v>7</v>
      </c>
      <c r="D4803" s="326">
        <v>34.83</v>
      </c>
    </row>
    <row r="4804" spans="1:4" ht="13.5">
      <c r="A4804" s="37">
        <v>103812</v>
      </c>
      <c r="B4804" s="37" t="s">
        <v>16131</v>
      </c>
      <c r="C4804" s="37" t="s">
        <v>7</v>
      </c>
      <c r="D4804" s="326">
        <v>46.18</v>
      </c>
    </row>
    <row r="4805" spans="1:4" ht="13.5">
      <c r="A4805" s="37">
        <v>103813</v>
      </c>
      <c r="B4805" s="37" t="s">
        <v>16132</v>
      </c>
      <c r="C4805" s="37" t="s">
        <v>7</v>
      </c>
      <c r="D4805" s="326">
        <v>44.51</v>
      </c>
    </row>
    <row r="4806" spans="1:4" ht="13.5">
      <c r="A4806" s="37">
        <v>103814</v>
      </c>
      <c r="B4806" s="37" t="s">
        <v>16133</v>
      </c>
      <c r="C4806" s="37" t="s">
        <v>7</v>
      </c>
      <c r="D4806" s="326">
        <v>10.85</v>
      </c>
    </row>
    <row r="4807" spans="1:4" ht="13.5">
      <c r="A4807" s="37">
        <v>103815</v>
      </c>
      <c r="B4807" s="37" t="s">
        <v>16134</v>
      </c>
      <c r="C4807" s="37" t="s">
        <v>7</v>
      </c>
      <c r="D4807" s="326">
        <v>10.88</v>
      </c>
    </row>
    <row r="4808" spans="1:4" ht="13.5">
      <c r="A4808" s="37">
        <v>103816</v>
      </c>
      <c r="B4808" s="37" t="s">
        <v>16135</v>
      </c>
      <c r="C4808" s="37" t="s">
        <v>7</v>
      </c>
      <c r="D4808" s="326">
        <v>25.36</v>
      </c>
    </row>
    <row r="4809" spans="1:4" ht="13.5">
      <c r="A4809" s="37">
        <v>103817</v>
      </c>
      <c r="B4809" s="37" t="s">
        <v>16136</v>
      </c>
      <c r="C4809" s="37" t="s">
        <v>7</v>
      </c>
      <c r="D4809" s="326">
        <v>427.87</v>
      </c>
    </row>
    <row r="4810" spans="1:4" ht="13.5">
      <c r="A4810" s="37">
        <v>103818</v>
      </c>
      <c r="B4810" s="37" t="s">
        <v>16137</v>
      </c>
      <c r="C4810" s="37" t="s">
        <v>7</v>
      </c>
      <c r="D4810" s="326">
        <v>18.79</v>
      </c>
    </row>
    <row r="4811" spans="1:4" ht="13.5">
      <c r="A4811" s="37">
        <v>103819</v>
      </c>
      <c r="B4811" s="37" t="s">
        <v>16138</v>
      </c>
      <c r="C4811" s="37" t="s">
        <v>7</v>
      </c>
      <c r="D4811" s="326">
        <v>19.2</v>
      </c>
    </row>
    <row r="4812" spans="1:4" ht="13.5">
      <c r="A4812" s="37">
        <v>103820</v>
      </c>
      <c r="B4812" s="37" t="s">
        <v>16139</v>
      </c>
      <c r="C4812" s="37" t="s">
        <v>7</v>
      </c>
      <c r="D4812" s="326">
        <v>20.45</v>
      </c>
    </row>
    <row r="4813" spans="1:4" ht="13.5">
      <c r="A4813" s="37">
        <v>103821</v>
      </c>
      <c r="B4813" s="37" t="s">
        <v>16140</v>
      </c>
      <c r="C4813" s="37" t="s">
        <v>7</v>
      </c>
      <c r="D4813" s="326">
        <v>500.85</v>
      </c>
    </row>
    <row r="4814" spans="1:4" ht="13.5">
      <c r="A4814" s="37">
        <v>103822</v>
      </c>
      <c r="B4814" s="37" t="s">
        <v>16141</v>
      </c>
      <c r="C4814" s="37" t="s">
        <v>7</v>
      </c>
      <c r="D4814" s="326">
        <v>52.26</v>
      </c>
    </row>
    <row r="4815" spans="1:4" ht="13.5">
      <c r="A4815" s="37">
        <v>103823</v>
      </c>
      <c r="B4815" s="37" t="s">
        <v>16142</v>
      </c>
      <c r="C4815" s="37" t="s">
        <v>7</v>
      </c>
      <c r="D4815" s="326">
        <v>16.68</v>
      </c>
    </row>
    <row r="4816" spans="1:4" ht="13.5">
      <c r="A4816" s="37">
        <v>103824</v>
      </c>
      <c r="B4816" s="37" t="s">
        <v>16143</v>
      </c>
      <c r="C4816" s="37" t="s">
        <v>7</v>
      </c>
      <c r="D4816" s="326">
        <v>21.89</v>
      </c>
    </row>
    <row r="4817" spans="1:4" ht="13.5">
      <c r="A4817" s="37">
        <v>103825</v>
      </c>
      <c r="B4817" s="37" t="s">
        <v>16144</v>
      </c>
      <c r="C4817" s="37" t="s">
        <v>7</v>
      </c>
      <c r="D4817" s="326">
        <v>25.95</v>
      </c>
    </row>
    <row r="4818" spans="1:4" ht="13.5">
      <c r="A4818" s="37">
        <v>103826</v>
      </c>
      <c r="B4818" s="37" t="s">
        <v>16145</v>
      </c>
      <c r="C4818" s="37" t="s">
        <v>7</v>
      </c>
      <c r="D4818" s="326">
        <v>28.95</v>
      </c>
    </row>
    <row r="4819" spans="1:4" ht="13.5">
      <c r="A4819" s="37">
        <v>103827</v>
      </c>
      <c r="B4819" s="37" t="s">
        <v>16146</v>
      </c>
      <c r="C4819" s="37" t="s">
        <v>7</v>
      </c>
      <c r="D4819" s="326">
        <v>28.95</v>
      </c>
    </row>
    <row r="4820" spans="1:4" ht="13.5">
      <c r="A4820" s="37">
        <v>103828</v>
      </c>
      <c r="B4820" s="37" t="s">
        <v>16147</v>
      </c>
      <c r="C4820" s="37" t="s">
        <v>7</v>
      </c>
      <c r="D4820" s="326">
        <v>87.45</v>
      </c>
    </row>
    <row r="4821" spans="1:4" ht="13.5">
      <c r="A4821" s="37">
        <v>103829</v>
      </c>
      <c r="B4821" s="37" t="s">
        <v>16148</v>
      </c>
      <c r="C4821" s="37" t="s">
        <v>7</v>
      </c>
      <c r="D4821" s="326">
        <v>553.25</v>
      </c>
    </row>
    <row r="4822" spans="1:4" ht="13.5">
      <c r="A4822" s="37">
        <v>103830</v>
      </c>
      <c r="B4822" s="37" t="s">
        <v>16149</v>
      </c>
      <c r="C4822" s="37" t="s">
        <v>7</v>
      </c>
      <c r="D4822" s="326">
        <v>34.090000000000003</v>
      </c>
    </row>
    <row r="4823" spans="1:4" ht="13.5">
      <c r="A4823" s="37">
        <v>103831</v>
      </c>
      <c r="B4823" s="37" t="s">
        <v>16150</v>
      </c>
      <c r="C4823" s="37" t="s">
        <v>7</v>
      </c>
      <c r="D4823" s="326">
        <v>24.88</v>
      </c>
    </row>
    <row r="4824" spans="1:4" ht="13.5">
      <c r="A4824" s="37">
        <v>103832</v>
      </c>
      <c r="B4824" s="37" t="s">
        <v>16151</v>
      </c>
      <c r="C4824" s="37" t="s">
        <v>7</v>
      </c>
      <c r="D4824" s="326">
        <v>22.46</v>
      </c>
    </row>
    <row r="4825" spans="1:4" ht="13.5">
      <c r="A4825" s="37">
        <v>103833</v>
      </c>
      <c r="B4825" s="37" t="s">
        <v>16152</v>
      </c>
      <c r="C4825" s="37" t="s">
        <v>7</v>
      </c>
      <c r="D4825" s="326">
        <v>41.26</v>
      </c>
    </row>
    <row r="4826" spans="1:4" ht="13.5">
      <c r="A4826" s="37">
        <v>103834</v>
      </c>
      <c r="B4826" s="37" t="s">
        <v>16153</v>
      </c>
      <c r="C4826" s="37" t="s">
        <v>7</v>
      </c>
      <c r="D4826" s="326">
        <v>60.03</v>
      </c>
    </row>
    <row r="4827" spans="1:4" ht="13.5">
      <c r="A4827" s="37">
        <v>103838</v>
      </c>
      <c r="B4827" s="37" t="s">
        <v>16154</v>
      </c>
      <c r="C4827" s="37" t="s">
        <v>7</v>
      </c>
      <c r="D4827" s="326">
        <v>15.96</v>
      </c>
    </row>
    <row r="4828" spans="1:4" ht="13.5">
      <c r="A4828" s="37">
        <v>103839</v>
      </c>
      <c r="B4828" s="37" t="s">
        <v>16155</v>
      </c>
      <c r="C4828" s="37" t="s">
        <v>7</v>
      </c>
      <c r="D4828" s="326">
        <v>15.93</v>
      </c>
    </row>
    <row r="4829" spans="1:4" ht="13.5">
      <c r="A4829" s="37">
        <v>103840</v>
      </c>
      <c r="B4829" s="37" t="s">
        <v>16156</v>
      </c>
      <c r="C4829" s="37" t="s">
        <v>7</v>
      </c>
      <c r="D4829" s="326">
        <v>20.16</v>
      </c>
    </row>
    <row r="4830" spans="1:4" ht="13.5">
      <c r="A4830" s="37">
        <v>103841</v>
      </c>
      <c r="B4830" s="37" t="s">
        <v>16157</v>
      </c>
      <c r="C4830" s="37" t="s">
        <v>7</v>
      </c>
      <c r="D4830" s="326">
        <v>26.1</v>
      </c>
    </row>
    <row r="4831" spans="1:4" ht="13.5">
      <c r="A4831" s="37">
        <v>103842</v>
      </c>
      <c r="B4831" s="37" t="s">
        <v>16158</v>
      </c>
      <c r="C4831" s="37" t="s">
        <v>7</v>
      </c>
      <c r="D4831" s="326">
        <v>25.82</v>
      </c>
    </row>
    <row r="4832" spans="1:4" ht="13.5">
      <c r="A4832" s="37">
        <v>103843</v>
      </c>
      <c r="B4832" s="37" t="s">
        <v>16159</v>
      </c>
      <c r="C4832" s="37" t="s">
        <v>7</v>
      </c>
      <c r="D4832" s="326">
        <v>29.06</v>
      </c>
    </row>
    <row r="4833" spans="1:4" ht="13.5">
      <c r="A4833" s="37">
        <v>103844</v>
      </c>
      <c r="B4833" s="37" t="s">
        <v>16160</v>
      </c>
      <c r="C4833" s="37" t="s">
        <v>7</v>
      </c>
      <c r="D4833" s="326">
        <v>32.31</v>
      </c>
    </row>
    <row r="4834" spans="1:4" ht="13.5">
      <c r="A4834" s="37">
        <v>103845</v>
      </c>
      <c r="B4834" s="37" t="s">
        <v>16161</v>
      </c>
      <c r="C4834" s="37" t="s">
        <v>7</v>
      </c>
      <c r="D4834" s="326">
        <v>37.369999999999997</v>
      </c>
    </row>
    <row r="4835" spans="1:4" ht="13.5">
      <c r="A4835" s="37">
        <v>103846</v>
      </c>
      <c r="B4835" s="37" t="s">
        <v>16162</v>
      </c>
      <c r="C4835" s="37" t="s">
        <v>7</v>
      </c>
      <c r="D4835" s="326">
        <v>35.700000000000003</v>
      </c>
    </row>
    <row r="4836" spans="1:4" ht="13.5">
      <c r="A4836" s="37">
        <v>103847</v>
      </c>
      <c r="B4836" s="37" t="s">
        <v>16163</v>
      </c>
      <c r="C4836" s="37" t="s">
        <v>7</v>
      </c>
      <c r="D4836" s="326">
        <v>10.42</v>
      </c>
    </row>
    <row r="4837" spans="1:4" ht="13.5">
      <c r="A4837" s="37">
        <v>103848</v>
      </c>
      <c r="B4837" s="37" t="s">
        <v>16164</v>
      </c>
      <c r="C4837" s="37" t="s">
        <v>7</v>
      </c>
      <c r="D4837" s="326">
        <v>10.45</v>
      </c>
    </row>
    <row r="4838" spans="1:4" ht="13.5">
      <c r="A4838" s="37">
        <v>103849</v>
      </c>
      <c r="B4838" s="37" t="s">
        <v>16165</v>
      </c>
      <c r="C4838" s="37" t="s">
        <v>7</v>
      </c>
      <c r="D4838" s="326">
        <v>24.93</v>
      </c>
    </row>
    <row r="4839" spans="1:4" ht="13.5">
      <c r="A4839" s="37">
        <v>103850</v>
      </c>
      <c r="B4839" s="37" t="s">
        <v>16166</v>
      </c>
      <c r="C4839" s="37" t="s">
        <v>7</v>
      </c>
      <c r="D4839" s="326">
        <v>427.44</v>
      </c>
    </row>
    <row r="4840" spans="1:4" ht="13.5">
      <c r="A4840" s="37">
        <v>103851</v>
      </c>
      <c r="B4840" s="37" t="s">
        <v>16167</v>
      </c>
      <c r="C4840" s="37" t="s">
        <v>7</v>
      </c>
      <c r="D4840" s="326">
        <v>18.57</v>
      </c>
    </row>
    <row r="4841" spans="1:4" ht="13.5">
      <c r="A4841" s="37">
        <v>103852</v>
      </c>
      <c r="B4841" s="37" t="s">
        <v>16168</v>
      </c>
      <c r="C4841" s="37" t="s">
        <v>7</v>
      </c>
      <c r="D4841" s="326">
        <v>15.81</v>
      </c>
    </row>
    <row r="4842" spans="1:4" ht="13.5">
      <c r="A4842" s="37">
        <v>103853</v>
      </c>
      <c r="B4842" s="37" t="s">
        <v>16169</v>
      </c>
      <c r="C4842" s="37" t="s">
        <v>7</v>
      </c>
      <c r="D4842" s="326">
        <v>17.059999999999999</v>
      </c>
    </row>
    <row r="4843" spans="1:4" ht="13.5">
      <c r="A4843" s="37">
        <v>103854</v>
      </c>
      <c r="B4843" s="37" t="s">
        <v>16170</v>
      </c>
      <c r="C4843" s="37" t="s">
        <v>7</v>
      </c>
      <c r="D4843" s="326">
        <v>497.46</v>
      </c>
    </row>
    <row r="4844" spans="1:4" ht="13.5">
      <c r="A4844" s="37">
        <v>103855</v>
      </c>
      <c r="B4844" s="37" t="s">
        <v>16171</v>
      </c>
      <c r="C4844" s="37" t="s">
        <v>7</v>
      </c>
      <c r="D4844" s="326">
        <v>48.87</v>
      </c>
    </row>
    <row r="4845" spans="1:4" ht="13.5">
      <c r="A4845" s="37">
        <v>103856</v>
      </c>
      <c r="B4845" s="37" t="s">
        <v>16172</v>
      </c>
      <c r="C4845" s="37" t="s">
        <v>7</v>
      </c>
      <c r="D4845" s="326">
        <v>14.88</v>
      </c>
    </row>
    <row r="4846" spans="1:4" ht="13.5">
      <c r="A4846" s="37">
        <v>103857</v>
      </c>
      <c r="B4846" s="37" t="s">
        <v>16173</v>
      </c>
      <c r="C4846" s="37" t="s">
        <v>7</v>
      </c>
      <c r="D4846" s="326">
        <v>20.190000000000001</v>
      </c>
    </row>
    <row r="4847" spans="1:4" ht="13.5">
      <c r="A4847" s="37">
        <v>103858</v>
      </c>
      <c r="B4847" s="37" t="s">
        <v>16174</v>
      </c>
      <c r="C4847" s="37" t="s">
        <v>7</v>
      </c>
      <c r="D4847" s="326">
        <v>24.26</v>
      </c>
    </row>
    <row r="4848" spans="1:4" ht="13.5">
      <c r="A4848" s="37">
        <v>103859</v>
      </c>
      <c r="B4848" s="37" t="s">
        <v>16175</v>
      </c>
      <c r="C4848" s="37" t="s">
        <v>7</v>
      </c>
      <c r="D4848" s="326">
        <v>23.48</v>
      </c>
    </row>
    <row r="4849" spans="1:4" ht="13.5">
      <c r="A4849" s="37">
        <v>103860</v>
      </c>
      <c r="B4849" s="37" t="s">
        <v>16176</v>
      </c>
      <c r="C4849" s="37" t="s">
        <v>7</v>
      </c>
      <c r="D4849" s="326">
        <v>23.48</v>
      </c>
    </row>
    <row r="4850" spans="1:4" ht="13.5">
      <c r="A4850" s="37">
        <v>103861</v>
      </c>
      <c r="B4850" s="37" t="s">
        <v>16177</v>
      </c>
      <c r="C4850" s="37" t="s">
        <v>7</v>
      </c>
      <c r="D4850" s="326">
        <v>81.98</v>
      </c>
    </row>
    <row r="4851" spans="1:4" ht="13.5">
      <c r="A4851" s="37">
        <v>103862</v>
      </c>
      <c r="B4851" s="37" t="s">
        <v>16178</v>
      </c>
      <c r="C4851" s="37" t="s">
        <v>7</v>
      </c>
      <c r="D4851" s="326">
        <v>547.78</v>
      </c>
    </row>
    <row r="4852" spans="1:4" ht="13.5">
      <c r="A4852" s="37">
        <v>103863</v>
      </c>
      <c r="B4852" s="37" t="s">
        <v>16179</v>
      </c>
      <c r="C4852" s="37" t="s">
        <v>7</v>
      </c>
      <c r="D4852" s="326">
        <v>31.36</v>
      </c>
    </row>
    <row r="4853" spans="1:4" ht="13.5">
      <c r="A4853" s="37">
        <v>103864</v>
      </c>
      <c r="B4853" s="37" t="s">
        <v>16180</v>
      </c>
      <c r="C4853" s="37" t="s">
        <v>7</v>
      </c>
      <c r="D4853" s="326">
        <v>20.36</v>
      </c>
    </row>
    <row r="4854" spans="1:4" ht="13.5">
      <c r="A4854" s="37">
        <v>103865</v>
      </c>
      <c r="B4854" s="37" t="s">
        <v>16181</v>
      </c>
      <c r="C4854" s="37" t="s">
        <v>7</v>
      </c>
      <c r="D4854" s="326">
        <v>21.59</v>
      </c>
    </row>
    <row r="4855" spans="1:4" ht="13.5">
      <c r="A4855" s="37">
        <v>103866</v>
      </c>
      <c r="B4855" s="37" t="s">
        <v>16182</v>
      </c>
      <c r="C4855" s="37" t="s">
        <v>7</v>
      </c>
      <c r="D4855" s="326">
        <v>34.53</v>
      </c>
    </row>
    <row r="4856" spans="1:4" ht="13.5">
      <c r="A4856" s="37">
        <v>103867</v>
      </c>
      <c r="B4856" s="37" t="s">
        <v>16183</v>
      </c>
      <c r="C4856" s="37" t="s">
        <v>7</v>
      </c>
      <c r="D4856" s="326">
        <v>48.24</v>
      </c>
    </row>
    <row r="4857" spans="1:4" ht="13.5">
      <c r="A4857" s="37">
        <v>103874</v>
      </c>
      <c r="B4857" s="37" t="s">
        <v>16184</v>
      </c>
      <c r="C4857" s="37" t="s">
        <v>7</v>
      </c>
      <c r="D4857" s="326">
        <v>16.64</v>
      </c>
    </row>
    <row r="4858" spans="1:4" ht="13.5">
      <c r="A4858" s="37">
        <v>103875</v>
      </c>
      <c r="B4858" s="37" t="s">
        <v>16185</v>
      </c>
      <c r="C4858" s="37" t="s">
        <v>7</v>
      </c>
      <c r="D4858" s="326">
        <v>16.61</v>
      </c>
    </row>
    <row r="4859" spans="1:4" ht="13.5">
      <c r="A4859" s="37">
        <v>103876</v>
      </c>
      <c r="B4859" s="37" t="s">
        <v>16186</v>
      </c>
      <c r="C4859" s="37" t="s">
        <v>7</v>
      </c>
      <c r="D4859" s="326">
        <v>20.5</v>
      </c>
    </row>
    <row r="4860" spans="1:4" ht="13.5">
      <c r="A4860" s="37">
        <v>103877</v>
      </c>
      <c r="B4860" s="37" t="s">
        <v>16187</v>
      </c>
      <c r="C4860" s="37" t="s">
        <v>7</v>
      </c>
      <c r="D4860" s="326">
        <v>25.34</v>
      </c>
    </row>
    <row r="4861" spans="1:4" ht="13.5">
      <c r="A4861" s="37">
        <v>103878</v>
      </c>
      <c r="B4861" s="37" t="s">
        <v>16188</v>
      </c>
      <c r="C4861" s="37" t="s">
        <v>7</v>
      </c>
      <c r="D4861" s="326">
        <v>25.06</v>
      </c>
    </row>
    <row r="4862" spans="1:4" ht="13.5">
      <c r="A4862" s="37">
        <v>103879</v>
      </c>
      <c r="B4862" s="37" t="s">
        <v>16189</v>
      </c>
      <c r="C4862" s="37" t="s">
        <v>7</v>
      </c>
      <c r="D4862" s="326">
        <v>28.67</v>
      </c>
    </row>
    <row r="4863" spans="1:4" ht="13.5">
      <c r="A4863" s="37">
        <v>103880</v>
      </c>
      <c r="B4863" s="37" t="s">
        <v>16190</v>
      </c>
      <c r="C4863" s="37" t="s">
        <v>7</v>
      </c>
      <c r="D4863" s="326">
        <v>31.93</v>
      </c>
    </row>
    <row r="4864" spans="1:4" ht="13.5">
      <c r="A4864" s="37">
        <v>103881</v>
      </c>
      <c r="B4864" s="37" t="s">
        <v>16191</v>
      </c>
      <c r="C4864" s="37" t="s">
        <v>7</v>
      </c>
      <c r="D4864" s="326">
        <v>35.39</v>
      </c>
    </row>
    <row r="4865" spans="1:4" ht="13.5">
      <c r="A4865" s="37">
        <v>103882</v>
      </c>
      <c r="B4865" s="37" t="s">
        <v>16192</v>
      </c>
      <c r="C4865" s="37" t="s">
        <v>7</v>
      </c>
      <c r="D4865" s="326">
        <v>33.72</v>
      </c>
    </row>
    <row r="4866" spans="1:4" ht="13.5">
      <c r="A4866" s="37">
        <v>103883</v>
      </c>
      <c r="B4866" s="37" t="s">
        <v>16193</v>
      </c>
      <c r="C4866" s="37" t="s">
        <v>7</v>
      </c>
      <c r="D4866" s="326">
        <v>10.86</v>
      </c>
    </row>
    <row r="4867" spans="1:4" ht="13.5">
      <c r="A4867" s="37">
        <v>103884</v>
      </c>
      <c r="B4867" s="37" t="s">
        <v>16194</v>
      </c>
      <c r="C4867" s="37" t="s">
        <v>7</v>
      </c>
      <c r="D4867" s="326">
        <v>10.89</v>
      </c>
    </row>
    <row r="4868" spans="1:4" ht="13.5">
      <c r="A4868" s="37">
        <v>103885</v>
      </c>
      <c r="B4868" s="37" t="s">
        <v>16195</v>
      </c>
      <c r="C4868" s="37" t="s">
        <v>7</v>
      </c>
      <c r="D4868" s="326">
        <v>25.37</v>
      </c>
    </row>
    <row r="4869" spans="1:4" ht="13.5">
      <c r="A4869" s="37">
        <v>103886</v>
      </c>
      <c r="B4869" s="37" t="s">
        <v>16196</v>
      </c>
      <c r="C4869" s="37" t="s">
        <v>7</v>
      </c>
      <c r="D4869" s="326">
        <v>427.88</v>
      </c>
    </row>
    <row r="4870" spans="1:4" ht="13.5">
      <c r="A4870" s="37">
        <v>103887</v>
      </c>
      <c r="B4870" s="37" t="s">
        <v>16197</v>
      </c>
      <c r="C4870" s="37" t="s">
        <v>7</v>
      </c>
      <c r="D4870" s="326">
        <v>18.78</v>
      </c>
    </row>
    <row r="4871" spans="1:4" ht="13.5">
      <c r="A4871" s="37">
        <v>103888</v>
      </c>
      <c r="B4871" s="37" t="s">
        <v>16198</v>
      </c>
      <c r="C4871" s="37" t="s">
        <v>7</v>
      </c>
      <c r="D4871" s="326">
        <v>15.27</v>
      </c>
    </row>
    <row r="4872" spans="1:4" ht="13.5">
      <c r="A4872" s="37">
        <v>103889</v>
      </c>
      <c r="B4872" s="37" t="s">
        <v>16199</v>
      </c>
      <c r="C4872" s="37" t="s">
        <v>7</v>
      </c>
      <c r="D4872" s="326">
        <v>16.52</v>
      </c>
    </row>
    <row r="4873" spans="1:4" ht="13.5">
      <c r="A4873" s="37">
        <v>103890</v>
      </c>
      <c r="B4873" s="37" t="s">
        <v>16200</v>
      </c>
      <c r="C4873" s="37" t="s">
        <v>7</v>
      </c>
      <c r="D4873" s="326">
        <v>496.92</v>
      </c>
    </row>
    <row r="4874" spans="1:4" ht="13.5">
      <c r="A4874" s="37">
        <v>103891</v>
      </c>
      <c r="B4874" s="37" t="s">
        <v>16201</v>
      </c>
      <c r="C4874" s="37" t="s">
        <v>7</v>
      </c>
      <c r="D4874" s="326">
        <v>48.33</v>
      </c>
    </row>
    <row r="4875" spans="1:4" ht="13.5">
      <c r="A4875" s="37">
        <v>103892</v>
      </c>
      <c r="B4875" s="37" t="s">
        <v>16202</v>
      </c>
      <c r="C4875" s="37" t="s">
        <v>7</v>
      </c>
      <c r="D4875" s="326">
        <v>14.86</v>
      </c>
    </row>
    <row r="4876" spans="1:4" ht="13.5">
      <c r="A4876" s="37">
        <v>103893</v>
      </c>
      <c r="B4876" s="37" t="s">
        <v>16203</v>
      </c>
      <c r="C4876" s="37" t="s">
        <v>7</v>
      </c>
      <c r="D4876" s="326">
        <v>19.920000000000002</v>
      </c>
    </row>
    <row r="4877" spans="1:4" ht="13.5">
      <c r="A4877" s="37">
        <v>103894</v>
      </c>
      <c r="B4877" s="37" t="s">
        <v>16204</v>
      </c>
      <c r="C4877" s="37" t="s">
        <v>7</v>
      </c>
      <c r="D4877" s="326">
        <v>23.98</v>
      </c>
    </row>
    <row r="4878" spans="1:4" ht="13.5">
      <c r="A4878" s="37">
        <v>103895</v>
      </c>
      <c r="B4878" s="37" t="s">
        <v>16205</v>
      </c>
      <c r="C4878" s="37" t="s">
        <v>7</v>
      </c>
      <c r="D4878" s="326">
        <v>22.12</v>
      </c>
    </row>
    <row r="4879" spans="1:4" ht="13.5">
      <c r="A4879" s="37">
        <v>103896</v>
      </c>
      <c r="B4879" s="37" t="s">
        <v>16206</v>
      </c>
      <c r="C4879" s="37" t="s">
        <v>7</v>
      </c>
      <c r="D4879" s="326">
        <v>22.12</v>
      </c>
    </row>
    <row r="4880" spans="1:4" ht="13.5">
      <c r="A4880" s="37">
        <v>103897</v>
      </c>
      <c r="B4880" s="37" t="s">
        <v>16207</v>
      </c>
      <c r="C4880" s="37" t="s">
        <v>7</v>
      </c>
      <c r="D4880" s="326">
        <v>80.62</v>
      </c>
    </row>
    <row r="4881" spans="1:4" ht="13.5">
      <c r="A4881" s="37">
        <v>103898</v>
      </c>
      <c r="B4881" s="37" t="s">
        <v>16208</v>
      </c>
      <c r="C4881" s="37" t="s">
        <v>7</v>
      </c>
      <c r="D4881" s="326">
        <v>546.41999999999996</v>
      </c>
    </row>
    <row r="4882" spans="1:4" ht="13.5">
      <c r="A4882" s="37">
        <v>103899</v>
      </c>
      <c r="B4882" s="37" t="s">
        <v>16209</v>
      </c>
      <c r="C4882" s="37" t="s">
        <v>7</v>
      </c>
      <c r="D4882" s="326">
        <v>30.67</v>
      </c>
    </row>
    <row r="4883" spans="1:4" ht="13.5">
      <c r="A4883" s="37">
        <v>103900</v>
      </c>
      <c r="B4883" s="37" t="s">
        <v>16210</v>
      </c>
      <c r="C4883" s="37" t="s">
        <v>7</v>
      </c>
      <c r="D4883" s="326">
        <v>19.28</v>
      </c>
    </row>
    <row r="4884" spans="1:4" ht="13.5">
      <c r="A4884" s="37">
        <v>103901</v>
      </c>
      <c r="B4884" s="37" t="s">
        <v>16211</v>
      </c>
      <c r="C4884" s="37" t="s">
        <v>7</v>
      </c>
      <c r="D4884" s="326">
        <v>22.5</v>
      </c>
    </row>
    <row r="4885" spans="1:4" ht="13.5">
      <c r="A4885" s="37">
        <v>103902</v>
      </c>
      <c r="B4885" s="37" t="s">
        <v>16212</v>
      </c>
      <c r="C4885" s="37" t="s">
        <v>7</v>
      </c>
      <c r="D4885" s="326">
        <v>33.5</v>
      </c>
    </row>
    <row r="4886" spans="1:4" ht="13.5">
      <c r="A4886" s="37">
        <v>103903</v>
      </c>
      <c r="B4886" s="37" t="s">
        <v>16213</v>
      </c>
      <c r="C4886" s="37" t="s">
        <v>7</v>
      </c>
      <c r="D4886" s="326">
        <v>45.58</v>
      </c>
    </row>
    <row r="4887" spans="1:4" ht="13.5">
      <c r="A4887" s="37">
        <v>103947</v>
      </c>
      <c r="B4887" s="37" t="s">
        <v>16214</v>
      </c>
      <c r="C4887" s="37" t="s">
        <v>7</v>
      </c>
      <c r="D4887" s="326">
        <v>5.93</v>
      </c>
    </row>
    <row r="4888" spans="1:4" ht="13.5">
      <c r="A4888" s="37">
        <v>103948</v>
      </c>
      <c r="B4888" s="37" t="s">
        <v>16215</v>
      </c>
      <c r="C4888" s="37" t="s">
        <v>7</v>
      </c>
      <c r="D4888" s="326">
        <v>7.52</v>
      </c>
    </row>
    <row r="4889" spans="1:4" ht="13.5">
      <c r="A4889" s="37">
        <v>103949</v>
      </c>
      <c r="B4889" s="37" t="s">
        <v>16216</v>
      </c>
      <c r="C4889" s="37" t="s">
        <v>7</v>
      </c>
      <c r="D4889" s="326">
        <v>9.52</v>
      </c>
    </row>
    <row r="4890" spans="1:4" ht="13.5">
      <c r="A4890" s="37">
        <v>103950</v>
      </c>
      <c r="B4890" s="37" t="s">
        <v>16217</v>
      </c>
      <c r="C4890" s="37" t="s">
        <v>7</v>
      </c>
      <c r="D4890" s="326">
        <v>10.88</v>
      </c>
    </row>
    <row r="4891" spans="1:4" ht="13.5">
      <c r="A4891" s="37">
        <v>103951</v>
      </c>
      <c r="B4891" s="37" t="s">
        <v>16218</v>
      </c>
      <c r="C4891" s="37" t="s">
        <v>7</v>
      </c>
      <c r="D4891" s="326">
        <v>15.61</v>
      </c>
    </row>
    <row r="4892" spans="1:4" ht="13.5">
      <c r="A4892" s="37">
        <v>103952</v>
      </c>
      <c r="B4892" s="37" t="s">
        <v>16219</v>
      </c>
      <c r="C4892" s="37" t="s">
        <v>7</v>
      </c>
      <c r="D4892" s="326">
        <v>5.48</v>
      </c>
    </row>
    <row r="4893" spans="1:4" ht="13.5">
      <c r="A4893" s="37">
        <v>103953</v>
      </c>
      <c r="B4893" s="37" t="s">
        <v>16220</v>
      </c>
      <c r="C4893" s="37" t="s">
        <v>7</v>
      </c>
      <c r="D4893" s="326">
        <v>6.98</v>
      </c>
    </row>
    <row r="4894" spans="1:4" ht="13.5">
      <c r="A4894" s="37">
        <v>103954</v>
      </c>
      <c r="B4894" s="37" t="s">
        <v>16221</v>
      </c>
      <c r="C4894" s="37" t="s">
        <v>7</v>
      </c>
      <c r="D4894" s="326">
        <v>9.01</v>
      </c>
    </row>
    <row r="4895" spans="1:4" ht="13.5">
      <c r="A4895" s="37">
        <v>103955</v>
      </c>
      <c r="B4895" s="37" t="s">
        <v>16222</v>
      </c>
      <c r="C4895" s="37" t="s">
        <v>7</v>
      </c>
      <c r="D4895" s="326">
        <v>10.210000000000001</v>
      </c>
    </row>
    <row r="4896" spans="1:4" ht="13.5">
      <c r="A4896" s="37">
        <v>103956</v>
      </c>
      <c r="B4896" s="37" t="s">
        <v>16223</v>
      </c>
      <c r="C4896" s="37" t="s">
        <v>7</v>
      </c>
      <c r="D4896" s="326">
        <v>14.82</v>
      </c>
    </row>
    <row r="4897" spans="1:4" ht="13.5">
      <c r="A4897" s="37">
        <v>103957</v>
      </c>
      <c r="B4897" s="37" t="s">
        <v>16224</v>
      </c>
      <c r="C4897" s="37" t="s">
        <v>7</v>
      </c>
      <c r="D4897" s="326">
        <v>4.8499999999999996</v>
      </c>
    </row>
    <row r="4898" spans="1:4" ht="13.5">
      <c r="A4898" s="37">
        <v>103958</v>
      </c>
      <c r="B4898" s="37" t="s">
        <v>16225</v>
      </c>
      <c r="C4898" s="37" t="s">
        <v>7</v>
      </c>
      <c r="D4898" s="326">
        <v>10.57</v>
      </c>
    </row>
    <row r="4899" spans="1:4" ht="13.5">
      <c r="A4899" s="37">
        <v>103959</v>
      </c>
      <c r="B4899" s="37" t="s">
        <v>16226</v>
      </c>
      <c r="C4899" s="37" t="s">
        <v>7</v>
      </c>
      <c r="D4899" s="326">
        <v>16.399999999999999</v>
      </c>
    </row>
    <row r="4900" spans="1:4" ht="13.5">
      <c r="A4900" s="37">
        <v>103962</v>
      </c>
      <c r="B4900" s="37" t="s">
        <v>16227</v>
      </c>
      <c r="C4900" s="37" t="s">
        <v>7</v>
      </c>
      <c r="D4900" s="326">
        <v>6.96</v>
      </c>
    </row>
    <row r="4901" spans="1:4" ht="13.5">
      <c r="A4901" s="37">
        <v>103964</v>
      </c>
      <c r="B4901" s="37" t="s">
        <v>16228</v>
      </c>
      <c r="C4901" s="37" t="s">
        <v>7</v>
      </c>
      <c r="D4901" s="326">
        <v>8.89</v>
      </c>
    </row>
    <row r="4902" spans="1:4" ht="13.5">
      <c r="A4902" s="37">
        <v>103966</v>
      </c>
      <c r="B4902" s="37" t="s">
        <v>16229</v>
      </c>
      <c r="C4902" s="37" t="s">
        <v>7</v>
      </c>
      <c r="D4902" s="326">
        <v>10.48</v>
      </c>
    </row>
    <row r="4903" spans="1:4" ht="13.5">
      <c r="A4903" s="37">
        <v>103967</v>
      </c>
      <c r="B4903" s="37" t="s">
        <v>16230</v>
      </c>
      <c r="C4903" s="37" t="s">
        <v>7</v>
      </c>
      <c r="D4903" s="326">
        <v>12.86</v>
      </c>
    </row>
    <row r="4904" spans="1:4" ht="13.5">
      <c r="A4904" s="37">
        <v>103968</v>
      </c>
      <c r="B4904" s="37" t="s">
        <v>16231</v>
      </c>
      <c r="C4904" s="37" t="s">
        <v>7</v>
      </c>
      <c r="D4904" s="326">
        <v>19.2</v>
      </c>
    </row>
    <row r="4905" spans="1:4" ht="13.5">
      <c r="A4905" s="37">
        <v>103969</v>
      </c>
      <c r="B4905" s="37" t="s">
        <v>16232</v>
      </c>
      <c r="C4905" s="37" t="s">
        <v>7</v>
      </c>
      <c r="D4905" s="326">
        <v>22.9</v>
      </c>
    </row>
    <row r="4906" spans="1:4" ht="13.5">
      <c r="A4906" s="37">
        <v>103971</v>
      </c>
      <c r="B4906" s="37" t="s">
        <v>16233</v>
      </c>
      <c r="C4906" s="37" t="s">
        <v>7</v>
      </c>
      <c r="D4906" s="326">
        <v>29.31</v>
      </c>
    </row>
    <row r="4907" spans="1:4" ht="13.5">
      <c r="A4907" s="37">
        <v>103972</v>
      </c>
      <c r="B4907" s="37" t="s">
        <v>16234</v>
      </c>
      <c r="C4907" s="37" t="s">
        <v>7</v>
      </c>
      <c r="D4907" s="326">
        <v>33.880000000000003</v>
      </c>
    </row>
    <row r="4908" spans="1:4" ht="13.5">
      <c r="A4908" s="37">
        <v>103974</v>
      </c>
      <c r="B4908" s="37" t="s">
        <v>16235</v>
      </c>
      <c r="C4908" s="37" t="s">
        <v>7</v>
      </c>
      <c r="D4908" s="326">
        <v>11.63</v>
      </c>
    </row>
    <row r="4909" spans="1:4" ht="13.5">
      <c r="A4909" s="37">
        <v>103975</v>
      </c>
      <c r="B4909" s="37" t="s">
        <v>16236</v>
      </c>
      <c r="C4909" s="37" t="s">
        <v>7</v>
      </c>
      <c r="D4909" s="326">
        <v>19.600000000000001</v>
      </c>
    </row>
    <row r="4910" spans="1:4" ht="13.5">
      <c r="A4910" s="37">
        <v>103976</v>
      </c>
      <c r="B4910" s="37" t="s">
        <v>16237</v>
      </c>
      <c r="C4910" s="37" t="s">
        <v>7</v>
      </c>
      <c r="D4910" s="326">
        <v>29.21</v>
      </c>
    </row>
    <row r="4911" spans="1:4" ht="13.5">
      <c r="A4911" s="37">
        <v>103977</v>
      </c>
      <c r="B4911" s="37" t="s">
        <v>16238</v>
      </c>
      <c r="C4911" s="37" t="s">
        <v>7</v>
      </c>
      <c r="D4911" s="326">
        <v>7.26</v>
      </c>
    </row>
    <row r="4912" spans="1:4" ht="13.5">
      <c r="A4912" s="37">
        <v>103980</v>
      </c>
      <c r="B4912" s="37" t="s">
        <v>16239</v>
      </c>
      <c r="C4912" s="37" t="s">
        <v>7</v>
      </c>
      <c r="D4912" s="326">
        <v>18.27</v>
      </c>
    </row>
    <row r="4913" spans="1:4" ht="13.5">
      <c r="A4913" s="37">
        <v>103981</v>
      </c>
      <c r="B4913" s="37" t="s">
        <v>16240</v>
      </c>
      <c r="C4913" s="37" t="s">
        <v>7</v>
      </c>
      <c r="D4913" s="326">
        <v>18.350000000000001</v>
      </c>
    </row>
    <row r="4914" spans="1:4" ht="13.5">
      <c r="A4914" s="37">
        <v>103982</v>
      </c>
      <c r="B4914" s="37" t="s">
        <v>16241</v>
      </c>
      <c r="C4914" s="37" t="s">
        <v>7</v>
      </c>
      <c r="D4914" s="326">
        <v>26.44</v>
      </c>
    </row>
    <row r="4915" spans="1:4" ht="13.5">
      <c r="A4915" s="37">
        <v>103983</v>
      </c>
      <c r="B4915" s="37" t="s">
        <v>16242</v>
      </c>
      <c r="C4915" s="37" t="s">
        <v>7</v>
      </c>
      <c r="D4915" s="326">
        <v>17.63</v>
      </c>
    </row>
    <row r="4916" spans="1:4" ht="13.5">
      <c r="A4916" s="37">
        <v>103984</v>
      </c>
      <c r="B4916" s="37" t="s">
        <v>16243</v>
      </c>
      <c r="C4916" s="37" t="s">
        <v>7</v>
      </c>
      <c r="D4916" s="326">
        <v>19.66</v>
      </c>
    </row>
    <row r="4917" spans="1:4" ht="13.5">
      <c r="A4917" s="37">
        <v>103985</v>
      </c>
      <c r="B4917" s="37" t="s">
        <v>16244</v>
      </c>
      <c r="C4917" s="37" t="s">
        <v>7</v>
      </c>
      <c r="D4917" s="326">
        <v>22.99</v>
      </c>
    </row>
    <row r="4918" spans="1:4" ht="13.5">
      <c r="A4918" s="37">
        <v>103986</v>
      </c>
      <c r="B4918" s="37" t="s">
        <v>16245</v>
      </c>
      <c r="C4918" s="37" t="s">
        <v>7</v>
      </c>
      <c r="D4918" s="326">
        <v>30.4</v>
      </c>
    </row>
    <row r="4919" spans="1:4" ht="13.5">
      <c r="A4919" s="37">
        <v>103987</v>
      </c>
      <c r="B4919" s="37" t="s">
        <v>16246</v>
      </c>
      <c r="C4919" s="37" t="s">
        <v>7</v>
      </c>
      <c r="D4919" s="326">
        <v>25.37</v>
      </c>
    </row>
    <row r="4920" spans="1:4" ht="13.5">
      <c r="A4920" s="37">
        <v>103988</v>
      </c>
      <c r="B4920" s="37" t="s">
        <v>16247</v>
      </c>
      <c r="C4920" s="37" t="s">
        <v>7</v>
      </c>
      <c r="D4920" s="326">
        <v>13.25</v>
      </c>
    </row>
    <row r="4921" spans="1:4" ht="13.5">
      <c r="A4921" s="37">
        <v>103990</v>
      </c>
      <c r="B4921" s="37" t="s">
        <v>16248</v>
      </c>
      <c r="C4921" s="37" t="s">
        <v>7</v>
      </c>
      <c r="D4921" s="326">
        <v>42.09</v>
      </c>
    </row>
    <row r="4922" spans="1:4" ht="13.5">
      <c r="A4922" s="37">
        <v>103991</v>
      </c>
      <c r="B4922" s="37" t="s">
        <v>16249</v>
      </c>
      <c r="C4922" s="37" t="s">
        <v>7</v>
      </c>
      <c r="D4922" s="326">
        <v>20.7</v>
      </c>
    </row>
    <row r="4923" spans="1:4" ht="13.5">
      <c r="A4923" s="37">
        <v>103992</v>
      </c>
      <c r="B4923" s="37" t="s">
        <v>16250</v>
      </c>
      <c r="C4923" s="37" t="s">
        <v>7</v>
      </c>
      <c r="D4923" s="326">
        <v>11.87</v>
      </c>
    </row>
    <row r="4924" spans="1:4" ht="13.5">
      <c r="A4924" s="37">
        <v>103993</v>
      </c>
      <c r="B4924" s="37" t="s">
        <v>16251</v>
      </c>
      <c r="C4924" s="37" t="s">
        <v>7</v>
      </c>
      <c r="D4924" s="326">
        <v>9.74</v>
      </c>
    </row>
    <row r="4925" spans="1:4" ht="13.5">
      <c r="A4925" s="37">
        <v>103994</v>
      </c>
      <c r="B4925" s="37" t="s">
        <v>16252</v>
      </c>
      <c r="C4925" s="37" t="s">
        <v>7</v>
      </c>
      <c r="D4925" s="326">
        <v>15.32</v>
      </c>
    </row>
    <row r="4926" spans="1:4" ht="13.5">
      <c r="A4926" s="37">
        <v>103995</v>
      </c>
      <c r="B4926" s="37" t="s">
        <v>16253</v>
      </c>
      <c r="C4926" s="37" t="s">
        <v>7</v>
      </c>
      <c r="D4926" s="326">
        <v>15.43</v>
      </c>
    </row>
    <row r="4927" spans="1:4" ht="13.5">
      <c r="A4927" s="37">
        <v>103996</v>
      </c>
      <c r="B4927" s="37" t="s">
        <v>16254</v>
      </c>
      <c r="C4927" s="37" t="s">
        <v>7</v>
      </c>
      <c r="D4927" s="326">
        <v>47.71</v>
      </c>
    </row>
    <row r="4928" spans="1:4" ht="13.5">
      <c r="A4928" s="37">
        <v>103997</v>
      </c>
      <c r="B4928" s="37" t="s">
        <v>16255</v>
      </c>
      <c r="C4928" s="37" t="s">
        <v>7</v>
      </c>
      <c r="D4928" s="326">
        <v>46.47</v>
      </c>
    </row>
    <row r="4929" spans="1:4" ht="13.5">
      <c r="A4929" s="37">
        <v>103998</v>
      </c>
      <c r="B4929" s="37" t="s">
        <v>16256</v>
      </c>
      <c r="C4929" s="37" t="s">
        <v>7</v>
      </c>
      <c r="D4929" s="326">
        <v>15.67</v>
      </c>
    </row>
    <row r="4930" spans="1:4" ht="13.5">
      <c r="A4930" s="37">
        <v>103999</v>
      </c>
      <c r="B4930" s="37" t="s">
        <v>16257</v>
      </c>
      <c r="C4930" s="37" t="s">
        <v>7</v>
      </c>
      <c r="D4930" s="326">
        <v>13.03</v>
      </c>
    </row>
    <row r="4931" spans="1:4" ht="13.5">
      <c r="A4931" s="37">
        <v>104000</v>
      </c>
      <c r="B4931" s="37" t="s">
        <v>16258</v>
      </c>
      <c r="C4931" s="37" t="s">
        <v>7</v>
      </c>
      <c r="D4931" s="326">
        <v>32.68</v>
      </c>
    </row>
    <row r="4932" spans="1:4" ht="13.5">
      <c r="A4932" s="37">
        <v>104001</v>
      </c>
      <c r="B4932" s="37" t="s">
        <v>16259</v>
      </c>
      <c r="C4932" s="37" t="s">
        <v>7</v>
      </c>
      <c r="D4932" s="326">
        <v>14.26</v>
      </c>
    </row>
    <row r="4933" spans="1:4" ht="13.5">
      <c r="A4933" s="37">
        <v>104002</v>
      </c>
      <c r="B4933" s="37" t="s">
        <v>16260</v>
      </c>
      <c r="C4933" s="37" t="s">
        <v>7</v>
      </c>
      <c r="D4933" s="326">
        <v>19.18</v>
      </c>
    </row>
    <row r="4934" spans="1:4" ht="13.5">
      <c r="A4934" s="37">
        <v>104003</v>
      </c>
      <c r="B4934" s="37" t="s">
        <v>16261</v>
      </c>
      <c r="C4934" s="37" t="s">
        <v>7</v>
      </c>
      <c r="D4934" s="326">
        <v>15.57</v>
      </c>
    </row>
    <row r="4935" spans="1:4" ht="13.5">
      <c r="A4935" s="37">
        <v>104004</v>
      </c>
      <c r="B4935" s="37" t="s">
        <v>16262</v>
      </c>
      <c r="C4935" s="37" t="s">
        <v>7</v>
      </c>
      <c r="D4935" s="326">
        <v>30.66</v>
      </c>
    </row>
    <row r="4936" spans="1:4" ht="13.5">
      <c r="A4936" s="37">
        <v>104005</v>
      </c>
      <c r="B4936" s="37" t="s">
        <v>16263</v>
      </c>
      <c r="C4936" s="37" t="s">
        <v>7</v>
      </c>
      <c r="D4936" s="326">
        <v>40.14</v>
      </c>
    </row>
    <row r="4937" spans="1:4" ht="13.5">
      <c r="A4937" s="37">
        <v>104006</v>
      </c>
      <c r="B4937" s="37" t="s">
        <v>16264</v>
      </c>
      <c r="C4937" s="37" t="s">
        <v>7</v>
      </c>
      <c r="D4937" s="326">
        <v>26.79</v>
      </c>
    </row>
    <row r="4938" spans="1:4" ht="13.5">
      <c r="A4938" s="37">
        <v>104007</v>
      </c>
      <c r="B4938" s="37" t="s">
        <v>16265</v>
      </c>
      <c r="C4938" s="37" t="s">
        <v>7</v>
      </c>
      <c r="D4938" s="326">
        <v>23.34</v>
      </c>
    </row>
    <row r="4939" spans="1:4" ht="13.5">
      <c r="A4939" s="37">
        <v>104008</v>
      </c>
      <c r="B4939" s="37" t="s">
        <v>16266</v>
      </c>
      <c r="C4939" s="37" t="s">
        <v>7</v>
      </c>
      <c r="D4939" s="326">
        <v>34.58</v>
      </c>
    </row>
    <row r="4940" spans="1:4" ht="13.5">
      <c r="A4940" s="37">
        <v>104009</v>
      </c>
      <c r="B4940" s="37" t="s">
        <v>16267</v>
      </c>
      <c r="C4940" s="37" t="s">
        <v>7</v>
      </c>
      <c r="D4940" s="326">
        <v>13.45</v>
      </c>
    </row>
    <row r="4941" spans="1:4" ht="13.5">
      <c r="A4941" s="37">
        <v>104011</v>
      </c>
      <c r="B4941" s="37" t="s">
        <v>16268</v>
      </c>
      <c r="C4941" s="37" t="s">
        <v>7</v>
      </c>
      <c r="D4941" s="326">
        <v>26.5</v>
      </c>
    </row>
    <row r="4942" spans="1:4" ht="13.5">
      <c r="A4942" s="37">
        <v>104012</v>
      </c>
      <c r="B4942" s="37" t="s">
        <v>16269</v>
      </c>
      <c r="C4942" s="37" t="s">
        <v>7</v>
      </c>
      <c r="D4942" s="326">
        <v>24.61</v>
      </c>
    </row>
    <row r="4943" spans="1:4" ht="13.5">
      <c r="A4943" s="37">
        <v>104014</v>
      </c>
      <c r="B4943" s="37" t="s">
        <v>16270</v>
      </c>
      <c r="C4943" s="37" t="s">
        <v>7</v>
      </c>
      <c r="D4943" s="326">
        <v>11.21</v>
      </c>
    </row>
    <row r="4944" spans="1:4" ht="13.5">
      <c r="A4944" s="37">
        <v>104015</v>
      </c>
      <c r="B4944" s="37" t="s">
        <v>16271</v>
      </c>
      <c r="C4944" s="37" t="s">
        <v>7</v>
      </c>
      <c r="D4944" s="326">
        <v>16.3</v>
      </c>
    </row>
    <row r="4945" spans="1:4" ht="13.5">
      <c r="A4945" s="37">
        <v>104016</v>
      </c>
      <c r="B4945" s="37" t="s">
        <v>16272</v>
      </c>
      <c r="C4945" s="37" t="s">
        <v>7</v>
      </c>
      <c r="D4945" s="326">
        <v>22.07</v>
      </c>
    </row>
    <row r="4946" spans="1:4" ht="13.5">
      <c r="A4946" s="37">
        <v>104017</v>
      </c>
      <c r="B4946" s="37" t="s">
        <v>16273</v>
      </c>
      <c r="C4946" s="37" t="s">
        <v>7</v>
      </c>
      <c r="D4946" s="326">
        <v>46.7</v>
      </c>
    </row>
    <row r="4947" spans="1:4" ht="13.5">
      <c r="A4947" s="37">
        <v>104018</v>
      </c>
      <c r="B4947" s="37" t="s">
        <v>17573</v>
      </c>
      <c r="C4947" s="37" t="s">
        <v>7</v>
      </c>
      <c r="D4947" s="326">
        <v>21.12</v>
      </c>
    </row>
    <row r="4948" spans="1:4" ht="13.5">
      <c r="A4948" s="37">
        <v>104019</v>
      </c>
      <c r="B4948" s="37" t="s">
        <v>16274</v>
      </c>
      <c r="C4948" s="37" t="s">
        <v>7</v>
      </c>
      <c r="D4948" s="326">
        <v>45.59</v>
      </c>
    </row>
    <row r="4949" spans="1:4" ht="13.5">
      <c r="A4949" s="37">
        <v>104020</v>
      </c>
      <c r="B4949" s="37" t="s">
        <v>16275</v>
      </c>
      <c r="C4949" s="37" t="s">
        <v>7</v>
      </c>
      <c r="D4949" s="326">
        <v>58.75</v>
      </c>
    </row>
    <row r="4950" spans="1:4" ht="13.5">
      <c r="A4950" s="37">
        <v>104022</v>
      </c>
      <c r="B4950" s="37" t="s">
        <v>16276</v>
      </c>
      <c r="C4950" s="37" t="s">
        <v>7</v>
      </c>
      <c r="D4950" s="326">
        <v>72.09</v>
      </c>
    </row>
    <row r="4951" spans="1:4" ht="13.5">
      <c r="A4951" s="37">
        <v>104023</v>
      </c>
      <c r="B4951" s="37" t="s">
        <v>16277</v>
      </c>
      <c r="C4951" s="37" t="s">
        <v>7</v>
      </c>
      <c r="D4951" s="326">
        <v>42.14</v>
      </c>
    </row>
    <row r="4952" spans="1:4" ht="13.5">
      <c r="A4952" s="37">
        <v>104024</v>
      </c>
      <c r="B4952" s="37" t="s">
        <v>16278</v>
      </c>
      <c r="C4952" s="37" t="s">
        <v>7</v>
      </c>
      <c r="D4952" s="326">
        <v>41.7</v>
      </c>
    </row>
    <row r="4953" spans="1:4" ht="13.5">
      <c r="A4953" s="37">
        <v>104025</v>
      </c>
      <c r="B4953" s="37" t="s">
        <v>16279</v>
      </c>
      <c r="C4953" s="37" t="s">
        <v>7</v>
      </c>
      <c r="D4953" s="326">
        <v>29.22</v>
      </c>
    </row>
    <row r="4954" spans="1:4" ht="13.5">
      <c r="A4954" s="37">
        <v>104026</v>
      </c>
      <c r="B4954" s="37" t="s">
        <v>16280</v>
      </c>
      <c r="C4954" s="37" t="s">
        <v>7</v>
      </c>
      <c r="D4954" s="326">
        <v>43.62</v>
      </c>
    </row>
    <row r="4955" spans="1:4" ht="13.5">
      <c r="A4955" s="37">
        <v>104027</v>
      </c>
      <c r="B4955" s="37" t="s">
        <v>16281</v>
      </c>
      <c r="C4955" s="37" t="s">
        <v>7</v>
      </c>
      <c r="D4955" s="326">
        <v>67.08</v>
      </c>
    </row>
    <row r="4956" spans="1:4" ht="13.5">
      <c r="A4956" s="37">
        <v>104028</v>
      </c>
      <c r="B4956" s="37" t="s">
        <v>16282</v>
      </c>
      <c r="C4956" s="37" t="s">
        <v>7</v>
      </c>
      <c r="D4956" s="326">
        <v>139.03</v>
      </c>
    </row>
    <row r="4957" spans="1:4" ht="13.5">
      <c r="A4957" s="37">
        <v>104029</v>
      </c>
      <c r="B4957" s="37" t="s">
        <v>16283</v>
      </c>
      <c r="C4957" s="37" t="s">
        <v>7</v>
      </c>
      <c r="D4957" s="326">
        <v>71.55</v>
      </c>
    </row>
    <row r="4958" spans="1:4" ht="13.5">
      <c r="A4958" s="37">
        <v>104030</v>
      </c>
      <c r="B4958" s="37" t="s">
        <v>16284</v>
      </c>
      <c r="C4958" s="37" t="s">
        <v>7</v>
      </c>
      <c r="D4958" s="326">
        <v>63.77</v>
      </c>
    </row>
    <row r="4959" spans="1:4" ht="13.5">
      <c r="A4959" s="37">
        <v>104159</v>
      </c>
      <c r="B4959" s="37" t="s">
        <v>17574</v>
      </c>
      <c r="C4959" s="37" t="s">
        <v>7</v>
      </c>
      <c r="D4959" s="326">
        <v>45.35</v>
      </c>
    </row>
    <row r="4960" spans="1:4" ht="13.5">
      <c r="A4960" s="37">
        <v>104167</v>
      </c>
      <c r="B4960" s="37" t="s">
        <v>16285</v>
      </c>
      <c r="C4960" s="37" t="s">
        <v>7</v>
      </c>
      <c r="D4960" s="326">
        <v>139.03</v>
      </c>
    </row>
    <row r="4961" spans="1:4" ht="13.5">
      <c r="A4961" s="37">
        <v>104168</v>
      </c>
      <c r="B4961" s="37" t="s">
        <v>16286</v>
      </c>
      <c r="C4961" s="37" t="s">
        <v>7</v>
      </c>
      <c r="D4961" s="326">
        <v>135.16999999999999</v>
      </c>
    </row>
    <row r="4962" spans="1:4" ht="13.5">
      <c r="A4962" s="37">
        <v>104169</v>
      </c>
      <c r="B4962" s="37" t="s">
        <v>16287</v>
      </c>
      <c r="C4962" s="37" t="s">
        <v>7</v>
      </c>
      <c r="D4962" s="326">
        <v>169.09</v>
      </c>
    </row>
    <row r="4963" spans="1:4" ht="13.5">
      <c r="A4963" s="37">
        <v>104170</v>
      </c>
      <c r="B4963" s="37" t="s">
        <v>16288</v>
      </c>
      <c r="C4963" s="37" t="s">
        <v>7</v>
      </c>
      <c r="D4963" s="326">
        <v>77.91</v>
      </c>
    </row>
    <row r="4964" spans="1:4" ht="13.5">
      <c r="A4964" s="37">
        <v>104171</v>
      </c>
      <c r="B4964" s="37" t="s">
        <v>16289</v>
      </c>
      <c r="C4964" s="37" t="s">
        <v>7</v>
      </c>
      <c r="D4964" s="326">
        <v>110.95</v>
      </c>
    </row>
    <row r="4965" spans="1:4" ht="13.5">
      <c r="A4965" s="37">
        <v>104172</v>
      </c>
      <c r="B4965" s="37" t="s">
        <v>16290</v>
      </c>
      <c r="C4965" s="37" t="s">
        <v>7</v>
      </c>
      <c r="D4965" s="326">
        <v>322.67</v>
      </c>
    </row>
    <row r="4966" spans="1:4" ht="13.5">
      <c r="A4966" s="37">
        <v>104173</v>
      </c>
      <c r="B4966" s="37" t="s">
        <v>16291</v>
      </c>
      <c r="C4966" s="37" t="s">
        <v>7</v>
      </c>
      <c r="D4966" s="326">
        <v>96.64</v>
      </c>
    </row>
    <row r="4967" spans="1:4" ht="13.5">
      <c r="A4967" s="37">
        <v>104174</v>
      </c>
      <c r="B4967" s="37" t="s">
        <v>16292</v>
      </c>
      <c r="C4967" s="37" t="s">
        <v>7</v>
      </c>
      <c r="D4967" s="326">
        <v>216.87</v>
      </c>
    </row>
    <row r="4968" spans="1:4" ht="13.5">
      <c r="A4968" s="37">
        <v>104175</v>
      </c>
      <c r="B4968" s="37" t="s">
        <v>16293</v>
      </c>
      <c r="C4968" s="37" t="s">
        <v>7</v>
      </c>
      <c r="D4968" s="326">
        <v>158.9</v>
      </c>
    </row>
    <row r="4969" spans="1:4" ht="13.5">
      <c r="A4969" s="37">
        <v>104176</v>
      </c>
      <c r="B4969" s="37" t="s">
        <v>16294</v>
      </c>
      <c r="C4969" s="37" t="s">
        <v>7</v>
      </c>
      <c r="D4969" s="326">
        <v>289.27999999999997</v>
      </c>
    </row>
    <row r="4970" spans="1:4" ht="13.5">
      <c r="A4970" s="37">
        <v>104177</v>
      </c>
      <c r="B4970" s="37" t="s">
        <v>16295</v>
      </c>
      <c r="C4970" s="37" t="s">
        <v>7</v>
      </c>
      <c r="D4970" s="326">
        <v>207.04</v>
      </c>
    </row>
    <row r="4971" spans="1:4" ht="13.5">
      <c r="A4971" s="37">
        <v>104178</v>
      </c>
      <c r="B4971" s="37" t="s">
        <v>16296</v>
      </c>
      <c r="C4971" s="37" t="s">
        <v>7</v>
      </c>
      <c r="D4971" s="326">
        <v>24.27</v>
      </c>
    </row>
    <row r="4972" spans="1:4" ht="13.5">
      <c r="A4972" s="37">
        <v>104179</v>
      </c>
      <c r="B4972" s="37" t="s">
        <v>16297</v>
      </c>
      <c r="C4972" s="37" t="s">
        <v>7</v>
      </c>
      <c r="D4972" s="326">
        <v>96.85</v>
      </c>
    </row>
    <row r="4973" spans="1:4" ht="13.5">
      <c r="A4973" s="37">
        <v>104191</v>
      </c>
      <c r="B4973" s="37" t="s">
        <v>16298</v>
      </c>
      <c r="C4973" s="37" t="s">
        <v>7</v>
      </c>
      <c r="D4973" s="326">
        <v>9.25</v>
      </c>
    </row>
    <row r="4974" spans="1:4" ht="13.5">
      <c r="A4974" s="37">
        <v>104192</v>
      </c>
      <c r="B4974" s="37" t="s">
        <v>16299</v>
      </c>
      <c r="C4974" s="37" t="s">
        <v>7</v>
      </c>
      <c r="D4974" s="326">
        <v>25.97</v>
      </c>
    </row>
    <row r="4975" spans="1:4" ht="13.5">
      <c r="A4975" s="37">
        <v>104193</v>
      </c>
      <c r="B4975" s="37" t="s">
        <v>16300</v>
      </c>
      <c r="C4975" s="37" t="s">
        <v>7</v>
      </c>
      <c r="D4975" s="326">
        <v>151.63</v>
      </c>
    </row>
    <row r="4976" spans="1:4" ht="13.5">
      <c r="A4976" s="37">
        <v>104196</v>
      </c>
      <c r="B4976" s="37" t="s">
        <v>16301</v>
      </c>
      <c r="C4976" s="37" t="s">
        <v>7</v>
      </c>
      <c r="D4976" s="326">
        <v>14.34</v>
      </c>
    </row>
    <row r="4977" spans="1:4" ht="13.5">
      <c r="A4977" s="37">
        <v>104197</v>
      </c>
      <c r="B4977" s="37" t="s">
        <v>16302</v>
      </c>
      <c r="C4977" s="37" t="s">
        <v>7</v>
      </c>
      <c r="D4977" s="326">
        <v>26.86</v>
      </c>
    </row>
    <row r="4978" spans="1:4" ht="13.5">
      <c r="A4978" s="37">
        <v>104198</v>
      </c>
      <c r="B4978" s="37" t="s">
        <v>16303</v>
      </c>
      <c r="C4978" s="37" t="s">
        <v>7</v>
      </c>
      <c r="D4978" s="326">
        <v>6.84</v>
      </c>
    </row>
    <row r="4979" spans="1:4" ht="13.5">
      <c r="A4979" s="37">
        <v>104199</v>
      </c>
      <c r="B4979" s="37" t="s">
        <v>16304</v>
      </c>
      <c r="C4979" s="37" t="s">
        <v>7</v>
      </c>
      <c r="D4979" s="326">
        <v>6.62</v>
      </c>
    </row>
    <row r="4980" spans="1:4" ht="13.5">
      <c r="A4980" s="37">
        <v>104200</v>
      </c>
      <c r="B4980" s="37" t="s">
        <v>16305</v>
      </c>
      <c r="C4980" s="37" t="s">
        <v>7</v>
      </c>
      <c r="D4980" s="326">
        <v>5.44</v>
      </c>
    </row>
    <row r="4981" spans="1:4" ht="13.5">
      <c r="A4981" s="37">
        <v>104201</v>
      </c>
      <c r="B4981" s="37" t="s">
        <v>16306</v>
      </c>
      <c r="C4981" s="37" t="s">
        <v>7</v>
      </c>
      <c r="D4981" s="326">
        <v>17.690000000000001</v>
      </c>
    </row>
    <row r="4982" spans="1:4" ht="13.5">
      <c r="A4982" s="37">
        <v>104202</v>
      </c>
      <c r="B4982" s="37" t="s">
        <v>16307</v>
      </c>
      <c r="C4982" s="37" t="s">
        <v>7</v>
      </c>
      <c r="D4982" s="326">
        <v>9.85</v>
      </c>
    </row>
    <row r="4983" spans="1:4" ht="13.5">
      <c r="A4983" s="37">
        <v>104317</v>
      </c>
      <c r="B4983" s="37" t="s">
        <v>16308</v>
      </c>
      <c r="C4983" s="37" t="s">
        <v>7</v>
      </c>
      <c r="D4983" s="326">
        <v>6.26</v>
      </c>
    </row>
    <row r="4984" spans="1:4" ht="13.5">
      <c r="A4984" s="37">
        <v>104318</v>
      </c>
      <c r="B4984" s="37" t="s">
        <v>16309</v>
      </c>
      <c r="C4984" s="37" t="s">
        <v>7</v>
      </c>
      <c r="D4984" s="326">
        <v>6.98</v>
      </c>
    </row>
    <row r="4985" spans="1:4" ht="13.5">
      <c r="A4985" s="37">
        <v>104319</v>
      </c>
      <c r="B4985" s="37" t="s">
        <v>16310</v>
      </c>
      <c r="C4985" s="37" t="s">
        <v>7</v>
      </c>
      <c r="D4985" s="326">
        <v>9.9</v>
      </c>
    </row>
    <row r="4986" spans="1:4" ht="13.5">
      <c r="A4986" s="37">
        <v>104320</v>
      </c>
      <c r="B4986" s="37" t="s">
        <v>16311</v>
      </c>
      <c r="C4986" s="37" t="s">
        <v>7</v>
      </c>
      <c r="D4986" s="326">
        <v>12.2</v>
      </c>
    </row>
    <row r="4987" spans="1:4" ht="13.5">
      <c r="A4987" s="37">
        <v>104321</v>
      </c>
      <c r="B4987" s="37" t="s">
        <v>16312</v>
      </c>
      <c r="C4987" s="37" t="s">
        <v>7</v>
      </c>
      <c r="D4987" s="326">
        <v>4.96</v>
      </c>
    </row>
    <row r="4988" spans="1:4" ht="13.5">
      <c r="A4988" s="37">
        <v>104322</v>
      </c>
      <c r="B4988" s="37" t="s">
        <v>16313</v>
      </c>
      <c r="C4988" s="37" t="s">
        <v>7</v>
      </c>
      <c r="D4988" s="326">
        <v>7.59</v>
      </c>
    </row>
    <row r="4989" spans="1:4" ht="13.5">
      <c r="A4989" s="37">
        <v>104323</v>
      </c>
      <c r="B4989" s="37" t="s">
        <v>16314</v>
      </c>
      <c r="C4989" s="37" t="s">
        <v>7</v>
      </c>
      <c r="D4989" s="326">
        <v>8.8699999999999992</v>
      </c>
    </row>
    <row r="4990" spans="1:4" ht="13.5">
      <c r="A4990" s="37">
        <v>104324</v>
      </c>
      <c r="B4990" s="37" t="s">
        <v>16315</v>
      </c>
      <c r="C4990" s="37" t="s">
        <v>7</v>
      </c>
      <c r="D4990" s="326">
        <v>14.17</v>
      </c>
    </row>
    <row r="4991" spans="1:4" ht="13.5">
      <c r="A4991" s="37">
        <v>104341</v>
      </c>
      <c r="B4991" s="37" t="s">
        <v>16316</v>
      </c>
      <c r="C4991" s="37" t="s">
        <v>7</v>
      </c>
      <c r="D4991" s="326">
        <v>11.19</v>
      </c>
    </row>
    <row r="4992" spans="1:4" ht="13.5">
      <c r="A4992" s="37">
        <v>104343</v>
      </c>
      <c r="B4992" s="37" t="s">
        <v>16317</v>
      </c>
      <c r="C4992" s="37" t="s">
        <v>7</v>
      </c>
      <c r="D4992" s="326">
        <v>36.369999999999997</v>
      </c>
    </row>
    <row r="4993" spans="1:4" ht="13.5">
      <c r="A4993" s="37">
        <v>104344</v>
      </c>
      <c r="B4993" s="37" t="s">
        <v>16318</v>
      </c>
      <c r="C4993" s="37" t="s">
        <v>7</v>
      </c>
      <c r="D4993" s="326">
        <v>43.84</v>
      </c>
    </row>
    <row r="4994" spans="1:4" ht="13.5">
      <c r="A4994" s="37">
        <v>104345</v>
      </c>
      <c r="B4994" s="37" t="s">
        <v>16319</v>
      </c>
      <c r="C4994" s="37" t="s">
        <v>7</v>
      </c>
      <c r="D4994" s="326">
        <v>46.39</v>
      </c>
    </row>
    <row r="4995" spans="1:4" ht="13.5">
      <c r="A4995" s="37">
        <v>104346</v>
      </c>
      <c r="B4995" s="37" t="s">
        <v>16320</v>
      </c>
      <c r="C4995" s="37" t="s">
        <v>7</v>
      </c>
      <c r="D4995" s="326">
        <v>48.74</v>
      </c>
    </row>
    <row r="4996" spans="1:4" ht="13.5">
      <c r="A4996" s="37">
        <v>104347</v>
      </c>
      <c r="B4996" s="37" t="s">
        <v>16321</v>
      </c>
      <c r="C4996" s="37" t="s">
        <v>7</v>
      </c>
      <c r="D4996" s="326">
        <v>52.02</v>
      </c>
    </row>
    <row r="4997" spans="1:4" ht="13.5">
      <c r="A4997" s="37">
        <v>104348</v>
      </c>
      <c r="B4997" s="37" t="s">
        <v>16322</v>
      </c>
      <c r="C4997" s="37" t="s">
        <v>7</v>
      </c>
      <c r="D4997" s="326">
        <v>13.04</v>
      </c>
    </row>
    <row r="4998" spans="1:4" ht="13.5">
      <c r="A4998" s="37">
        <v>104350</v>
      </c>
      <c r="B4998" s="37" t="s">
        <v>16323</v>
      </c>
      <c r="C4998" s="37" t="s">
        <v>7</v>
      </c>
      <c r="D4998" s="326">
        <v>32.76</v>
      </c>
    </row>
    <row r="4999" spans="1:4" ht="13.5">
      <c r="A4999" s="37">
        <v>104351</v>
      </c>
      <c r="B4999" s="37" t="s">
        <v>16324</v>
      </c>
      <c r="C4999" s="37" t="s">
        <v>7</v>
      </c>
      <c r="D4999" s="326">
        <v>26.54</v>
      </c>
    </row>
    <row r="5000" spans="1:4" ht="13.5">
      <c r="A5000" s="37">
        <v>104352</v>
      </c>
      <c r="B5000" s="37" t="s">
        <v>16325</v>
      </c>
      <c r="C5000" s="37" t="s">
        <v>7</v>
      </c>
      <c r="D5000" s="326">
        <v>42.77</v>
      </c>
    </row>
    <row r="5001" spans="1:4" ht="13.5">
      <c r="A5001" s="37">
        <v>104353</v>
      </c>
      <c r="B5001" s="37" t="s">
        <v>16326</v>
      </c>
      <c r="C5001" s="37" t="s">
        <v>7</v>
      </c>
      <c r="D5001" s="326">
        <v>45.32</v>
      </c>
    </row>
    <row r="5002" spans="1:4" ht="13.5">
      <c r="A5002" s="37">
        <v>104354</v>
      </c>
      <c r="B5002" s="37" t="s">
        <v>16327</v>
      </c>
      <c r="C5002" s="37" t="s">
        <v>7</v>
      </c>
      <c r="D5002" s="326">
        <v>48.93</v>
      </c>
    </row>
    <row r="5003" spans="1:4" ht="13.5">
      <c r="A5003" s="37">
        <v>104355</v>
      </c>
      <c r="B5003" s="37" t="s">
        <v>16328</v>
      </c>
      <c r="C5003" s="37" t="s">
        <v>7</v>
      </c>
      <c r="D5003" s="326">
        <v>52.21</v>
      </c>
    </row>
    <row r="5004" spans="1:4" ht="13.5">
      <c r="A5004" s="37">
        <v>104356</v>
      </c>
      <c r="B5004" s="37" t="s">
        <v>16329</v>
      </c>
      <c r="C5004" s="37" t="s">
        <v>7</v>
      </c>
      <c r="D5004" s="326">
        <v>34.79</v>
      </c>
    </row>
    <row r="5005" spans="1:4" ht="13.5">
      <c r="A5005" s="37">
        <v>104357</v>
      </c>
      <c r="B5005" s="37" t="s">
        <v>16330</v>
      </c>
      <c r="C5005" s="37" t="s">
        <v>7</v>
      </c>
      <c r="D5005" s="326">
        <v>20.97</v>
      </c>
    </row>
    <row r="5006" spans="1:4" ht="13.5">
      <c r="A5006" s="37">
        <v>104576</v>
      </c>
      <c r="B5006" s="37" t="s">
        <v>17575</v>
      </c>
      <c r="C5006" s="37" t="s">
        <v>7</v>
      </c>
      <c r="D5006" s="326">
        <v>13.79</v>
      </c>
    </row>
    <row r="5007" spans="1:4" ht="13.5">
      <c r="A5007" s="37">
        <v>104577</v>
      </c>
      <c r="B5007" s="37" t="s">
        <v>17576</v>
      </c>
      <c r="C5007" s="37" t="s">
        <v>7</v>
      </c>
      <c r="D5007" s="326">
        <v>18.649999999999999</v>
      </c>
    </row>
    <row r="5008" spans="1:4" ht="13.5">
      <c r="A5008" s="37">
        <v>104578</v>
      </c>
      <c r="B5008" s="37" t="s">
        <v>17577</v>
      </c>
      <c r="C5008" s="37" t="s">
        <v>7</v>
      </c>
      <c r="D5008" s="326">
        <v>20</v>
      </c>
    </row>
    <row r="5009" spans="1:4" ht="13.5">
      <c r="A5009" s="37">
        <v>104579</v>
      </c>
      <c r="B5009" s="37" t="s">
        <v>17578</v>
      </c>
      <c r="C5009" s="37" t="s">
        <v>7</v>
      </c>
      <c r="D5009" s="326">
        <v>26.31</v>
      </c>
    </row>
    <row r="5010" spans="1:4" ht="13.5">
      <c r="A5010" s="37">
        <v>104581</v>
      </c>
      <c r="B5010" s="37" t="s">
        <v>17579</v>
      </c>
      <c r="C5010" s="37" t="s">
        <v>7</v>
      </c>
      <c r="D5010" s="326">
        <v>12.6</v>
      </c>
    </row>
    <row r="5011" spans="1:4" ht="13.5">
      <c r="A5011" s="37">
        <v>104582</v>
      </c>
      <c r="B5011" s="37" t="s">
        <v>17580</v>
      </c>
      <c r="C5011" s="37" t="s">
        <v>7</v>
      </c>
      <c r="D5011" s="326">
        <v>16.12</v>
      </c>
    </row>
    <row r="5012" spans="1:4" ht="13.5">
      <c r="A5012" s="37">
        <v>104583</v>
      </c>
      <c r="B5012" s="37" t="s">
        <v>17581</v>
      </c>
      <c r="C5012" s="37" t="s">
        <v>7</v>
      </c>
      <c r="D5012" s="326">
        <v>26.05</v>
      </c>
    </row>
    <row r="5013" spans="1:4" ht="13.5">
      <c r="A5013" s="37">
        <v>104584</v>
      </c>
      <c r="B5013" s="37" t="s">
        <v>17582</v>
      </c>
      <c r="C5013" s="37" t="s">
        <v>7</v>
      </c>
      <c r="D5013" s="326">
        <v>31.23</v>
      </c>
    </row>
    <row r="5014" spans="1:4" ht="13.5">
      <c r="A5014" s="37">
        <v>97895</v>
      </c>
      <c r="B5014" s="37" t="s">
        <v>8373</v>
      </c>
      <c r="C5014" s="37" t="s">
        <v>7</v>
      </c>
      <c r="D5014" s="326">
        <v>160.79</v>
      </c>
    </row>
    <row r="5015" spans="1:4" ht="13.5">
      <c r="A5015" s="37">
        <v>97896</v>
      </c>
      <c r="B5015" s="37" t="s">
        <v>8374</v>
      </c>
      <c r="C5015" s="37" t="s">
        <v>7</v>
      </c>
      <c r="D5015" s="326">
        <v>298.89999999999998</v>
      </c>
    </row>
    <row r="5016" spans="1:4" ht="13.5">
      <c r="A5016" s="37">
        <v>97897</v>
      </c>
      <c r="B5016" s="37" t="s">
        <v>8375</v>
      </c>
      <c r="C5016" s="37" t="s">
        <v>7</v>
      </c>
      <c r="D5016" s="326">
        <v>388.49</v>
      </c>
    </row>
    <row r="5017" spans="1:4" ht="13.5">
      <c r="A5017" s="37">
        <v>97898</v>
      </c>
      <c r="B5017" s="37" t="s">
        <v>8376</v>
      </c>
      <c r="C5017" s="37" t="s">
        <v>7</v>
      </c>
      <c r="D5017" s="326">
        <v>763.27</v>
      </c>
    </row>
    <row r="5018" spans="1:4" ht="13.5">
      <c r="A5018" s="37">
        <v>97900</v>
      </c>
      <c r="B5018" s="37" t="s">
        <v>8377</v>
      </c>
      <c r="C5018" s="37" t="s">
        <v>7</v>
      </c>
      <c r="D5018" s="326">
        <v>167.52</v>
      </c>
    </row>
    <row r="5019" spans="1:4" ht="13.5">
      <c r="A5019" s="37">
        <v>97901</v>
      </c>
      <c r="B5019" s="37" t="s">
        <v>8378</v>
      </c>
      <c r="C5019" s="37" t="s">
        <v>7</v>
      </c>
      <c r="D5019" s="326">
        <v>261.98</v>
      </c>
    </row>
    <row r="5020" spans="1:4" ht="13.5">
      <c r="A5020" s="37">
        <v>97902</v>
      </c>
      <c r="B5020" s="37" t="s">
        <v>8379</v>
      </c>
      <c r="C5020" s="37" t="s">
        <v>7</v>
      </c>
      <c r="D5020" s="326">
        <v>505.88</v>
      </c>
    </row>
    <row r="5021" spans="1:4" ht="13.5">
      <c r="A5021" s="37">
        <v>97903</v>
      </c>
      <c r="B5021" s="37" t="s">
        <v>8380</v>
      </c>
      <c r="C5021" s="37" t="s">
        <v>7</v>
      </c>
      <c r="D5021" s="326">
        <v>707.49</v>
      </c>
    </row>
    <row r="5022" spans="1:4" ht="13.5">
      <c r="A5022" s="37">
        <v>97904</v>
      </c>
      <c r="B5022" s="37" t="s">
        <v>8381</v>
      </c>
      <c r="C5022" s="37" t="s">
        <v>7</v>
      </c>
      <c r="D5022" s="326">
        <v>836.26</v>
      </c>
    </row>
    <row r="5023" spans="1:4" ht="13.5">
      <c r="A5023" s="37">
        <v>97905</v>
      </c>
      <c r="B5023" s="37" t="s">
        <v>8382</v>
      </c>
      <c r="C5023" s="37" t="s">
        <v>7</v>
      </c>
      <c r="D5023" s="326">
        <v>223.41</v>
      </c>
    </row>
    <row r="5024" spans="1:4" ht="13.5">
      <c r="A5024" s="37">
        <v>97906</v>
      </c>
      <c r="B5024" s="37" t="s">
        <v>8383</v>
      </c>
      <c r="C5024" s="37" t="s">
        <v>7</v>
      </c>
      <c r="D5024" s="326">
        <v>414.48</v>
      </c>
    </row>
    <row r="5025" spans="1:4" ht="13.5">
      <c r="A5025" s="37">
        <v>97907</v>
      </c>
      <c r="B5025" s="37" t="s">
        <v>8384</v>
      </c>
      <c r="C5025" s="37" t="s">
        <v>7</v>
      </c>
      <c r="D5025" s="326">
        <v>590.86</v>
      </c>
    </row>
    <row r="5026" spans="1:4" ht="13.5">
      <c r="A5026" s="37">
        <v>97908</v>
      </c>
      <c r="B5026" s="37" t="s">
        <v>8385</v>
      </c>
      <c r="C5026" s="37" t="s">
        <v>7</v>
      </c>
      <c r="D5026" s="326">
        <v>698.27</v>
      </c>
    </row>
    <row r="5027" spans="1:4" ht="13.5">
      <c r="A5027" s="37">
        <v>98102</v>
      </c>
      <c r="B5027" s="37" t="s">
        <v>8386</v>
      </c>
      <c r="C5027" s="37" t="s">
        <v>7</v>
      </c>
      <c r="D5027" s="326">
        <v>153.37</v>
      </c>
    </row>
    <row r="5028" spans="1:4" ht="13.5">
      <c r="A5028" s="37">
        <v>98104</v>
      </c>
      <c r="B5028" s="37" t="s">
        <v>8387</v>
      </c>
      <c r="C5028" s="37" t="s">
        <v>7</v>
      </c>
      <c r="D5028" s="326">
        <v>322.66000000000003</v>
      </c>
    </row>
    <row r="5029" spans="1:4" ht="13.5">
      <c r="A5029" s="37">
        <v>98105</v>
      </c>
      <c r="B5029" s="37" t="s">
        <v>8388</v>
      </c>
      <c r="C5029" s="37" t="s">
        <v>7</v>
      </c>
      <c r="D5029" s="326">
        <v>564.1</v>
      </c>
    </row>
    <row r="5030" spans="1:4" ht="13.5">
      <c r="A5030" s="37">
        <v>98106</v>
      </c>
      <c r="B5030" s="37" t="s">
        <v>8389</v>
      </c>
      <c r="C5030" s="37" t="s">
        <v>7</v>
      </c>
      <c r="D5030" s="326">
        <v>926.94</v>
      </c>
    </row>
    <row r="5031" spans="1:4" ht="13.5">
      <c r="A5031" s="37">
        <v>98107</v>
      </c>
      <c r="B5031" s="37" t="s">
        <v>8390</v>
      </c>
      <c r="C5031" s="37" t="s">
        <v>7</v>
      </c>
      <c r="D5031" s="326">
        <v>252.06</v>
      </c>
    </row>
    <row r="5032" spans="1:4" ht="13.5">
      <c r="A5032" s="37">
        <v>98108</v>
      </c>
      <c r="B5032" s="37" t="s">
        <v>8391</v>
      </c>
      <c r="C5032" s="37" t="s">
        <v>7</v>
      </c>
      <c r="D5032" s="326">
        <v>450.03</v>
      </c>
    </row>
    <row r="5033" spans="1:4" ht="13.5">
      <c r="A5033" s="37">
        <v>99250</v>
      </c>
      <c r="B5033" s="37" t="s">
        <v>8392</v>
      </c>
      <c r="C5033" s="37" t="s">
        <v>7</v>
      </c>
      <c r="D5033" s="326">
        <v>163.43</v>
      </c>
    </row>
    <row r="5034" spans="1:4" ht="13.5">
      <c r="A5034" s="37">
        <v>99251</v>
      </c>
      <c r="B5034" s="37" t="s">
        <v>8393</v>
      </c>
      <c r="C5034" s="37" t="s">
        <v>7</v>
      </c>
      <c r="D5034" s="326">
        <v>254.95</v>
      </c>
    </row>
    <row r="5035" spans="1:4" ht="13.5">
      <c r="A5035" s="37">
        <v>99253</v>
      </c>
      <c r="B5035" s="37" t="s">
        <v>8394</v>
      </c>
      <c r="C5035" s="37" t="s">
        <v>7</v>
      </c>
      <c r="D5035" s="326">
        <v>490.1</v>
      </c>
    </row>
    <row r="5036" spans="1:4" ht="13.5">
      <c r="A5036" s="37">
        <v>99255</v>
      </c>
      <c r="B5036" s="37" t="s">
        <v>8395</v>
      </c>
      <c r="C5036" s="37" t="s">
        <v>7</v>
      </c>
      <c r="D5036" s="326">
        <v>685.86</v>
      </c>
    </row>
    <row r="5037" spans="1:4" ht="13.5">
      <c r="A5037" s="37">
        <v>99257</v>
      </c>
      <c r="B5037" s="37" t="s">
        <v>8396</v>
      </c>
      <c r="C5037" s="37" t="s">
        <v>7</v>
      </c>
      <c r="D5037" s="326">
        <v>808.28</v>
      </c>
    </row>
    <row r="5038" spans="1:4" ht="13.5">
      <c r="A5038" s="37">
        <v>99258</v>
      </c>
      <c r="B5038" s="37" t="s">
        <v>8397</v>
      </c>
      <c r="C5038" s="37" t="s">
        <v>7</v>
      </c>
      <c r="D5038" s="326">
        <v>218.95</v>
      </c>
    </row>
    <row r="5039" spans="1:4" ht="13.5">
      <c r="A5039" s="37">
        <v>99260</v>
      </c>
      <c r="B5039" s="37" t="s">
        <v>8398</v>
      </c>
      <c r="C5039" s="37" t="s">
        <v>7</v>
      </c>
      <c r="D5039" s="326">
        <v>404.55</v>
      </c>
    </row>
    <row r="5040" spans="1:4" ht="13.5">
      <c r="A5040" s="37">
        <v>99262</v>
      </c>
      <c r="B5040" s="37" t="s">
        <v>8399</v>
      </c>
      <c r="C5040" s="37" t="s">
        <v>7</v>
      </c>
      <c r="D5040" s="326">
        <v>576.67999999999995</v>
      </c>
    </row>
    <row r="5041" spans="1:4" ht="13.5">
      <c r="A5041" s="37">
        <v>99264</v>
      </c>
      <c r="B5041" s="37" t="s">
        <v>8400</v>
      </c>
      <c r="C5041" s="37" t="s">
        <v>7</v>
      </c>
      <c r="D5041" s="326">
        <v>679.11</v>
      </c>
    </row>
    <row r="5042" spans="1:4" ht="13.5">
      <c r="A5042" s="37">
        <v>102587</v>
      </c>
      <c r="B5042" s="37" t="s">
        <v>8401</v>
      </c>
      <c r="C5042" s="37" t="s">
        <v>7</v>
      </c>
      <c r="D5042" s="326">
        <v>3.09</v>
      </c>
    </row>
    <row r="5043" spans="1:4" ht="13.5">
      <c r="A5043" s="37">
        <v>102588</v>
      </c>
      <c r="B5043" s="37" t="s">
        <v>8402</v>
      </c>
      <c r="C5043" s="37" t="s">
        <v>7</v>
      </c>
      <c r="D5043" s="326">
        <v>4.47</v>
      </c>
    </row>
    <row r="5044" spans="1:4" ht="13.5">
      <c r="A5044" s="37">
        <v>102589</v>
      </c>
      <c r="B5044" s="37" t="s">
        <v>8403</v>
      </c>
      <c r="C5044" s="37" t="s">
        <v>7</v>
      </c>
      <c r="D5044" s="326">
        <v>3.44</v>
      </c>
    </row>
    <row r="5045" spans="1:4" ht="13.5">
      <c r="A5045" s="37">
        <v>102590</v>
      </c>
      <c r="B5045" s="37" t="s">
        <v>8404</v>
      </c>
      <c r="C5045" s="37" t="s">
        <v>7</v>
      </c>
      <c r="D5045" s="326">
        <v>4.82</v>
      </c>
    </row>
    <row r="5046" spans="1:4" ht="13.5">
      <c r="A5046" s="37">
        <v>102591</v>
      </c>
      <c r="B5046" s="37" t="s">
        <v>8405</v>
      </c>
      <c r="C5046" s="37" t="s">
        <v>7</v>
      </c>
      <c r="D5046" s="326">
        <v>3.79</v>
      </c>
    </row>
    <row r="5047" spans="1:4" ht="13.5">
      <c r="A5047" s="37">
        <v>102592</v>
      </c>
      <c r="B5047" s="37" t="s">
        <v>8406</v>
      </c>
      <c r="C5047" s="37" t="s">
        <v>7</v>
      </c>
      <c r="D5047" s="326">
        <v>5.17</v>
      </c>
    </row>
    <row r="5048" spans="1:4" ht="13.5">
      <c r="A5048" s="37">
        <v>102593</v>
      </c>
      <c r="B5048" s="37" t="s">
        <v>8407</v>
      </c>
      <c r="C5048" s="37" t="s">
        <v>7</v>
      </c>
      <c r="D5048" s="326">
        <v>4.28</v>
      </c>
    </row>
    <row r="5049" spans="1:4" ht="13.5">
      <c r="A5049" s="37">
        <v>102594</v>
      </c>
      <c r="B5049" s="37" t="s">
        <v>8408</v>
      </c>
      <c r="C5049" s="37" t="s">
        <v>7</v>
      </c>
      <c r="D5049" s="326">
        <v>5.66</v>
      </c>
    </row>
    <row r="5050" spans="1:4" ht="13.5">
      <c r="A5050" s="37">
        <v>102595</v>
      </c>
      <c r="B5050" s="37" t="s">
        <v>8409</v>
      </c>
      <c r="C5050" s="37" t="s">
        <v>7</v>
      </c>
      <c r="D5050" s="326">
        <v>4.83</v>
      </c>
    </row>
    <row r="5051" spans="1:4" ht="13.5">
      <c r="A5051" s="37">
        <v>102596</v>
      </c>
      <c r="B5051" s="37" t="s">
        <v>8410</v>
      </c>
      <c r="C5051" s="37" t="s">
        <v>7</v>
      </c>
      <c r="D5051" s="326">
        <v>6.22</v>
      </c>
    </row>
    <row r="5052" spans="1:4" ht="13.5">
      <c r="A5052" s="37">
        <v>102597</v>
      </c>
      <c r="B5052" s="37" t="s">
        <v>8411</v>
      </c>
      <c r="C5052" s="37" t="s">
        <v>7</v>
      </c>
      <c r="D5052" s="326">
        <v>5.53</v>
      </c>
    </row>
    <row r="5053" spans="1:4" ht="13.5">
      <c r="A5053" s="37">
        <v>102598</v>
      </c>
      <c r="B5053" s="37" t="s">
        <v>8412</v>
      </c>
      <c r="C5053" s="37" t="s">
        <v>7</v>
      </c>
      <c r="D5053" s="326">
        <v>6.92</v>
      </c>
    </row>
    <row r="5054" spans="1:4" ht="13.5">
      <c r="A5054" s="37">
        <v>102599</v>
      </c>
      <c r="B5054" s="37" t="s">
        <v>8413</v>
      </c>
      <c r="C5054" s="37" t="s">
        <v>7</v>
      </c>
      <c r="D5054" s="326">
        <v>6.23</v>
      </c>
    </row>
    <row r="5055" spans="1:4" ht="13.5">
      <c r="A5055" s="37">
        <v>102600</v>
      </c>
      <c r="B5055" s="37" t="s">
        <v>8414</v>
      </c>
      <c r="C5055" s="37" t="s">
        <v>7</v>
      </c>
      <c r="D5055" s="326">
        <v>7.61</v>
      </c>
    </row>
    <row r="5056" spans="1:4" ht="13.5">
      <c r="A5056" s="37">
        <v>102601</v>
      </c>
      <c r="B5056" s="37" t="s">
        <v>8415</v>
      </c>
      <c r="C5056" s="37" t="s">
        <v>7</v>
      </c>
      <c r="D5056" s="326">
        <v>7.28</v>
      </c>
    </row>
    <row r="5057" spans="1:4" ht="13.5">
      <c r="A5057" s="37">
        <v>102602</v>
      </c>
      <c r="B5057" s="37" t="s">
        <v>8416</v>
      </c>
      <c r="C5057" s="37" t="s">
        <v>7</v>
      </c>
      <c r="D5057" s="326">
        <v>8.66</v>
      </c>
    </row>
    <row r="5058" spans="1:4" ht="13.5">
      <c r="A5058" s="37">
        <v>102603</v>
      </c>
      <c r="B5058" s="37" t="s">
        <v>8417</v>
      </c>
      <c r="C5058" s="37" t="s">
        <v>7</v>
      </c>
      <c r="D5058" s="326">
        <v>9.0299999999999994</v>
      </c>
    </row>
    <row r="5059" spans="1:4" ht="13.5">
      <c r="A5059" s="37">
        <v>102604</v>
      </c>
      <c r="B5059" s="37" t="s">
        <v>8418</v>
      </c>
      <c r="C5059" s="37" t="s">
        <v>7</v>
      </c>
      <c r="D5059" s="326">
        <v>10.4</v>
      </c>
    </row>
    <row r="5060" spans="1:4" ht="13.5">
      <c r="A5060" s="37">
        <v>102605</v>
      </c>
      <c r="B5060" s="37" t="s">
        <v>8419</v>
      </c>
      <c r="C5060" s="37" t="s">
        <v>7</v>
      </c>
      <c r="D5060" s="326">
        <v>286.10000000000002</v>
      </c>
    </row>
    <row r="5061" spans="1:4" ht="13.5">
      <c r="A5061" s="37">
        <v>102606</v>
      </c>
      <c r="B5061" s="37" t="s">
        <v>8420</v>
      </c>
      <c r="C5061" s="37" t="s">
        <v>7</v>
      </c>
      <c r="D5061" s="326">
        <v>441.1</v>
      </c>
    </row>
    <row r="5062" spans="1:4" ht="13.5">
      <c r="A5062" s="37">
        <v>102607</v>
      </c>
      <c r="B5062" s="37" t="s">
        <v>8421</v>
      </c>
      <c r="C5062" s="37" t="s">
        <v>7</v>
      </c>
      <c r="D5062" s="326">
        <v>472.09</v>
      </c>
    </row>
    <row r="5063" spans="1:4" ht="13.5">
      <c r="A5063" s="37">
        <v>102608</v>
      </c>
      <c r="B5063" s="37" t="s">
        <v>8422</v>
      </c>
      <c r="C5063" s="37" t="s">
        <v>7</v>
      </c>
      <c r="D5063" s="38">
        <v>1083.1400000000001</v>
      </c>
    </row>
    <row r="5064" spans="1:4" ht="13.5">
      <c r="A5064" s="37">
        <v>102609</v>
      </c>
      <c r="B5064" s="37" t="s">
        <v>8423</v>
      </c>
      <c r="C5064" s="37" t="s">
        <v>7</v>
      </c>
      <c r="D5064" s="38">
        <v>1230.46</v>
      </c>
    </row>
    <row r="5065" spans="1:4" ht="13.5">
      <c r="A5065" s="37">
        <v>102610</v>
      </c>
      <c r="B5065" s="37" t="s">
        <v>17583</v>
      </c>
      <c r="C5065" s="37" t="s">
        <v>7</v>
      </c>
      <c r="D5065" s="38">
        <v>2115.65</v>
      </c>
    </row>
    <row r="5066" spans="1:4" ht="13.5">
      <c r="A5066" s="37">
        <v>102611</v>
      </c>
      <c r="B5066" s="37" t="s">
        <v>8424</v>
      </c>
      <c r="C5066" s="37" t="s">
        <v>7</v>
      </c>
      <c r="D5066" s="326">
        <v>475.77</v>
      </c>
    </row>
    <row r="5067" spans="1:4" ht="13.5">
      <c r="A5067" s="37">
        <v>102612</v>
      </c>
      <c r="B5067" s="37" t="s">
        <v>17584</v>
      </c>
      <c r="C5067" s="37" t="s">
        <v>7</v>
      </c>
      <c r="D5067" s="326">
        <v>683.33</v>
      </c>
    </row>
    <row r="5068" spans="1:4" ht="13.5">
      <c r="A5068" s="37">
        <v>102613</v>
      </c>
      <c r="B5068" s="37" t="s">
        <v>8425</v>
      </c>
      <c r="C5068" s="37" t="s">
        <v>7</v>
      </c>
      <c r="D5068" s="326">
        <v>662.18</v>
      </c>
    </row>
    <row r="5069" spans="1:4" ht="13.5">
      <c r="A5069" s="37">
        <v>102614</v>
      </c>
      <c r="B5069" s="37" t="s">
        <v>8426</v>
      </c>
      <c r="C5069" s="37" t="s">
        <v>7</v>
      </c>
      <c r="D5069" s="38">
        <v>1018.47</v>
      </c>
    </row>
    <row r="5070" spans="1:4" ht="13.5">
      <c r="A5070" s="37">
        <v>102615</v>
      </c>
      <c r="B5070" s="37" t="s">
        <v>8427</v>
      </c>
      <c r="C5070" s="37" t="s">
        <v>7</v>
      </c>
      <c r="D5070" s="38">
        <v>1278.17</v>
      </c>
    </row>
    <row r="5071" spans="1:4" ht="13.5">
      <c r="A5071" s="37">
        <v>102616</v>
      </c>
      <c r="B5071" s="37" t="s">
        <v>17585</v>
      </c>
      <c r="C5071" s="37" t="s">
        <v>7</v>
      </c>
      <c r="D5071" s="38">
        <v>1892.4</v>
      </c>
    </row>
    <row r="5072" spans="1:4" ht="13.5">
      <c r="A5072" s="37">
        <v>102617</v>
      </c>
      <c r="B5072" s="37" t="s">
        <v>8428</v>
      </c>
      <c r="C5072" s="37" t="s">
        <v>7</v>
      </c>
      <c r="D5072" s="38">
        <v>3491.71</v>
      </c>
    </row>
    <row r="5073" spans="1:4" ht="13.5">
      <c r="A5073" s="37">
        <v>102618</v>
      </c>
      <c r="B5073" s="37" t="s">
        <v>17586</v>
      </c>
      <c r="C5073" s="37" t="s">
        <v>7</v>
      </c>
      <c r="D5073" s="38">
        <v>4202.3999999999996</v>
      </c>
    </row>
    <row r="5074" spans="1:4" ht="13.5">
      <c r="A5074" s="37">
        <v>102619</v>
      </c>
      <c r="B5074" s="37" t="s">
        <v>8429</v>
      </c>
      <c r="C5074" s="37" t="s">
        <v>7</v>
      </c>
      <c r="D5074" s="38">
        <v>5644.26</v>
      </c>
    </row>
    <row r="5075" spans="1:4" ht="13.5">
      <c r="A5075" s="37">
        <v>102620</v>
      </c>
      <c r="B5075" s="37" t="s">
        <v>17587</v>
      </c>
      <c r="C5075" s="37" t="s">
        <v>7</v>
      </c>
      <c r="D5075" s="38">
        <v>8203.8799999999992</v>
      </c>
    </row>
    <row r="5076" spans="1:4" ht="13.5">
      <c r="A5076" s="37">
        <v>102621</v>
      </c>
      <c r="B5076" s="37" t="s">
        <v>17588</v>
      </c>
      <c r="C5076" s="37" t="s">
        <v>7</v>
      </c>
      <c r="D5076" s="38">
        <v>12614.77</v>
      </c>
    </row>
    <row r="5077" spans="1:4" ht="13.5">
      <c r="A5077" s="37">
        <v>102622</v>
      </c>
      <c r="B5077" s="37" t="s">
        <v>8430</v>
      </c>
      <c r="C5077" s="37" t="s">
        <v>7</v>
      </c>
      <c r="D5077" s="326">
        <v>664.67</v>
      </c>
    </row>
    <row r="5078" spans="1:4" ht="13.5">
      <c r="A5078" s="37">
        <v>102623</v>
      </c>
      <c r="B5078" s="37" t="s">
        <v>8431</v>
      </c>
      <c r="C5078" s="37" t="s">
        <v>7</v>
      </c>
      <c r="D5078" s="326">
        <v>919.05</v>
      </c>
    </row>
    <row r="5079" spans="1:4" ht="13.5">
      <c r="A5079" s="37">
        <v>89482</v>
      </c>
      <c r="B5079" s="37" t="s">
        <v>16331</v>
      </c>
      <c r="C5079" s="37" t="s">
        <v>7</v>
      </c>
      <c r="D5079" s="326">
        <v>39.659999999999997</v>
      </c>
    </row>
    <row r="5080" spans="1:4" ht="13.5">
      <c r="A5080" s="37">
        <v>89491</v>
      </c>
      <c r="B5080" s="37" t="s">
        <v>16332</v>
      </c>
      <c r="C5080" s="37" t="s">
        <v>7</v>
      </c>
      <c r="D5080" s="326">
        <v>102.13</v>
      </c>
    </row>
    <row r="5081" spans="1:4" ht="13.5">
      <c r="A5081" s="37">
        <v>89495</v>
      </c>
      <c r="B5081" s="37" t="s">
        <v>16333</v>
      </c>
      <c r="C5081" s="37" t="s">
        <v>7</v>
      </c>
      <c r="D5081" s="326">
        <v>18.3</v>
      </c>
    </row>
    <row r="5082" spans="1:4" ht="13.5">
      <c r="A5082" s="37">
        <v>89707</v>
      </c>
      <c r="B5082" s="37" t="s">
        <v>16334</v>
      </c>
      <c r="C5082" s="37" t="s">
        <v>7</v>
      </c>
      <c r="D5082" s="326">
        <v>47.71</v>
      </c>
    </row>
    <row r="5083" spans="1:4" ht="13.5">
      <c r="A5083" s="37">
        <v>89708</v>
      </c>
      <c r="B5083" s="37" t="s">
        <v>16335</v>
      </c>
      <c r="C5083" s="37" t="s">
        <v>7</v>
      </c>
      <c r="D5083" s="326">
        <v>104.48</v>
      </c>
    </row>
    <row r="5084" spans="1:4" ht="13.5">
      <c r="A5084" s="37">
        <v>89709</v>
      </c>
      <c r="B5084" s="37" t="s">
        <v>16336</v>
      </c>
      <c r="C5084" s="37" t="s">
        <v>7</v>
      </c>
      <c r="D5084" s="326">
        <v>20.71</v>
      </c>
    </row>
    <row r="5085" spans="1:4" ht="13.5">
      <c r="A5085" s="37">
        <v>89710</v>
      </c>
      <c r="B5085" s="37" t="s">
        <v>16337</v>
      </c>
      <c r="C5085" s="37" t="s">
        <v>7</v>
      </c>
      <c r="D5085" s="326">
        <v>18.04</v>
      </c>
    </row>
    <row r="5086" spans="1:4" ht="13.5">
      <c r="A5086" s="37">
        <v>104326</v>
      </c>
      <c r="B5086" s="37" t="s">
        <v>16338</v>
      </c>
      <c r="C5086" s="37" t="s">
        <v>7</v>
      </c>
      <c r="D5086" s="326">
        <v>19.690000000000001</v>
      </c>
    </row>
    <row r="5087" spans="1:4" ht="13.5">
      <c r="A5087" s="37">
        <v>104327</v>
      </c>
      <c r="B5087" s="37" t="s">
        <v>16339</v>
      </c>
      <c r="C5087" s="37" t="s">
        <v>7</v>
      </c>
      <c r="D5087" s="326">
        <v>18.71</v>
      </c>
    </row>
    <row r="5088" spans="1:4" ht="13.5">
      <c r="A5088" s="37">
        <v>104328</v>
      </c>
      <c r="B5088" s="37" t="s">
        <v>16340</v>
      </c>
      <c r="C5088" s="37" t="s">
        <v>7</v>
      </c>
      <c r="D5088" s="326">
        <v>70.42</v>
      </c>
    </row>
    <row r="5089" spans="1:4" ht="13.5">
      <c r="A5089" s="37">
        <v>104329</v>
      </c>
      <c r="B5089" s="37" t="s">
        <v>16341</v>
      </c>
      <c r="C5089" s="37" t="s">
        <v>7</v>
      </c>
      <c r="D5089" s="326">
        <v>79.959999999999994</v>
      </c>
    </row>
    <row r="5090" spans="1:4" ht="13.5">
      <c r="A5090" s="37">
        <v>86872</v>
      </c>
      <c r="B5090" s="37" t="s">
        <v>4101</v>
      </c>
      <c r="C5090" s="37" t="s">
        <v>7</v>
      </c>
      <c r="D5090" s="326">
        <v>682.48</v>
      </c>
    </row>
    <row r="5091" spans="1:4" ht="13.5">
      <c r="A5091" s="37">
        <v>86874</v>
      </c>
      <c r="B5091" s="37" t="s">
        <v>4102</v>
      </c>
      <c r="C5091" s="37" t="s">
        <v>7</v>
      </c>
      <c r="D5091" s="326">
        <v>478.54</v>
      </c>
    </row>
    <row r="5092" spans="1:4" ht="13.5">
      <c r="A5092" s="37">
        <v>86875</v>
      </c>
      <c r="B5092" s="37" t="s">
        <v>4103</v>
      </c>
      <c r="C5092" s="37" t="s">
        <v>7</v>
      </c>
      <c r="D5092" s="326">
        <v>418.51</v>
      </c>
    </row>
    <row r="5093" spans="1:4" ht="13.5">
      <c r="A5093" s="37">
        <v>86876</v>
      </c>
      <c r="B5093" s="37" t="s">
        <v>4104</v>
      </c>
      <c r="C5093" s="37" t="s">
        <v>7</v>
      </c>
      <c r="D5093" s="326">
        <v>242.53</v>
      </c>
    </row>
    <row r="5094" spans="1:4" ht="13.5">
      <c r="A5094" s="37">
        <v>86877</v>
      </c>
      <c r="B5094" s="37" t="s">
        <v>4105</v>
      </c>
      <c r="C5094" s="37" t="s">
        <v>7</v>
      </c>
      <c r="D5094" s="326">
        <v>61.36</v>
      </c>
    </row>
    <row r="5095" spans="1:4" ht="13.5">
      <c r="A5095" s="37">
        <v>86878</v>
      </c>
      <c r="B5095" s="37" t="s">
        <v>4106</v>
      </c>
      <c r="C5095" s="37" t="s">
        <v>7</v>
      </c>
      <c r="D5095" s="326">
        <v>66.16</v>
      </c>
    </row>
    <row r="5096" spans="1:4" ht="13.5">
      <c r="A5096" s="37">
        <v>86879</v>
      </c>
      <c r="B5096" s="37" t="s">
        <v>4107</v>
      </c>
      <c r="C5096" s="37" t="s">
        <v>7</v>
      </c>
      <c r="D5096" s="326">
        <v>8.44</v>
      </c>
    </row>
    <row r="5097" spans="1:4" ht="13.5">
      <c r="A5097" s="37">
        <v>86880</v>
      </c>
      <c r="B5097" s="37" t="s">
        <v>4108</v>
      </c>
      <c r="C5097" s="37" t="s">
        <v>7</v>
      </c>
      <c r="D5097" s="326">
        <v>23.02</v>
      </c>
    </row>
    <row r="5098" spans="1:4" ht="13.5">
      <c r="A5098" s="37">
        <v>86881</v>
      </c>
      <c r="B5098" s="37" t="s">
        <v>4109</v>
      </c>
      <c r="C5098" s="37" t="s">
        <v>7</v>
      </c>
      <c r="D5098" s="326">
        <v>186.42</v>
      </c>
    </row>
    <row r="5099" spans="1:4" ht="13.5">
      <c r="A5099" s="37">
        <v>86882</v>
      </c>
      <c r="B5099" s="37" t="s">
        <v>4110</v>
      </c>
      <c r="C5099" s="37" t="s">
        <v>7</v>
      </c>
      <c r="D5099" s="326">
        <v>19.52</v>
      </c>
    </row>
    <row r="5100" spans="1:4" ht="13.5">
      <c r="A5100" s="37">
        <v>86883</v>
      </c>
      <c r="B5100" s="37" t="s">
        <v>4111</v>
      </c>
      <c r="C5100" s="37" t="s">
        <v>7</v>
      </c>
      <c r="D5100" s="326">
        <v>10.6</v>
      </c>
    </row>
    <row r="5101" spans="1:4" ht="13.5">
      <c r="A5101" s="37">
        <v>86884</v>
      </c>
      <c r="B5101" s="37" t="s">
        <v>4112</v>
      </c>
      <c r="C5101" s="37" t="s">
        <v>7</v>
      </c>
      <c r="D5101" s="326">
        <v>9.42</v>
      </c>
    </row>
    <row r="5102" spans="1:4" ht="13.5">
      <c r="A5102" s="37">
        <v>86885</v>
      </c>
      <c r="B5102" s="37" t="s">
        <v>4113</v>
      </c>
      <c r="C5102" s="37" t="s">
        <v>7</v>
      </c>
      <c r="D5102" s="326">
        <v>10.68</v>
      </c>
    </row>
    <row r="5103" spans="1:4" ht="13.5">
      <c r="A5103" s="37">
        <v>86886</v>
      </c>
      <c r="B5103" s="37" t="s">
        <v>4114</v>
      </c>
      <c r="C5103" s="37" t="s">
        <v>7</v>
      </c>
      <c r="D5103" s="326">
        <v>45.44</v>
      </c>
    </row>
    <row r="5104" spans="1:4" ht="13.5">
      <c r="A5104" s="37">
        <v>86887</v>
      </c>
      <c r="B5104" s="37" t="s">
        <v>4115</v>
      </c>
      <c r="C5104" s="37" t="s">
        <v>7</v>
      </c>
      <c r="D5104" s="326">
        <v>49.31</v>
      </c>
    </row>
    <row r="5105" spans="1:4" ht="13.5">
      <c r="A5105" s="37">
        <v>86888</v>
      </c>
      <c r="B5105" s="37" t="s">
        <v>4116</v>
      </c>
      <c r="C5105" s="37" t="s">
        <v>7</v>
      </c>
      <c r="D5105" s="326">
        <v>464.69</v>
      </c>
    </row>
    <row r="5106" spans="1:4" ht="13.5">
      <c r="A5106" s="37">
        <v>86889</v>
      </c>
      <c r="B5106" s="37" t="s">
        <v>7300</v>
      </c>
      <c r="C5106" s="37" t="s">
        <v>7</v>
      </c>
      <c r="D5106" s="326">
        <v>482.04</v>
      </c>
    </row>
    <row r="5107" spans="1:4" ht="13.5">
      <c r="A5107" s="37">
        <v>86893</v>
      </c>
      <c r="B5107" s="37" t="s">
        <v>7301</v>
      </c>
      <c r="C5107" s="37" t="s">
        <v>7</v>
      </c>
      <c r="D5107" s="326">
        <v>355.06</v>
      </c>
    </row>
    <row r="5108" spans="1:4" ht="13.5">
      <c r="A5108" s="37">
        <v>86894</v>
      </c>
      <c r="B5108" s="37" t="s">
        <v>7302</v>
      </c>
      <c r="C5108" s="37" t="s">
        <v>7</v>
      </c>
      <c r="D5108" s="326">
        <v>234.51</v>
      </c>
    </row>
    <row r="5109" spans="1:4" ht="13.5">
      <c r="A5109" s="37">
        <v>86895</v>
      </c>
      <c r="B5109" s="37" t="s">
        <v>7303</v>
      </c>
      <c r="C5109" s="37" t="s">
        <v>7</v>
      </c>
      <c r="D5109" s="326">
        <v>255.16</v>
      </c>
    </row>
    <row r="5110" spans="1:4" ht="13.5">
      <c r="A5110" s="37">
        <v>86899</v>
      </c>
      <c r="B5110" s="37" t="s">
        <v>7304</v>
      </c>
      <c r="C5110" s="37" t="s">
        <v>7</v>
      </c>
      <c r="D5110" s="326">
        <v>207.52</v>
      </c>
    </row>
    <row r="5111" spans="1:4" ht="13.5">
      <c r="A5111" s="37">
        <v>86900</v>
      </c>
      <c r="B5111" s="37" t="s">
        <v>4117</v>
      </c>
      <c r="C5111" s="37" t="s">
        <v>7</v>
      </c>
      <c r="D5111" s="326">
        <v>223.41</v>
      </c>
    </row>
    <row r="5112" spans="1:4" ht="13.5">
      <c r="A5112" s="37">
        <v>86901</v>
      </c>
      <c r="B5112" s="37" t="s">
        <v>4118</v>
      </c>
      <c r="C5112" s="37" t="s">
        <v>7</v>
      </c>
      <c r="D5112" s="326">
        <v>142.85</v>
      </c>
    </row>
    <row r="5113" spans="1:4" ht="13.5">
      <c r="A5113" s="37">
        <v>86902</v>
      </c>
      <c r="B5113" s="37" t="s">
        <v>4119</v>
      </c>
      <c r="C5113" s="37" t="s">
        <v>7</v>
      </c>
      <c r="D5113" s="326">
        <v>295.04000000000002</v>
      </c>
    </row>
    <row r="5114" spans="1:4" ht="13.5">
      <c r="A5114" s="37">
        <v>86903</v>
      </c>
      <c r="B5114" s="37" t="s">
        <v>4120</v>
      </c>
      <c r="C5114" s="37" t="s">
        <v>7</v>
      </c>
      <c r="D5114" s="326">
        <v>332.93</v>
      </c>
    </row>
    <row r="5115" spans="1:4" ht="13.5">
      <c r="A5115" s="37">
        <v>86904</v>
      </c>
      <c r="B5115" s="37" t="s">
        <v>4121</v>
      </c>
      <c r="C5115" s="37" t="s">
        <v>7</v>
      </c>
      <c r="D5115" s="326">
        <v>139.13</v>
      </c>
    </row>
    <row r="5116" spans="1:4" ht="13.5">
      <c r="A5116" s="37">
        <v>86905</v>
      </c>
      <c r="B5116" s="37" t="s">
        <v>4122</v>
      </c>
      <c r="C5116" s="37" t="s">
        <v>7</v>
      </c>
      <c r="D5116" s="326">
        <v>318.94</v>
      </c>
    </row>
    <row r="5117" spans="1:4" ht="13.5">
      <c r="A5117" s="37">
        <v>86906</v>
      </c>
      <c r="B5117" s="37" t="s">
        <v>4123</v>
      </c>
      <c r="C5117" s="37" t="s">
        <v>7</v>
      </c>
      <c r="D5117" s="326">
        <v>59.04</v>
      </c>
    </row>
    <row r="5118" spans="1:4" ht="13.5">
      <c r="A5118" s="37">
        <v>86908</v>
      </c>
      <c r="B5118" s="37" t="s">
        <v>4124</v>
      </c>
      <c r="C5118" s="37" t="s">
        <v>7</v>
      </c>
      <c r="D5118" s="326">
        <v>380.49</v>
      </c>
    </row>
    <row r="5119" spans="1:4" ht="13.5">
      <c r="A5119" s="37">
        <v>86909</v>
      </c>
      <c r="B5119" s="37" t="s">
        <v>4125</v>
      </c>
      <c r="C5119" s="37" t="s">
        <v>7</v>
      </c>
      <c r="D5119" s="326">
        <v>102.53</v>
      </c>
    </row>
    <row r="5120" spans="1:4" ht="13.5">
      <c r="A5120" s="37">
        <v>86910</v>
      </c>
      <c r="B5120" s="37" t="s">
        <v>4126</v>
      </c>
      <c r="C5120" s="37" t="s">
        <v>7</v>
      </c>
      <c r="D5120" s="326">
        <v>100.72</v>
      </c>
    </row>
    <row r="5121" spans="1:4" ht="13.5">
      <c r="A5121" s="37">
        <v>86911</v>
      </c>
      <c r="B5121" s="37" t="s">
        <v>4127</v>
      </c>
      <c r="C5121" s="37" t="s">
        <v>7</v>
      </c>
      <c r="D5121" s="326">
        <v>69.099999999999994</v>
      </c>
    </row>
    <row r="5122" spans="1:4" ht="13.5">
      <c r="A5122" s="37">
        <v>86913</v>
      </c>
      <c r="B5122" s="37" t="s">
        <v>4128</v>
      </c>
      <c r="C5122" s="37" t="s">
        <v>7</v>
      </c>
      <c r="D5122" s="326">
        <v>43.63</v>
      </c>
    </row>
    <row r="5123" spans="1:4" ht="13.5">
      <c r="A5123" s="37">
        <v>86914</v>
      </c>
      <c r="B5123" s="37" t="s">
        <v>4129</v>
      </c>
      <c r="C5123" s="37" t="s">
        <v>7</v>
      </c>
      <c r="D5123" s="326">
        <v>77.69</v>
      </c>
    </row>
    <row r="5124" spans="1:4" ht="13.5">
      <c r="A5124" s="37">
        <v>86915</v>
      </c>
      <c r="B5124" s="37" t="s">
        <v>4130</v>
      </c>
      <c r="C5124" s="37" t="s">
        <v>7</v>
      </c>
      <c r="D5124" s="326">
        <v>112.64</v>
      </c>
    </row>
    <row r="5125" spans="1:4" ht="13.5">
      <c r="A5125" s="37">
        <v>86916</v>
      </c>
      <c r="B5125" s="37" t="s">
        <v>4131</v>
      </c>
      <c r="C5125" s="37" t="s">
        <v>7</v>
      </c>
      <c r="D5125" s="326">
        <v>19.93</v>
      </c>
    </row>
    <row r="5126" spans="1:4" ht="13.5">
      <c r="A5126" s="37">
        <v>86919</v>
      </c>
      <c r="B5126" s="37" t="s">
        <v>4132</v>
      </c>
      <c r="C5126" s="37" t="s">
        <v>7</v>
      </c>
      <c r="D5126" s="326">
        <v>832.13</v>
      </c>
    </row>
    <row r="5127" spans="1:4" ht="13.5">
      <c r="A5127" s="37">
        <v>86920</v>
      </c>
      <c r="B5127" s="37" t="s">
        <v>4133</v>
      </c>
      <c r="C5127" s="37" t="s">
        <v>7</v>
      </c>
      <c r="D5127" s="326">
        <v>745.15</v>
      </c>
    </row>
    <row r="5128" spans="1:4" ht="13.5">
      <c r="A5128" s="37">
        <v>86921</v>
      </c>
      <c r="B5128" s="37" t="s">
        <v>4134</v>
      </c>
      <c r="C5128" s="37" t="s">
        <v>7</v>
      </c>
      <c r="D5128" s="326">
        <v>721.45</v>
      </c>
    </row>
    <row r="5129" spans="1:4" ht="13.5">
      <c r="A5129" s="37">
        <v>86922</v>
      </c>
      <c r="B5129" s="37" t="s">
        <v>4135</v>
      </c>
      <c r="C5129" s="37" t="s">
        <v>7</v>
      </c>
      <c r="D5129" s="326">
        <v>804.01</v>
      </c>
    </row>
    <row r="5130" spans="1:4" ht="13.5">
      <c r="A5130" s="37">
        <v>86923</v>
      </c>
      <c r="B5130" s="37" t="s">
        <v>4136</v>
      </c>
      <c r="C5130" s="37" t="s">
        <v>7</v>
      </c>
      <c r="D5130" s="326">
        <v>550.13</v>
      </c>
    </row>
    <row r="5131" spans="1:4" ht="13.5">
      <c r="A5131" s="37">
        <v>86924</v>
      </c>
      <c r="B5131" s="37" t="s">
        <v>4137</v>
      </c>
      <c r="C5131" s="37" t="s">
        <v>7</v>
      </c>
      <c r="D5131" s="326">
        <v>526.42999999999995</v>
      </c>
    </row>
    <row r="5132" spans="1:4" ht="13.5">
      <c r="A5132" s="37">
        <v>86925</v>
      </c>
      <c r="B5132" s="37" t="s">
        <v>4138</v>
      </c>
      <c r="C5132" s="37" t="s">
        <v>7</v>
      </c>
      <c r="D5132" s="326">
        <v>481.18</v>
      </c>
    </row>
    <row r="5133" spans="1:4" ht="13.5">
      <c r="A5133" s="37">
        <v>86926</v>
      </c>
      <c r="B5133" s="37" t="s">
        <v>4139</v>
      </c>
      <c r="C5133" s="37" t="s">
        <v>7</v>
      </c>
      <c r="D5133" s="326">
        <v>457.48</v>
      </c>
    </row>
    <row r="5134" spans="1:4" ht="13.5">
      <c r="A5134" s="37">
        <v>86927</v>
      </c>
      <c r="B5134" s="37" t="s">
        <v>4140</v>
      </c>
      <c r="C5134" s="37" t="s">
        <v>7</v>
      </c>
      <c r="D5134" s="326">
        <v>314.12</v>
      </c>
    </row>
    <row r="5135" spans="1:4" ht="13.5">
      <c r="A5135" s="37">
        <v>86928</v>
      </c>
      <c r="B5135" s="37" t="s">
        <v>4141</v>
      </c>
      <c r="C5135" s="37" t="s">
        <v>7</v>
      </c>
      <c r="D5135" s="326">
        <v>290.42</v>
      </c>
    </row>
    <row r="5136" spans="1:4" ht="13.5">
      <c r="A5136" s="37">
        <v>86929</v>
      </c>
      <c r="B5136" s="37" t="s">
        <v>4142</v>
      </c>
      <c r="C5136" s="37" t="s">
        <v>7</v>
      </c>
      <c r="D5136" s="326">
        <v>305.2</v>
      </c>
    </row>
    <row r="5137" spans="1:4" ht="13.5">
      <c r="A5137" s="37">
        <v>86930</v>
      </c>
      <c r="B5137" s="37" t="s">
        <v>4143</v>
      </c>
      <c r="C5137" s="37" t="s">
        <v>7</v>
      </c>
      <c r="D5137" s="326">
        <v>281.5</v>
      </c>
    </row>
    <row r="5138" spans="1:4" ht="13.5">
      <c r="A5138" s="37">
        <v>86931</v>
      </c>
      <c r="B5138" s="37" t="s">
        <v>4144</v>
      </c>
      <c r="C5138" s="37" t="s">
        <v>7</v>
      </c>
      <c r="D5138" s="326">
        <v>475.37</v>
      </c>
    </row>
    <row r="5139" spans="1:4" ht="13.5">
      <c r="A5139" s="37">
        <v>86932</v>
      </c>
      <c r="B5139" s="37" t="s">
        <v>4145</v>
      </c>
      <c r="C5139" s="37" t="s">
        <v>7</v>
      </c>
      <c r="D5139" s="326">
        <v>514</v>
      </c>
    </row>
    <row r="5140" spans="1:4" ht="13.5">
      <c r="A5140" s="37">
        <v>86933</v>
      </c>
      <c r="B5140" s="37" t="s">
        <v>4146</v>
      </c>
      <c r="C5140" s="37" t="s">
        <v>7</v>
      </c>
      <c r="D5140" s="326">
        <v>346.15</v>
      </c>
    </row>
    <row r="5141" spans="1:4" ht="13.5">
      <c r="A5141" s="37">
        <v>86934</v>
      </c>
      <c r="B5141" s="37" t="s">
        <v>4147</v>
      </c>
      <c r="C5141" s="37" t="s">
        <v>7</v>
      </c>
      <c r="D5141" s="326">
        <v>337.23</v>
      </c>
    </row>
    <row r="5142" spans="1:4" ht="13.5">
      <c r="A5142" s="37">
        <v>86935</v>
      </c>
      <c r="B5142" s="37" t="s">
        <v>4148</v>
      </c>
      <c r="C5142" s="37" t="s">
        <v>7</v>
      </c>
      <c r="D5142" s="326">
        <v>300.17</v>
      </c>
    </row>
    <row r="5143" spans="1:4" ht="13.5">
      <c r="A5143" s="37">
        <v>86936</v>
      </c>
      <c r="B5143" s="37" t="s">
        <v>4149</v>
      </c>
      <c r="C5143" s="37" t="s">
        <v>7</v>
      </c>
      <c r="D5143" s="326">
        <v>475.99</v>
      </c>
    </row>
    <row r="5144" spans="1:4" ht="13.5">
      <c r="A5144" s="37">
        <v>86937</v>
      </c>
      <c r="B5144" s="37" t="s">
        <v>4150</v>
      </c>
      <c r="C5144" s="37" t="s">
        <v>7</v>
      </c>
      <c r="D5144" s="326">
        <v>214.81</v>
      </c>
    </row>
    <row r="5145" spans="1:4" ht="13.5">
      <c r="A5145" s="37">
        <v>86938</v>
      </c>
      <c r="B5145" s="37" t="s">
        <v>4151</v>
      </c>
      <c r="C5145" s="37" t="s">
        <v>7</v>
      </c>
      <c r="D5145" s="326">
        <v>390.63</v>
      </c>
    </row>
    <row r="5146" spans="1:4" ht="13.5">
      <c r="A5146" s="37">
        <v>86939</v>
      </c>
      <c r="B5146" s="37" t="s">
        <v>4152</v>
      </c>
      <c r="C5146" s="37" t="s">
        <v>7</v>
      </c>
      <c r="D5146" s="326">
        <v>382.54</v>
      </c>
    </row>
    <row r="5147" spans="1:4" ht="13.5">
      <c r="A5147" s="37">
        <v>86940</v>
      </c>
      <c r="B5147" s="37" t="s">
        <v>4153</v>
      </c>
      <c r="C5147" s="37" t="s">
        <v>7</v>
      </c>
      <c r="D5147" s="326">
        <v>998.27</v>
      </c>
    </row>
    <row r="5148" spans="1:4" ht="13.5">
      <c r="A5148" s="37">
        <v>86941</v>
      </c>
      <c r="B5148" s="37" t="s">
        <v>4154</v>
      </c>
      <c r="C5148" s="37" t="s">
        <v>7</v>
      </c>
      <c r="D5148" s="326">
        <v>742.66</v>
      </c>
    </row>
    <row r="5149" spans="1:4" ht="13.5">
      <c r="A5149" s="37">
        <v>86942</v>
      </c>
      <c r="B5149" s="37" t="s">
        <v>4155</v>
      </c>
      <c r="C5149" s="37" t="s">
        <v>7</v>
      </c>
      <c r="D5149" s="326">
        <v>235.55</v>
      </c>
    </row>
    <row r="5150" spans="1:4" ht="13.5">
      <c r="A5150" s="37">
        <v>86943</v>
      </c>
      <c r="B5150" s="37" t="s">
        <v>4156</v>
      </c>
      <c r="C5150" s="37" t="s">
        <v>7</v>
      </c>
      <c r="D5150" s="326">
        <v>226.63</v>
      </c>
    </row>
    <row r="5151" spans="1:4" ht="13.5">
      <c r="A5151" s="37">
        <v>86947</v>
      </c>
      <c r="B5151" s="37" t="s">
        <v>4157</v>
      </c>
      <c r="C5151" s="37" t="s">
        <v>7</v>
      </c>
      <c r="D5151" s="38">
        <v>1015.71</v>
      </c>
    </row>
    <row r="5152" spans="1:4" ht="13.5">
      <c r="A5152" s="37">
        <v>93396</v>
      </c>
      <c r="B5152" s="37" t="s">
        <v>4158</v>
      </c>
      <c r="C5152" s="37" t="s">
        <v>7</v>
      </c>
      <c r="D5152" s="326">
        <v>538.42999999999995</v>
      </c>
    </row>
    <row r="5153" spans="1:4" ht="13.5">
      <c r="A5153" s="37">
        <v>93441</v>
      </c>
      <c r="B5153" s="37" t="s">
        <v>4159</v>
      </c>
      <c r="C5153" s="37" t="s">
        <v>7</v>
      </c>
      <c r="D5153" s="326">
        <v>860.73</v>
      </c>
    </row>
    <row r="5154" spans="1:4" ht="13.5">
      <c r="A5154" s="37">
        <v>93442</v>
      </c>
      <c r="B5154" s="37" t="s">
        <v>4160</v>
      </c>
      <c r="C5154" s="37" t="s">
        <v>7</v>
      </c>
      <c r="D5154" s="326">
        <v>943</v>
      </c>
    </row>
    <row r="5155" spans="1:4" ht="13.5">
      <c r="A5155" s="37">
        <v>95469</v>
      </c>
      <c r="B5155" s="37" t="s">
        <v>4161</v>
      </c>
      <c r="C5155" s="37" t="s">
        <v>7</v>
      </c>
      <c r="D5155" s="326">
        <v>282.73</v>
      </c>
    </row>
    <row r="5156" spans="1:4" ht="13.5">
      <c r="A5156" s="37">
        <v>95470</v>
      </c>
      <c r="B5156" s="37" t="s">
        <v>4162</v>
      </c>
      <c r="C5156" s="37" t="s">
        <v>7</v>
      </c>
      <c r="D5156" s="326">
        <v>291.27999999999997</v>
      </c>
    </row>
    <row r="5157" spans="1:4" ht="13.5">
      <c r="A5157" s="37">
        <v>95471</v>
      </c>
      <c r="B5157" s="37" t="s">
        <v>4163</v>
      </c>
      <c r="C5157" s="37" t="s">
        <v>7</v>
      </c>
      <c r="D5157" s="326">
        <v>730.8</v>
      </c>
    </row>
    <row r="5158" spans="1:4" ht="13.5">
      <c r="A5158" s="37">
        <v>95472</v>
      </c>
      <c r="B5158" s="37" t="s">
        <v>4164</v>
      </c>
      <c r="C5158" s="37" t="s">
        <v>7</v>
      </c>
      <c r="D5158" s="326">
        <v>739.35</v>
      </c>
    </row>
    <row r="5159" spans="1:4" ht="13.5">
      <c r="A5159" s="37">
        <v>95542</v>
      </c>
      <c r="B5159" s="37" t="s">
        <v>4165</v>
      </c>
      <c r="C5159" s="37" t="s">
        <v>7</v>
      </c>
      <c r="D5159" s="326">
        <v>34.83</v>
      </c>
    </row>
    <row r="5160" spans="1:4" ht="13.5">
      <c r="A5160" s="37">
        <v>95543</v>
      </c>
      <c r="B5160" s="37" t="s">
        <v>4166</v>
      </c>
      <c r="C5160" s="37" t="s">
        <v>7</v>
      </c>
      <c r="D5160" s="326">
        <v>58.4</v>
      </c>
    </row>
    <row r="5161" spans="1:4" ht="13.5">
      <c r="A5161" s="37">
        <v>95544</v>
      </c>
      <c r="B5161" s="37" t="s">
        <v>4167</v>
      </c>
      <c r="C5161" s="37" t="s">
        <v>7</v>
      </c>
      <c r="D5161" s="326">
        <v>42.69</v>
      </c>
    </row>
    <row r="5162" spans="1:4" ht="13.5">
      <c r="A5162" s="37">
        <v>95545</v>
      </c>
      <c r="B5162" s="37" t="s">
        <v>4168</v>
      </c>
      <c r="C5162" s="37" t="s">
        <v>7</v>
      </c>
      <c r="D5162" s="326">
        <v>41.85</v>
      </c>
    </row>
    <row r="5163" spans="1:4" ht="13.5">
      <c r="A5163" s="37">
        <v>95546</v>
      </c>
      <c r="B5163" s="37" t="s">
        <v>4169</v>
      </c>
      <c r="C5163" s="37" t="s">
        <v>7</v>
      </c>
      <c r="D5163" s="326">
        <v>141.99</v>
      </c>
    </row>
    <row r="5164" spans="1:4" ht="13.5">
      <c r="A5164" s="37">
        <v>95547</v>
      </c>
      <c r="B5164" s="37" t="s">
        <v>4170</v>
      </c>
      <c r="C5164" s="37" t="s">
        <v>7</v>
      </c>
      <c r="D5164" s="326">
        <v>78.39</v>
      </c>
    </row>
    <row r="5165" spans="1:4" ht="13.5">
      <c r="A5165" s="37">
        <v>100848</v>
      </c>
      <c r="B5165" s="37" t="s">
        <v>4171</v>
      </c>
      <c r="C5165" s="37" t="s">
        <v>7</v>
      </c>
      <c r="D5165" s="326">
        <v>525.49</v>
      </c>
    </row>
    <row r="5166" spans="1:4" ht="13.5">
      <c r="A5166" s="37">
        <v>100849</v>
      </c>
      <c r="B5166" s="37" t="s">
        <v>4172</v>
      </c>
      <c r="C5166" s="37" t="s">
        <v>7</v>
      </c>
      <c r="D5166" s="326">
        <v>44.89</v>
      </c>
    </row>
    <row r="5167" spans="1:4" ht="13.5">
      <c r="A5167" s="37">
        <v>100851</v>
      </c>
      <c r="B5167" s="37" t="s">
        <v>4173</v>
      </c>
      <c r="C5167" s="37" t="s">
        <v>7</v>
      </c>
      <c r="D5167" s="326">
        <v>90.38</v>
      </c>
    </row>
    <row r="5168" spans="1:4" ht="13.5">
      <c r="A5168" s="37">
        <v>100852</v>
      </c>
      <c r="B5168" s="37" t="s">
        <v>4174</v>
      </c>
      <c r="C5168" s="37" t="s">
        <v>7</v>
      </c>
      <c r="D5168" s="326">
        <v>244.93</v>
      </c>
    </row>
    <row r="5169" spans="1:4" ht="13.5">
      <c r="A5169" s="37">
        <v>100853</v>
      </c>
      <c r="B5169" s="37" t="s">
        <v>12362</v>
      </c>
      <c r="C5169" s="37" t="s">
        <v>7</v>
      </c>
      <c r="D5169" s="326">
        <v>271.35000000000002</v>
      </c>
    </row>
    <row r="5170" spans="1:4" ht="13.5">
      <c r="A5170" s="37">
        <v>100854</v>
      </c>
      <c r="B5170" s="37" t="s">
        <v>4175</v>
      </c>
      <c r="C5170" s="37" t="s">
        <v>7</v>
      </c>
      <c r="D5170" s="38">
        <v>1406.73</v>
      </c>
    </row>
    <row r="5171" spans="1:4" ht="13.5">
      <c r="A5171" s="37">
        <v>100856</v>
      </c>
      <c r="B5171" s="37" t="s">
        <v>4176</v>
      </c>
      <c r="C5171" s="37" t="s">
        <v>7</v>
      </c>
      <c r="D5171" s="326">
        <v>30.16</v>
      </c>
    </row>
    <row r="5172" spans="1:4" ht="13.5">
      <c r="A5172" s="37">
        <v>100857</v>
      </c>
      <c r="B5172" s="37" t="s">
        <v>4177</v>
      </c>
      <c r="C5172" s="37" t="s">
        <v>7</v>
      </c>
      <c r="D5172" s="326">
        <v>412.95</v>
      </c>
    </row>
    <row r="5173" spans="1:4" ht="13.5">
      <c r="A5173" s="37">
        <v>100858</v>
      </c>
      <c r="B5173" s="37" t="s">
        <v>4178</v>
      </c>
      <c r="C5173" s="37" t="s">
        <v>7</v>
      </c>
      <c r="D5173" s="326">
        <v>659.88</v>
      </c>
    </row>
    <row r="5174" spans="1:4" ht="13.5">
      <c r="A5174" s="37">
        <v>100859</v>
      </c>
      <c r="B5174" s="37" t="s">
        <v>8432</v>
      </c>
      <c r="C5174" s="37" t="s">
        <v>7</v>
      </c>
      <c r="D5174" s="326">
        <v>962.48</v>
      </c>
    </row>
    <row r="5175" spans="1:4" ht="13.5">
      <c r="A5175" s="37">
        <v>100860</v>
      </c>
      <c r="B5175" s="37" t="s">
        <v>4179</v>
      </c>
      <c r="C5175" s="37" t="s">
        <v>7</v>
      </c>
      <c r="D5175" s="326">
        <v>89.83</v>
      </c>
    </row>
    <row r="5176" spans="1:4" ht="13.5">
      <c r="A5176" s="37">
        <v>100861</v>
      </c>
      <c r="B5176" s="37" t="s">
        <v>4180</v>
      </c>
      <c r="C5176" s="37" t="s">
        <v>7</v>
      </c>
      <c r="D5176" s="326">
        <v>31.39</v>
      </c>
    </row>
    <row r="5177" spans="1:4" ht="13.5">
      <c r="A5177" s="37">
        <v>100862</v>
      </c>
      <c r="B5177" s="37" t="s">
        <v>4181</v>
      </c>
      <c r="C5177" s="37" t="s">
        <v>7</v>
      </c>
      <c r="D5177" s="326">
        <v>34.51</v>
      </c>
    </row>
    <row r="5178" spans="1:4" ht="13.5">
      <c r="A5178" s="37">
        <v>100863</v>
      </c>
      <c r="B5178" s="37" t="s">
        <v>4182</v>
      </c>
      <c r="C5178" s="37" t="s">
        <v>7</v>
      </c>
      <c r="D5178" s="326">
        <v>614.07000000000005</v>
      </c>
    </row>
    <row r="5179" spans="1:4" ht="13.5">
      <c r="A5179" s="37">
        <v>100864</v>
      </c>
      <c r="B5179" s="37" t="s">
        <v>4183</v>
      </c>
      <c r="C5179" s="37" t="s">
        <v>7</v>
      </c>
      <c r="D5179" s="326">
        <v>676.38</v>
      </c>
    </row>
    <row r="5180" spans="1:4" ht="13.5">
      <c r="A5180" s="37">
        <v>100865</v>
      </c>
      <c r="B5180" s="37" t="s">
        <v>4184</v>
      </c>
      <c r="C5180" s="37" t="s">
        <v>7</v>
      </c>
      <c r="D5180" s="326">
        <v>609.34</v>
      </c>
    </row>
    <row r="5181" spans="1:4" ht="13.5">
      <c r="A5181" s="37">
        <v>100866</v>
      </c>
      <c r="B5181" s="37" t="s">
        <v>4185</v>
      </c>
      <c r="C5181" s="37" t="s">
        <v>7</v>
      </c>
      <c r="D5181" s="326">
        <v>313.83</v>
      </c>
    </row>
    <row r="5182" spans="1:4" ht="13.5">
      <c r="A5182" s="37">
        <v>100867</v>
      </c>
      <c r="B5182" s="37" t="s">
        <v>4186</v>
      </c>
      <c r="C5182" s="37" t="s">
        <v>7</v>
      </c>
      <c r="D5182" s="326">
        <v>334.38</v>
      </c>
    </row>
    <row r="5183" spans="1:4" ht="13.5">
      <c r="A5183" s="37">
        <v>100868</v>
      </c>
      <c r="B5183" s="37" t="s">
        <v>4187</v>
      </c>
      <c r="C5183" s="37" t="s">
        <v>7</v>
      </c>
      <c r="D5183" s="326">
        <v>348.05</v>
      </c>
    </row>
    <row r="5184" spans="1:4" ht="13.5">
      <c r="A5184" s="37">
        <v>100869</v>
      </c>
      <c r="B5184" s="37" t="s">
        <v>4188</v>
      </c>
      <c r="C5184" s="37" t="s">
        <v>7</v>
      </c>
      <c r="D5184" s="326">
        <v>358.54</v>
      </c>
    </row>
    <row r="5185" spans="1:4" ht="13.5">
      <c r="A5185" s="37">
        <v>100870</v>
      </c>
      <c r="B5185" s="37" t="s">
        <v>4189</v>
      </c>
      <c r="C5185" s="37" t="s">
        <v>7</v>
      </c>
      <c r="D5185" s="326">
        <v>284.45</v>
      </c>
    </row>
    <row r="5186" spans="1:4" ht="13.5">
      <c r="A5186" s="37">
        <v>100871</v>
      </c>
      <c r="B5186" s="37" t="s">
        <v>4190</v>
      </c>
      <c r="C5186" s="37" t="s">
        <v>7</v>
      </c>
      <c r="D5186" s="326">
        <v>307.39</v>
      </c>
    </row>
    <row r="5187" spans="1:4" ht="13.5">
      <c r="A5187" s="37">
        <v>100872</v>
      </c>
      <c r="B5187" s="37" t="s">
        <v>4191</v>
      </c>
      <c r="C5187" s="37" t="s">
        <v>7</v>
      </c>
      <c r="D5187" s="326">
        <v>322.04000000000002</v>
      </c>
    </row>
    <row r="5188" spans="1:4" ht="13.5">
      <c r="A5188" s="37">
        <v>100873</v>
      </c>
      <c r="B5188" s="37" t="s">
        <v>4192</v>
      </c>
      <c r="C5188" s="37" t="s">
        <v>7</v>
      </c>
      <c r="D5188" s="326">
        <v>331.19</v>
      </c>
    </row>
    <row r="5189" spans="1:4" ht="13.5">
      <c r="A5189" s="37">
        <v>100874</v>
      </c>
      <c r="B5189" s="37" t="s">
        <v>4193</v>
      </c>
      <c r="C5189" s="37" t="s">
        <v>7</v>
      </c>
      <c r="D5189" s="326">
        <v>313.83</v>
      </c>
    </row>
    <row r="5190" spans="1:4" ht="13.5">
      <c r="A5190" s="37">
        <v>100875</v>
      </c>
      <c r="B5190" s="37" t="s">
        <v>4194</v>
      </c>
      <c r="C5190" s="37" t="s">
        <v>7</v>
      </c>
      <c r="D5190" s="38">
        <v>1123.45</v>
      </c>
    </row>
    <row r="5191" spans="1:4" ht="13.5">
      <c r="A5191" s="37">
        <v>100878</v>
      </c>
      <c r="B5191" s="37" t="s">
        <v>8433</v>
      </c>
      <c r="C5191" s="37" t="s">
        <v>7</v>
      </c>
      <c r="D5191" s="326">
        <v>623.97</v>
      </c>
    </row>
    <row r="5192" spans="1:4" ht="13.5">
      <c r="A5192" s="37">
        <v>98052</v>
      </c>
      <c r="B5192" s="37" t="s">
        <v>17589</v>
      </c>
      <c r="C5192" s="37" t="s">
        <v>7</v>
      </c>
      <c r="D5192" s="38">
        <v>1851.95</v>
      </c>
    </row>
    <row r="5193" spans="1:4" ht="13.5">
      <c r="A5193" s="37">
        <v>98053</v>
      </c>
      <c r="B5193" s="37" t="s">
        <v>17590</v>
      </c>
      <c r="C5193" s="37" t="s">
        <v>7</v>
      </c>
      <c r="D5193" s="38">
        <v>2542.98</v>
      </c>
    </row>
    <row r="5194" spans="1:4" ht="13.5">
      <c r="A5194" s="37">
        <v>98054</v>
      </c>
      <c r="B5194" s="37" t="s">
        <v>17591</v>
      </c>
      <c r="C5194" s="37" t="s">
        <v>7</v>
      </c>
      <c r="D5194" s="38">
        <v>4111.45</v>
      </c>
    </row>
    <row r="5195" spans="1:4" ht="13.5">
      <c r="A5195" s="37">
        <v>98055</v>
      </c>
      <c r="B5195" s="37" t="s">
        <v>17592</v>
      </c>
      <c r="C5195" s="37" t="s">
        <v>7</v>
      </c>
      <c r="D5195" s="38">
        <v>5597.89</v>
      </c>
    </row>
    <row r="5196" spans="1:4" ht="13.5">
      <c r="A5196" s="37">
        <v>98056</v>
      </c>
      <c r="B5196" s="37" t="s">
        <v>17593</v>
      </c>
      <c r="C5196" s="37" t="s">
        <v>7</v>
      </c>
      <c r="D5196" s="38">
        <v>6509.1</v>
      </c>
    </row>
    <row r="5197" spans="1:4" ht="13.5">
      <c r="A5197" s="37">
        <v>98057</v>
      </c>
      <c r="B5197" s="37" t="s">
        <v>17594</v>
      </c>
      <c r="C5197" s="37" t="s">
        <v>7</v>
      </c>
      <c r="D5197" s="38">
        <v>7773.12</v>
      </c>
    </row>
    <row r="5198" spans="1:4" ht="13.5">
      <c r="A5198" s="37">
        <v>98058</v>
      </c>
      <c r="B5198" s="37" t="s">
        <v>17595</v>
      </c>
      <c r="C5198" s="37" t="s">
        <v>7</v>
      </c>
      <c r="D5198" s="38">
        <v>1657.24</v>
      </c>
    </row>
    <row r="5199" spans="1:4" ht="13.5">
      <c r="A5199" s="37">
        <v>98059</v>
      </c>
      <c r="B5199" s="37" t="s">
        <v>17596</v>
      </c>
      <c r="C5199" s="37" t="s">
        <v>7</v>
      </c>
      <c r="D5199" s="38">
        <v>3591.89</v>
      </c>
    </row>
    <row r="5200" spans="1:4" ht="13.5">
      <c r="A5200" s="37">
        <v>98060</v>
      </c>
      <c r="B5200" s="37" t="s">
        <v>17597</v>
      </c>
      <c r="C5200" s="37" t="s">
        <v>7</v>
      </c>
      <c r="D5200" s="38">
        <v>5058.0200000000004</v>
      </c>
    </row>
    <row r="5201" spans="1:4" ht="13.5">
      <c r="A5201" s="37">
        <v>98061</v>
      </c>
      <c r="B5201" s="37" t="s">
        <v>17598</v>
      </c>
      <c r="C5201" s="37" t="s">
        <v>7</v>
      </c>
      <c r="D5201" s="38">
        <v>7069.6</v>
      </c>
    </row>
    <row r="5202" spans="1:4" ht="13.5">
      <c r="A5202" s="37">
        <v>98062</v>
      </c>
      <c r="B5202" s="37" t="s">
        <v>17599</v>
      </c>
      <c r="C5202" s="37" t="s">
        <v>7</v>
      </c>
      <c r="D5202" s="38">
        <v>2766.59</v>
      </c>
    </row>
    <row r="5203" spans="1:4" ht="13.5">
      <c r="A5203" s="37">
        <v>98063</v>
      </c>
      <c r="B5203" s="37" t="s">
        <v>17600</v>
      </c>
      <c r="C5203" s="37" t="s">
        <v>7</v>
      </c>
      <c r="D5203" s="38">
        <v>4217.1400000000003</v>
      </c>
    </row>
    <row r="5204" spans="1:4" ht="13.5">
      <c r="A5204" s="37">
        <v>98064</v>
      </c>
      <c r="B5204" s="37" t="s">
        <v>17601</v>
      </c>
      <c r="C5204" s="37" t="s">
        <v>7</v>
      </c>
      <c r="D5204" s="38">
        <v>4853.26</v>
      </c>
    </row>
    <row r="5205" spans="1:4" ht="13.5">
      <c r="A5205" s="37">
        <v>98065</v>
      </c>
      <c r="B5205" s="37" t="s">
        <v>17602</v>
      </c>
      <c r="C5205" s="37" t="s">
        <v>7</v>
      </c>
      <c r="D5205" s="38">
        <v>6736.47</v>
      </c>
    </row>
    <row r="5206" spans="1:4" ht="13.5">
      <c r="A5206" s="37">
        <v>98066</v>
      </c>
      <c r="B5206" s="37" t="s">
        <v>16342</v>
      </c>
      <c r="C5206" s="37" t="s">
        <v>7</v>
      </c>
      <c r="D5206" s="38">
        <v>4191.8100000000004</v>
      </c>
    </row>
    <row r="5207" spans="1:4" ht="13.5">
      <c r="A5207" s="37">
        <v>98067</v>
      </c>
      <c r="B5207" s="37" t="s">
        <v>16343</v>
      </c>
      <c r="C5207" s="37" t="s">
        <v>7</v>
      </c>
      <c r="D5207" s="38">
        <v>5570.59</v>
      </c>
    </row>
    <row r="5208" spans="1:4" ht="13.5">
      <c r="A5208" s="37">
        <v>98068</v>
      </c>
      <c r="B5208" s="37" t="s">
        <v>16344</v>
      </c>
      <c r="C5208" s="37" t="s">
        <v>7</v>
      </c>
      <c r="D5208" s="38">
        <v>7859.78</v>
      </c>
    </row>
    <row r="5209" spans="1:4" ht="13.5">
      <c r="A5209" s="37">
        <v>98069</v>
      </c>
      <c r="B5209" s="37" t="s">
        <v>16345</v>
      </c>
      <c r="C5209" s="37" t="s">
        <v>7</v>
      </c>
      <c r="D5209" s="38">
        <v>10626.23</v>
      </c>
    </row>
    <row r="5210" spans="1:4" ht="13.5">
      <c r="A5210" s="37">
        <v>98070</v>
      </c>
      <c r="B5210" s="37" t="s">
        <v>16346</v>
      </c>
      <c r="C5210" s="37" t="s">
        <v>7</v>
      </c>
      <c r="D5210" s="38">
        <v>12081.63</v>
      </c>
    </row>
    <row r="5211" spans="1:4" ht="13.5">
      <c r="A5211" s="37">
        <v>98071</v>
      </c>
      <c r="B5211" s="37" t="s">
        <v>16347</v>
      </c>
      <c r="C5211" s="37" t="s">
        <v>7</v>
      </c>
      <c r="D5211" s="38">
        <v>13054.01</v>
      </c>
    </row>
    <row r="5212" spans="1:4" ht="13.5">
      <c r="A5212" s="37">
        <v>98072</v>
      </c>
      <c r="B5212" s="37" t="s">
        <v>16348</v>
      </c>
      <c r="C5212" s="37" t="s">
        <v>7</v>
      </c>
      <c r="D5212" s="38">
        <v>3586.72</v>
      </c>
    </row>
    <row r="5213" spans="1:4" ht="13.5">
      <c r="A5213" s="37">
        <v>98073</v>
      </c>
      <c r="B5213" s="37" t="s">
        <v>16349</v>
      </c>
      <c r="C5213" s="37" t="s">
        <v>7</v>
      </c>
      <c r="D5213" s="38">
        <v>5702.04</v>
      </c>
    </row>
    <row r="5214" spans="1:4" ht="13.5">
      <c r="A5214" s="37">
        <v>98074</v>
      </c>
      <c r="B5214" s="37" t="s">
        <v>16350</v>
      </c>
      <c r="C5214" s="37" t="s">
        <v>7</v>
      </c>
      <c r="D5214" s="38">
        <v>8983.0400000000009</v>
      </c>
    </row>
    <row r="5215" spans="1:4" ht="13.5">
      <c r="A5215" s="37">
        <v>98075</v>
      </c>
      <c r="B5215" s="37" t="s">
        <v>16351</v>
      </c>
      <c r="C5215" s="37" t="s">
        <v>7</v>
      </c>
      <c r="D5215" s="38">
        <v>11748.73</v>
      </c>
    </row>
    <row r="5216" spans="1:4" ht="13.5">
      <c r="A5216" s="37">
        <v>98076</v>
      </c>
      <c r="B5216" s="37" t="s">
        <v>16352</v>
      </c>
      <c r="C5216" s="37" t="s">
        <v>7</v>
      </c>
      <c r="D5216" s="38">
        <v>13621.64</v>
      </c>
    </row>
    <row r="5217" spans="1:4" ht="13.5">
      <c r="A5217" s="37">
        <v>98077</v>
      </c>
      <c r="B5217" s="37" t="s">
        <v>16353</v>
      </c>
      <c r="C5217" s="37" t="s">
        <v>7</v>
      </c>
      <c r="D5217" s="38">
        <v>16084.34</v>
      </c>
    </row>
    <row r="5218" spans="1:4" ht="13.5">
      <c r="A5218" s="37">
        <v>98078</v>
      </c>
      <c r="B5218" s="37" t="s">
        <v>16354</v>
      </c>
      <c r="C5218" s="37" t="s">
        <v>7</v>
      </c>
      <c r="D5218" s="38">
        <v>3636.77</v>
      </c>
    </row>
    <row r="5219" spans="1:4" ht="13.5">
      <c r="A5219" s="37">
        <v>98079</v>
      </c>
      <c r="B5219" s="37" t="s">
        <v>16355</v>
      </c>
      <c r="C5219" s="37" t="s">
        <v>7</v>
      </c>
      <c r="D5219" s="38">
        <v>6423.08</v>
      </c>
    </row>
    <row r="5220" spans="1:4" ht="13.5">
      <c r="A5220" s="37">
        <v>98080</v>
      </c>
      <c r="B5220" s="37" t="s">
        <v>16356</v>
      </c>
      <c r="C5220" s="37" t="s">
        <v>7</v>
      </c>
      <c r="D5220" s="38">
        <v>8340.5499999999993</v>
      </c>
    </row>
    <row r="5221" spans="1:4" ht="13.5">
      <c r="A5221" s="37">
        <v>98081</v>
      </c>
      <c r="B5221" s="37" t="s">
        <v>16357</v>
      </c>
      <c r="C5221" s="37" t="s">
        <v>7</v>
      </c>
      <c r="D5221" s="38">
        <v>12419.07</v>
      </c>
    </row>
    <row r="5222" spans="1:4" ht="13.5">
      <c r="A5222" s="37">
        <v>98082</v>
      </c>
      <c r="B5222" s="37" t="s">
        <v>16358</v>
      </c>
      <c r="C5222" s="37" t="s">
        <v>7</v>
      </c>
      <c r="D5222" s="38">
        <v>3518.24</v>
      </c>
    </row>
    <row r="5223" spans="1:4" ht="13.5">
      <c r="A5223" s="37">
        <v>98083</v>
      </c>
      <c r="B5223" s="37" t="s">
        <v>16359</v>
      </c>
      <c r="C5223" s="37" t="s">
        <v>7</v>
      </c>
      <c r="D5223" s="38">
        <v>4629.88</v>
      </c>
    </row>
    <row r="5224" spans="1:4" ht="13.5">
      <c r="A5224" s="37">
        <v>98084</v>
      </c>
      <c r="B5224" s="37" t="s">
        <v>16360</v>
      </c>
      <c r="C5224" s="37" t="s">
        <v>7</v>
      </c>
      <c r="D5224" s="38">
        <v>6483.15</v>
      </c>
    </row>
    <row r="5225" spans="1:4" ht="13.5">
      <c r="A5225" s="37">
        <v>98085</v>
      </c>
      <c r="B5225" s="37" t="s">
        <v>16361</v>
      </c>
      <c r="C5225" s="37" t="s">
        <v>7</v>
      </c>
      <c r="D5225" s="38">
        <v>8810.0400000000009</v>
      </c>
    </row>
    <row r="5226" spans="1:4" ht="13.5">
      <c r="A5226" s="37">
        <v>98086</v>
      </c>
      <c r="B5226" s="37" t="s">
        <v>16362</v>
      </c>
      <c r="C5226" s="37" t="s">
        <v>7</v>
      </c>
      <c r="D5226" s="38">
        <v>9917.9500000000007</v>
      </c>
    </row>
    <row r="5227" spans="1:4" ht="13.5">
      <c r="A5227" s="37">
        <v>98087</v>
      </c>
      <c r="B5227" s="37" t="s">
        <v>16363</v>
      </c>
      <c r="C5227" s="37" t="s">
        <v>7</v>
      </c>
      <c r="D5227" s="38">
        <v>10530.62</v>
      </c>
    </row>
    <row r="5228" spans="1:4" ht="13.5">
      <c r="A5228" s="37">
        <v>98088</v>
      </c>
      <c r="B5228" s="37" t="s">
        <v>16364</v>
      </c>
      <c r="C5228" s="37" t="s">
        <v>7</v>
      </c>
      <c r="D5228" s="38">
        <v>3071.87</v>
      </c>
    </row>
    <row r="5229" spans="1:4" ht="13.5">
      <c r="A5229" s="37">
        <v>98089</v>
      </c>
      <c r="B5229" s="37" t="s">
        <v>16365</v>
      </c>
      <c r="C5229" s="37" t="s">
        <v>7</v>
      </c>
      <c r="D5229" s="38">
        <v>4898.05</v>
      </c>
    </row>
    <row r="5230" spans="1:4" ht="13.5">
      <c r="A5230" s="37">
        <v>98090</v>
      </c>
      <c r="B5230" s="37" t="s">
        <v>16366</v>
      </c>
      <c r="C5230" s="37" t="s">
        <v>7</v>
      </c>
      <c r="D5230" s="38">
        <v>7757.91</v>
      </c>
    </row>
    <row r="5231" spans="1:4" ht="13.5">
      <c r="A5231" s="37">
        <v>98091</v>
      </c>
      <c r="B5231" s="37" t="s">
        <v>16367</v>
      </c>
      <c r="C5231" s="37" t="s">
        <v>7</v>
      </c>
      <c r="D5231" s="38">
        <v>10168.209999999999</v>
      </c>
    </row>
    <row r="5232" spans="1:4" ht="13.5">
      <c r="A5232" s="37">
        <v>98092</v>
      </c>
      <c r="B5232" s="37" t="s">
        <v>16368</v>
      </c>
      <c r="C5232" s="37" t="s">
        <v>7</v>
      </c>
      <c r="D5232" s="38">
        <v>11850.54</v>
      </c>
    </row>
    <row r="5233" spans="1:4" ht="13.5">
      <c r="A5233" s="37">
        <v>98093</v>
      </c>
      <c r="B5233" s="37" t="s">
        <v>16369</v>
      </c>
      <c r="C5233" s="37" t="s">
        <v>7</v>
      </c>
      <c r="D5233" s="38">
        <v>14012.78</v>
      </c>
    </row>
    <row r="5234" spans="1:4" ht="13.5">
      <c r="A5234" s="37">
        <v>98094</v>
      </c>
      <c r="B5234" s="37" t="s">
        <v>16370</v>
      </c>
      <c r="C5234" s="37" t="s">
        <v>7</v>
      </c>
      <c r="D5234" s="38">
        <v>2495.27</v>
      </c>
    </row>
    <row r="5235" spans="1:4" ht="13.5">
      <c r="A5235" s="37">
        <v>98099</v>
      </c>
      <c r="B5235" s="37" t="s">
        <v>16371</v>
      </c>
      <c r="C5235" s="37" t="s">
        <v>7</v>
      </c>
      <c r="D5235" s="38">
        <v>4269.6000000000004</v>
      </c>
    </row>
    <row r="5236" spans="1:4" ht="13.5">
      <c r="A5236" s="37">
        <v>98100</v>
      </c>
      <c r="B5236" s="37" t="s">
        <v>16372</v>
      </c>
      <c r="C5236" s="37" t="s">
        <v>7</v>
      </c>
      <c r="D5236" s="38">
        <v>5624.77</v>
      </c>
    </row>
    <row r="5237" spans="1:4" ht="13.5">
      <c r="A5237" s="37">
        <v>98101</v>
      </c>
      <c r="B5237" s="37" t="s">
        <v>16373</v>
      </c>
      <c r="C5237" s="37" t="s">
        <v>7</v>
      </c>
      <c r="D5237" s="38">
        <v>8330.36</v>
      </c>
    </row>
    <row r="5238" spans="1:4" ht="13.5">
      <c r="A5238" s="37">
        <v>98109</v>
      </c>
      <c r="B5238" s="37" t="s">
        <v>8434</v>
      </c>
      <c r="C5238" s="37" t="s">
        <v>7</v>
      </c>
      <c r="D5238" s="326">
        <v>729.04</v>
      </c>
    </row>
    <row r="5239" spans="1:4" ht="13.5">
      <c r="A5239" s="37">
        <v>98110</v>
      </c>
      <c r="B5239" s="37" t="s">
        <v>8435</v>
      </c>
      <c r="C5239" s="37" t="s">
        <v>7</v>
      </c>
      <c r="D5239" s="326">
        <v>406.54</v>
      </c>
    </row>
    <row r="5240" spans="1:4" ht="13.5">
      <c r="A5240" s="37">
        <v>98111</v>
      </c>
      <c r="B5240" s="37" t="s">
        <v>8436</v>
      </c>
      <c r="C5240" s="37" t="s">
        <v>7</v>
      </c>
      <c r="D5240" s="326">
        <v>53.64</v>
      </c>
    </row>
    <row r="5241" spans="1:4" ht="13.5">
      <c r="A5241" s="37">
        <v>98112</v>
      </c>
      <c r="B5241" s="37" t="s">
        <v>8437</v>
      </c>
      <c r="C5241" s="37" t="s">
        <v>7</v>
      </c>
      <c r="D5241" s="326">
        <v>108.78</v>
      </c>
    </row>
    <row r="5242" spans="1:4" ht="13.5">
      <c r="A5242" s="37">
        <v>98114</v>
      </c>
      <c r="B5242" s="37" t="s">
        <v>8438</v>
      </c>
      <c r="C5242" s="37" t="s">
        <v>7</v>
      </c>
      <c r="D5242" s="326">
        <v>688.38</v>
      </c>
    </row>
    <row r="5243" spans="1:4" ht="13.5">
      <c r="A5243" s="37">
        <v>98115</v>
      </c>
      <c r="B5243" s="37" t="s">
        <v>16374</v>
      </c>
      <c r="C5243" s="37" t="s">
        <v>7</v>
      </c>
      <c r="D5243" s="326">
        <v>95.99</v>
      </c>
    </row>
    <row r="5244" spans="1:4" ht="13.5">
      <c r="A5244" s="37">
        <v>89957</v>
      </c>
      <c r="B5244" s="37" t="s">
        <v>4195</v>
      </c>
      <c r="C5244" s="37" t="s">
        <v>7</v>
      </c>
      <c r="D5244" s="326">
        <v>131.63</v>
      </c>
    </row>
    <row r="5245" spans="1:4" ht="13.5">
      <c r="A5245" s="37">
        <v>89959</v>
      </c>
      <c r="B5245" s="37" t="s">
        <v>4196</v>
      </c>
      <c r="C5245" s="37" t="s">
        <v>7</v>
      </c>
      <c r="D5245" s="326">
        <v>226.44</v>
      </c>
    </row>
    <row r="5246" spans="1:4" ht="13.5">
      <c r="A5246" s="37">
        <v>89349</v>
      </c>
      <c r="B5246" s="37" t="s">
        <v>8439</v>
      </c>
      <c r="C5246" s="37" t="s">
        <v>7</v>
      </c>
      <c r="D5246" s="326">
        <v>29.8</v>
      </c>
    </row>
    <row r="5247" spans="1:4" ht="13.5">
      <c r="A5247" s="37">
        <v>89351</v>
      </c>
      <c r="B5247" s="37" t="s">
        <v>8440</v>
      </c>
      <c r="C5247" s="37" t="s">
        <v>7</v>
      </c>
      <c r="D5247" s="326">
        <v>36.68</v>
      </c>
    </row>
    <row r="5248" spans="1:4" ht="13.5">
      <c r="A5248" s="37">
        <v>89352</v>
      </c>
      <c r="B5248" s="37" t="s">
        <v>8441</v>
      </c>
      <c r="C5248" s="37" t="s">
        <v>7</v>
      </c>
      <c r="D5248" s="326">
        <v>40.72</v>
      </c>
    </row>
    <row r="5249" spans="1:4" ht="13.5">
      <c r="A5249" s="37">
        <v>89353</v>
      </c>
      <c r="B5249" s="37" t="s">
        <v>8442</v>
      </c>
      <c r="C5249" s="37" t="s">
        <v>7</v>
      </c>
      <c r="D5249" s="326">
        <v>44.5</v>
      </c>
    </row>
    <row r="5250" spans="1:4" ht="13.5">
      <c r="A5250" s="37">
        <v>89354</v>
      </c>
      <c r="B5250" s="37" t="s">
        <v>8443</v>
      </c>
      <c r="C5250" s="37" t="s">
        <v>7</v>
      </c>
      <c r="D5250" s="326">
        <v>430.32</v>
      </c>
    </row>
    <row r="5251" spans="1:4" ht="13.5">
      <c r="A5251" s="37">
        <v>89969</v>
      </c>
      <c r="B5251" s="37" t="s">
        <v>4197</v>
      </c>
      <c r="C5251" s="37" t="s">
        <v>7</v>
      </c>
      <c r="D5251" s="326">
        <v>46.49</v>
      </c>
    </row>
    <row r="5252" spans="1:4" ht="13.5">
      <c r="A5252" s="37">
        <v>89970</v>
      </c>
      <c r="B5252" s="37" t="s">
        <v>4198</v>
      </c>
      <c r="C5252" s="37" t="s">
        <v>7</v>
      </c>
      <c r="D5252" s="326">
        <v>50.17</v>
      </c>
    </row>
    <row r="5253" spans="1:4" ht="13.5">
      <c r="A5253" s="37">
        <v>89971</v>
      </c>
      <c r="B5253" s="37" t="s">
        <v>4199</v>
      </c>
      <c r="C5253" s="37" t="s">
        <v>7</v>
      </c>
      <c r="D5253" s="326">
        <v>51.6</v>
      </c>
    </row>
    <row r="5254" spans="1:4" ht="13.5">
      <c r="A5254" s="37">
        <v>89972</v>
      </c>
      <c r="B5254" s="37" t="s">
        <v>4200</v>
      </c>
      <c r="C5254" s="37" t="s">
        <v>7</v>
      </c>
      <c r="D5254" s="326">
        <v>57.16</v>
      </c>
    </row>
    <row r="5255" spans="1:4" ht="13.5">
      <c r="A5255" s="37">
        <v>89973</v>
      </c>
      <c r="B5255" s="37" t="s">
        <v>4201</v>
      </c>
      <c r="C5255" s="37" t="s">
        <v>7</v>
      </c>
      <c r="D5255" s="326">
        <v>654.30999999999995</v>
      </c>
    </row>
    <row r="5256" spans="1:4" ht="13.5">
      <c r="A5256" s="37">
        <v>89974</v>
      </c>
      <c r="B5256" s="37" t="s">
        <v>4202</v>
      </c>
      <c r="C5256" s="37" t="s">
        <v>7</v>
      </c>
      <c r="D5256" s="326">
        <v>316.73</v>
      </c>
    </row>
    <row r="5257" spans="1:4" ht="13.5">
      <c r="A5257" s="37">
        <v>89984</v>
      </c>
      <c r="B5257" s="37" t="s">
        <v>8444</v>
      </c>
      <c r="C5257" s="37" t="s">
        <v>7</v>
      </c>
      <c r="D5257" s="326">
        <v>96.13</v>
      </c>
    </row>
    <row r="5258" spans="1:4" ht="13.5">
      <c r="A5258" s="37">
        <v>89985</v>
      </c>
      <c r="B5258" s="37" t="s">
        <v>8445</v>
      </c>
      <c r="C5258" s="37" t="s">
        <v>7</v>
      </c>
      <c r="D5258" s="326">
        <v>100.82</v>
      </c>
    </row>
    <row r="5259" spans="1:4" ht="13.5">
      <c r="A5259" s="37">
        <v>89986</v>
      </c>
      <c r="B5259" s="37" t="s">
        <v>8446</v>
      </c>
      <c r="C5259" s="37" t="s">
        <v>7</v>
      </c>
      <c r="D5259" s="326">
        <v>93.62</v>
      </c>
    </row>
    <row r="5260" spans="1:4" ht="13.5">
      <c r="A5260" s="37">
        <v>89987</v>
      </c>
      <c r="B5260" s="37" t="s">
        <v>8447</v>
      </c>
      <c r="C5260" s="37" t="s">
        <v>7</v>
      </c>
      <c r="D5260" s="326">
        <v>106.3</v>
      </c>
    </row>
    <row r="5261" spans="1:4" ht="13.5">
      <c r="A5261" s="37">
        <v>90371</v>
      </c>
      <c r="B5261" s="37" t="s">
        <v>8448</v>
      </c>
      <c r="C5261" s="37" t="s">
        <v>7</v>
      </c>
      <c r="D5261" s="326">
        <v>36.119999999999997</v>
      </c>
    </row>
    <row r="5262" spans="1:4" ht="13.5">
      <c r="A5262" s="37">
        <v>94489</v>
      </c>
      <c r="B5262" s="37" t="s">
        <v>8449</v>
      </c>
      <c r="C5262" s="37" t="s">
        <v>7</v>
      </c>
      <c r="D5262" s="326">
        <v>36.64</v>
      </c>
    </row>
    <row r="5263" spans="1:4" ht="13.5">
      <c r="A5263" s="37">
        <v>94490</v>
      </c>
      <c r="B5263" s="37" t="s">
        <v>8450</v>
      </c>
      <c r="C5263" s="37" t="s">
        <v>7</v>
      </c>
      <c r="D5263" s="326">
        <v>55.19</v>
      </c>
    </row>
    <row r="5264" spans="1:4" ht="13.5">
      <c r="A5264" s="37">
        <v>94491</v>
      </c>
      <c r="B5264" s="37" t="s">
        <v>8451</v>
      </c>
      <c r="C5264" s="37" t="s">
        <v>7</v>
      </c>
      <c r="D5264" s="326">
        <v>74.930000000000007</v>
      </c>
    </row>
    <row r="5265" spans="1:4" ht="13.5">
      <c r="A5265" s="37">
        <v>94492</v>
      </c>
      <c r="B5265" s="37" t="s">
        <v>8452</v>
      </c>
      <c r="C5265" s="37" t="s">
        <v>7</v>
      </c>
      <c r="D5265" s="326">
        <v>77.13</v>
      </c>
    </row>
    <row r="5266" spans="1:4" ht="13.5">
      <c r="A5266" s="37">
        <v>94493</v>
      </c>
      <c r="B5266" s="37" t="s">
        <v>8453</v>
      </c>
      <c r="C5266" s="37" t="s">
        <v>7</v>
      </c>
      <c r="D5266" s="326">
        <v>141.32</v>
      </c>
    </row>
    <row r="5267" spans="1:4" ht="13.5">
      <c r="A5267" s="37">
        <v>94495</v>
      </c>
      <c r="B5267" s="37" t="s">
        <v>8454</v>
      </c>
      <c r="C5267" s="37" t="s">
        <v>7</v>
      </c>
      <c r="D5267" s="326">
        <v>69.06</v>
      </c>
    </row>
    <row r="5268" spans="1:4" ht="13.5">
      <c r="A5268" s="37">
        <v>94496</v>
      </c>
      <c r="B5268" s="37" t="s">
        <v>8455</v>
      </c>
      <c r="C5268" s="37" t="s">
        <v>7</v>
      </c>
      <c r="D5268" s="326">
        <v>94.1</v>
      </c>
    </row>
    <row r="5269" spans="1:4" ht="13.5">
      <c r="A5269" s="37">
        <v>94497</v>
      </c>
      <c r="B5269" s="37" t="s">
        <v>8456</v>
      </c>
      <c r="C5269" s="37" t="s">
        <v>7</v>
      </c>
      <c r="D5269" s="326">
        <v>119.16</v>
      </c>
    </row>
    <row r="5270" spans="1:4" ht="13.5">
      <c r="A5270" s="37">
        <v>94498</v>
      </c>
      <c r="B5270" s="37" t="s">
        <v>8457</v>
      </c>
      <c r="C5270" s="37" t="s">
        <v>7</v>
      </c>
      <c r="D5270" s="326">
        <v>164.75</v>
      </c>
    </row>
    <row r="5271" spans="1:4" ht="13.5">
      <c r="A5271" s="37">
        <v>94499</v>
      </c>
      <c r="B5271" s="37" t="s">
        <v>8458</v>
      </c>
      <c r="C5271" s="37" t="s">
        <v>7</v>
      </c>
      <c r="D5271" s="326">
        <v>330.42</v>
      </c>
    </row>
    <row r="5272" spans="1:4" ht="13.5">
      <c r="A5272" s="37">
        <v>94500</v>
      </c>
      <c r="B5272" s="37" t="s">
        <v>8459</v>
      </c>
      <c r="C5272" s="37" t="s">
        <v>7</v>
      </c>
      <c r="D5272" s="326">
        <v>400.88</v>
      </c>
    </row>
    <row r="5273" spans="1:4" ht="13.5">
      <c r="A5273" s="37">
        <v>94501</v>
      </c>
      <c r="B5273" s="37" t="s">
        <v>8460</v>
      </c>
      <c r="C5273" s="37" t="s">
        <v>7</v>
      </c>
      <c r="D5273" s="326">
        <v>814.42</v>
      </c>
    </row>
    <row r="5274" spans="1:4" ht="13.5">
      <c r="A5274" s="37">
        <v>94792</v>
      </c>
      <c r="B5274" s="37" t="s">
        <v>8461</v>
      </c>
      <c r="C5274" s="37" t="s">
        <v>7</v>
      </c>
      <c r="D5274" s="326">
        <v>129.61000000000001</v>
      </c>
    </row>
    <row r="5275" spans="1:4" ht="13.5">
      <c r="A5275" s="37">
        <v>94793</v>
      </c>
      <c r="B5275" s="37" t="s">
        <v>8462</v>
      </c>
      <c r="C5275" s="37" t="s">
        <v>7</v>
      </c>
      <c r="D5275" s="326">
        <v>178.08</v>
      </c>
    </row>
    <row r="5276" spans="1:4" ht="13.5">
      <c r="A5276" s="37">
        <v>94794</v>
      </c>
      <c r="B5276" s="37" t="s">
        <v>8463</v>
      </c>
      <c r="C5276" s="37" t="s">
        <v>7</v>
      </c>
      <c r="D5276" s="326">
        <v>188.36</v>
      </c>
    </row>
    <row r="5277" spans="1:4" ht="13.5">
      <c r="A5277" s="37">
        <v>94795</v>
      </c>
      <c r="B5277" s="37" t="s">
        <v>8464</v>
      </c>
      <c r="C5277" s="37" t="s">
        <v>7</v>
      </c>
      <c r="D5277" s="326">
        <v>35.83</v>
      </c>
    </row>
    <row r="5278" spans="1:4" ht="13.5">
      <c r="A5278" s="37">
        <v>94796</v>
      </c>
      <c r="B5278" s="37" t="s">
        <v>8465</v>
      </c>
      <c r="C5278" s="37" t="s">
        <v>7</v>
      </c>
      <c r="D5278" s="326">
        <v>41.18</v>
      </c>
    </row>
    <row r="5279" spans="1:4" ht="13.5">
      <c r="A5279" s="37">
        <v>94797</v>
      </c>
      <c r="B5279" s="37" t="s">
        <v>8466</v>
      </c>
      <c r="C5279" s="37" t="s">
        <v>7</v>
      </c>
      <c r="D5279" s="326">
        <v>84.99</v>
      </c>
    </row>
    <row r="5280" spans="1:4" ht="13.5">
      <c r="A5280" s="37">
        <v>94798</v>
      </c>
      <c r="B5280" s="37" t="s">
        <v>8467</v>
      </c>
      <c r="C5280" s="37" t="s">
        <v>7</v>
      </c>
      <c r="D5280" s="326">
        <v>140.85</v>
      </c>
    </row>
    <row r="5281" spans="1:4" ht="13.5">
      <c r="A5281" s="37">
        <v>94799</v>
      </c>
      <c r="B5281" s="37" t="s">
        <v>8468</v>
      </c>
      <c r="C5281" s="37" t="s">
        <v>7</v>
      </c>
      <c r="D5281" s="326">
        <v>172.98</v>
      </c>
    </row>
    <row r="5282" spans="1:4" ht="13.5">
      <c r="A5282" s="37">
        <v>94800</v>
      </c>
      <c r="B5282" s="37" t="s">
        <v>8469</v>
      </c>
      <c r="C5282" s="37" t="s">
        <v>7</v>
      </c>
      <c r="D5282" s="326">
        <v>222.1</v>
      </c>
    </row>
    <row r="5283" spans="1:4" ht="13.5">
      <c r="A5283" s="37">
        <v>95248</v>
      </c>
      <c r="B5283" s="37" t="s">
        <v>8470</v>
      </c>
      <c r="C5283" s="37" t="s">
        <v>7</v>
      </c>
      <c r="D5283" s="326">
        <v>59.41</v>
      </c>
    </row>
    <row r="5284" spans="1:4" ht="13.5">
      <c r="A5284" s="37">
        <v>95249</v>
      </c>
      <c r="B5284" s="37" t="s">
        <v>8471</v>
      </c>
      <c r="C5284" s="37" t="s">
        <v>7</v>
      </c>
      <c r="D5284" s="326">
        <v>69.8</v>
      </c>
    </row>
    <row r="5285" spans="1:4" ht="13.5">
      <c r="A5285" s="37">
        <v>95250</v>
      </c>
      <c r="B5285" s="37" t="s">
        <v>8472</v>
      </c>
      <c r="C5285" s="37" t="s">
        <v>7</v>
      </c>
      <c r="D5285" s="326">
        <v>94.2</v>
      </c>
    </row>
    <row r="5286" spans="1:4" ht="13.5">
      <c r="A5286" s="37">
        <v>95251</v>
      </c>
      <c r="B5286" s="37" t="s">
        <v>8473</v>
      </c>
      <c r="C5286" s="37" t="s">
        <v>7</v>
      </c>
      <c r="D5286" s="326">
        <v>139.52000000000001</v>
      </c>
    </row>
    <row r="5287" spans="1:4" ht="13.5">
      <c r="A5287" s="37">
        <v>95252</v>
      </c>
      <c r="B5287" s="37" t="s">
        <v>8474</v>
      </c>
      <c r="C5287" s="37" t="s">
        <v>7</v>
      </c>
      <c r="D5287" s="326">
        <v>169</v>
      </c>
    </row>
    <row r="5288" spans="1:4" ht="13.5">
      <c r="A5288" s="37">
        <v>95253</v>
      </c>
      <c r="B5288" s="37" t="s">
        <v>8475</v>
      </c>
      <c r="C5288" s="37" t="s">
        <v>7</v>
      </c>
      <c r="D5288" s="326">
        <v>257.62</v>
      </c>
    </row>
    <row r="5289" spans="1:4" ht="13.5">
      <c r="A5289" s="37">
        <v>99619</v>
      </c>
      <c r="B5289" s="37" t="s">
        <v>8476</v>
      </c>
      <c r="C5289" s="37" t="s">
        <v>7</v>
      </c>
      <c r="D5289" s="326">
        <v>91.87</v>
      </c>
    </row>
    <row r="5290" spans="1:4" ht="13.5">
      <c r="A5290" s="37">
        <v>99620</v>
      </c>
      <c r="B5290" s="37" t="s">
        <v>8477</v>
      </c>
      <c r="C5290" s="37" t="s">
        <v>7</v>
      </c>
      <c r="D5290" s="326">
        <v>124.79</v>
      </c>
    </row>
    <row r="5291" spans="1:4" ht="13.5">
      <c r="A5291" s="37">
        <v>99621</v>
      </c>
      <c r="B5291" s="37" t="s">
        <v>8478</v>
      </c>
      <c r="C5291" s="37" t="s">
        <v>7</v>
      </c>
      <c r="D5291" s="326">
        <v>185.89</v>
      </c>
    </row>
    <row r="5292" spans="1:4" ht="13.5">
      <c r="A5292" s="37">
        <v>99622</v>
      </c>
      <c r="B5292" s="37" t="s">
        <v>8479</v>
      </c>
      <c r="C5292" s="37" t="s">
        <v>7</v>
      </c>
      <c r="D5292" s="326">
        <v>209.42</v>
      </c>
    </row>
    <row r="5293" spans="1:4" ht="13.5">
      <c r="A5293" s="37">
        <v>99623</v>
      </c>
      <c r="B5293" s="37" t="s">
        <v>8480</v>
      </c>
      <c r="C5293" s="37" t="s">
        <v>7</v>
      </c>
      <c r="D5293" s="326">
        <v>292.08</v>
      </c>
    </row>
    <row r="5294" spans="1:4" ht="13.5">
      <c r="A5294" s="37">
        <v>99624</v>
      </c>
      <c r="B5294" s="37" t="s">
        <v>8481</v>
      </c>
      <c r="C5294" s="37" t="s">
        <v>7</v>
      </c>
      <c r="D5294" s="326">
        <v>416.26</v>
      </c>
    </row>
    <row r="5295" spans="1:4" ht="13.5">
      <c r="A5295" s="37">
        <v>99625</v>
      </c>
      <c r="B5295" s="37" t="s">
        <v>8482</v>
      </c>
      <c r="C5295" s="37" t="s">
        <v>7</v>
      </c>
      <c r="D5295" s="326">
        <v>572.30999999999995</v>
      </c>
    </row>
    <row r="5296" spans="1:4" ht="13.5">
      <c r="A5296" s="37">
        <v>99626</v>
      </c>
      <c r="B5296" s="37" t="s">
        <v>8483</v>
      </c>
      <c r="C5296" s="37" t="s">
        <v>7</v>
      </c>
      <c r="D5296" s="326">
        <v>880.43</v>
      </c>
    </row>
    <row r="5297" spans="1:4" ht="13.5">
      <c r="A5297" s="37">
        <v>99627</v>
      </c>
      <c r="B5297" s="37" t="s">
        <v>8484</v>
      </c>
      <c r="C5297" s="37" t="s">
        <v>7</v>
      </c>
      <c r="D5297" s="326">
        <v>55.45</v>
      </c>
    </row>
    <row r="5298" spans="1:4" ht="13.5">
      <c r="A5298" s="37">
        <v>99628</v>
      </c>
      <c r="B5298" s="37" t="s">
        <v>8485</v>
      </c>
      <c r="C5298" s="37" t="s">
        <v>7</v>
      </c>
      <c r="D5298" s="326">
        <v>60.69</v>
      </c>
    </row>
    <row r="5299" spans="1:4" ht="13.5">
      <c r="A5299" s="37">
        <v>99629</v>
      </c>
      <c r="B5299" s="37" t="s">
        <v>8486</v>
      </c>
      <c r="C5299" s="37" t="s">
        <v>7</v>
      </c>
      <c r="D5299" s="326">
        <v>67.55</v>
      </c>
    </row>
    <row r="5300" spans="1:4" ht="13.5">
      <c r="A5300" s="37">
        <v>99630</v>
      </c>
      <c r="B5300" s="37" t="s">
        <v>8487</v>
      </c>
      <c r="C5300" s="37" t="s">
        <v>7</v>
      </c>
      <c r="D5300" s="326">
        <v>100.4</v>
      </c>
    </row>
    <row r="5301" spans="1:4" ht="13.5">
      <c r="A5301" s="37">
        <v>99631</v>
      </c>
      <c r="B5301" s="37" t="s">
        <v>8488</v>
      </c>
      <c r="C5301" s="37" t="s">
        <v>7</v>
      </c>
      <c r="D5301" s="326">
        <v>117.03</v>
      </c>
    </row>
    <row r="5302" spans="1:4" ht="13.5">
      <c r="A5302" s="37">
        <v>99632</v>
      </c>
      <c r="B5302" s="37" t="s">
        <v>8489</v>
      </c>
      <c r="C5302" s="37" t="s">
        <v>7</v>
      </c>
      <c r="D5302" s="326">
        <v>168.54</v>
      </c>
    </row>
    <row r="5303" spans="1:4" ht="13.5">
      <c r="A5303" s="37">
        <v>99633</v>
      </c>
      <c r="B5303" s="37" t="s">
        <v>8490</v>
      </c>
      <c r="C5303" s="37" t="s">
        <v>7</v>
      </c>
      <c r="D5303" s="326">
        <v>360.94</v>
      </c>
    </row>
    <row r="5304" spans="1:4" ht="13.5">
      <c r="A5304" s="37">
        <v>99634</v>
      </c>
      <c r="B5304" s="37" t="s">
        <v>8491</v>
      </c>
      <c r="C5304" s="37" t="s">
        <v>7</v>
      </c>
      <c r="D5304" s="326">
        <v>614.48</v>
      </c>
    </row>
    <row r="5305" spans="1:4" ht="13.5">
      <c r="A5305" s="37">
        <v>99635</v>
      </c>
      <c r="B5305" s="37" t="s">
        <v>8492</v>
      </c>
      <c r="C5305" s="37" t="s">
        <v>7</v>
      </c>
      <c r="D5305" s="326">
        <v>320.31</v>
      </c>
    </row>
    <row r="5306" spans="1:4" ht="13.5">
      <c r="A5306" s="37">
        <v>103008</v>
      </c>
      <c r="B5306" s="37" t="s">
        <v>8493</v>
      </c>
      <c r="C5306" s="37" t="s">
        <v>7</v>
      </c>
      <c r="D5306" s="326">
        <v>74.95</v>
      </c>
    </row>
    <row r="5307" spans="1:4" ht="13.5">
      <c r="A5307" s="37">
        <v>103009</v>
      </c>
      <c r="B5307" s="37" t="s">
        <v>8494</v>
      </c>
      <c r="C5307" s="37" t="s">
        <v>7</v>
      </c>
      <c r="D5307" s="326">
        <v>266.01</v>
      </c>
    </row>
    <row r="5308" spans="1:4" ht="13.5">
      <c r="A5308" s="37">
        <v>103010</v>
      </c>
      <c r="B5308" s="37" t="s">
        <v>8495</v>
      </c>
      <c r="C5308" s="37" t="s">
        <v>7</v>
      </c>
      <c r="D5308" s="326">
        <v>56.84</v>
      </c>
    </row>
    <row r="5309" spans="1:4" ht="13.5">
      <c r="A5309" s="37">
        <v>103011</v>
      </c>
      <c r="B5309" s="37" t="s">
        <v>8496</v>
      </c>
      <c r="C5309" s="37" t="s">
        <v>7</v>
      </c>
      <c r="D5309" s="326">
        <v>63.45</v>
      </c>
    </row>
    <row r="5310" spans="1:4" ht="13.5">
      <c r="A5310" s="37">
        <v>103012</v>
      </c>
      <c r="B5310" s="37" t="s">
        <v>8497</v>
      </c>
      <c r="C5310" s="37" t="s">
        <v>7</v>
      </c>
      <c r="D5310" s="326">
        <v>99.97</v>
      </c>
    </row>
    <row r="5311" spans="1:4" ht="13.5">
      <c r="A5311" s="37">
        <v>103013</v>
      </c>
      <c r="B5311" s="37" t="s">
        <v>8498</v>
      </c>
      <c r="C5311" s="37" t="s">
        <v>7</v>
      </c>
      <c r="D5311" s="326">
        <v>107.74</v>
      </c>
    </row>
    <row r="5312" spans="1:4" ht="13.5">
      <c r="A5312" s="37">
        <v>103014</v>
      </c>
      <c r="B5312" s="37" t="s">
        <v>8499</v>
      </c>
      <c r="C5312" s="37" t="s">
        <v>7</v>
      </c>
      <c r="D5312" s="326">
        <v>161.88</v>
      </c>
    </row>
    <row r="5313" spans="1:4" ht="13.5">
      <c r="A5313" s="37">
        <v>103015</v>
      </c>
      <c r="B5313" s="37" t="s">
        <v>8500</v>
      </c>
      <c r="C5313" s="37" t="s">
        <v>7</v>
      </c>
      <c r="D5313" s="326">
        <v>285.83999999999997</v>
      </c>
    </row>
    <row r="5314" spans="1:4" ht="13.5">
      <c r="A5314" s="37">
        <v>103016</v>
      </c>
      <c r="B5314" s="37" t="s">
        <v>8501</v>
      </c>
      <c r="C5314" s="37" t="s">
        <v>7</v>
      </c>
      <c r="D5314" s="326">
        <v>390.66</v>
      </c>
    </row>
    <row r="5315" spans="1:4" ht="13.5">
      <c r="A5315" s="37">
        <v>103017</v>
      </c>
      <c r="B5315" s="37" t="s">
        <v>8502</v>
      </c>
      <c r="C5315" s="37" t="s">
        <v>7</v>
      </c>
      <c r="D5315" s="326">
        <v>681.24</v>
      </c>
    </row>
    <row r="5316" spans="1:4" ht="13.5">
      <c r="A5316" s="37">
        <v>103018</v>
      </c>
      <c r="B5316" s="37" t="s">
        <v>8503</v>
      </c>
      <c r="C5316" s="37" t="s">
        <v>7</v>
      </c>
      <c r="D5316" s="326">
        <v>261.83999999999997</v>
      </c>
    </row>
    <row r="5317" spans="1:4" ht="13.5">
      <c r="A5317" s="37">
        <v>103019</v>
      </c>
      <c r="B5317" s="37" t="s">
        <v>8504</v>
      </c>
      <c r="C5317" s="37" t="s">
        <v>7</v>
      </c>
      <c r="D5317" s="326">
        <v>210.44</v>
      </c>
    </row>
    <row r="5318" spans="1:4" ht="13.5">
      <c r="A5318" s="37">
        <v>103029</v>
      </c>
      <c r="B5318" s="37" t="s">
        <v>8505</v>
      </c>
      <c r="C5318" s="37" t="s">
        <v>7</v>
      </c>
      <c r="D5318" s="326">
        <v>51.02</v>
      </c>
    </row>
    <row r="5319" spans="1:4" ht="13.5">
      <c r="A5319" s="37">
        <v>103036</v>
      </c>
      <c r="B5319" s="37" t="s">
        <v>8506</v>
      </c>
      <c r="C5319" s="37" t="s">
        <v>7</v>
      </c>
      <c r="D5319" s="326">
        <v>29.24</v>
      </c>
    </row>
    <row r="5320" spans="1:4" ht="13.5">
      <c r="A5320" s="37">
        <v>103037</v>
      </c>
      <c r="B5320" s="37" t="s">
        <v>8507</v>
      </c>
      <c r="C5320" s="37" t="s">
        <v>7</v>
      </c>
      <c r="D5320" s="326">
        <v>57.49</v>
      </c>
    </row>
    <row r="5321" spans="1:4" ht="13.5">
      <c r="A5321" s="37">
        <v>103038</v>
      </c>
      <c r="B5321" s="37" t="s">
        <v>8508</v>
      </c>
      <c r="C5321" s="37" t="s">
        <v>7</v>
      </c>
      <c r="D5321" s="326">
        <v>76.930000000000007</v>
      </c>
    </row>
    <row r="5322" spans="1:4" ht="13.5">
      <c r="A5322" s="37">
        <v>103039</v>
      </c>
      <c r="B5322" s="37" t="s">
        <v>8509</v>
      </c>
      <c r="C5322" s="37" t="s">
        <v>7</v>
      </c>
      <c r="D5322" s="326">
        <v>83.07</v>
      </c>
    </row>
    <row r="5323" spans="1:4" ht="13.5">
      <c r="A5323" s="37">
        <v>103040</v>
      </c>
      <c r="B5323" s="37" t="s">
        <v>8510</v>
      </c>
      <c r="C5323" s="37" t="s">
        <v>7</v>
      </c>
      <c r="D5323" s="326">
        <v>124.29</v>
      </c>
    </row>
    <row r="5324" spans="1:4" ht="13.5">
      <c r="A5324" s="37">
        <v>103041</v>
      </c>
      <c r="B5324" s="37" t="s">
        <v>8511</v>
      </c>
      <c r="C5324" s="37" t="s">
        <v>7</v>
      </c>
      <c r="D5324" s="326">
        <v>24.18</v>
      </c>
    </row>
    <row r="5325" spans="1:4" ht="13.5">
      <c r="A5325" s="37">
        <v>103042</v>
      </c>
      <c r="B5325" s="37" t="s">
        <v>8512</v>
      </c>
      <c r="C5325" s="37" t="s">
        <v>7</v>
      </c>
      <c r="D5325" s="326">
        <v>29.57</v>
      </c>
    </row>
    <row r="5326" spans="1:4" ht="13.5">
      <c r="A5326" s="37">
        <v>103043</v>
      </c>
      <c r="B5326" s="37" t="s">
        <v>8513</v>
      </c>
      <c r="C5326" s="37" t="s">
        <v>7</v>
      </c>
      <c r="D5326" s="326">
        <v>28.1</v>
      </c>
    </row>
    <row r="5327" spans="1:4" ht="13.5">
      <c r="A5327" s="37">
        <v>103044</v>
      </c>
      <c r="B5327" s="37" t="s">
        <v>8514</v>
      </c>
      <c r="C5327" s="37" t="s">
        <v>7</v>
      </c>
      <c r="D5327" s="326">
        <v>37.729999999999997</v>
      </c>
    </row>
    <row r="5328" spans="1:4" ht="13.5">
      <c r="A5328" s="37">
        <v>103045</v>
      </c>
      <c r="B5328" s="37" t="s">
        <v>8515</v>
      </c>
      <c r="C5328" s="37" t="s">
        <v>7</v>
      </c>
      <c r="D5328" s="326">
        <v>11.3</v>
      </c>
    </row>
    <row r="5329" spans="1:4" ht="13.5">
      <c r="A5329" s="37">
        <v>103046</v>
      </c>
      <c r="B5329" s="37" t="s">
        <v>8516</v>
      </c>
      <c r="C5329" s="37" t="s">
        <v>7</v>
      </c>
      <c r="D5329" s="326">
        <v>27.93</v>
      </c>
    </row>
    <row r="5330" spans="1:4" ht="13.5">
      <c r="A5330" s="37">
        <v>103047</v>
      </c>
      <c r="B5330" s="37" t="s">
        <v>8517</v>
      </c>
      <c r="C5330" s="37" t="s">
        <v>7</v>
      </c>
      <c r="D5330" s="326">
        <v>29.47</v>
      </c>
    </row>
    <row r="5331" spans="1:4" ht="13.5">
      <c r="A5331" s="37">
        <v>103048</v>
      </c>
      <c r="B5331" s="37" t="s">
        <v>8518</v>
      </c>
      <c r="C5331" s="37" t="s">
        <v>7</v>
      </c>
      <c r="D5331" s="326">
        <v>21.68</v>
      </c>
    </row>
    <row r="5332" spans="1:4" ht="13.5">
      <c r="A5332" s="37">
        <v>103049</v>
      </c>
      <c r="B5332" s="37" t="s">
        <v>8519</v>
      </c>
      <c r="C5332" s="37" t="s">
        <v>7</v>
      </c>
      <c r="D5332" s="326">
        <v>23.68</v>
      </c>
    </row>
    <row r="5333" spans="1:4" ht="13.5">
      <c r="A5333" s="37">
        <v>103050</v>
      </c>
      <c r="B5333" s="37" t="s">
        <v>8520</v>
      </c>
      <c r="C5333" s="37" t="s">
        <v>7</v>
      </c>
      <c r="D5333" s="326">
        <v>23.56</v>
      </c>
    </row>
    <row r="5334" spans="1:4" ht="13.5">
      <c r="A5334" s="37">
        <v>103051</v>
      </c>
      <c r="B5334" s="37" t="s">
        <v>8521</v>
      </c>
      <c r="C5334" s="37" t="s">
        <v>7</v>
      </c>
      <c r="D5334" s="326">
        <v>28.33</v>
      </c>
    </row>
    <row r="5335" spans="1:4" ht="13.5">
      <c r="A5335" s="37">
        <v>103052</v>
      </c>
      <c r="B5335" s="37" t="s">
        <v>8522</v>
      </c>
      <c r="C5335" s="37" t="s">
        <v>7</v>
      </c>
      <c r="D5335" s="326">
        <v>39.21</v>
      </c>
    </row>
    <row r="5336" spans="1:4" ht="13.5">
      <c r="A5336" s="37">
        <v>95634</v>
      </c>
      <c r="B5336" s="37" t="s">
        <v>4203</v>
      </c>
      <c r="C5336" s="37" t="s">
        <v>7</v>
      </c>
      <c r="D5336" s="326">
        <v>260.63</v>
      </c>
    </row>
    <row r="5337" spans="1:4" ht="13.5">
      <c r="A5337" s="37">
        <v>95635</v>
      </c>
      <c r="B5337" s="37" t="s">
        <v>4204</v>
      </c>
      <c r="C5337" s="37" t="s">
        <v>7</v>
      </c>
      <c r="D5337" s="326">
        <v>273.33999999999997</v>
      </c>
    </row>
    <row r="5338" spans="1:4" ht="13.5">
      <c r="A5338" s="37">
        <v>95636</v>
      </c>
      <c r="B5338" s="37" t="s">
        <v>8523</v>
      </c>
      <c r="C5338" s="37" t="s">
        <v>7</v>
      </c>
      <c r="D5338" s="326">
        <v>398.83</v>
      </c>
    </row>
    <row r="5339" spans="1:4" ht="13.5">
      <c r="A5339" s="37">
        <v>95637</v>
      </c>
      <c r="B5339" s="37" t="s">
        <v>4205</v>
      </c>
      <c r="C5339" s="37" t="s">
        <v>7</v>
      </c>
      <c r="D5339" s="326">
        <v>608.08000000000004</v>
      </c>
    </row>
    <row r="5340" spans="1:4" ht="13.5">
      <c r="A5340" s="37">
        <v>95638</v>
      </c>
      <c r="B5340" s="37" t="s">
        <v>4206</v>
      </c>
      <c r="C5340" s="37" t="s">
        <v>7</v>
      </c>
      <c r="D5340" s="326">
        <v>741.56</v>
      </c>
    </row>
    <row r="5341" spans="1:4" ht="13.5">
      <c r="A5341" s="37">
        <v>95639</v>
      </c>
      <c r="B5341" s="37" t="s">
        <v>4207</v>
      </c>
      <c r="C5341" s="37" t="s">
        <v>7</v>
      </c>
      <c r="D5341" s="326">
        <v>970.8</v>
      </c>
    </row>
    <row r="5342" spans="1:4" ht="13.5">
      <c r="A5342" s="37">
        <v>95641</v>
      </c>
      <c r="B5342" s="37" t="s">
        <v>4208</v>
      </c>
      <c r="C5342" s="37" t="s">
        <v>7</v>
      </c>
      <c r="D5342" s="326">
        <v>326.17</v>
      </c>
    </row>
    <row r="5343" spans="1:4" ht="13.5">
      <c r="A5343" s="37">
        <v>95642</v>
      </c>
      <c r="B5343" s="37" t="s">
        <v>4209</v>
      </c>
      <c r="C5343" s="37" t="s">
        <v>7</v>
      </c>
      <c r="D5343" s="326">
        <v>482.46</v>
      </c>
    </row>
    <row r="5344" spans="1:4" ht="13.5">
      <c r="A5344" s="37">
        <v>95643</v>
      </c>
      <c r="B5344" s="37" t="s">
        <v>4210</v>
      </c>
      <c r="C5344" s="37" t="s">
        <v>7</v>
      </c>
      <c r="D5344" s="326">
        <v>631.70000000000005</v>
      </c>
    </row>
    <row r="5345" spans="1:4" ht="13.5">
      <c r="A5345" s="37">
        <v>95644</v>
      </c>
      <c r="B5345" s="37" t="s">
        <v>4211</v>
      </c>
      <c r="C5345" s="37" t="s">
        <v>7</v>
      </c>
      <c r="D5345" s="326">
        <v>243.41</v>
      </c>
    </row>
    <row r="5346" spans="1:4" ht="13.5">
      <c r="A5346" s="37">
        <v>95645</v>
      </c>
      <c r="B5346" s="37" t="s">
        <v>4212</v>
      </c>
      <c r="C5346" s="37" t="s">
        <v>7</v>
      </c>
      <c r="D5346" s="326">
        <v>447.04</v>
      </c>
    </row>
    <row r="5347" spans="1:4" ht="13.5">
      <c r="A5347" s="37">
        <v>95646</v>
      </c>
      <c r="B5347" s="37" t="s">
        <v>4213</v>
      </c>
      <c r="C5347" s="37" t="s">
        <v>7</v>
      </c>
      <c r="D5347" s="326">
        <v>666.82</v>
      </c>
    </row>
    <row r="5348" spans="1:4" ht="13.5">
      <c r="A5348" s="37">
        <v>95647</v>
      </c>
      <c r="B5348" s="37" t="s">
        <v>4214</v>
      </c>
      <c r="C5348" s="37" t="s">
        <v>7</v>
      </c>
      <c r="D5348" s="326">
        <v>875.08</v>
      </c>
    </row>
    <row r="5349" spans="1:4" ht="13.5">
      <c r="A5349" s="37">
        <v>95648</v>
      </c>
      <c r="B5349" s="37" t="s">
        <v>17603</v>
      </c>
      <c r="C5349" s="37" t="s">
        <v>7</v>
      </c>
      <c r="D5349" s="326">
        <v>591.48</v>
      </c>
    </row>
    <row r="5350" spans="1:4" ht="13.5">
      <c r="A5350" s="37">
        <v>95649</v>
      </c>
      <c r="B5350" s="37" t="s">
        <v>17604</v>
      </c>
      <c r="C5350" s="37" t="s">
        <v>7</v>
      </c>
      <c r="D5350" s="38">
        <v>1017.73</v>
      </c>
    </row>
    <row r="5351" spans="1:4" ht="13.5">
      <c r="A5351" s="37">
        <v>95650</v>
      </c>
      <c r="B5351" s="37" t="s">
        <v>17605</v>
      </c>
      <c r="C5351" s="37" t="s">
        <v>7</v>
      </c>
      <c r="D5351" s="38">
        <v>1486.03</v>
      </c>
    </row>
    <row r="5352" spans="1:4" ht="13.5">
      <c r="A5352" s="37">
        <v>95651</v>
      </c>
      <c r="B5352" s="37" t="s">
        <v>17606</v>
      </c>
      <c r="C5352" s="37" t="s">
        <v>7</v>
      </c>
      <c r="D5352" s="38">
        <v>1929.55</v>
      </c>
    </row>
    <row r="5353" spans="1:4" ht="13.5">
      <c r="A5353" s="37">
        <v>95652</v>
      </c>
      <c r="B5353" s="37" t="s">
        <v>17607</v>
      </c>
      <c r="C5353" s="37" t="s">
        <v>7</v>
      </c>
      <c r="D5353" s="326">
        <v>737.51</v>
      </c>
    </row>
    <row r="5354" spans="1:4" ht="13.5">
      <c r="A5354" s="37">
        <v>95653</v>
      </c>
      <c r="B5354" s="37" t="s">
        <v>17608</v>
      </c>
      <c r="C5354" s="37" t="s">
        <v>7</v>
      </c>
      <c r="D5354" s="38">
        <v>1307.8499999999999</v>
      </c>
    </row>
    <row r="5355" spans="1:4" ht="13.5">
      <c r="A5355" s="37">
        <v>95654</v>
      </c>
      <c r="B5355" s="37" t="s">
        <v>17609</v>
      </c>
      <c r="C5355" s="37" t="s">
        <v>7</v>
      </c>
      <c r="D5355" s="38">
        <v>1926.09</v>
      </c>
    </row>
    <row r="5356" spans="1:4" ht="13.5">
      <c r="A5356" s="37">
        <v>95655</v>
      </c>
      <c r="B5356" s="37" t="s">
        <v>17610</v>
      </c>
      <c r="C5356" s="37" t="s">
        <v>7</v>
      </c>
      <c r="D5356" s="38">
        <v>2512.4</v>
      </c>
    </row>
    <row r="5357" spans="1:4" ht="13.5">
      <c r="A5357" s="37">
        <v>95657</v>
      </c>
      <c r="B5357" s="37" t="s">
        <v>17611</v>
      </c>
      <c r="C5357" s="37" t="s">
        <v>7</v>
      </c>
      <c r="D5357" s="326">
        <v>246.19</v>
      </c>
    </row>
    <row r="5358" spans="1:4" ht="13.5">
      <c r="A5358" s="37">
        <v>95658</v>
      </c>
      <c r="B5358" s="37" t="s">
        <v>17612</v>
      </c>
      <c r="C5358" s="37" t="s">
        <v>7</v>
      </c>
      <c r="D5358" s="326">
        <v>463.4</v>
      </c>
    </row>
    <row r="5359" spans="1:4" ht="13.5">
      <c r="A5359" s="37">
        <v>95659</v>
      </c>
      <c r="B5359" s="37" t="s">
        <v>17613</v>
      </c>
      <c r="C5359" s="37" t="s">
        <v>7</v>
      </c>
      <c r="D5359" s="326">
        <v>651.29</v>
      </c>
    </row>
    <row r="5360" spans="1:4" ht="13.5">
      <c r="A5360" s="37">
        <v>95660</v>
      </c>
      <c r="B5360" s="37" t="s">
        <v>17614</v>
      </c>
      <c r="C5360" s="37" t="s">
        <v>7</v>
      </c>
      <c r="D5360" s="326">
        <v>923.43</v>
      </c>
    </row>
    <row r="5361" spans="1:4" ht="13.5">
      <c r="A5361" s="37">
        <v>95661</v>
      </c>
      <c r="B5361" s="37" t="s">
        <v>17615</v>
      </c>
      <c r="C5361" s="37" t="s">
        <v>7</v>
      </c>
      <c r="D5361" s="326">
        <v>318.86</v>
      </c>
    </row>
    <row r="5362" spans="1:4" ht="13.5">
      <c r="A5362" s="37">
        <v>95662</v>
      </c>
      <c r="B5362" s="37" t="s">
        <v>17616</v>
      </c>
      <c r="C5362" s="37" t="s">
        <v>7</v>
      </c>
      <c r="D5362" s="326">
        <v>610</v>
      </c>
    </row>
    <row r="5363" spans="1:4" ht="13.5">
      <c r="A5363" s="37">
        <v>95663</v>
      </c>
      <c r="B5363" s="37" t="s">
        <v>17617</v>
      </c>
      <c r="C5363" s="37" t="s">
        <v>7</v>
      </c>
      <c r="D5363" s="326">
        <v>920.61</v>
      </c>
    </row>
    <row r="5364" spans="1:4" ht="13.5">
      <c r="A5364" s="37">
        <v>95664</v>
      </c>
      <c r="B5364" s="37" t="s">
        <v>17618</v>
      </c>
      <c r="C5364" s="37" t="s">
        <v>7</v>
      </c>
      <c r="D5364" s="38">
        <v>1213.21</v>
      </c>
    </row>
    <row r="5365" spans="1:4" ht="13.5">
      <c r="A5365" s="37">
        <v>95665</v>
      </c>
      <c r="B5365" s="37" t="s">
        <v>17619</v>
      </c>
      <c r="C5365" s="37" t="s">
        <v>7</v>
      </c>
      <c r="D5365" s="326">
        <v>257.42</v>
      </c>
    </row>
    <row r="5366" spans="1:4" ht="13.5">
      <c r="A5366" s="37">
        <v>95666</v>
      </c>
      <c r="B5366" s="37" t="s">
        <v>17620</v>
      </c>
      <c r="C5366" s="37" t="s">
        <v>7</v>
      </c>
      <c r="D5366" s="326">
        <v>490.03</v>
      </c>
    </row>
    <row r="5367" spans="1:4" ht="13.5">
      <c r="A5367" s="37">
        <v>95667</v>
      </c>
      <c r="B5367" s="37" t="s">
        <v>17621</v>
      </c>
      <c r="C5367" s="37" t="s">
        <v>7</v>
      </c>
      <c r="D5367" s="326">
        <v>732.64</v>
      </c>
    </row>
    <row r="5368" spans="1:4" ht="13.5">
      <c r="A5368" s="37">
        <v>95668</v>
      </c>
      <c r="B5368" s="37" t="s">
        <v>17622</v>
      </c>
      <c r="C5368" s="37" t="s">
        <v>7</v>
      </c>
      <c r="D5368" s="326">
        <v>961.45</v>
      </c>
    </row>
    <row r="5369" spans="1:4" ht="13.5">
      <c r="A5369" s="37">
        <v>95669</v>
      </c>
      <c r="B5369" s="37" t="s">
        <v>17623</v>
      </c>
      <c r="C5369" s="37" t="s">
        <v>7</v>
      </c>
      <c r="D5369" s="326">
        <v>340.76</v>
      </c>
    </row>
    <row r="5370" spans="1:4" ht="13.5">
      <c r="A5370" s="37">
        <v>95670</v>
      </c>
      <c r="B5370" s="37" t="s">
        <v>17624</v>
      </c>
      <c r="C5370" s="37" t="s">
        <v>7</v>
      </c>
      <c r="D5370" s="326">
        <v>635.13</v>
      </c>
    </row>
    <row r="5371" spans="1:4" ht="13.5">
      <c r="A5371" s="37">
        <v>95671</v>
      </c>
      <c r="B5371" s="37" t="s">
        <v>17625</v>
      </c>
      <c r="C5371" s="37" t="s">
        <v>7</v>
      </c>
      <c r="D5371" s="326">
        <v>953.59</v>
      </c>
    </row>
    <row r="5372" spans="1:4" ht="13.5">
      <c r="A5372" s="37">
        <v>95672</v>
      </c>
      <c r="B5372" s="37" t="s">
        <v>17626</v>
      </c>
      <c r="C5372" s="37" t="s">
        <v>7</v>
      </c>
      <c r="D5372" s="38">
        <v>1274.32</v>
      </c>
    </row>
    <row r="5373" spans="1:4" ht="13.5">
      <c r="A5373" s="37">
        <v>95673</v>
      </c>
      <c r="B5373" s="37" t="s">
        <v>4215</v>
      </c>
      <c r="C5373" s="37" t="s">
        <v>7</v>
      </c>
      <c r="D5373" s="326">
        <v>114.29</v>
      </c>
    </row>
    <row r="5374" spans="1:4" ht="13.5">
      <c r="A5374" s="37">
        <v>95674</v>
      </c>
      <c r="B5374" s="37" t="s">
        <v>4216</v>
      </c>
      <c r="C5374" s="37" t="s">
        <v>7</v>
      </c>
      <c r="D5374" s="326">
        <v>121.2</v>
      </c>
    </row>
    <row r="5375" spans="1:4" ht="13.5">
      <c r="A5375" s="37">
        <v>95675</v>
      </c>
      <c r="B5375" s="37" t="s">
        <v>4217</v>
      </c>
      <c r="C5375" s="37" t="s">
        <v>7</v>
      </c>
      <c r="D5375" s="326">
        <v>147.9</v>
      </c>
    </row>
    <row r="5376" spans="1:4" ht="13.5">
      <c r="A5376" s="37">
        <v>95676</v>
      </c>
      <c r="B5376" s="37" t="s">
        <v>4218</v>
      </c>
      <c r="C5376" s="37" t="s">
        <v>7</v>
      </c>
      <c r="D5376" s="326">
        <v>112.52</v>
      </c>
    </row>
    <row r="5377" spans="1:4" ht="13.5">
      <c r="A5377" s="37">
        <v>97741</v>
      </c>
      <c r="B5377" s="37" t="s">
        <v>4219</v>
      </c>
      <c r="C5377" s="37" t="s">
        <v>7</v>
      </c>
      <c r="D5377" s="326">
        <v>182.36</v>
      </c>
    </row>
    <row r="5378" spans="1:4" ht="13.5">
      <c r="A5378" s="37">
        <v>90436</v>
      </c>
      <c r="B5378" s="37" t="s">
        <v>17627</v>
      </c>
      <c r="C5378" s="37" t="s">
        <v>7</v>
      </c>
      <c r="D5378" s="326">
        <v>12.88</v>
      </c>
    </row>
    <row r="5379" spans="1:4" ht="13.5">
      <c r="A5379" s="37">
        <v>90437</v>
      </c>
      <c r="B5379" s="37" t="s">
        <v>17628</v>
      </c>
      <c r="C5379" s="37" t="s">
        <v>7</v>
      </c>
      <c r="D5379" s="326">
        <v>34.33</v>
      </c>
    </row>
    <row r="5380" spans="1:4" ht="13.5">
      <c r="A5380" s="37">
        <v>90438</v>
      </c>
      <c r="B5380" s="37" t="s">
        <v>17629</v>
      </c>
      <c r="C5380" s="37" t="s">
        <v>7</v>
      </c>
      <c r="D5380" s="326">
        <v>50.14</v>
      </c>
    </row>
    <row r="5381" spans="1:4" ht="13.5">
      <c r="A5381" s="37">
        <v>90439</v>
      </c>
      <c r="B5381" s="37" t="s">
        <v>17630</v>
      </c>
      <c r="C5381" s="37" t="s">
        <v>7</v>
      </c>
      <c r="D5381" s="326">
        <v>8.67</v>
      </c>
    </row>
    <row r="5382" spans="1:4" ht="13.5">
      <c r="A5382" s="37">
        <v>90440</v>
      </c>
      <c r="B5382" s="37" t="s">
        <v>17631</v>
      </c>
      <c r="C5382" s="37" t="s">
        <v>7</v>
      </c>
      <c r="D5382" s="326">
        <v>23.12</v>
      </c>
    </row>
    <row r="5383" spans="1:4" ht="13.5">
      <c r="A5383" s="37">
        <v>90441</v>
      </c>
      <c r="B5383" s="37" t="s">
        <v>17632</v>
      </c>
      <c r="C5383" s="37" t="s">
        <v>7</v>
      </c>
      <c r="D5383" s="326">
        <v>33.78</v>
      </c>
    </row>
    <row r="5384" spans="1:4" ht="13.5">
      <c r="A5384" s="37">
        <v>90443</v>
      </c>
      <c r="B5384" s="37" t="s">
        <v>17633</v>
      </c>
      <c r="C5384" s="37" t="s">
        <v>6</v>
      </c>
      <c r="D5384" s="326">
        <v>6.92</v>
      </c>
    </row>
    <row r="5385" spans="1:4" ht="13.5">
      <c r="A5385" s="37">
        <v>90444</v>
      </c>
      <c r="B5385" s="37" t="s">
        <v>17634</v>
      </c>
      <c r="C5385" s="37" t="s">
        <v>6</v>
      </c>
      <c r="D5385" s="326">
        <v>11.91</v>
      </c>
    </row>
    <row r="5386" spans="1:4" ht="13.5">
      <c r="A5386" s="37">
        <v>90445</v>
      </c>
      <c r="B5386" s="37" t="s">
        <v>17635</v>
      </c>
      <c r="C5386" s="37" t="s">
        <v>6</v>
      </c>
      <c r="D5386" s="326">
        <v>15.79</v>
      </c>
    </row>
    <row r="5387" spans="1:4" ht="13.5">
      <c r="A5387" s="37">
        <v>90446</v>
      </c>
      <c r="B5387" s="37" t="s">
        <v>17636</v>
      </c>
      <c r="C5387" s="37" t="s">
        <v>6</v>
      </c>
      <c r="D5387" s="326">
        <v>20.98</v>
      </c>
    </row>
    <row r="5388" spans="1:4" ht="13.5">
      <c r="A5388" s="37">
        <v>90447</v>
      </c>
      <c r="B5388" s="37" t="s">
        <v>17637</v>
      </c>
      <c r="C5388" s="37" t="s">
        <v>6</v>
      </c>
      <c r="D5388" s="326">
        <v>8.2799999999999994</v>
      </c>
    </row>
    <row r="5389" spans="1:4" ht="13.5">
      <c r="A5389" s="37">
        <v>90451</v>
      </c>
      <c r="B5389" s="37" t="s">
        <v>17638</v>
      </c>
      <c r="C5389" s="37" t="s">
        <v>7</v>
      </c>
      <c r="D5389" s="326">
        <v>5.5</v>
      </c>
    </row>
    <row r="5390" spans="1:4" ht="13.5">
      <c r="A5390" s="37">
        <v>90452</v>
      </c>
      <c r="B5390" s="37" t="s">
        <v>17639</v>
      </c>
      <c r="C5390" s="37" t="s">
        <v>7</v>
      </c>
      <c r="D5390" s="326">
        <v>18.7</v>
      </c>
    </row>
    <row r="5391" spans="1:4" ht="13.5">
      <c r="A5391" s="37">
        <v>90453</v>
      </c>
      <c r="B5391" s="37" t="s">
        <v>17640</v>
      </c>
      <c r="C5391" s="37" t="s">
        <v>7</v>
      </c>
      <c r="D5391" s="326">
        <v>3.97</v>
      </c>
    </row>
    <row r="5392" spans="1:4" ht="13.5">
      <c r="A5392" s="37">
        <v>90454</v>
      </c>
      <c r="B5392" s="37" t="s">
        <v>17641</v>
      </c>
      <c r="C5392" s="37" t="s">
        <v>7</v>
      </c>
      <c r="D5392" s="326">
        <v>6.45</v>
      </c>
    </row>
    <row r="5393" spans="1:4" ht="13.5">
      <c r="A5393" s="37">
        <v>90455</v>
      </c>
      <c r="B5393" s="37" t="s">
        <v>17642</v>
      </c>
      <c r="C5393" s="37" t="s">
        <v>7</v>
      </c>
      <c r="D5393" s="326">
        <v>8.01</v>
      </c>
    </row>
    <row r="5394" spans="1:4" ht="13.5">
      <c r="A5394" s="37">
        <v>90456</v>
      </c>
      <c r="B5394" s="37" t="s">
        <v>17643</v>
      </c>
      <c r="C5394" s="37" t="s">
        <v>7</v>
      </c>
      <c r="D5394" s="326">
        <v>5.48</v>
      </c>
    </row>
    <row r="5395" spans="1:4" ht="13.5">
      <c r="A5395" s="37">
        <v>90457</v>
      </c>
      <c r="B5395" s="37" t="s">
        <v>17644</v>
      </c>
      <c r="C5395" s="37" t="s">
        <v>7</v>
      </c>
      <c r="D5395" s="326">
        <v>12.54</v>
      </c>
    </row>
    <row r="5396" spans="1:4" ht="13.5">
      <c r="A5396" s="37">
        <v>90458</v>
      </c>
      <c r="B5396" s="37" t="s">
        <v>17645</v>
      </c>
      <c r="C5396" s="37" t="s">
        <v>7</v>
      </c>
      <c r="D5396" s="326">
        <v>35.75</v>
      </c>
    </row>
    <row r="5397" spans="1:4" ht="13.5">
      <c r="A5397" s="37">
        <v>90459</v>
      </c>
      <c r="B5397" s="37" t="s">
        <v>17646</v>
      </c>
      <c r="C5397" s="37" t="s">
        <v>7</v>
      </c>
      <c r="D5397" s="326">
        <v>42.23</v>
      </c>
    </row>
    <row r="5398" spans="1:4" ht="13.5">
      <c r="A5398" s="37">
        <v>90460</v>
      </c>
      <c r="B5398" s="37" t="s">
        <v>17647</v>
      </c>
      <c r="C5398" s="37" t="s">
        <v>6</v>
      </c>
      <c r="D5398" s="326">
        <v>24.34</v>
      </c>
    </row>
    <row r="5399" spans="1:4" ht="13.5">
      <c r="A5399" s="37">
        <v>90461</v>
      </c>
      <c r="B5399" s="37" t="s">
        <v>17648</v>
      </c>
      <c r="C5399" s="37" t="s">
        <v>6</v>
      </c>
      <c r="D5399" s="326">
        <v>17.61</v>
      </c>
    </row>
    <row r="5400" spans="1:4" ht="13.5">
      <c r="A5400" s="37">
        <v>90462</v>
      </c>
      <c r="B5400" s="37" t="s">
        <v>17649</v>
      </c>
      <c r="C5400" s="37" t="s">
        <v>6</v>
      </c>
      <c r="D5400" s="326">
        <v>4.3499999999999996</v>
      </c>
    </row>
    <row r="5401" spans="1:4" ht="13.5">
      <c r="A5401" s="37">
        <v>90463</v>
      </c>
      <c r="B5401" s="37" t="s">
        <v>17650</v>
      </c>
      <c r="C5401" s="37" t="s">
        <v>6</v>
      </c>
      <c r="D5401" s="326">
        <v>3.59</v>
      </c>
    </row>
    <row r="5402" spans="1:4" ht="13.5">
      <c r="A5402" s="37">
        <v>90466</v>
      </c>
      <c r="B5402" s="37" t="s">
        <v>17651</v>
      </c>
      <c r="C5402" s="37" t="s">
        <v>6</v>
      </c>
      <c r="D5402" s="326">
        <v>13.38</v>
      </c>
    </row>
    <row r="5403" spans="1:4" ht="13.5">
      <c r="A5403" s="37">
        <v>90467</v>
      </c>
      <c r="B5403" s="37" t="s">
        <v>17652</v>
      </c>
      <c r="C5403" s="37" t="s">
        <v>6</v>
      </c>
      <c r="D5403" s="326">
        <v>20.11</v>
      </c>
    </row>
    <row r="5404" spans="1:4" ht="13.5">
      <c r="A5404" s="37">
        <v>90468</v>
      </c>
      <c r="B5404" s="37" t="s">
        <v>17653</v>
      </c>
      <c r="C5404" s="37" t="s">
        <v>6</v>
      </c>
      <c r="D5404" s="326">
        <v>6.64</v>
      </c>
    </row>
    <row r="5405" spans="1:4" ht="13.5">
      <c r="A5405" s="37">
        <v>90469</v>
      </c>
      <c r="B5405" s="37" t="s">
        <v>17654</v>
      </c>
      <c r="C5405" s="37" t="s">
        <v>6</v>
      </c>
      <c r="D5405" s="326">
        <v>10.09</v>
      </c>
    </row>
    <row r="5406" spans="1:4" ht="13.5">
      <c r="A5406" s="37">
        <v>90470</v>
      </c>
      <c r="B5406" s="37" t="s">
        <v>17655</v>
      </c>
      <c r="C5406" s="37" t="s">
        <v>6</v>
      </c>
      <c r="D5406" s="326">
        <v>13.41</v>
      </c>
    </row>
    <row r="5407" spans="1:4" ht="13.5">
      <c r="A5407" s="37">
        <v>91166</v>
      </c>
      <c r="B5407" s="37" t="s">
        <v>17656</v>
      </c>
      <c r="C5407" s="37" t="s">
        <v>6</v>
      </c>
      <c r="D5407" s="326">
        <v>3.99</v>
      </c>
    </row>
    <row r="5408" spans="1:4" ht="13.5">
      <c r="A5408" s="37">
        <v>91167</v>
      </c>
      <c r="B5408" s="37" t="s">
        <v>17657</v>
      </c>
      <c r="C5408" s="37" t="s">
        <v>6</v>
      </c>
      <c r="D5408" s="326">
        <v>9.24</v>
      </c>
    </row>
    <row r="5409" spans="1:4" ht="13.5">
      <c r="A5409" s="37">
        <v>91170</v>
      </c>
      <c r="B5409" s="37" t="s">
        <v>17658</v>
      </c>
      <c r="C5409" s="37" t="s">
        <v>6</v>
      </c>
      <c r="D5409" s="326">
        <v>9.24</v>
      </c>
    </row>
    <row r="5410" spans="1:4" ht="13.5">
      <c r="A5410" s="37">
        <v>91171</v>
      </c>
      <c r="B5410" s="37" t="s">
        <v>17659</v>
      </c>
      <c r="C5410" s="37" t="s">
        <v>6</v>
      </c>
      <c r="D5410" s="326">
        <v>15.16</v>
      </c>
    </row>
    <row r="5411" spans="1:4" ht="13.5">
      <c r="A5411" s="37">
        <v>91172</v>
      </c>
      <c r="B5411" s="37" t="s">
        <v>17660</v>
      </c>
      <c r="C5411" s="37" t="s">
        <v>6</v>
      </c>
      <c r="D5411" s="326">
        <v>17.489999999999998</v>
      </c>
    </row>
    <row r="5412" spans="1:4" ht="13.5">
      <c r="A5412" s="37">
        <v>91173</v>
      </c>
      <c r="B5412" s="37" t="s">
        <v>17661</v>
      </c>
      <c r="C5412" s="37" t="s">
        <v>6</v>
      </c>
      <c r="D5412" s="326">
        <v>3.44</v>
      </c>
    </row>
    <row r="5413" spans="1:4" ht="13.5">
      <c r="A5413" s="37">
        <v>91174</v>
      </c>
      <c r="B5413" s="37" t="s">
        <v>17662</v>
      </c>
      <c r="C5413" s="37" t="s">
        <v>6</v>
      </c>
      <c r="D5413" s="326">
        <v>6.05</v>
      </c>
    </row>
    <row r="5414" spans="1:4" ht="13.5">
      <c r="A5414" s="37">
        <v>91175</v>
      </c>
      <c r="B5414" s="37" t="s">
        <v>17663</v>
      </c>
      <c r="C5414" s="37" t="s">
        <v>6</v>
      </c>
      <c r="D5414" s="326">
        <v>9.43</v>
      </c>
    </row>
    <row r="5415" spans="1:4" ht="13.5">
      <c r="A5415" s="37">
        <v>91176</v>
      </c>
      <c r="B5415" s="37" t="s">
        <v>17664</v>
      </c>
      <c r="C5415" s="37" t="s">
        <v>6</v>
      </c>
      <c r="D5415" s="326">
        <v>15.5</v>
      </c>
    </row>
    <row r="5416" spans="1:4" ht="13.5">
      <c r="A5416" s="37">
        <v>91179</v>
      </c>
      <c r="B5416" s="37" t="s">
        <v>17665</v>
      </c>
      <c r="C5416" s="37" t="s">
        <v>6</v>
      </c>
      <c r="D5416" s="326">
        <v>15.5</v>
      </c>
    </row>
    <row r="5417" spans="1:4" ht="13.5">
      <c r="A5417" s="37">
        <v>91180</v>
      </c>
      <c r="B5417" s="37" t="s">
        <v>17666</v>
      </c>
      <c r="C5417" s="37" t="s">
        <v>6</v>
      </c>
      <c r="D5417" s="326">
        <v>20.73</v>
      </c>
    </row>
    <row r="5418" spans="1:4" ht="13.5">
      <c r="A5418" s="37">
        <v>91181</v>
      </c>
      <c r="B5418" s="37" t="s">
        <v>17667</v>
      </c>
      <c r="C5418" s="37" t="s">
        <v>6</v>
      </c>
      <c r="D5418" s="326">
        <v>21.75</v>
      </c>
    </row>
    <row r="5419" spans="1:4" ht="13.5">
      <c r="A5419" s="37">
        <v>91182</v>
      </c>
      <c r="B5419" s="37" t="s">
        <v>17668</v>
      </c>
      <c r="C5419" s="37" t="s">
        <v>6</v>
      </c>
      <c r="D5419" s="326">
        <v>21.72</v>
      </c>
    </row>
    <row r="5420" spans="1:4" ht="13.5">
      <c r="A5420" s="37">
        <v>91185</v>
      </c>
      <c r="B5420" s="37" t="s">
        <v>17669</v>
      </c>
      <c r="C5420" s="37" t="s">
        <v>6</v>
      </c>
      <c r="D5420" s="326">
        <v>21.72</v>
      </c>
    </row>
    <row r="5421" spans="1:4" ht="13.5">
      <c r="A5421" s="37">
        <v>91186</v>
      </c>
      <c r="B5421" s="37" t="s">
        <v>17670</v>
      </c>
      <c r="C5421" s="37" t="s">
        <v>6</v>
      </c>
      <c r="D5421" s="326">
        <v>23.89</v>
      </c>
    </row>
    <row r="5422" spans="1:4" ht="13.5">
      <c r="A5422" s="37">
        <v>91187</v>
      </c>
      <c r="B5422" s="37" t="s">
        <v>17671</v>
      </c>
      <c r="C5422" s="37" t="s">
        <v>6</v>
      </c>
      <c r="D5422" s="326">
        <v>21.43</v>
      </c>
    </row>
    <row r="5423" spans="1:4" ht="13.5">
      <c r="A5423" s="37">
        <v>91188</v>
      </c>
      <c r="B5423" s="37" t="s">
        <v>17672</v>
      </c>
      <c r="C5423" s="37" t="s">
        <v>7</v>
      </c>
      <c r="D5423" s="326">
        <v>11.72</v>
      </c>
    </row>
    <row r="5424" spans="1:4" ht="13.5">
      <c r="A5424" s="37">
        <v>91189</v>
      </c>
      <c r="B5424" s="37" t="s">
        <v>17673</v>
      </c>
      <c r="C5424" s="37" t="s">
        <v>7</v>
      </c>
      <c r="D5424" s="326">
        <v>65.55</v>
      </c>
    </row>
    <row r="5425" spans="1:4" ht="13.5">
      <c r="A5425" s="37">
        <v>91190</v>
      </c>
      <c r="B5425" s="37" t="s">
        <v>17674</v>
      </c>
      <c r="C5425" s="37" t="s">
        <v>7</v>
      </c>
      <c r="D5425" s="326">
        <v>9.23</v>
      </c>
    </row>
    <row r="5426" spans="1:4" ht="13.5">
      <c r="A5426" s="37">
        <v>91191</v>
      </c>
      <c r="B5426" s="37" t="s">
        <v>17675</v>
      </c>
      <c r="C5426" s="37" t="s">
        <v>7</v>
      </c>
      <c r="D5426" s="326">
        <v>12.84</v>
      </c>
    </row>
    <row r="5427" spans="1:4" ht="13.5">
      <c r="A5427" s="37">
        <v>91192</v>
      </c>
      <c r="B5427" s="37" t="s">
        <v>17676</v>
      </c>
      <c r="C5427" s="37" t="s">
        <v>7</v>
      </c>
      <c r="D5427" s="326">
        <v>19.29</v>
      </c>
    </row>
    <row r="5428" spans="1:4" ht="13.5">
      <c r="A5428" s="37">
        <v>91222</v>
      </c>
      <c r="B5428" s="37" t="s">
        <v>17677</v>
      </c>
      <c r="C5428" s="37" t="s">
        <v>6</v>
      </c>
      <c r="D5428" s="326">
        <v>7.69</v>
      </c>
    </row>
    <row r="5429" spans="1:4" ht="13.5">
      <c r="A5429" s="37">
        <v>94480</v>
      </c>
      <c r="B5429" s="37" t="s">
        <v>4220</v>
      </c>
      <c r="C5429" s="37" t="s">
        <v>7</v>
      </c>
      <c r="D5429" s="38">
        <v>2818.66</v>
      </c>
    </row>
    <row r="5430" spans="1:4" ht="13.5">
      <c r="A5430" s="37">
        <v>94481</v>
      </c>
      <c r="B5430" s="37" t="s">
        <v>4221</v>
      </c>
      <c r="C5430" s="37" t="s">
        <v>7</v>
      </c>
      <c r="D5430" s="38">
        <v>1960.59</v>
      </c>
    </row>
    <row r="5431" spans="1:4" ht="13.5">
      <c r="A5431" s="37">
        <v>94482</v>
      </c>
      <c r="B5431" s="37" t="s">
        <v>4222</v>
      </c>
      <c r="C5431" s="37" t="s">
        <v>7</v>
      </c>
      <c r="D5431" s="38">
        <v>1533.43</v>
      </c>
    </row>
    <row r="5432" spans="1:4" ht="13.5">
      <c r="A5432" s="37">
        <v>94483</v>
      </c>
      <c r="B5432" s="37" t="s">
        <v>4223</v>
      </c>
      <c r="C5432" s="37" t="s">
        <v>7</v>
      </c>
      <c r="D5432" s="38">
        <v>1281.24</v>
      </c>
    </row>
    <row r="5433" spans="1:4" ht="13.5">
      <c r="A5433" s="37">
        <v>95541</v>
      </c>
      <c r="B5433" s="37" t="s">
        <v>17678</v>
      </c>
      <c r="C5433" s="37" t="s">
        <v>7</v>
      </c>
      <c r="D5433" s="326">
        <v>20.56</v>
      </c>
    </row>
    <row r="5434" spans="1:4" ht="13.5">
      <c r="A5434" s="37">
        <v>96559</v>
      </c>
      <c r="B5434" s="37" t="s">
        <v>17679</v>
      </c>
      <c r="C5434" s="37" t="s">
        <v>9</v>
      </c>
      <c r="D5434" s="326">
        <v>33.770000000000003</v>
      </c>
    </row>
    <row r="5435" spans="1:4" ht="13.5">
      <c r="A5435" s="37">
        <v>96560</v>
      </c>
      <c r="B5435" s="37" t="s">
        <v>17680</v>
      </c>
      <c r="C5435" s="37" t="s">
        <v>9</v>
      </c>
      <c r="D5435" s="326">
        <v>30.88</v>
      </c>
    </row>
    <row r="5436" spans="1:4" ht="13.5">
      <c r="A5436" s="37">
        <v>96562</v>
      </c>
      <c r="B5436" s="37" t="s">
        <v>17681</v>
      </c>
      <c r="C5436" s="37" t="s">
        <v>6</v>
      </c>
      <c r="D5436" s="326">
        <v>51.26</v>
      </c>
    </row>
    <row r="5437" spans="1:4" ht="13.5">
      <c r="A5437" s="37">
        <v>96563</v>
      </c>
      <c r="B5437" s="37" t="s">
        <v>17682</v>
      </c>
      <c r="C5437" s="37" t="s">
        <v>6</v>
      </c>
      <c r="D5437" s="326">
        <v>57.13</v>
      </c>
    </row>
    <row r="5438" spans="1:4" ht="13.5">
      <c r="A5438" s="37">
        <v>100128</v>
      </c>
      <c r="B5438" s="37" t="s">
        <v>17683</v>
      </c>
      <c r="C5438" s="37" t="s">
        <v>7</v>
      </c>
      <c r="D5438" s="38">
        <v>1910.49</v>
      </c>
    </row>
    <row r="5439" spans="1:4" ht="13.5">
      <c r="A5439" s="37">
        <v>101802</v>
      </c>
      <c r="B5439" s="37" t="s">
        <v>8524</v>
      </c>
      <c r="C5439" s="37" t="s">
        <v>7</v>
      </c>
      <c r="D5439" s="38">
        <v>1601.78</v>
      </c>
    </row>
    <row r="5440" spans="1:4" ht="13.5">
      <c r="A5440" s="37">
        <v>101803</v>
      </c>
      <c r="B5440" s="37" t="s">
        <v>8525</v>
      </c>
      <c r="C5440" s="37" t="s">
        <v>7</v>
      </c>
      <c r="D5440" s="38">
        <v>1016.62</v>
      </c>
    </row>
    <row r="5441" spans="1:4" ht="13.5">
      <c r="A5441" s="37">
        <v>101804</v>
      </c>
      <c r="B5441" s="37" t="s">
        <v>8526</v>
      </c>
      <c r="C5441" s="37" t="s">
        <v>7</v>
      </c>
      <c r="D5441" s="38">
        <v>1281.73</v>
      </c>
    </row>
    <row r="5442" spans="1:4" ht="13.5">
      <c r="A5442" s="37">
        <v>101805</v>
      </c>
      <c r="B5442" s="37" t="s">
        <v>8527</v>
      </c>
      <c r="C5442" s="37" t="s">
        <v>7</v>
      </c>
      <c r="D5442" s="38">
        <v>1633.6</v>
      </c>
    </row>
    <row r="5443" spans="1:4" ht="13.5">
      <c r="A5443" s="37">
        <v>102111</v>
      </c>
      <c r="B5443" s="37" t="s">
        <v>8528</v>
      </c>
      <c r="C5443" s="37" t="s">
        <v>7</v>
      </c>
      <c r="D5443" s="326">
        <v>957.99</v>
      </c>
    </row>
    <row r="5444" spans="1:4" ht="13.5">
      <c r="A5444" s="37">
        <v>102112</v>
      </c>
      <c r="B5444" s="37" t="s">
        <v>8529</v>
      </c>
      <c r="C5444" s="37" t="s">
        <v>7</v>
      </c>
      <c r="D5444" s="326">
        <v>130.72999999999999</v>
      </c>
    </row>
    <row r="5445" spans="1:4" ht="13.5">
      <c r="A5445" s="37">
        <v>102113</v>
      </c>
      <c r="B5445" s="37" t="s">
        <v>8530</v>
      </c>
      <c r="C5445" s="37" t="s">
        <v>7</v>
      </c>
      <c r="D5445" s="38">
        <v>1528.41</v>
      </c>
    </row>
    <row r="5446" spans="1:4" ht="13.5">
      <c r="A5446" s="37">
        <v>102114</v>
      </c>
      <c r="B5446" s="37" t="s">
        <v>8531</v>
      </c>
      <c r="C5446" s="37" t="s">
        <v>7</v>
      </c>
      <c r="D5446" s="326">
        <v>133.93</v>
      </c>
    </row>
    <row r="5447" spans="1:4" ht="13.5">
      <c r="A5447" s="37">
        <v>102115</v>
      </c>
      <c r="B5447" s="37" t="s">
        <v>8532</v>
      </c>
      <c r="C5447" s="37" t="s">
        <v>7</v>
      </c>
      <c r="D5447" s="38">
        <v>2666.67</v>
      </c>
    </row>
    <row r="5448" spans="1:4" ht="13.5">
      <c r="A5448" s="37">
        <v>102116</v>
      </c>
      <c r="B5448" s="37" t="s">
        <v>8533</v>
      </c>
      <c r="C5448" s="37" t="s">
        <v>7</v>
      </c>
      <c r="D5448" s="38">
        <v>1632.68</v>
      </c>
    </row>
    <row r="5449" spans="1:4" ht="13.5">
      <c r="A5449" s="37">
        <v>102117</v>
      </c>
      <c r="B5449" s="37" t="s">
        <v>8534</v>
      </c>
      <c r="C5449" s="37" t="s">
        <v>7</v>
      </c>
      <c r="D5449" s="326">
        <v>137.80000000000001</v>
      </c>
    </row>
    <row r="5450" spans="1:4" ht="13.5">
      <c r="A5450" s="37">
        <v>102118</v>
      </c>
      <c r="B5450" s="37" t="s">
        <v>8535</v>
      </c>
      <c r="C5450" s="37" t="s">
        <v>7</v>
      </c>
      <c r="D5450" s="38">
        <v>2226.9699999999998</v>
      </c>
    </row>
    <row r="5451" spans="1:4" ht="13.5">
      <c r="A5451" s="37">
        <v>102119</v>
      </c>
      <c r="B5451" s="37" t="s">
        <v>8536</v>
      </c>
      <c r="C5451" s="37" t="s">
        <v>7</v>
      </c>
      <c r="D5451" s="326">
        <v>141.13999999999999</v>
      </c>
    </row>
    <row r="5452" spans="1:4" ht="13.5">
      <c r="A5452" s="37">
        <v>102121</v>
      </c>
      <c r="B5452" s="37" t="s">
        <v>8537</v>
      </c>
      <c r="C5452" s="37" t="s">
        <v>7</v>
      </c>
      <c r="D5452" s="326">
        <v>176.03</v>
      </c>
    </row>
    <row r="5453" spans="1:4" ht="13.5">
      <c r="A5453" s="37">
        <v>102122</v>
      </c>
      <c r="B5453" s="37" t="s">
        <v>8538</v>
      </c>
      <c r="C5453" s="37" t="s">
        <v>7</v>
      </c>
      <c r="D5453" s="38">
        <v>7542.39</v>
      </c>
    </row>
    <row r="5454" spans="1:4" ht="13.5">
      <c r="A5454" s="37">
        <v>102123</v>
      </c>
      <c r="B5454" s="37" t="s">
        <v>8539</v>
      </c>
      <c r="C5454" s="37" t="s">
        <v>7</v>
      </c>
      <c r="D5454" s="326">
        <v>185.96</v>
      </c>
    </row>
    <row r="5455" spans="1:4" ht="13.5">
      <c r="A5455" s="37">
        <v>102136</v>
      </c>
      <c r="B5455" s="37" t="s">
        <v>8540</v>
      </c>
      <c r="C5455" s="37" t="s">
        <v>7</v>
      </c>
      <c r="D5455" s="326">
        <v>72.239999999999995</v>
      </c>
    </row>
    <row r="5456" spans="1:4" ht="13.5">
      <c r="A5456" s="37">
        <v>102137</v>
      </c>
      <c r="B5456" s="37" t="s">
        <v>8541</v>
      </c>
      <c r="C5456" s="37" t="s">
        <v>7</v>
      </c>
      <c r="D5456" s="326">
        <v>80.209999999999994</v>
      </c>
    </row>
    <row r="5457" spans="1:4" ht="13.5">
      <c r="A5457" s="37">
        <v>102138</v>
      </c>
      <c r="B5457" s="37" t="s">
        <v>8542</v>
      </c>
      <c r="C5457" s="37" t="s">
        <v>7</v>
      </c>
      <c r="D5457" s="326">
        <v>202.14</v>
      </c>
    </row>
    <row r="5458" spans="1:4" ht="13.5">
      <c r="A5458" s="37">
        <v>103517</v>
      </c>
      <c r="B5458" s="37" t="s">
        <v>13831</v>
      </c>
      <c r="C5458" s="37" t="s">
        <v>7</v>
      </c>
      <c r="D5458" s="38">
        <v>3580.03</v>
      </c>
    </row>
    <row r="5459" spans="1:4" ht="13.5">
      <c r="A5459" s="37">
        <v>103519</v>
      </c>
      <c r="B5459" s="37" t="s">
        <v>13832</v>
      </c>
      <c r="C5459" s="37" t="s">
        <v>7</v>
      </c>
      <c r="D5459" s="326">
        <v>10.83</v>
      </c>
    </row>
    <row r="5460" spans="1:4" ht="13.5">
      <c r="A5460" s="37">
        <v>103520</v>
      </c>
      <c r="B5460" s="37" t="s">
        <v>13833</v>
      </c>
      <c r="C5460" s="37" t="s">
        <v>7</v>
      </c>
      <c r="D5460" s="38">
        <v>5926.57</v>
      </c>
    </row>
    <row r="5461" spans="1:4" ht="13.5">
      <c r="A5461" s="37">
        <v>103521</v>
      </c>
      <c r="B5461" s="37" t="s">
        <v>13834</v>
      </c>
      <c r="C5461" s="37" t="s">
        <v>7</v>
      </c>
      <c r="D5461" s="38">
        <v>7868.75</v>
      </c>
    </row>
    <row r="5462" spans="1:4" ht="13.5">
      <c r="A5462" s="37">
        <v>103522</v>
      </c>
      <c r="B5462" s="37" t="s">
        <v>13835</v>
      </c>
      <c r="C5462" s="37" t="s">
        <v>7</v>
      </c>
      <c r="D5462" s="38">
        <v>7951.19</v>
      </c>
    </row>
    <row r="5463" spans="1:4" ht="13.5">
      <c r="A5463" s="37">
        <v>103523</v>
      </c>
      <c r="B5463" s="37" t="s">
        <v>13836</v>
      </c>
      <c r="C5463" s="37" t="s">
        <v>7</v>
      </c>
      <c r="D5463" s="38">
        <v>11957.6</v>
      </c>
    </row>
    <row r="5464" spans="1:4" ht="13.5">
      <c r="A5464" s="37">
        <v>104660</v>
      </c>
      <c r="B5464" s="37" t="s">
        <v>17684</v>
      </c>
      <c r="C5464" s="37" t="s">
        <v>7</v>
      </c>
      <c r="D5464" s="38">
        <v>1352.83</v>
      </c>
    </row>
    <row r="5465" spans="1:4" ht="13.5">
      <c r="A5465" s="37">
        <v>104661</v>
      </c>
      <c r="B5465" s="37" t="s">
        <v>17685</v>
      </c>
      <c r="C5465" s="37" t="s">
        <v>7</v>
      </c>
      <c r="D5465" s="326">
        <v>585.08000000000004</v>
      </c>
    </row>
    <row r="5466" spans="1:4" ht="13.5">
      <c r="A5466" s="37">
        <v>104662</v>
      </c>
      <c r="B5466" s="37" t="s">
        <v>17686</v>
      </c>
      <c r="C5466" s="37" t="s">
        <v>7</v>
      </c>
      <c r="D5466" s="326">
        <v>417.39</v>
      </c>
    </row>
    <row r="5467" spans="1:4" ht="13.5">
      <c r="A5467" s="37">
        <v>104663</v>
      </c>
      <c r="B5467" s="37" t="s">
        <v>17687</v>
      </c>
      <c r="C5467" s="37" t="s">
        <v>7</v>
      </c>
      <c r="D5467" s="326">
        <v>525.34</v>
      </c>
    </row>
    <row r="5468" spans="1:4" ht="13.5">
      <c r="A5468" s="37">
        <v>104664</v>
      </c>
      <c r="B5468" s="37" t="s">
        <v>17688</v>
      </c>
      <c r="C5468" s="37" t="s">
        <v>7</v>
      </c>
      <c r="D5468" s="326">
        <v>162.52000000000001</v>
      </c>
    </row>
    <row r="5469" spans="1:4" ht="13.5">
      <c r="A5469" s="37">
        <v>104665</v>
      </c>
      <c r="B5469" s="37" t="s">
        <v>17689</v>
      </c>
      <c r="C5469" s="37" t="s">
        <v>7</v>
      </c>
      <c r="D5469" s="326">
        <v>675.06</v>
      </c>
    </row>
    <row r="5470" spans="1:4" ht="13.5">
      <c r="A5470" s="37">
        <v>104666</v>
      </c>
      <c r="B5470" s="37" t="s">
        <v>17690</v>
      </c>
      <c r="C5470" s="37" t="s">
        <v>7</v>
      </c>
      <c r="D5470" s="326">
        <v>320.52999999999997</v>
      </c>
    </row>
    <row r="5471" spans="1:4" ht="13.5">
      <c r="A5471" s="37">
        <v>104667</v>
      </c>
      <c r="B5471" s="37" t="s">
        <v>17691</v>
      </c>
      <c r="C5471" s="37" t="s">
        <v>7</v>
      </c>
      <c r="D5471" s="326">
        <v>138.43</v>
      </c>
    </row>
    <row r="5472" spans="1:4" ht="13.5">
      <c r="A5472" s="37">
        <v>104668</v>
      </c>
      <c r="B5472" s="37" t="s">
        <v>17692</v>
      </c>
      <c r="C5472" s="37" t="s">
        <v>17693</v>
      </c>
      <c r="D5472" s="326">
        <v>154.72999999999999</v>
      </c>
    </row>
    <row r="5473" spans="1:4" ht="13.5">
      <c r="A5473" s="37">
        <v>104669</v>
      </c>
      <c r="B5473" s="37" t="s">
        <v>17694</v>
      </c>
      <c r="C5473" s="37" t="s">
        <v>17693</v>
      </c>
      <c r="D5473" s="326">
        <v>181.8</v>
      </c>
    </row>
    <row r="5474" spans="1:4" ht="13.5">
      <c r="A5474" s="37">
        <v>104670</v>
      </c>
      <c r="B5474" s="37" t="s">
        <v>17695</v>
      </c>
      <c r="C5474" s="37" t="s">
        <v>17693</v>
      </c>
      <c r="D5474" s="326">
        <v>270.44</v>
      </c>
    </row>
    <row r="5475" spans="1:4" ht="13.5">
      <c r="A5475" s="37">
        <v>104671</v>
      </c>
      <c r="B5475" s="37" t="s">
        <v>17696</v>
      </c>
      <c r="C5475" s="37" t="s">
        <v>7</v>
      </c>
      <c r="D5475" s="38">
        <v>1249.52</v>
      </c>
    </row>
    <row r="5476" spans="1:4" ht="13.5">
      <c r="A5476" s="37">
        <v>104672</v>
      </c>
      <c r="B5476" s="37" t="s">
        <v>17697</v>
      </c>
      <c r="C5476" s="37" t="s">
        <v>7</v>
      </c>
      <c r="D5476" s="326">
        <v>447.35</v>
      </c>
    </row>
    <row r="5477" spans="1:4" ht="13.5">
      <c r="A5477" s="37">
        <v>104673</v>
      </c>
      <c r="B5477" s="37" t="s">
        <v>17698</v>
      </c>
      <c r="C5477" s="37" t="s">
        <v>7</v>
      </c>
      <c r="D5477" s="326">
        <v>768.75</v>
      </c>
    </row>
    <row r="5478" spans="1:4" ht="13.5">
      <c r="A5478" s="37">
        <v>104674</v>
      </c>
      <c r="B5478" s="37" t="s">
        <v>17699</v>
      </c>
      <c r="C5478" s="37" t="s">
        <v>7</v>
      </c>
      <c r="D5478" s="326">
        <v>251.71</v>
      </c>
    </row>
    <row r="5479" spans="1:4" ht="13.5">
      <c r="A5479" s="37">
        <v>104675</v>
      </c>
      <c r="B5479" s="37" t="s">
        <v>17700</v>
      </c>
      <c r="C5479" s="37" t="s">
        <v>17701</v>
      </c>
      <c r="D5479" s="326">
        <v>2.02</v>
      </c>
    </row>
    <row r="5480" spans="1:4" ht="13.5">
      <c r="A5480" s="37">
        <v>104676</v>
      </c>
      <c r="B5480" s="37" t="s">
        <v>17702</v>
      </c>
      <c r="C5480" s="37" t="s">
        <v>7</v>
      </c>
      <c r="D5480" s="326">
        <v>396.67</v>
      </c>
    </row>
    <row r="5481" spans="1:4" ht="13.5">
      <c r="A5481" s="37">
        <v>104677</v>
      </c>
      <c r="B5481" s="37" t="s">
        <v>17703</v>
      </c>
      <c r="C5481" s="37" t="s">
        <v>7</v>
      </c>
      <c r="D5481" s="326">
        <v>659.83</v>
      </c>
    </row>
    <row r="5482" spans="1:4" ht="13.5">
      <c r="A5482" s="37">
        <v>104678</v>
      </c>
      <c r="B5482" s="37" t="s">
        <v>17704</v>
      </c>
      <c r="C5482" s="37" t="s">
        <v>7</v>
      </c>
      <c r="D5482" s="326">
        <v>150.82</v>
      </c>
    </row>
    <row r="5483" spans="1:4" ht="13.5">
      <c r="A5483" s="37">
        <v>104679</v>
      </c>
      <c r="B5483" s="37" t="s">
        <v>17705</v>
      </c>
      <c r="C5483" s="37" t="s">
        <v>7</v>
      </c>
      <c r="D5483" s="326">
        <v>162.11000000000001</v>
      </c>
    </row>
    <row r="5484" spans="1:4" ht="13.5">
      <c r="A5484" s="37">
        <v>104680</v>
      </c>
      <c r="B5484" s="37" t="s">
        <v>17706</v>
      </c>
      <c r="C5484" s="37" t="s">
        <v>7</v>
      </c>
      <c r="D5484" s="326">
        <v>163.53</v>
      </c>
    </row>
    <row r="5485" spans="1:4" ht="13.5">
      <c r="A5485" s="37">
        <v>104681</v>
      </c>
      <c r="B5485" s="37" t="s">
        <v>17707</v>
      </c>
      <c r="C5485" s="37" t="s">
        <v>7</v>
      </c>
      <c r="D5485" s="326">
        <v>119.92</v>
      </c>
    </row>
    <row r="5486" spans="1:4" ht="13.5">
      <c r="A5486" s="37">
        <v>104682</v>
      </c>
      <c r="B5486" s="37" t="s">
        <v>17708</v>
      </c>
      <c r="C5486" s="37" t="s">
        <v>7</v>
      </c>
      <c r="D5486" s="326">
        <v>632.39</v>
      </c>
    </row>
    <row r="5487" spans="1:4" ht="13.5">
      <c r="A5487" s="37">
        <v>104683</v>
      </c>
      <c r="B5487" s="37" t="s">
        <v>17709</v>
      </c>
      <c r="C5487" s="37" t="s">
        <v>7</v>
      </c>
      <c r="D5487" s="326">
        <v>100.86</v>
      </c>
    </row>
    <row r="5488" spans="1:4" ht="13.5">
      <c r="A5488" s="37">
        <v>104767</v>
      </c>
      <c r="B5488" s="37" t="s">
        <v>17710</v>
      </c>
      <c r="C5488" s="37" t="s">
        <v>7</v>
      </c>
      <c r="D5488" s="326">
        <v>0.54</v>
      </c>
    </row>
    <row r="5489" spans="1:4" ht="13.5">
      <c r="A5489" s="37">
        <v>104769</v>
      </c>
      <c r="B5489" s="37" t="s">
        <v>17711</v>
      </c>
      <c r="C5489" s="37" t="s">
        <v>7</v>
      </c>
      <c r="D5489" s="326">
        <v>1.45</v>
      </c>
    </row>
    <row r="5490" spans="1:4" ht="13.5">
      <c r="A5490" s="37">
        <v>104771</v>
      </c>
      <c r="B5490" s="37" t="s">
        <v>17712</v>
      </c>
      <c r="C5490" s="37" t="s">
        <v>7</v>
      </c>
      <c r="D5490" s="326">
        <v>2.12</v>
      </c>
    </row>
    <row r="5491" spans="1:4" ht="13.5">
      <c r="A5491" s="37">
        <v>104773</v>
      </c>
      <c r="B5491" s="37" t="s">
        <v>17713</v>
      </c>
      <c r="C5491" s="37" t="s">
        <v>7</v>
      </c>
      <c r="D5491" s="326">
        <v>1.9</v>
      </c>
    </row>
    <row r="5492" spans="1:4" ht="13.5">
      <c r="A5492" s="37">
        <v>104775</v>
      </c>
      <c r="B5492" s="37" t="s">
        <v>17714</v>
      </c>
      <c r="C5492" s="37" t="s">
        <v>7</v>
      </c>
      <c r="D5492" s="326">
        <v>5.09</v>
      </c>
    </row>
    <row r="5493" spans="1:4" ht="13.5">
      <c r="A5493" s="37">
        <v>104777</v>
      </c>
      <c r="B5493" s="37" t="s">
        <v>17715</v>
      </c>
      <c r="C5493" s="37" t="s">
        <v>7</v>
      </c>
      <c r="D5493" s="326">
        <v>7.46</v>
      </c>
    </row>
    <row r="5494" spans="1:4" ht="13.5">
      <c r="A5494" s="37">
        <v>104779</v>
      </c>
      <c r="B5494" s="37" t="s">
        <v>17716</v>
      </c>
      <c r="C5494" s="37" t="s">
        <v>6</v>
      </c>
      <c r="D5494" s="326">
        <v>6.49</v>
      </c>
    </row>
    <row r="5495" spans="1:4" ht="13.5">
      <c r="A5495" s="37">
        <v>104781</v>
      </c>
      <c r="B5495" s="37" t="s">
        <v>17717</v>
      </c>
      <c r="C5495" s="37" t="s">
        <v>6</v>
      </c>
      <c r="D5495" s="326">
        <v>7.51</v>
      </c>
    </row>
    <row r="5496" spans="1:4" ht="13.5">
      <c r="A5496" s="37">
        <v>104782</v>
      </c>
      <c r="B5496" s="37" t="s">
        <v>17718</v>
      </c>
      <c r="C5496" s="37" t="s">
        <v>7</v>
      </c>
      <c r="D5496" s="326">
        <v>71.8</v>
      </c>
    </row>
    <row r="5497" spans="1:4" ht="13.5">
      <c r="A5497" s="37">
        <v>104783</v>
      </c>
      <c r="B5497" s="37" t="s">
        <v>17719</v>
      </c>
      <c r="C5497" s="37" t="s">
        <v>7</v>
      </c>
      <c r="D5497" s="326">
        <v>5.1100000000000003</v>
      </c>
    </row>
    <row r="5498" spans="1:4" ht="13.5">
      <c r="A5498" s="37">
        <v>104784</v>
      </c>
      <c r="B5498" s="37" t="s">
        <v>17720</v>
      </c>
      <c r="C5498" s="37" t="s">
        <v>7</v>
      </c>
      <c r="D5498" s="326">
        <v>14.24</v>
      </c>
    </row>
    <row r="5499" spans="1:4" ht="13.5">
      <c r="A5499" s="37">
        <v>104786</v>
      </c>
      <c r="B5499" s="37" t="s">
        <v>17721</v>
      </c>
      <c r="C5499" s="37" t="s">
        <v>6</v>
      </c>
      <c r="D5499" s="326">
        <v>5.77</v>
      </c>
    </row>
    <row r="5500" spans="1:4" ht="13.5">
      <c r="A5500" s="37">
        <v>104787</v>
      </c>
      <c r="B5500" s="37" t="s">
        <v>17722</v>
      </c>
      <c r="C5500" s="37" t="s">
        <v>6</v>
      </c>
      <c r="D5500" s="326">
        <v>7.66</v>
      </c>
    </row>
    <row r="5501" spans="1:4" ht="13.5">
      <c r="A5501" s="37">
        <v>104788</v>
      </c>
      <c r="B5501" s="37" t="s">
        <v>17723</v>
      </c>
      <c r="C5501" s="37" t="s">
        <v>6</v>
      </c>
      <c r="D5501" s="326">
        <v>10.16</v>
      </c>
    </row>
    <row r="5502" spans="1:4" ht="13.5">
      <c r="A5502" s="37">
        <v>104031</v>
      </c>
      <c r="B5502" s="37" t="s">
        <v>16375</v>
      </c>
      <c r="C5502" s="37" t="s">
        <v>7</v>
      </c>
      <c r="D5502" s="326">
        <v>17</v>
      </c>
    </row>
    <row r="5503" spans="1:4" ht="13.5">
      <c r="A5503" s="37">
        <v>104032</v>
      </c>
      <c r="B5503" s="37" t="s">
        <v>16376</v>
      </c>
      <c r="C5503" s="37" t="s">
        <v>7</v>
      </c>
      <c r="D5503" s="326">
        <v>21.23</v>
      </c>
    </row>
    <row r="5504" spans="1:4" ht="13.5">
      <c r="A5504" s="37">
        <v>104033</v>
      </c>
      <c r="B5504" s="37" t="s">
        <v>16377</v>
      </c>
      <c r="C5504" s="37" t="s">
        <v>7</v>
      </c>
      <c r="D5504" s="326">
        <v>19.420000000000002</v>
      </c>
    </row>
    <row r="5505" spans="1:4" ht="13.5">
      <c r="A5505" s="37">
        <v>104034</v>
      </c>
      <c r="B5505" s="37" t="s">
        <v>16378</v>
      </c>
      <c r="C5505" s="37" t="s">
        <v>7</v>
      </c>
      <c r="D5505" s="326">
        <v>25.14</v>
      </c>
    </row>
    <row r="5506" spans="1:4" ht="13.5">
      <c r="A5506" s="37">
        <v>104035</v>
      </c>
      <c r="B5506" s="37" t="s">
        <v>16379</v>
      </c>
      <c r="C5506" s="37" t="s">
        <v>7</v>
      </c>
      <c r="D5506" s="326">
        <v>35.65</v>
      </c>
    </row>
    <row r="5507" spans="1:4" ht="13.5">
      <c r="A5507" s="37">
        <v>104036</v>
      </c>
      <c r="B5507" s="37" t="s">
        <v>16380</v>
      </c>
      <c r="C5507" s="37" t="s">
        <v>7</v>
      </c>
      <c r="D5507" s="326">
        <v>36.78</v>
      </c>
    </row>
    <row r="5508" spans="1:4" ht="13.5">
      <c r="A5508" s="37">
        <v>104039</v>
      </c>
      <c r="B5508" s="37" t="s">
        <v>16381</v>
      </c>
      <c r="C5508" s="37" t="s">
        <v>7</v>
      </c>
      <c r="D5508" s="326">
        <v>70.33</v>
      </c>
    </row>
    <row r="5509" spans="1:4" ht="13.5">
      <c r="A5509" s="37">
        <v>104043</v>
      </c>
      <c r="B5509" s="37" t="s">
        <v>16382</v>
      </c>
      <c r="C5509" s="37" t="s">
        <v>7</v>
      </c>
      <c r="D5509" s="326">
        <v>7.95</v>
      </c>
    </row>
    <row r="5510" spans="1:4" ht="13.5">
      <c r="A5510" s="37">
        <v>104044</v>
      </c>
      <c r="B5510" s="37" t="s">
        <v>16383</v>
      </c>
      <c r="C5510" s="37" t="s">
        <v>7</v>
      </c>
      <c r="D5510" s="326">
        <v>8.41</v>
      </c>
    </row>
    <row r="5511" spans="1:4" ht="13.5">
      <c r="A5511" s="37">
        <v>104045</v>
      </c>
      <c r="B5511" s="37" t="s">
        <v>16384</v>
      </c>
      <c r="C5511" s="37" t="s">
        <v>7</v>
      </c>
      <c r="D5511" s="326">
        <v>13.35</v>
      </c>
    </row>
    <row r="5512" spans="1:4" ht="13.5">
      <c r="A5512" s="37">
        <v>104046</v>
      </c>
      <c r="B5512" s="37" t="s">
        <v>16385</v>
      </c>
      <c r="C5512" s="37" t="s">
        <v>7</v>
      </c>
      <c r="D5512" s="326">
        <v>7.58</v>
      </c>
    </row>
    <row r="5513" spans="1:4" ht="13.5">
      <c r="A5513" s="37">
        <v>104047</v>
      </c>
      <c r="B5513" s="37" t="s">
        <v>16386</v>
      </c>
      <c r="C5513" s="37" t="s">
        <v>7</v>
      </c>
      <c r="D5513" s="326">
        <v>8.7799999999999994</v>
      </c>
    </row>
    <row r="5514" spans="1:4" ht="13.5">
      <c r="A5514" s="37">
        <v>104048</v>
      </c>
      <c r="B5514" s="37" t="s">
        <v>16387</v>
      </c>
      <c r="C5514" s="37" t="s">
        <v>7</v>
      </c>
      <c r="D5514" s="326">
        <v>13.02</v>
      </c>
    </row>
    <row r="5515" spans="1:4" ht="13.5">
      <c r="A5515" s="37">
        <v>104049</v>
      </c>
      <c r="B5515" s="37" t="s">
        <v>16388</v>
      </c>
      <c r="C5515" s="37" t="s">
        <v>7</v>
      </c>
      <c r="D5515" s="326">
        <v>5.57</v>
      </c>
    </row>
    <row r="5516" spans="1:4" ht="13.5">
      <c r="A5516" s="37">
        <v>104050</v>
      </c>
      <c r="B5516" s="37" t="s">
        <v>16389</v>
      </c>
      <c r="C5516" s="37" t="s">
        <v>7</v>
      </c>
      <c r="D5516" s="326">
        <v>8.59</v>
      </c>
    </row>
    <row r="5517" spans="1:4" ht="13.5">
      <c r="A5517" s="37">
        <v>104051</v>
      </c>
      <c r="B5517" s="37" t="s">
        <v>16390</v>
      </c>
      <c r="C5517" s="37" t="s">
        <v>7</v>
      </c>
      <c r="D5517" s="326">
        <v>7.09</v>
      </c>
    </row>
    <row r="5518" spans="1:4" ht="13.5">
      <c r="A5518" s="37">
        <v>104052</v>
      </c>
      <c r="B5518" s="37" t="s">
        <v>16391</v>
      </c>
      <c r="C5518" s="37" t="s">
        <v>7</v>
      </c>
      <c r="D5518" s="326">
        <v>9.94</v>
      </c>
    </row>
    <row r="5519" spans="1:4" ht="13.5">
      <c r="A5519" s="37">
        <v>104053</v>
      </c>
      <c r="B5519" s="37" t="s">
        <v>16392</v>
      </c>
      <c r="C5519" s="37" t="s">
        <v>7</v>
      </c>
      <c r="D5519" s="326">
        <v>8.3000000000000007</v>
      </c>
    </row>
    <row r="5520" spans="1:4" ht="13.5">
      <c r="A5520" s="37">
        <v>104054</v>
      </c>
      <c r="B5520" s="37" t="s">
        <v>16393</v>
      </c>
      <c r="C5520" s="37" t="s">
        <v>7</v>
      </c>
      <c r="D5520" s="326">
        <v>16.63</v>
      </c>
    </row>
    <row r="5521" spans="1:4" ht="13.5">
      <c r="A5521" s="37">
        <v>104055</v>
      </c>
      <c r="B5521" s="37" t="s">
        <v>16394</v>
      </c>
      <c r="C5521" s="37" t="s">
        <v>7</v>
      </c>
      <c r="D5521" s="326">
        <v>18.87</v>
      </c>
    </row>
    <row r="5522" spans="1:4" ht="13.5">
      <c r="A5522" s="37">
        <v>104056</v>
      </c>
      <c r="B5522" s="37" t="s">
        <v>16395</v>
      </c>
      <c r="C5522" s="37" t="s">
        <v>7</v>
      </c>
      <c r="D5522" s="326">
        <v>28.82</v>
      </c>
    </row>
    <row r="5523" spans="1:4" ht="13.5">
      <c r="A5523" s="37">
        <v>104058</v>
      </c>
      <c r="B5523" s="37" t="s">
        <v>16396</v>
      </c>
      <c r="C5523" s="37" t="s">
        <v>7</v>
      </c>
      <c r="D5523" s="326">
        <v>6.96</v>
      </c>
    </row>
    <row r="5524" spans="1:4" ht="13.5">
      <c r="A5524" s="37">
        <v>104059</v>
      </c>
      <c r="B5524" s="37" t="s">
        <v>16397</v>
      </c>
      <c r="C5524" s="37" t="s">
        <v>7</v>
      </c>
      <c r="D5524" s="326">
        <v>11.67</v>
      </c>
    </row>
    <row r="5525" spans="1:4" ht="13.5">
      <c r="A5525" s="37">
        <v>104060</v>
      </c>
      <c r="B5525" s="37" t="s">
        <v>16398</v>
      </c>
      <c r="C5525" s="37" t="s">
        <v>6</v>
      </c>
      <c r="D5525" s="326">
        <v>8.4700000000000006</v>
      </c>
    </row>
    <row r="5526" spans="1:4" ht="13.5">
      <c r="A5526" s="37">
        <v>104061</v>
      </c>
      <c r="B5526" s="37" t="s">
        <v>16399</v>
      </c>
      <c r="C5526" s="37" t="s">
        <v>6</v>
      </c>
      <c r="D5526" s="326">
        <v>15.29</v>
      </c>
    </row>
    <row r="5527" spans="1:4" ht="13.5">
      <c r="A5527" s="37">
        <v>104112</v>
      </c>
      <c r="B5527" s="37" t="s">
        <v>17724</v>
      </c>
      <c r="C5527" s="37" t="s">
        <v>7</v>
      </c>
      <c r="D5527" s="326">
        <v>146.58000000000001</v>
      </c>
    </row>
    <row r="5528" spans="1:4" ht="13.5">
      <c r="A5528" s="37">
        <v>104114</v>
      </c>
      <c r="B5528" s="37" t="s">
        <v>17725</v>
      </c>
      <c r="C5528" s="37" t="s">
        <v>7</v>
      </c>
      <c r="D5528" s="326">
        <v>214.51</v>
      </c>
    </row>
    <row r="5529" spans="1:4" ht="13.5">
      <c r="A5529" s="37">
        <v>104116</v>
      </c>
      <c r="B5529" s="37" t="s">
        <v>17726</v>
      </c>
      <c r="C5529" s="37" t="s">
        <v>7</v>
      </c>
      <c r="D5529" s="326">
        <v>282.44</v>
      </c>
    </row>
    <row r="5530" spans="1:4" ht="13.5">
      <c r="A5530" s="37">
        <v>104118</v>
      </c>
      <c r="B5530" s="37" t="s">
        <v>17727</v>
      </c>
      <c r="C5530" s="37" t="s">
        <v>7</v>
      </c>
      <c r="D5530" s="326">
        <v>235.37</v>
      </c>
    </row>
    <row r="5531" spans="1:4" ht="13.5">
      <c r="A5531" s="37">
        <v>104120</v>
      </c>
      <c r="B5531" s="37" t="s">
        <v>17728</v>
      </c>
      <c r="C5531" s="37" t="s">
        <v>7</v>
      </c>
      <c r="D5531" s="326">
        <v>364.91</v>
      </c>
    </row>
    <row r="5532" spans="1:4" ht="13.5">
      <c r="A5532" s="37">
        <v>104122</v>
      </c>
      <c r="B5532" s="37" t="s">
        <v>17729</v>
      </c>
      <c r="C5532" s="37" t="s">
        <v>7</v>
      </c>
      <c r="D5532" s="326">
        <v>494.47</v>
      </c>
    </row>
    <row r="5533" spans="1:4" ht="13.5">
      <c r="A5533" s="37">
        <v>104062</v>
      </c>
      <c r="B5533" s="37" t="s">
        <v>16400</v>
      </c>
      <c r="C5533" s="37" t="s">
        <v>7</v>
      </c>
      <c r="D5533" s="326">
        <v>84.54</v>
      </c>
    </row>
    <row r="5534" spans="1:4" ht="13.5">
      <c r="A5534" s="37">
        <v>104063</v>
      </c>
      <c r="B5534" s="37" t="s">
        <v>16401</v>
      </c>
      <c r="C5534" s="37" t="s">
        <v>7</v>
      </c>
      <c r="D5534" s="326">
        <v>80.2</v>
      </c>
    </row>
    <row r="5535" spans="1:4" ht="13.5">
      <c r="A5535" s="37">
        <v>104064</v>
      </c>
      <c r="B5535" s="37" t="s">
        <v>16402</v>
      </c>
      <c r="C5535" s="37" t="s">
        <v>7</v>
      </c>
      <c r="D5535" s="326">
        <v>209.23</v>
      </c>
    </row>
    <row r="5536" spans="1:4" ht="13.5">
      <c r="A5536" s="37">
        <v>104065</v>
      </c>
      <c r="B5536" s="37" t="s">
        <v>16403</v>
      </c>
      <c r="C5536" s="37" t="s">
        <v>7</v>
      </c>
      <c r="D5536" s="326">
        <v>176.6</v>
      </c>
    </row>
    <row r="5537" spans="1:4" ht="13.5">
      <c r="A5537" s="37">
        <v>104072</v>
      </c>
      <c r="B5537" s="37" t="s">
        <v>16404</v>
      </c>
      <c r="C5537" s="37" t="s">
        <v>7</v>
      </c>
      <c r="D5537" s="326">
        <v>323.25</v>
      </c>
    </row>
    <row r="5538" spans="1:4" ht="13.5">
      <c r="A5538" s="37">
        <v>104076</v>
      </c>
      <c r="B5538" s="37" t="s">
        <v>16405</v>
      </c>
      <c r="C5538" s="37" t="s">
        <v>7</v>
      </c>
      <c r="D5538" s="326">
        <v>51.66</v>
      </c>
    </row>
    <row r="5539" spans="1:4" ht="13.5">
      <c r="A5539" s="37">
        <v>104082</v>
      </c>
      <c r="B5539" s="37" t="s">
        <v>16406</v>
      </c>
      <c r="C5539" s="37" t="s">
        <v>7</v>
      </c>
      <c r="D5539" s="326">
        <v>34.409999999999997</v>
      </c>
    </row>
    <row r="5540" spans="1:4" ht="13.5">
      <c r="A5540" s="37">
        <v>104083</v>
      </c>
      <c r="B5540" s="37" t="s">
        <v>16407</v>
      </c>
      <c r="C5540" s="37" t="s">
        <v>7</v>
      </c>
      <c r="D5540" s="326">
        <v>84.88</v>
      </c>
    </row>
    <row r="5541" spans="1:4" ht="13.5">
      <c r="A5541" s="37">
        <v>104084</v>
      </c>
      <c r="B5541" s="37" t="s">
        <v>16408</v>
      </c>
      <c r="C5541" s="37" t="s">
        <v>7</v>
      </c>
      <c r="D5541" s="326">
        <v>97.18</v>
      </c>
    </row>
    <row r="5542" spans="1:4" ht="13.5">
      <c r="A5542" s="37">
        <v>104085</v>
      </c>
      <c r="B5542" s="37" t="s">
        <v>16409</v>
      </c>
      <c r="C5542" s="37" t="s">
        <v>6</v>
      </c>
      <c r="D5542" s="326">
        <v>62.23</v>
      </c>
    </row>
    <row r="5543" spans="1:4" ht="13.5">
      <c r="A5543" s="37">
        <v>104086</v>
      </c>
      <c r="B5543" s="37" t="s">
        <v>16410</v>
      </c>
      <c r="C5543" s="37" t="s">
        <v>6</v>
      </c>
      <c r="D5543" s="326">
        <v>113.54</v>
      </c>
    </row>
    <row r="5544" spans="1:4" ht="13.5">
      <c r="A5544" s="37">
        <v>104124</v>
      </c>
      <c r="B5544" s="37" t="s">
        <v>17730</v>
      </c>
      <c r="C5544" s="37" t="s">
        <v>7</v>
      </c>
      <c r="D5544" s="326">
        <v>369.77</v>
      </c>
    </row>
    <row r="5545" spans="1:4" ht="13.5">
      <c r="A5545" s="37">
        <v>104130</v>
      </c>
      <c r="B5545" s="37" t="s">
        <v>17731</v>
      </c>
      <c r="C5545" s="37" t="s">
        <v>7</v>
      </c>
      <c r="D5545" s="326">
        <v>561.54999999999995</v>
      </c>
    </row>
    <row r="5546" spans="1:4" ht="13.5">
      <c r="A5546" s="37">
        <v>104136</v>
      </c>
      <c r="B5546" s="37" t="s">
        <v>17732</v>
      </c>
      <c r="C5546" s="37" t="s">
        <v>7</v>
      </c>
      <c r="D5546" s="326">
        <v>754.4</v>
      </c>
    </row>
    <row r="5547" spans="1:4" ht="13.5">
      <c r="A5547" s="37">
        <v>104142</v>
      </c>
      <c r="B5547" s="37" t="s">
        <v>17733</v>
      </c>
      <c r="C5547" s="37" t="s">
        <v>7</v>
      </c>
      <c r="D5547" s="326">
        <v>499.76</v>
      </c>
    </row>
    <row r="5548" spans="1:4" ht="13.5">
      <c r="A5548" s="37">
        <v>104148</v>
      </c>
      <c r="B5548" s="37" t="s">
        <v>17734</v>
      </c>
      <c r="C5548" s="37" t="s">
        <v>7</v>
      </c>
      <c r="D5548" s="326">
        <v>777.95</v>
      </c>
    </row>
    <row r="5549" spans="1:4" ht="13.5">
      <c r="A5549" s="37">
        <v>104154</v>
      </c>
      <c r="B5549" s="37" t="s">
        <v>17735</v>
      </c>
      <c r="C5549" s="37" t="s">
        <v>7</v>
      </c>
      <c r="D5549" s="38">
        <v>1058.78</v>
      </c>
    </row>
    <row r="5550" spans="1:4" ht="13.5">
      <c r="A5550" s="37">
        <v>96520</v>
      </c>
      <c r="B5550" s="37" t="s">
        <v>8543</v>
      </c>
      <c r="C5550" s="37" t="s">
        <v>12</v>
      </c>
      <c r="D5550" s="326">
        <v>100.53</v>
      </c>
    </row>
    <row r="5551" spans="1:4" ht="13.5">
      <c r="A5551" s="37">
        <v>96521</v>
      </c>
      <c r="B5551" s="37" t="s">
        <v>8544</v>
      </c>
      <c r="C5551" s="37" t="s">
        <v>12</v>
      </c>
      <c r="D5551" s="326">
        <v>45.55</v>
      </c>
    </row>
    <row r="5552" spans="1:4" ht="13.5">
      <c r="A5552" s="37">
        <v>96522</v>
      </c>
      <c r="B5552" s="37" t="s">
        <v>8545</v>
      </c>
      <c r="C5552" s="37" t="s">
        <v>12</v>
      </c>
      <c r="D5552" s="326">
        <v>140.07</v>
      </c>
    </row>
    <row r="5553" spans="1:4" ht="13.5">
      <c r="A5553" s="37">
        <v>96523</v>
      </c>
      <c r="B5553" s="37" t="s">
        <v>8546</v>
      </c>
      <c r="C5553" s="37" t="s">
        <v>12</v>
      </c>
      <c r="D5553" s="326">
        <v>89.11</v>
      </c>
    </row>
    <row r="5554" spans="1:4" ht="13.5">
      <c r="A5554" s="37">
        <v>96524</v>
      </c>
      <c r="B5554" s="37" t="s">
        <v>8547</v>
      </c>
      <c r="C5554" s="37" t="s">
        <v>12</v>
      </c>
      <c r="D5554" s="326">
        <v>183.33</v>
      </c>
    </row>
    <row r="5555" spans="1:4" ht="13.5">
      <c r="A5555" s="37">
        <v>96525</v>
      </c>
      <c r="B5555" s="37" t="s">
        <v>8548</v>
      </c>
      <c r="C5555" s="37" t="s">
        <v>12</v>
      </c>
      <c r="D5555" s="326">
        <v>47.78</v>
      </c>
    </row>
    <row r="5556" spans="1:4" ht="13.5">
      <c r="A5556" s="37">
        <v>96526</v>
      </c>
      <c r="B5556" s="37" t="s">
        <v>8549</v>
      </c>
      <c r="C5556" s="37" t="s">
        <v>12</v>
      </c>
      <c r="D5556" s="326">
        <v>283.13</v>
      </c>
    </row>
    <row r="5557" spans="1:4" ht="13.5">
      <c r="A5557" s="37">
        <v>96527</v>
      </c>
      <c r="B5557" s="37" t="s">
        <v>8550</v>
      </c>
      <c r="C5557" s="37" t="s">
        <v>12</v>
      </c>
      <c r="D5557" s="326">
        <v>116.89</v>
      </c>
    </row>
    <row r="5558" spans="1:4" ht="13.5">
      <c r="A5558" s="37">
        <v>96528</v>
      </c>
      <c r="B5558" s="37" t="s">
        <v>4226</v>
      </c>
      <c r="C5558" s="37" t="s">
        <v>9</v>
      </c>
      <c r="D5558" s="326">
        <v>206.05</v>
      </c>
    </row>
    <row r="5559" spans="1:4" ht="13.5">
      <c r="A5559" s="37">
        <v>101114</v>
      </c>
      <c r="B5559" s="37" t="s">
        <v>8551</v>
      </c>
      <c r="C5559" s="37" t="s">
        <v>12</v>
      </c>
      <c r="D5559" s="326">
        <v>4.24</v>
      </c>
    </row>
    <row r="5560" spans="1:4" ht="13.5">
      <c r="A5560" s="37">
        <v>101115</v>
      </c>
      <c r="B5560" s="37" t="s">
        <v>8552</v>
      </c>
      <c r="C5560" s="37" t="s">
        <v>12</v>
      </c>
      <c r="D5560" s="326">
        <v>3.55</v>
      </c>
    </row>
    <row r="5561" spans="1:4" ht="13.5">
      <c r="A5561" s="37">
        <v>101116</v>
      </c>
      <c r="B5561" s="37" t="s">
        <v>8553</v>
      </c>
      <c r="C5561" s="37" t="s">
        <v>12</v>
      </c>
      <c r="D5561" s="326">
        <v>2.21</v>
      </c>
    </row>
    <row r="5562" spans="1:4" ht="13.5">
      <c r="A5562" s="37">
        <v>101117</v>
      </c>
      <c r="B5562" s="37" t="s">
        <v>8554</v>
      </c>
      <c r="C5562" s="37" t="s">
        <v>12</v>
      </c>
      <c r="D5562" s="326">
        <v>3.09</v>
      </c>
    </row>
    <row r="5563" spans="1:4" ht="13.5">
      <c r="A5563" s="37">
        <v>101118</v>
      </c>
      <c r="B5563" s="37" t="s">
        <v>8555</v>
      </c>
      <c r="C5563" s="37" t="s">
        <v>12</v>
      </c>
      <c r="D5563" s="326">
        <v>3.64</v>
      </c>
    </row>
    <row r="5564" spans="1:4" ht="13.5">
      <c r="A5564" s="37">
        <v>101119</v>
      </c>
      <c r="B5564" s="37" t="s">
        <v>8556</v>
      </c>
      <c r="C5564" s="37" t="s">
        <v>12</v>
      </c>
      <c r="D5564" s="326">
        <v>8.09</v>
      </c>
    </row>
    <row r="5565" spans="1:4" ht="13.5">
      <c r="A5565" s="37">
        <v>101120</v>
      </c>
      <c r="B5565" s="37" t="s">
        <v>8557</v>
      </c>
      <c r="C5565" s="37" t="s">
        <v>12</v>
      </c>
      <c r="D5565" s="326">
        <v>6.79</v>
      </c>
    </row>
    <row r="5566" spans="1:4" ht="13.5">
      <c r="A5566" s="37">
        <v>101121</v>
      </c>
      <c r="B5566" s="37" t="s">
        <v>8558</v>
      </c>
      <c r="C5566" s="37" t="s">
        <v>12</v>
      </c>
      <c r="D5566" s="326">
        <v>4.25</v>
      </c>
    </row>
    <row r="5567" spans="1:4" ht="13.5">
      <c r="A5567" s="37">
        <v>101122</v>
      </c>
      <c r="B5567" s="37" t="s">
        <v>8559</v>
      </c>
      <c r="C5567" s="37" t="s">
        <v>12</v>
      </c>
      <c r="D5567" s="326">
        <v>5.9</v>
      </c>
    </row>
    <row r="5568" spans="1:4" ht="13.5">
      <c r="A5568" s="37">
        <v>101123</v>
      </c>
      <c r="B5568" s="37" t="s">
        <v>8560</v>
      </c>
      <c r="C5568" s="37" t="s">
        <v>12</v>
      </c>
      <c r="D5568" s="326">
        <v>6.97</v>
      </c>
    </row>
    <row r="5569" spans="1:4" ht="13.5">
      <c r="A5569" s="37">
        <v>101124</v>
      </c>
      <c r="B5569" s="37" t="s">
        <v>8561</v>
      </c>
      <c r="C5569" s="37" t="s">
        <v>12</v>
      </c>
      <c r="D5569" s="326">
        <v>15.09</v>
      </c>
    </row>
    <row r="5570" spans="1:4" ht="13.5">
      <c r="A5570" s="37">
        <v>101125</v>
      </c>
      <c r="B5570" s="37" t="s">
        <v>8562</v>
      </c>
      <c r="C5570" s="37" t="s">
        <v>12</v>
      </c>
      <c r="D5570" s="326">
        <v>14.4</v>
      </c>
    </row>
    <row r="5571" spans="1:4" ht="13.5">
      <c r="A5571" s="37">
        <v>101126</v>
      </c>
      <c r="B5571" s="37" t="s">
        <v>8563</v>
      </c>
      <c r="C5571" s="37" t="s">
        <v>12</v>
      </c>
      <c r="D5571" s="326">
        <v>13.06</v>
      </c>
    </row>
    <row r="5572" spans="1:4" ht="13.5">
      <c r="A5572" s="37">
        <v>101127</v>
      </c>
      <c r="B5572" s="37" t="s">
        <v>8564</v>
      </c>
      <c r="C5572" s="37" t="s">
        <v>12</v>
      </c>
      <c r="D5572" s="326">
        <v>13.94</v>
      </c>
    </row>
    <row r="5573" spans="1:4" ht="13.5">
      <c r="A5573" s="37">
        <v>101128</v>
      </c>
      <c r="B5573" s="37" t="s">
        <v>8565</v>
      </c>
      <c r="C5573" s="37" t="s">
        <v>12</v>
      </c>
      <c r="D5573" s="326">
        <v>14.49</v>
      </c>
    </row>
    <row r="5574" spans="1:4" ht="13.5">
      <c r="A5574" s="37">
        <v>101129</v>
      </c>
      <c r="B5574" s="37" t="s">
        <v>8566</v>
      </c>
      <c r="C5574" s="37" t="s">
        <v>12</v>
      </c>
      <c r="D5574" s="326">
        <v>19.37</v>
      </c>
    </row>
    <row r="5575" spans="1:4" ht="13.5">
      <c r="A5575" s="37">
        <v>101130</v>
      </c>
      <c r="B5575" s="37" t="s">
        <v>8567</v>
      </c>
      <c r="C5575" s="37" t="s">
        <v>12</v>
      </c>
      <c r="D5575" s="326">
        <v>18.07</v>
      </c>
    </row>
    <row r="5576" spans="1:4" ht="13.5">
      <c r="A5576" s="37">
        <v>101131</v>
      </c>
      <c r="B5576" s="37" t="s">
        <v>8568</v>
      </c>
      <c r="C5576" s="37" t="s">
        <v>12</v>
      </c>
      <c r="D5576" s="326">
        <v>15.53</v>
      </c>
    </row>
    <row r="5577" spans="1:4" ht="13.5">
      <c r="A5577" s="37">
        <v>101132</v>
      </c>
      <c r="B5577" s="37" t="s">
        <v>8569</v>
      </c>
      <c r="C5577" s="37" t="s">
        <v>12</v>
      </c>
      <c r="D5577" s="326">
        <v>17.18</v>
      </c>
    </row>
    <row r="5578" spans="1:4" ht="13.5">
      <c r="A5578" s="37">
        <v>101133</v>
      </c>
      <c r="B5578" s="37" t="s">
        <v>8570</v>
      </c>
      <c r="C5578" s="37" t="s">
        <v>12</v>
      </c>
      <c r="D5578" s="326">
        <v>18.25</v>
      </c>
    </row>
    <row r="5579" spans="1:4" ht="13.5">
      <c r="A5579" s="37">
        <v>101134</v>
      </c>
      <c r="B5579" s="37" t="s">
        <v>8571</v>
      </c>
      <c r="C5579" s="37" t="s">
        <v>12</v>
      </c>
      <c r="D5579" s="326">
        <v>15.74</v>
      </c>
    </row>
    <row r="5580" spans="1:4" ht="13.5">
      <c r="A5580" s="37">
        <v>101135</v>
      </c>
      <c r="B5580" s="37" t="s">
        <v>8572</v>
      </c>
      <c r="C5580" s="37" t="s">
        <v>12</v>
      </c>
      <c r="D5580" s="326">
        <v>15.05</v>
      </c>
    </row>
    <row r="5581" spans="1:4" ht="13.5">
      <c r="A5581" s="37">
        <v>101136</v>
      </c>
      <c r="B5581" s="37" t="s">
        <v>8573</v>
      </c>
      <c r="C5581" s="37" t="s">
        <v>12</v>
      </c>
      <c r="D5581" s="326">
        <v>13.71</v>
      </c>
    </row>
    <row r="5582" spans="1:4" ht="13.5">
      <c r="A5582" s="37">
        <v>101137</v>
      </c>
      <c r="B5582" s="37" t="s">
        <v>8574</v>
      </c>
      <c r="C5582" s="37" t="s">
        <v>12</v>
      </c>
      <c r="D5582" s="326">
        <v>14.59</v>
      </c>
    </row>
    <row r="5583" spans="1:4" ht="13.5">
      <c r="A5583" s="37">
        <v>101138</v>
      </c>
      <c r="B5583" s="37" t="s">
        <v>8575</v>
      </c>
      <c r="C5583" s="37" t="s">
        <v>12</v>
      </c>
      <c r="D5583" s="326">
        <v>15.14</v>
      </c>
    </row>
    <row r="5584" spans="1:4" ht="13.5">
      <c r="A5584" s="37">
        <v>101139</v>
      </c>
      <c r="B5584" s="37" t="s">
        <v>8576</v>
      </c>
      <c r="C5584" s="37" t="s">
        <v>12</v>
      </c>
      <c r="D5584" s="326">
        <v>20.04</v>
      </c>
    </row>
    <row r="5585" spans="1:4" ht="13.5">
      <c r="A5585" s="37">
        <v>101140</v>
      </c>
      <c r="B5585" s="37" t="s">
        <v>8577</v>
      </c>
      <c r="C5585" s="37" t="s">
        <v>12</v>
      </c>
      <c r="D5585" s="326">
        <v>18.739999999999998</v>
      </c>
    </row>
    <row r="5586" spans="1:4" ht="13.5">
      <c r="A5586" s="37">
        <v>101141</v>
      </c>
      <c r="B5586" s="37" t="s">
        <v>8578</v>
      </c>
      <c r="C5586" s="37" t="s">
        <v>12</v>
      </c>
      <c r="D5586" s="326">
        <v>16.2</v>
      </c>
    </row>
    <row r="5587" spans="1:4" ht="13.5">
      <c r="A5587" s="37">
        <v>101142</v>
      </c>
      <c r="B5587" s="37" t="s">
        <v>8579</v>
      </c>
      <c r="C5587" s="37" t="s">
        <v>12</v>
      </c>
      <c r="D5587" s="326">
        <v>17.850000000000001</v>
      </c>
    </row>
    <row r="5588" spans="1:4" ht="13.5">
      <c r="A5588" s="37">
        <v>101143</v>
      </c>
      <c r="B5588" s="37" t="s">
        <v>8580</v>
      </c>
      <c r="C5588" s="37" t="s">
        <v>12</v>
      </c>
      <c r="D5588" s="326">
        <v>18.920000000000002</v>
      </c>
    </row>
    <row r="5589" spans="1:4" ht="13.5">
      <c r="A5589" s="37">
        <v>101144</v>
      </c>
      <c r="B5589" s="37" t="s">
        <v>8581</v>
      </c>
      <c r="C5589" s="37" t="s">
        <v>12</v>
      </c>
      <c r="D5589" s="326">
        <v>15.82</v>
      </c>
    </row>
    <row r="5590" spans="1:4" ht="13.5">
      <c r="A5590" s="37">
        <v>101145</v>
      </c>
      <c r="B5590" s="37" t="s">
        <v>8582</v>
      </c>
      <c r="C5590" s="37" t="s">
        <v>12</v>
      </c>
      <c r="D5590" s="326">
        <v>15.13</v>
      </c>
    </row>
    <row r="5591" spans="1:4" ht="13.5">
      <c r="A5591" s="37">
        <v>101146</v>
      </c>
      <c r="B5591" s="37" t="s">
        <v>8583</v>
      </c>
      <c r="C5591" s="37" t="s">
        <v>12</v>
      </c>
      <c r="D5591" s="326">
        <v>13.79</v>
      </c>
    </row>
    <row r="5592" spans="1:4" ht="13.5">
      <c r="A5592" s="37">
        <v>101147</v>
      </c>
      <c r="B5592" s="37" t="s">
        <v>8584</v>
      </c>
      <c r="C5592" s="37" t="s">
        <v>12</v>
      </c>
      <c r="D5592" s="326">
        <v>14.67</v>
      </c>
    </row>
    <row r="5593" spans="1:4" ht="13.5">
      <c r="A5593" s="37">
        <v>101148</v>
      </c>
      <c r="B5593" s="37" t="s">
        <v>8585</v>
      </c>
      <c r="C5593" s="37" t="s">
        <v>12</v>
      </c>
      <c r="D5593" s="326">
        <v>15.22</v>
      </c>
    </row>
    <row r="5594" spans="1:4" ht="13.5">
      <c r="A5594" s="37">
        <v>101149</v>
      </c>
      <c r="B5594" s="37" t="s">
        <v>8586</v>
      </c>
      <c r="C5594" s="37" t="s">
        <v>12</v>
      </c>
      <c r="D5594" s="326">
        <v>20.13</v>
      </c>
    </row>
    <row r="5595" spans="1:4" ht="13.5">
      <c r="A5595" s="37">
        <v>101150</v>
      </c>
      <c r="B5595" s="37" t="s">
        <v>8587</v>
      </c>
      <c r="C5595" s="37" t="s">
        <v>12</v>
      </c>
      <c r="D5595" s="326">
        <v>18.829999999999998</v>
      </c>
    </row>
    <row r="5596" spans="1:4" ht="13.5">
      <c r="A5596" s="37">
        <v>101151</v>
      </c>
      <c r="B5596" s="37" t="s">
        <v>8588</v>
      </c>
      <c r="C5596" s="37" t="s">
        <v>12</v>
      </c>
      <c r="D5596" s="326">
        <v>16.29</v>
      </c>
    </row>
    <row r="5597" spans="1:4" ht="13.5">
      <c r="A5597" s="37">
        <v>101152</v>
      </c>
      <c r="B5597" s="37" t="s">
        <v>8589</v>
      </c>
      <c r="C5597" s="37" t="s">
        <v>12</v>
      </c>
      <c r="D5597" s="326">
        <v>17.940000000000001</v>
      </c>
    </row>
    <row r="5598" spans="1:4" ht="13.5">
      <c r="A5598" s="37">
        <v>101153</v>
      </c>
      <c r="B5598" s="37" t="s">
        <v>8590</v>
      </c>
      <c r="C5598" s="37" t="s">
        <v>12</v>
      </c>
      <c r="D5598" s="326">
        <v>19.010000000000002</v>
      </c>
    </row>
    <row r="5599" spans="1:4" ht="13.5">
      <c r="A5599" s="37">
        <v>101206</v>
      </c>
      <c r="B5599" s="37" t="s">
        <v>17736</v>
      </c>
      <c r="C5599" s="37" t="s">
        <v>12</v>
      </c>
      <c r="D5599" s="326">
        <v>12.37</v>
      </c>
    </row>
    <row r="5600" spans="1:4" ht="13.5">
      <c r="A5600" s="37">
        <v>101207</v>
      </c>
      <c r="B5600" s="37" t="s">
        <v>17737</v>
      </c>
      <c r="C5600" s="37" t="s">
        <v>12</v>
      </c>
      <c r="D5600" s="326">
        <v>10.71</v>
      </c>
    </row>
    <row r="5601" spans="1:4" ht="13.5">
      <c r="A5601" s="37">
        <v>101208</v>
      </c>
      <c r="B5601" s="37" t="s">
        <v>17738</v>
      </c>
      <c r="C5601" s="37" t="s">
        <v>12</v>
      </c>
      <c r="D5601" s="326">
        <v>10.46</v>
      </c>
    </row>
    <row r="5602" spans="1:4" ht="13.5">
      <c r="A5602" s="37">
        <v>101209</v>
      </c>
      <c r="B5602" s="37" t="s">
        <v>17739</v>
      </c>
      <c r="C5602" s="37" t="s">
        <v>12</v>
      </c>
      <c r="D5602" s="326">
        <v>9.7100000000000009</v>
      </c>
    </row>
    <row r="5603" spans="1:4" ht="13.5">
      <c r="A5603" s="37">
        <v>101210</v>
      </c>
      <c r="B5603" s="37" t="s">
        <v>17740</v>
      </c>
      <c r="C5603" s="37" t="s">
        <v>12</v>
      </c>
      <c r="D5603" s="326">
        <v>17.329999999999998</v>
      </c>
    </row>
    <row r="5604" spans="1:4" ht="13.5">
      <c r="A5604" s="37">
        <v>101211</v>
      </c>
      <c r="B5604" s="37" t="s">
        <v>17741</v>
      </c>
      <c r="C5604" s="37" t="s">
        <v>12</v>
      </c>
      <c r="D5604" s="326">
        <v>18.600000000000001</v>
      </c>
    </row>
    <row r="5605" spans="1:4" ht="13.5">
      <c r="A5605" s="37">
        <v>101212</v>
      </c>
      <c r="B5605" s="37" t="s">
        <v>17742</v>
      </c>
      <c r="C5605" s="37" t="s">
        <v>12</v>
      </c>
      <c r="D5605" s="326">
        <v>21.7</v>
      </c>
    </row>
    <row r="5606" spans="1:4" ht="13.5">
      <c r="A5606" s="37">
        <v>101213</v>
      </c>
      <c r="B5606" s="37" t="s">
        <v>17743</v>
      </c>
      <c r="C5606" s="37" t="s">
        <v>12</v>
      </c>
      <c r="D5606" s="326">
        <v>24.26</v>
      </c>
    </row>
    <row r="5607" spans="1:4" ht="13.5">
      <c r="A5607" s="37">
        <v>101214</v>
      </c>
      <c r="B5607" s="37" t="s">
        <v>17744</v>
      </c>
      <c r="C5607" s="37" t="s">
        <v>12</v>
      </c>
      <c r="D5607" s="326">
        <v>29.33</v>
      </c>
    </row>
    <row r="5608" spans="1:4" ht="13.5">
      <c r="A5608" s="37">
        <v>101215</v>
      </c>
      <c r="B5608" s="37" t="s">
        <v>17745</v>
      </c>
      <c r="C5608" s="37" t="s">
        <v>12</v>
      </c>
      <c r="D5608" s="326">
        <v>16.63</v>
      </c>
    </row>
    <row r="5609" spans="1:4" ht="13.5">
      <c r="A5609" s="37">
        <v>101216</v>
      </c>
      <c r="B5609" s="37" t="s">
        <v>17746</v>
      </c>
      <c r="C5609" s="37" t="s">
        <v>12</v>
      </c>
      <c r="D5609" s="326">
        <v>17.440000000000001</v>
      </c>
    </row>
    <row r="5610" spans="1:4" ht="13.5">
      <c r="A5610" s="37">
        <v>101217</v>
      </c>
      <c r="B5610" s="37" t="s">
        <v>17747</v>
      </c>
      <c r="C5610" s="37" t="s">
        <v>12</v>
      </c>
      <c r="D5610" s="326">
        <v>20.309999999999999</v>
      </c>
    </row>
    <row r="5611" spans="1:4" ht="13.5">
      <c r="A5611" s="37">
        <v>101218</v>
      </c>
      <c r="B5611" s="37" t="s">
        <v>17748</v>
      </c>
      <c r="C5611" s="37" t="s">
        <v>12</v>
      </c>
      <c r="D5611" s="326">
        <v>21.5</v>
      </c>
    </row>
    <row r="5612" spans="1:4" ht="13.5">
      <c r="A5612" s="37">
        <v>101219</v>
      </c>
      <c r="B5612" s="37" t="s">
        <v>17749</v>
      </c>
      <c r="C5612" s="37" t="s">
        <v>12</v>
      </c>
      <c r="D5612" s="326">
        <v>26.08</v>
      </c>
    </row>
    <row r="5613" spans="1:4" ht="13.5">
      <c r="A5613" s="37">
        <v>101220</v>
      </c>
      <c r="B5613" s="37" t="s">
        <v>17750</v>
      </c>
      <c r="C5613" s="37" t="s">
        <v>12</v>
      </c>
      <c r="D5613" s="326">
        <v>16.34</v>
      </c>
    </row>
    <row r="5614" spans="1:4" ht="13.5">
      <c r="A5614" s="37">
        <v>101221</v>
      </c>
      <c r="B5614" s="37" t="s">
        <v>17751</v>
      </c>
      <c r="C5614" s="37" t="s">
        <v>12</v>
      </c>
      <c r="D5614" s="326">
        <v>17.28</v>
      </c>
    </row>
    <row r="5615" spans="1:4" ht="13.5">
      <c r="A5615" s="37">
        <v>101222</v>
      </c>
      <c r="B5615" s="37" t="s">
        <v>17752</v>
      </c>
      <c r="C5615" s="37" t="s">
        <v>12</v>
      </c>
      <c r="D5615" s="326">
        <v>20.09</v>
      </c>
    </row>
    <row r="5616" spans="1:4" ht="13.5">
      <c r="A5616" s="37">
        <v>101223</v>
      </c>
      <c r="B5616" s="37" t="s">
        <v>17753</v>
      </c>
      <c r="C5616" s="37" t="s">
        <v>12</v>
      </c>
      <c r="D5616" s="326">
        <v>22.36</v>
      </c>
    </row>
    <row r="5617" spans="1:4" ht="13.5">
      <c r="A5617" s="37">
        <v>101224</v>
      </c>
      <c r="B5617" s="37" t="s">
        <v>17754</v>
      </c>
      <c r="C5617" s="37" t="s">
        <v>12</v>
      </c>
      <c r="D5617" s="326">
        <v>28.04</v>
      </c>
    </row>
    <row r="5618" spans="1:4" ht="13.5">
      <c r="A5618" s="37">
        <v>101225</v>
      </c>
      <c r="B5618" s="37" t="s">
        <v>17755</v>
      </c>
      <c r="C5618" s="37" t="s">
        <v>12</v>
      </c>
      <c r="D5618" s="326">
        <v>14.99</v>
      </c>
    </row>
    <row r="5619" spans="1:4" ht="13.5">
      <c r="A5619" s="37">
        <v>101226</v>
      </c>
      <c r="B5619" s="37" t="s">
        <v>17756</v>
      </c>
      <c r="C5619" s="37" t="s">
        <v>12</v>
      </c>
      <c r="D5619" s="326">
        <v>15.8</v>
      </c>
    </row>
    <row r="5620" spans="1:4" ht="13.5">
      <c r="A5620" s="37">
        <v>101227</v>
      </c>
      <c r="B5620" s="37" t="s">
        <v>17757</v>
      </c>
      <c r="C5620" s="37" t="s">
        <v>12</v>
      </c>
      <c r="D5620" s="326">
        <v>18.32</v>
      </c>
    </row>
    <row r="5621" spans="1:4" ht="13.5">
      <c r="A5621" s="37">
        <v>101228</v>
      </c>
      <c r="B5621" s="37" t="s">
        <v>17758</v>
      </c>
      <c r="C5621" s="37" t="s">
        <v>12</v>
      </c>
      <c r="D5621" s="326">
        <v>19.55</v>
      </c>
    </row>
    <row r="5622" spans="1:4" ht="13.5">
      <c r="A5622" s="37">
        <v>101229</v>
      </c>
      <c r="B5622" s="37" t="s">
        <v>17759</v>
      </c>
      <c r="C5622" s="37" t="s">
        <v>12</v>
      </c>
      <c r="D5622" s="326">
        <v>24.66</v>
      </c>
    </row>
    <row r="5623" spans="1:4" ht="13.5">
      <c r="A5623" s="37">
        <v>101230</v>
      </c>
      <c r="B5623" s="37" t="s">
        <v>17760</v>
      </c>
      <c r="C5623" s="37" t="s">
        <v>12</v>
      </c>
      <c r="D5623" s="326">
        <v>10.92</v>
      </c>
    </row>
    <row r="5624" spans="1:4" ht="13.5">
      <c r="A5624" s="37">
        <v>101231</v>
      </c>
      <c r="B5624" s="37" t="s">
        <v>17761</v>
      </c>
      <c r="C5624" s="37" t="s">
        <v>12</v>
      </c>
      <c r="D5624" s="326">
        <v>10.37</v>
      </c>
    </row>
    <row r="5625" spans="1:4" ht="13.5">
      <c r="A5625" s="37">
        <v>101232</v>
      </c>
      <c r="B5625" s="37" t="s">
        <v>17762</v>
      </c>
      <c r="C5625" s="37" t="s">
        <v>12</v>
      </c>
      <c r="D5625" s="326">
        <v>9.34</v>
      </c>
    </row>
    <row r="5626" spans="1:4" ht="13.5">
      <c r="A5626" s="37">
        <v>101233</v>
      </c>
      <c r="B5626" s="37" t="s">
        <v>17763</v>
      </c>
      <c r="C5626" s="37" t="s">
        <v>12</v>
      </c>
      <c r="D5626" s="326">
        <v>8.61</v>
      </c>
    </row>
    <row r="5627" spans="1:4" ht="13.5">
      <c r="A5627" s="37">
        <v>101234</v>
      </c>
      <c r="B5627" s="37" t="s">
        <v>17764</v>
      </c>
      <c r="C5627" s="37" t="s">
        <v>12</v>
      </c>
      <c r="D5627" s="326">
        <v>16.989999999999998</v>
      </c>
    </row>
    <row r="5628" spans="1:4" ht="13.5">
      <c r="A5628" s="37">
        <v>101235</v>
      </c>
      <c r="B5628" s="37" t="s">
        <v>17765</v>
      </c>
      <c r="C5628" s="37" t="s">
        <v>12</v>
      </c>
      <c r="D5628" s="326">
        <v>17.91</v>
      </c>
    </row>
    <row r="5629" spans="1:4" ht="13.5">
      <c r="A5629" s="37">
        <v>101236</v>
      </c>
      <c r="B5629" s="37" t="s">
        <v>17766</v>
      </c>
      <c r="C5629" s="37" t="s">
        <v>12</v>
      </c>
      <c r="D5629" s="326">
        <v>20.86</v>
      </c>
    </row>
    <row r="5630" spans="1:4" ht="13.5">
      <c r="A5630" s="37">
        <v>101237</v>
      </c>
      <c r="B5630" s="37" t="s">
        <v>17767</v>
      </c>
      <c r="C5630" s="37" t="s">
        <v>12</v>
      </c>
      <c r="D5630" s="326">
        <v>22.23</v>
      </c>
    </row>
    <row r="5631" spans="1:4" ht="13.5">
      <c r="A5631" s="37">
        <v>101238</v>
      </c>
      <c r="B5631" s="37" t="s">
        <v>17768</v>
      </c>
      <c r="C5631" s="37" t="s">
        <v>12</v>
      </c>
      <c r="D5631" s="326">
        <v>28.12</v>
      </c>
    </row>
    <row r="5632" spans="1:4" ht="13.5">
      <c r="A5632" s="37">
        <v>101239</v>
      </c>
      <c r="B5632" s="37" t="s">
        <v>17769</v>
      </c>
      <c r="C5632" s="37" t="s">
        <v>12</v>
      </c>
      <c r="D5632" s="326">
        <v>14.91</v>
      </c>
    </row>
    <row r="5633" spans="1:4" ht="13.5">
      <c r="A5633" s="37">
        <v>101240</v>
      </c>
      <c r="B5633" s="37" t="s">
        <v>17770</v>
      </c>
      <c r="C5633" s="37" t="s">
        <v>12</v>
      </c>
      <c r="D5633" s="326">
        <v>15.75</v>
      </c>
    </row>
    <row r="5634" spans="1:4" ht="13.5">
      <c r="A5634" s="37">
        <v>101241</v>
      </c>
      <c r="B5634" s="37" t="s">
        <v>17771</v>
      </c>
      <c r="C5634" s="37" t="s">
        <v>12</v>
      </c>
      <c r="D5634" s="326">
        <v>18.399999999999999</v>
      </c>
    </row>
    <row r="5635" spans="1:4" ht="13.5">
      <c r="A5635" s="37">
        <v>101242</v>
      </c>
      <c r="B5635" s="37" t="s">
        <v>17772</v>
      </c>
      <c r="C5635" s="37" t="s">
        <v>12</v>
      </c>
      <c r="D5635" s="326">
        <v>20.57</v>
      </c>
    </row>
    <row r="5636" spans="1:4" ht="13.5">
      <c r="A5636" s="37">
        <v>101243</v>
      </c>
      <c r="B5636" s="37" t="s">
        <v>17773</v>
      </c>
      <c r="C5636" s="37" t="s">
        <v>12</v>
      </c>
      <c r="D5636" s="326">
        <v>24.95</v>
      </c>
    </row>
    <row r="5637" spans="1:4" ht="13.5">
      <c r="A5637" s="37">
        <v>101244</v>
      </c>
      <c r="B5637" s="37" t="s">
        <v>17774</v>
      </c>
      <c r="C5637" s="37" t="s">
        <v>12</v>
      </c>
      <c r="D5637" s="326">
        <v>15.7</v>
      </c>
    </row>
    <row r="5638" spans="1:4" ht="13.5">
      <c r="A5638" s="37">
        <v>101245</v>
      </c>
      <c r="B5638" s="37" t="s">
        <v>17775</v>
      </c>
      <c r="C5638" s="37" t="s">
        <v>12</v>
      </c>
      <c r="D5638" s="326">
        <v>16.62</v>
      </c>
    </row>
    <row r="5639" spans="1:4" ht="13.5">
      <c r="A5639" s="37">
        <v>101246</v>
      </c>
      <c r="B5639" s="37" t="s">
        <v>17776</v>
      </c>
      <c r="C5639" s="37" t="s">
        <v>12</v>
      </c>
      <c r="D5639" s="326">
        <v>19.32</v>
      </c>
    </row>
    <row r="5640" spans="1:4" ht="13.5">
      <c r="A5640" s="37">
        <v>101247</v>
      </c>
      <c r="B5640" s="37" t="s">
        <v>17777</v>
      </c>
      <c r="C5640" s="37" t="s">
        <v>12</v>
      </c>
      <c r="D5640" s="326">
        <v>21.45</v>
      </c>
    </row>
    <row r="5641" spans="1:4" ht="13.5">
      <c r="A5641" s="37">
        <v>101248</v>
      </c>
      <c r="B5641" s="37" t="s">
        <v>17778</v>
      </c>
      <c r="C5641" s="37" t="s">
        <v>12</v>
      </c>
      <c r="D5641" s="326">
        <v>26.86</v>
      </c>
    </row>
    <row r="5642" spans="1:4" ht="13.5">
      <c r="A5642" s="37">
        <v>101249</v>
      </c>
      <c r="B5642" s="37" t="s">
        <v>17779</v>
      </c>
      <c r="C5642" s="37" t="s">
        <v>12</v>
      </c>
      <c r="D5642" s="326">
        <v>13.65</v>
      </c>
    </row>
    <row r="5643" spans="1:4" ht="13.5">
      <c r="A5643" s="37">
        <v>101250</v>
      </c>
      <c r="B5643" s="37" t="s">
        <v>17780</v>
      </c>
      <c r="C5643" s="37" t="s">
        <v>12</v>
      </c>
      <c r="D5643" s="326">
        <v>15.15</v>
      </c>
    </row>
    <row r="5644" spans="1:4" ht="13.5">
      <c r="A5644" s="37">
        <v>101251</v>
      </c>
      <c r="B5644" s="37" t="s">
        <v>17781</v>
      </c>
      <c r="C5644" s="37" t="s">
        <v>12</v>
      </c>
      <c r="D5644" s="326">
        <v>17.260000000000002</v>
      </c>
    </row>
    <row r="5645" spans="1:4" ht="13.5">
      <c r="A5645" s="37">
        <v>101252</v>
      </c>
      <c r="B5645" s="37" t="s">
        <v>17782</v>
      </c>
      <c r="C5645" s="37" t="s">
        <v>12</v>
      </c>
      <c r="D5645" s="326">
        <v>18.75</v>
      </c>
    </row>
    <row r="5646" spans="1:4" ht="13.5">
      <c r="A5646" s="37">
        <v>101253</v>
      </c>
      <c r="B5646" s="37" t="s">
        <v>17783</v>
      </c>
      <c r="C5646" s="37" t="s">
        <v>12</v>
      </c>
      <c r="D5646" s="326">
        <v>23.62</v>
      </c>
    </row>
    <row r="5647" spans="1:4" ht="13.5">
      <c r="A5647" s="37">
        <v>101254</v>
      </c>
      <c r="B5647" s="37" t="s">
        <v>17784</v>
      </c>
      <c r="C5647" s="37" t="s">
        <v>12</v>
      </c>
      <c r="D5647" s="326">
        <v>12.45</v>
      </c>
    </row>
    <row r="5648" spans="1:4" ht="13.5">
      <c r="A5648" s="37">
        <v>101255</v>
      </c>
      <c r="B5648" s="37" t="s">
        <v>17785</v>
      </c>
      <c r="C5648" s="37" t="s">
        <v>12</v>
      </c>
      <c r="D5648" s="326">
        <v>11.02</v>
      </c>
    </row>
    <row r="5649" spans="1:4" ht="13.5">
      <c r="A5649" s="37">
        <v>101256</v>
      </c>
      <c r="B5649" s="37" t="s">
        <v>17786</v>
      </c>
      <c r="C5649" s="37" t="s">
        <v>12</v>
      </c>
      <c r="D5649" s="326">
        <v>19.21</v>
      </c>
    </row>
    <row r="5650" spans="1:4" ht="13.5">
      <c r="A5650" s="37">
        <v>101257</v>
      </c>
      <c r="B5650" s="37" t="s">
        <v>17787</v>
      </c>
      <c r="C5650" s="37" t="s">
        <v>12</v>
      </c>
      <c r="D5650" s="326">
        <v>20.27</v>
      </c>
    </row>
    <row r="5651" spans="1:4" ht="13.5">
      <c r="A5651" s="37">
        <v>101258</v>
      </c>
      <c r="B5651" s="37" t="s">
        <v>17788</v>
      </c>
      <c r="C5651" s="37" t="s">
        <v>12</v>
      </c>
      <c r="D5651" s="326">
        <v>23.5</v>
      </c>
    </row>
    <row r="5652" spans="1:4" ht="13.5">
      <c r="A5652" s="37">
        <v>101259</v>
      </c>
      <c r="B5652" s="37" t="s">
        <v>17789</v>
      </c>
      <c r="C5652" s="37" t="s">
        <v>12</v>
      </c>
      <c r="D5652" s="326">
        <v>26.1</v>
      </c>
    </row>
    <row r="5653" spans="1:4" ht="13.5">
      <c r="A5653" s="37">
        <v>101260</v>
      </c>
      <c r="B5653" s="37" t="s">
        <v>17790</v>
      </c>
      <c r="C5653" s="37" t="s">
        <v>12</v>
      </c>
      <c r="D5653" s="326">
        <v>32.61</v>
      </c>
    </row>
    <row r="5654" spans="1:4" ht="13.5">
      <c r="A5654" s="37">
        <v>101261</v>
      </c>
      <c r="B5654" s="37" t="s">
        <v>17791</v>
      </c>
      <c r="C5654" s="37" t="s">
        <v>12</v>
      </c>
      <c r="D5654" s="326">
        <v>18.18</v>
      </c>
    </row>
    <row r="5655" spans="1:4" ht="13.5">
      <c r="A5655" s="37">
        <v>101262</v>
      </c>
      <c r="B5655" s="37" t="s">
        <v>17792</v>
      </c>
      <c r="C5655" s="37" t="s">
        <v>12</v>
      </c>
      <c r="D5655" s="326">
        <v>19.21</v>
      </c>
    </row>
    <row r="5656" spans="1:4" ht="13.5">
      <c r="A5656" s="37">
        <v>101263</v>
      </c>
      <c r="B5656" s="37" t="s">
        <v>17793</v>
      </c>
      <c r="C5656" s="37" t="s">
        <v>12</v>
      </c>
      <c r="D5656" s="326">
        <v>22.22</v>
      </c>
    </row>
    <row r="5657" spans="1:4" ht="13.5">
      <c r="A5657" s="37">
        <v>101264</v>
      </c>
      <c r="B5657" s="37" t="s">
        <v>17794</v>
      </c>
      <c r="C5657" s="37" t="s">
        <v>12</v>
      </c>
      <c r="D5657" s="326">
        <v>24.62</v>
      </c>
    </row>
    <row r="5658" spans="1:4" ht="13.5">
      <c r="A5658" s="37">
        <v>101265</v>
      </c>
      <c r="B5658" s="37" t="s">
        <v>17795</v>
      </c>
      <c r="C5658" s="37" t="s">
        <v>12</v>
      </c>
      <c r="D5658" s="326">
        <v>30.68</v>
      </c>
    </row>
    <row r="5659" spans="1:4" ht="13.5">
      <c r="A5659" s="37">
        <v>101266</v>
      </c>
      <c r="B5659" s="37" t="s">
        <v>17796</v>
      </c>
      <c r="C5659" s="37" t="s">
        <v>12</v>
      </c>
      <c r="D5659" s="326">
        <v>11.08</v>
      </c>
    </row>
    <row r="5660" spans="1:4" ht="13.5">
      <c r="A5660" s="37">
        <v>101267</v>
      </c>
      <c r="B5660" s="37" t="s">
        <v>17797</v>
      </c>
      <c r="C5660" s="37" t="s">
        <v>12</v>
      </c>
      <c r="D5660" s="326">
        <v>10.65</v>
      </c>
    </row>
    <row r="5661" spans="1:4" ht="13.5">
      <c r="A5661" s="37">
        <v>101268</v>
      </c>
      <c r="B5661" s="37" t="s">
        <v>17798</v>
      </c>
      <c r="C5661" s="37" t="s">
        <v>12</v>
      </c>
      <c r="D5661" s="326">
        <v>17.48</v>
      </c>
    </row>
    <row r="5662" spans="1:4" ht="13.5">
      <c r="A5662" s="37">
        <v>101269</v>
      </c>
      <c r="B5662" s="37" t="s">
        <v>17799</v>
      </c>
      <c r="C5662" s="37" t="s">
        <v>12</v>
      </c>
      <c r="D5662" s="326">
        <v>19.440000000000001</v>
      </c>
    </row>
    <row r="5663" spans="1:4" ht="13.5">
      <c r="A5663" s="37">
        <v>101270</v>
      </c>
      <c r="B5663" s="37" t="s">
        <v>17800</v>
      </c>
      <c r="C5663" s="37" t="s">
        <v>12</v>
      </c>
      <c r="D5663" s="326">
        <v>22.51</v>
      </c>
    </row>
    <row r="5664" spans="1:4" ht="13.5">
      <c r="A5664" s="37">
        <v>101271</v>
      </c>
      <c r="B5664" s="37" t="s">
        <v>17801</v>
      </c>
      <c r="C5664" s="37" t="s">
        <v>12</v>
      </c>
      <c r="D5664" s="326">
        <v>24.96</v>
      </c>
    </row>
    <row r="5665" spans="1:4" ht="13.5">
      <c r="A5665" s="37">
        <v>101272</v>
      </c>
      <c r="B5665" s="37" t="s">
        <v>17802</v>
      </c>
      <c r="C5665" s="37" t="s">
        <v>12</v>
      </c>
      <c r="D5665" s="326">
        <v>31.16</v>
      </c>
    </row>
    <row r="5666" spans="1:4" ht="13.5">
      <c r="A5666" s="37">
        <v>101273</v>
      </c>
      <c r="B5666" s="37" t="s">
        <v>17803</v>
      </c>
      <c r="C5666" s="37" t="s">
        <v>12</v>
      </c>
      <c r="D5666" s="326">
        <v>16.7</v>
      </c>
    </row>
    <row r="5667" spans="1:4" ht="13.5">
      <c r="A5667" s="37">
        <v>101274</v>
      </c>
      <c r="B5667" s="37" t="s">
        <v>17804</v>
      </c>
      <c r="C5667" s="37" t="s">
        <v>12</v>
      </c>
      <c r="D5667" s="326">
        <v>18.46</v>
      </c>
    </row>
    <row r="5668" spans="1:4" ht="13.5">
      <c r="A5668" s="37">
        <v>101275</v>
      </c>
      <c r="B5668" s="37" t="s">
        <v>17805</v>
      </c>
      <c r="C5668" s="37" t="s">
        <v>12</v>
      </c>
      <c r="D5668" s="326">
        <v>21.38</v>
      </c>
    </row>
    <row r="5669" spans="1:4" ht="13.5">
      <c r="A5669" s="37">
        <v>101276</v>
      </c>
      <c r="B5669" s="37" t="s">
        <v>17806</v>
      </c>
      <c r="C5669" s="37" t="s">
        <v>12</v>
      </c>
      <c r="D5669" s="326">
        <v>23.62</v>
      </c>
    </row>
    <row r="5670" spans="1:4" ht="13.5">
      <c r="A5670" s="37">
        <v>101277</v>
      </c>
      <c r="B5670" s="37" t="s">
        <v>17807</v>
      </c>
      <c r="C5670" s="37" t="s">
        <v>12</v>
      </c>
      <c r="D5670" s="326">
        <v>30.17</v>
      </c>
    </row>
    <row r="5671" spans="1:4" ht="13.5">
      <c r="A5671" s="37">
        <v>102354</v>
      </c>
      <c r="B5671" s="37" t="s">
        <v>8591</v>
      </c>
      <c r="C5671" s="37" t="s">
        <v>12</v>
      </c>
      <c r="D5671" s="326">
        <v>150.94999999999999</v>
      </c>
    </row>
    <row r="5672" spans="1:4" ht="13.5">
      <c r="A5672" s="37">
        <v>102355</v>
      </c>
      <c r="B5672" s="37" t="s">
        <v>8592</v>
      </c>
      <c r="C5672" s="37" t="s">
        <v>12</v>
      </c>
      <c r="D5672" s="326">
        <v>176.67</v>
      </c>
    </row>
    <row r="5673" spans="1:4" ht="13.5">
      <c r="A5673" s="37">
        <v>102360</v>
      </c>
      <c r="B5673" s="37" t="s">
        <v>8593</v>
      </c>
      <c r="C5673" s="37" t="s">
        <v>12</v>
      </c>
      <c r="D5673" s="326">
        <v>24.37</v>
      </c>
    </row>
    <row r="5674" spans="1:4" ht="13.5">
      <c r="A5674" s="37">
        <v>102361</v>
      </c>
      <c r="B5674" s="37" t="s">
        <v>8594</v>
      </c>
      <c r="C5674" s="37" t="s">
        <v>12</v>
      </c>
      <c r="D5674" s="326">
        <v>37.799999999999997</v>
      </c>
    </row>
    <row r="5675" spans="1:4" ht="13.5">
      <c r="A5675" s="37">
        <v>90082</v>
      </c>
      <c r="B5675" s="37" t="s">
        <v>12363</v>
      </c>
      <c r="C5675" s="37" t="s">
        <v>12</v>
      </c>
      <c r="D5675" s="326">
        <v>11.18</v>
      </c>
    </row>
    <row r="5676" spans="1:4" ht="13.5">
      <c r="A5676" s="37">
        <v>90084</v>
      </c>
      <c r="B5676" s="37" t="s">
        <v>12364</v>
      </c>
      <c r="C5676" s="37" t="s">
        <v>12</v>
      </c>
      <c r="D5676" s="326">
        <v>10.84</v>
      </c>
    </row>
    <row r="5677" spans="1:4" ht="13.5">
      <c r="A5677" s="37">
        <v>90086</v>
      </c>
      <c r="B5677" s="37" t="s">
        <v>12365</v>
      </c>
      <c r="C5677" s="37" t="s">
        <v>12</v>
      </c>
      <c r="D5677" s="326">
        <v>10.24</v>
      </c>
    </row>
    <row r="5678" spans="1:4" ht="13.5">
      <c r="A5678" s="37">
        <v>90087</v>
      </c>
      <c r="B5678" s="37" t="s">
        <v>12366</v>
      </c>
      <c r="C5678" s="37" t="s">
        <v>12</v>
      </c>
      <c r="D5678" s="326">
        <v>9.34</v>
      </c>
    </row>
    <row r="5679" spans="1:4" ht="13.5">
      <c r="A5679" s="37">
        <v>90090</v>
      </c>
      <c r="B5679" s="37" t="s">
        <v>12367</v>
      </c>
      <c r="C5679" s="37" t="s">
        <v>12</v>
      </c>
      <c r="D5679" s="326">
        <v>9.14</v>
      </c>
    </row>
    <row r="5680" spans="1:4" ht="13.5">
      <c r="A5680" s="37">
        <v>90091</v>
      </c>
      <c r="B5680" s="37" t="s">
        <v>12368</v>
      </c>
      <c r="C5680" s="37" t="s">
        <v>12</v>
      </c>
      <c r="D5680" s="326">
        <v>6.05</v>
      </c>
    </row>
    <row r="5681" spans="1:4" ht="13.5">
      <c r="A5681" s="37">
        <v>90092</v>
      </c>
      <c r="B5681" s="37" t="s">
        <v>12369</v>
      </c>
      <c r="C5681" s="37" t="s">
        <v>12</v>
      </c>
      <c r="D5681" s="326">
        <v>5.97</v>
      </c>
    </row>
    <row r="5682" spans="1:4" ht="13.5">
      <c r="A5682" s="37">
        <v>90094</v>
      </c>
      <c r="B5682" s="37" t="s">
        <v>12370</v>
      </c>
      <c r="C5682" s="37" t="s">
        <v>12</v>
      </c>
      <c r="D5682" s="326">
        <v>5.65</v>
      </c>
    </row>
    <row r="5683" spans="1:4" ht="13.5">
      <c r="A5683" s="37">
        <v>90095</v>
      </c>
      <c r="B5683" s="37" t="s">
        <v>12371</v>
      </c>
      <c r="C5683" s="37" t="s">
        <v>12</v>
      </c>
      <c r="D5683" s="326">
        <v>5.14</v>
      </c>
    </row>
    <row r="5684" spans="1:4" ht="13.5">
      <c r="A5684" s="37">
        <v>90098</v>
      </c>
      <c r="B5684" s="37" t="s">
        <v>12372</v>
      </c>
      <c r="C5684" s="37" t="s">
        <v>12</v>
      </c>
      <c r="D5684" s="326">
        <v>5.05</v>
      </c>
    </row>
    <row r="5685" spans="1:4" ht="13.5">
      <c r="A5685" s="37">
        <v>90099</v>
      </c>
      <c r="B5685" s="37" t="s">
        <v>12373</v>
      </c>
      <c r="C5685" s="37" t="s">
        <v>12</v>
      </c>
      <c r="D5685" s="326">
        <v>15.93</v>
      </c>
    </row>
    <row r="5686" spans="1:4" ht="13.5">
      <c r="A5686" s="37">
        <v>90100</v>
      </c>
      <c r="B5686" s="37" t="s">
        <v>12374</v>
      </c>
      <c r="C5686" s="37" t="s">
        <v>12</v>
      </c>
      <c r="D5686" s="326">
        <v>13.53</v>
      </c>
    </row>
    <row r="5687" spans="1:4" ht="13.5">
      <c r="A5687" s="37">
        <v>90101</v>
      </c>
      <c r="B5687" s="37" t="s">
        <v>12375</v>
      </c>
      <c r="C5687" s="37" t="s">
        <v>12</v>
      </c>
      <c r="D5687" s="326">
        <v>13.36</v>
      </c>
    </row>
    <row r="5688" spans="1:4" ht="13.5">
      <c r="A5688" s="37">
        <v>90102</v>
      </c>
      <c r="B5688" s="37" t="s">
        <v>12376</v>
      </c>
      <c r="C5688" s="37" t="s">
        <v>12</v>
      </c>
      <c r="D5688" s="326">
        <v>12.16</v>
      </c>
    </row>
    <row r="5689" spans="1:4" ht="13.5">
      <c r="A5689" s="37">
        <v>90105</v>
      </c>
      <c r="B5689" s="37" t="s">
        <v>12377</v>
      </c>
      <c r="C5689" s="37" t="s">
        <v>12</v>
      </c>
      <c r="D5689" s="326">
        <v>8.7799999999999994</v>
      </c>
    </row>
    <row r="5690" spans="1:4" ht="13.5">
      <c r="A5690" s="37">
        <v>90106</v>
      </c>
      <c r="B5690" s="37" t="s">
        <v>12378</v>
      </c>
      <c r="C5690" s="37" t="s">
        <v>12</v>
      </c>
      <c r="D5690" s="326">
        <v>7.47</v>
      </c>
    </row>
    <row r="5691" spans="1:4" ht="13.5">
      <c r="A5691" s="37">
        <v>90107</v>
      </c>
      <c r="B5691" s="37" t="s">
        <v>12379</v>
      </c>
      <c r="C5691" s="37" t="s">
        <v>12</v>
      </c>
      <c r="D5691" s="326">
        <v>7.36</v>
      </c>
    </row>
    <row r="5692" spans="1:4" ht="13.5">
      <c r="A5692" s="37">
        <v>90108</v>
      </c>
      <c r="B5692" s="37" t="s">
        <v>12380</v>
      </c>
      <c r="C5692" s="37" t="s">
        <v>12</v>
      </c>
      <c r="D5692" s="326">
        <v>6.71</v>
      </c>
    </row>
    <row r="5693" spans="1:4" ht="13.5">
      <c r="A5693" s="37">
        <v>93358</v>
      </c>
      <c r="B5693" s="37" t="s">
        <v>8595</v>
      </c>
      <c r="C5693" s="37" t="s">
        <v>12</v>
      </c>
      <c r="D5693" s="326">
        <v>76.19</v>
      </c>
    </row>
    <row r="5694" spans="1:4" ht="13.5">
      <c r="A5694" s="37">
        <v>102276</v>
      </c>
      <c r="B5694" s="37" t="s">
        <v>12381</v>
      </c>
      <c r="C5694" s="37" t="s">
        <v>12</v>
      </c>
      <c r="D5694" s="326">
        <v>12.58</v>
      </c>
    </row>
    <row r="5695" spans="1:4" ht="13.5">
      <c r="A5695" s="37">
        <v>102277</v>
      </c>
      <c r="B5695" s="37" t="s">
        <v>12382</v>
      </c>
      <c r="C5695" s="37" t="s">
        <v>12</v>
      </c>
      <c r="D5695" s="326">
        <v>9.94</v>
      </c>
    </row>
    <row r="5696" spans="1:4" ht="13.5">
      <c r="A5696" s="37">
        <v>102278</v>
      </c>
      <c r="B5696" s="37" t="s">
        <v>12383</v>
      </c>
      <c r="C5696" s="37" t="s">
        <v>12</v>
      </c>
      <c r="D5696" s="326">
        <v>9.74</v>
      </c>
    </row>
    <row r="5697" spans="1:4" ht="13.5">
      <c r="A5697" s="37">
        <v>102279</v>
      </c>
      <c r="B5697" s="37" t="s">
        <v>12384</v>
      </c>
      <c r="C5697" s="37" t="s">
        <v>12</v>
      </c>
      <c r="D5697" s="326">
        <v>6.94</v>
      </c>
    </row>
    <row r="5698" spans="1:4" ht="13.5">
      <c r="A5698" s="37">
        <v>102280</v>
      </c>
      <c r="B5698" s="37" t="s">
        <v>12385</v>
      </c>
      <c r="C5698" s="37" t="s">
        <v>12</v>
      </c>
      <c r="D5698" s="326">
        <v>5.48</v>
      </c>
    </row>
    <row r="5699" spans="1:4" ht="13.5">
      <c r="A5699" s="37">
        <v>102281</v>
      </c>
      <c r="B5699" s="37" t="s">
        <v>12386</v>
      </c>
      <c r="C5699" s="37" t="s">
        <v>12</v>
      </c>
      <c r="D5699" s="326">
        <v>5.38</v>
      </c>
    </row>
    <row r="5700" spans="1:4" ht="13.5">
      <c r="A5700" s="37">
        <v>102282</v>
      </c>
      <c r="B5700" s="37" t="s">
        <v>12387</v>
      </c>
      <c r="C5700" s="37" t="s">
        <v>12</v>
      </c>
      <c r="D5700" s="326">
        <v>13.97</v>
      </c>
    </row>
    <row r="5701" spans="1:4" ht="13.5">
      <c r="A5701" s="37">
        <v>102283</v>
      </c>
      <c r="B5701" s="37" t="s">
        <v>12388</v>
      </c>
      <c r="C5701" s="37" t="s">
        <v>12</v>
      </c>
      <c r="D5701" s="326">
        <v>12.41</v>
      </c>
    </row>
    <row r="5702" spans="1:4" ht="13.5">
      <c r="A5702" s="37">
        <v>102284</v>
      </c>
      <c r="B5702" s="37" t="s">
        <v>12389</v>
      </c>
      <c r="C5702" s="37" t="s">
        <v>12</v>
      </c>
      <c r="D5702" s="326">
        <v>12.03</v>
      </c>
    </row>
    <row r="5703" spans="1:4" ht="13.5">
      <c r="A5703" s="37">
        <v>102285</v>
      </c>
      <c r="B5703" s="37" t="s">
        <v>12390</v>
      </c>
      <c r="C5703" s="37" t="s">
        <v>12</v>
      </c>
      <c r="D5703" s="326">
        <v>11.37</v>
      </c>
    </row>
    <row r="5704" spans="1:4" ht="13.5">
      <c r="A5704" s="37">
        <v>102286</v>
      </c>
      <c r="B5704" s="37" t="s">
        <v>12391</v>
      </c>
      <c r="C5704" s="37" t="s">
        <v>12</v>
      </c>
      <c r="D5704" s="326">
        <v>11.05</v>
      </c>
    </row>
    <row r="5705" spans="1:4" ht="13.5">
      <c r="A5705" s="37">
        <v>102287</v>
      </c>
      <c r="B5705" s="37" t="s">
        <v>12392</v>
      </c>
      <c r="C5705" s="37" t="s">
        <v>12</v>
      </c>
      <c r="D5705" s="326">
        <v>10.83</v>
      </c>
    </row>
    <row r="5706" spans="1:4" ht="13.5">
      <c r="A5706" s="37">
        <v>102288</v>
      </c>
      <c r="B5706" s="37" t="s">
        <v>12393</v>
      </c>
      <c r="C5706" s="37" t="s">
        <v>12</v>
      </c>
      <c r="D5706" s="326">
        <v>10.41</v>
      </c>
    </row>
    <row r="5707" spans="1:4" ht="13.5">
      <c r="A5707" s="37">
        <v>102289</v>
      </c>
      <c r="B5707" s="37" t="s">
        <v>12394</v>
      </c>
      <c r="C5707" s="37" t="s">
        <v>12</v>
      </c>
      <c r="D5707" s="326">
        <v>10.17</v>
      </c>
    </row>
    <row r="5708" spans="1:4" ht="13.5">
      <c r="A5708" s="37">
        <v>102290</v>
      </c>
      <c r="B5708" s="37" t="s">
        <v>12395</v>
      </c>
      <c r="C5708" s="37" t="s">
        <v>12</v>
      </c>
      <c r="D5708" s="326">
        <v>7.7</v>
      </c>
    </row>
    <row r="5709" spans="1:4" ht="13.5">
      <c r="A5709" s="37">
        <v>102291</v>
      </c>
      <c r="B5709" s="37" t="s">
        <v>12396</v>
      </c>
      <c r="C5709" s="37" t="s">
        <v>12</v>
      </c>
      <c r="D5709" s="326">
        <v>6.85</v>
      </c>
    </row>
    <row r="5710" spans="1:4" ht="13.5">
      <c r="A5710" s="37">
        <v>102292</v>
      </c>
      <c r="B5710" s="37" t="s">
        <v>12397</v>
      </c>
      <c r="C5710" s="37" t="s">
        <v>12</v>
      </c>
      <c r="D5710" s="326">
        <v>6.63</v>
      </c>
    </row>
    <row r="5711" spans="1:4" ht="13.5">
      <c r="A5711" s="37">
        <v>102293</v>
      </c>
      <c r="B5711" s="37" t="s">
        <v>12398</v>
      </c>
      <c r="C5711" s="37" t="s">
        <v>12</v>
      </c>
      <c r="D5711" s="326">
        <v>6.28</v>
      </c>
    </row>
    <row r="5712" spans="1:4" ht="13.5">
      <c r="A5712" s="37">
        <v>102294</v>
      </c>
      <c r="B5712" s="37" t="s">
        <v>12399</v>
      </c>
      <c r="C5712" s="37" t="s">
        <v>12</v>
      </c>
      <c r="D5712" s="326">
        <v>6.1</v>
      </c>
    </row>
    <row r="5713" spans="1:4" ht="13.5">
      <c r="A5713" s="37">
        <v>102295</v>
      </c>
      <c r="B5713" s="37" t="s">
        <v>12400</v>
      </c>
      <c r="C5713" s="37" t="s">
        <v>12</v>
      </c>
      <c r="D5713" s="326">
        <v>5.97</v>
      </c>
    </row>
    <row r="5714" spans="1:4" ht="13.5">
      <c r="A5714" s="37">
        <v>102296</v>
      </c>
      <c r="B5714" s="37" t="s">
        <v>12401</v>
      </c>
      <c r="C5714" s="37" t="s">
        <v>12</v>
      </c>
      <c r="D5714" s="326">
        <v>5.73</v>
      </c>
    </row>
    <row r="5715" spans="1:4" ht="13.5">
      <c r="A5715" s="37">
        <v>102297</v>
      </c>
      <c r="B5715" s="37" t="s">
        <v>12402</v>
      </c>
      <c r="C5715" s="37" t="s">
        <v>12</v>
      </c>
      <c r="D5715" s="326">
        <v>5.61</v>
      </c>
    </row>
    <row r="5716" spans="1:4" ht="13.5">
      <c r="A5716" s="37">
        <v>102298</v>
      </c>
      <c r="B5716" s="37" t="s">
        <v>12403</v>
      </c>
      <c r="C5716" s="37" t="s">
        <v>12</v>
      </c>
      <c r="D5716" s="326">
        <v>17.690000000000001</v>
      </c>
    </row>
    <row r="5717" spans="1:4" ht="13.5">
      <c r="A5717" s="37">
        <v>102299</v>
      </c>
      <c r="B5717" s="37" t="s">
        <v>12404</v>
      </c>
      <c r="C5717" s="37" t="s">
        <v>12</v>
      </c>
      <c r="D5717" s="326">
        <v>15.04</v>
      </c>
    </row>
    <row r="5718" spans="1:4" ht="13.5">
      <c r="A5718" s="37">
        <v>102300</v>
      </c>
      <c r="B5718" s="37" t="s">
        <v>12405</v>
      </c>
      <c r="C5718" s="37" t="s">
        <v>12</v>
      </c>
      <c r="D5718" s="326">
        <v>14.84</v>
      </c>
    </row>
    <row r="5719" spans="1:4" ht="13.5">
      <c r="A5719" s="37">
        <v>102301</v>
      </c>
      <c r="B5719" s="37" t="s">
        <v>12406</v>
      </c>
      <c r="C5719" s="37" t="s">
        <v>12</v>
      </c>
      <c r="D5719" s="326">
        <v>13.5</v>
      </c>
    </row>
    <row r="5720" spans="1:4" ht="13.5">
      <c r="A5720" s="37">
        <v>102302</v>
      </c>
      <c r="B5720" s="37" t="s">
        <v>12407</v>
      </c>
      <c r="C5720" s="37" t="s">
        <v>12</v>
      </c>
      <c r="D5720" s="326">
        <v>9.76</v>
      </c>
    </row>
    <row r="5721" spans="1:4" ht="13.5">
      <c r="A5721" s="37">
        <v>102303</v>
      </c>
      <c r="B5721" s="37" t="s">
        <v>12408</v>
      </c>
      <c r="C5721" s="37" t="s">
        <v>12</v>
      </c>
      <c r="D5721" s="326">
        <v>8.2899999999999991</v>
      </c>
    </row>
    <row r="5722" spans="1:4" ht="13.5">
      <c r="A5722" s="37">
        <v>102304</v>
      </c>
      <c r="B5722" s="37" t="s">
        <v>12409</v>
      </c>
      <c r="C5722" s="37" t="s">
        <v>12</v>
      </c>
      <c r="D5722" s="326">
        <v>8.18</v>
      </c>
    </row>
    <row r="5723" spans="1:4" ht="13.5">
      <c r="A5723" s="37">
        <v>102305</v>
      </c>
      <c r="B5723" s="37" t="s">
        <v>12410</v>
      </c>
      <c r="C5723" s="37" t="s">
        <v>12</v>
      </c>
      <c r="D5723" s="326">
        <v>7.46</v>
      </c>
    </row>
    <row r="5724" spans="1:4" ht="13.5">
      <c r="A5724" s="37">
        <v>102306</v>
      </c>
      <c r="B5724" s="37" t="s">
        <v>12411</v>
      </c>
      <c r="C5724" s="37" t="s">
        <v>12</v>
      </c>
      <c r="D5724" s="326">
        <v>15.74</v>
      </c>
    </row>
    <row r="5725" spans="1:4" ht="13.5">
      <c r="A5725" s="37">
        <v>102307</v>
      </c>
      <c r="B5725" s="37" t="s">
        <v>12412</v>
      </c>
      <c r="C5725" s="37" t="s">
        <v>12</v>
      </c>
      <c r="D5725" s="326">
        <v>13.97</v>
      </c>
    </row>
    <row r="5726" spans="1:4" ht="13.5">
      <c r="A5726" s="37">
        <v>102308</v>
      </c>
      <c r="B5726" s="37" t="s">
        <v>12413</v>
      </c>
      <c r="C5726" s="37" t="s">
        <v>12</v>
      </c>
      <c r="D5726" s="326">
        <v>13.53</v>
      </c>
    </row>
    <row r="5727" spans="1:4" ht="13.5">
      <c r="A5727" s="37">
        <v>102309</v>
      </c>
      <c r="B5727" s="37" t="s">
        <v>12414</v>
      </c>
      <c r="C5727" s="37" t="s">
        <v>12</v>
      </c>
      <c r="D5727" s="326">
        <v>12.82</v>
      </c>
    </row>
    <row r="5728" spans="1:4" ht="13.5">
      <c r="A5728" s="37">
        <v>102310</v>
      </c>
      <c r="B5728" s="37" t="s">
        <v>12415</v>
      </c>
      <c r="C5728" s="37" t="s">
        <v>12</v>
      </c>
      <c r="D5728" s="326">
        <v>12.43</v>
      </c>
    </row>
    <row r="5729" spans="1:4" ht="13.5">
      <c r="A5729" s="37">
        <v>102311</v>
      </c>
      <c r="B5729" s="37" t="s">
        <v>12416</v>
      </c>
      <c r="C5729" s="37" t="s">
        <v>12</v>
      </c>
      <c r="D5729" s="326">
        <v>12.18</v>
      </c>
    </row>
    <row r="5730" spans="1:4" ht="13.5">
      <c r="A5730" s="37">
        <v>102312</v>
      </c>
      <c r="B5730" s="37" t="s">
        <v>12417</v>
      </c>
      <c r="C5730" s="37" t="s">
        <v>12</v>
      </c>
      <c r="D5730" s="326">
        <v>11.7</v>
      </c>
    </row>
    <row r="5731" spans="1:4" ht="13.5">
      <c r="A5731" s="37">
        <v>102313</v>
      </c>
      <c r="B5731" s="37" t="s">
        <v>12418</v>
      </c>
      <c r="C5731" s="37" t="s">
        <v>12</v>
      </c>
      <c r="D5731" s="326">
        <v>11.45</v>
      </c>
    </row>
    <row r="5732" spans="1:4" ht="13.5">
      <c r="A5732" s="37">
        <v>102314</v>
      </c>
      <c r="B5732" s="37" t="s">
        <v>12419</v>
      </c>
      <c r="C5732" s="37" t="s">
        <v>12</v>
      </c>
      <c r="D5732" s="326">
        <v>8.68</v>
      </c>
    </row>
    <row r="5733" spans="1:4" ht="13.5">
      <c r="A5733" s="37">
        <v>102315</v>
      </c>
      <c r="B5733" s="37" t="s">
        <v>12420</v>
      </c>
      <c r="C5733" s="37" t="s">
        <v>12</v>
      </c>
      <c r="D5733" s="326">
        <v>7.7</v>
      </c>
    </row>
    <row r="5734" spans="1:4" ht="13.5">
      <c r="A5734" s="37">
        <v>102316</v>
      </c>
      <c r="B5734" s="37" t="s">
        <v>12421</v>
      </c>
      <c r="C5734" s="37" t="s">
        <v>12</v>
      </c>
      <c r="D5734" s="326">
        <v>7.47</v>
      </c>
    </row>
    <row r="5735" spans="1:4" ht="13.5">
      <c r="A5735" s="37">
        <v>102317</v>
      </c>
      <c r="B5735" s="37" t="s">
        <v>12422</v>
      </c>
      <c r="C5735" s="37" t="s">
        <v>12</v>
      </c>
      <c r="D5735" s="326">
        <v>7.04</v>
      </c>
    </row>
    <row r="5736" spans="1:4" ht="13.5">
      <c r="A5736" s="37">
        <v>102318</v>
      </c>
      <c r="B5736" s="37" t="s">
        <v>12423</v>
      </c>
      <c r="C5736" s="37" t="s">
        <v>12</v>
      </c>
      <c r="D5736" s="326">
        <v>6.87</v>
      </c>
    </row>
    <row r="5737" spans="1:4" ht="13.5">
      <c r="A5737" s="37">
        <v>102319</v>
      </c>
      <c r="B5737" s="37" t="s">
        <v>12424</v>
      </c>
      <c r="C5737" s="37" t="s">
        <v>12</v>
      </c>
      <c r="D5737" s="326">
        <v>6.71</v>
      </c>
    </row>
    <row r="5738" spans="1:4" ht="13.5">
      <c r="A5738" s="37">
        <v>102320</v>
      </c>
      <c r="B5738" s="37" t="s">
        <v>12425</v>
      </c>
      <c r="C5738" s="37" t="s">
        <v>12</v>
      </c>
      <c r="D5738" s="326">
        <v>6.45</v>
      </c>
    </row>
    <row r="5739" spans="1:4" ht="13.5">
      <c r="A5739" s="37">
        <v>102321</v>
      </c>
      <c r="B5739" s="37" t="s">
        <v>12426</v>
      </c>
      <c r="C5739" s="37" t="s">
        <v>12</v>
      </c>
      <c r="D5739" s="326">
        <v>6.32</v>
      </c>
    </row>
    <row r="5740" spans="1:4" ht="13.5">
      <c r="A5740" s="37">
        <v>102322</v>
      </c>
      <c r="B5740" s="37" t="s">
        <v>12427</v>
      </c>
      <c r="C5740" s="37" t="s">
        <v>12</v>
      </c>
      <c r="D5740" s="326">
        <v>19.920000000000002</v>
      </c>
    </row>
    <row r="5741" spans="1:4" ht="13.5">
      <c r="A5741" s="37">
        <v>102323</v>
      </c>
      <c r="B5741" s="37" t="s">
        <v>12428</v>
      </c>
      <c r="C5741" s="37" t="s">
        <v>12</v>
      </c>
      <c r="D5741" s="326">
        <v>16.91</v>
      </c>
    </row>
    <row r="5742" spans="1:4" ht="13.5">
      <c r="A5742" s="37">
        <v>102324</v>
      </c>
      <c r="B5742" s="37" t="s">
        <v>12429</v>
      </c>
      <c r="C5742" s="37" t="s">
        <v>12</v>
      </c>
      <c r="D5742" s="326">
        <v>16.71</v>
      </c>
    </row>
    <row r="5743" spans="1:4" ht="13.5">
      <c r="A5743" s="37">
        <v>102325</v>
      </c>
      <c r="B5743" s="37" t="s">
        <v>12430</v>
      </c>
      <c r="C5743" s="37" t="s">
        <v>12</v>
      </c>
      <c r="D5743" s="326">
        <v>15.2</v>
      </c>
    </row>
    <row r="5744" spans="1:4" ht="13.5">
      <c r="A5744" s="37">
        <v>102326</v>
      </c>
      <c r="B5744" s="37" t="s">
        <v>12431</v>
      </c>
      <c r="C5744" s="37" t="s">
        <v>12</v>
      </c>
      <c r="D5744" s="326">
        <v>10.99</v>
      </c>
    </row>
    <row r="5745" spans="1:4" ht="13.5">
      <c r="A5745" s="37">
        <v>102327</v>
      </c>
      <c r="B5745" s="37" t="s">
        <v>12432</v>
      </c>
      <c r="C5745" s="37" t="s">
        <v>12</v>
      </c>
      <c r="D5745" s="326">
        <v>9.34</v>
      </c>
    </row>
    <row r="5746" spans="1:4" ht="13.5">
      <c r="A5746" s="37">
        <v>102328</v>
      </c>
      <c r="B5746" s="37" t="s">
        <v>12433</v>
      </c>
      <c r="C5746" s="37" t="s">
        <v>12</v>
      </c>
      <c r="D5746" s="326">
        <v>9.2100000000000009</v>
      </c>
    </row>
    <row r="5747" spans="1:4" ht="13.5">
      <c r="A5747" s="37">
        <v>102329</v>
      </c>
      <c r="B5747" s="37" t="s">
        <v>12434</v>
      </c>
      <c r="C5747" s="37" t="s">
        <v>12</v>
      </c>
      <c r="D5747" s="326">
        <v>8.39</v>
      </c>
    </row>
    <row r="5748" spans="1:4" ht="13.5">
      <c r="A5748" s="37">
        <v>94304</v>
      </c>
      <c r="B5748" s="37" t="s">
        <v>17808</v>
      </c>
      <c r="C5748" s="37" t="s">
        <v>12</v>
      </c>
      <c r="D5748" s="326">
        <v>73.97</v>
      </c>
    </row>
    <row r="5749" spans="1:4" ht="13.5">
      <c r="A5749" s="37">
        <v>94306</v>
      </c>
      <c r="B5749" s="37" t="s">
        <v>17809</v>
      </c>
      <c r="C5749" s="37" t="s">
        <v>12</v>
      </c>
      <c r="D5749" s="326">
        <v>67.56</v>
      </c>
    </row>
    <row r="5750" spans="1:4" ht="13.5">
      <c r="A5750" s="37">
        <v>94310</v>
      </c>
      <c r="B5750" s="37" t="s">
        <v>17810</v>
      </c>
      <c r="C5750" s="37" t="s">
        <v>12</v>
      </c>
      <c r="D5750" s="326">
        <v>64.67</v>
      </c>
    </row>
    <row r="5751" spans="1:4" ht="13.5">
      <c r="A5751" s="37">
        <v>94316</v>
      </c>
      <c r="B5751" s="37" t="s">
        <v>17811</v>
      </c>
      <c r="C5751" s="37" t="s">
        <v>12</v>
      </c>
      <c r="D5751" s="326">
        <v>69.239999999999995</v>
      </c>
    </row>
    <row r="5752" spans="1:4" ht="13.5">
      <c r="A5752" s="37">
        <v>94318</v>
      </c>
      <c r="B5752" s="37" t="s">
        <v>17812</v>
      </c>
      <c r="C5752" s="37" t="s">
        <v>12</v>
      </c>
      <c r="D5752" s="326">
        <v>63.53</v>
      </c>
    </row>
    <row r="5753" spans="1:4" ht="13.5">
      <c r="A5753" s="37">
        <v>94319</v>
      </c>
      <c r="B5753" s="37" t="s">
        <v>17813</v>
      </c>
      <c r="C5753" s="37" t="s">
        <v>12</v>
      </c>
      <c r="D5753" s="326">
        <v>75.38</v>
      </c>
    </row>
    <row r="5754" spans="1:4" ht="13.5">
      <c r="A5754" s="37">
        <v>94327</v>
      </c>
      <c r="B5754" s="37" t="s">
        <v>17814</v>
      </c>
      <c r="C5754" s="37" t="s">
        <v>12</v>
      </c>
      <c r="D5754" s="326">
        <v>79.400000000000006</v>
      </c>
    </row>
    <row r="5755" spans="1:4" ht="13.5">
      <c r="A5755" s="37">
        <v>94329</v>
      </c>
      <c r="B5755" s="37" t="s">
        <v>17815</v>
      </c>
      <c r="C5755" s="37" t="s">
        <v>12</v>
      </c>
      <c r="D5755" s="326">
        <v>72.989999999999995</v>
      </c>
    </row>
    <row r="5756" spans="1:4" ht="13.5">
      <c r="A5756" s="37">
        <v>94333</v>
      </c>
      <c r="B5756" s="37" t="s">
        <v>17816</v>
      </c>
      <c r="C5756" s="37" t="s">
        <v>12</v>
      </c>
      <c r="D5756" s="326">
        <v>70.099999999999994</v>
      </c>
    </row>
    <row r="5757" spans="1:4" ht="13.5">
      <c r="A5757" s="37">
        <v>94339</v>
      </c>
      <c r="B5757" s="37" t="s">
        <v>17817</v>
      </c>
      <c r="C5757" s="37" t="s">
        <v>12</v>
      </c>
      <c r="D5757" s="326">
        <v>74.67</v>
      </c>
    </row>
    <row r="5758" spans="1:4" ht="13.5">
      <c r="A5758" s="37">
        <v>94341</v>
      </c>
      <c r="B5758" s="37" t="s">
        <v>17818</v>
      </c>
      <c r="C5758" s="37" t="s">
        <v>12</v>
      </c>
      <c r="D5758" s="326">
        <v>68.959999999999994</v>
      </c>
    </row>
    <row r="5759" spans="1:4" ht="13.5">
      <c r="A5759" s="37">
        <v>94342</v>
      </c>
      <c r="B5759" s="37" t="s">
        <v>17819</v>
      </c>
      <c r="C5759" s="37" t="s">
        <v>12</v>
      </c>
      <c r="D5759" s="326">
        <v>80.81</v>
      </c>
    </row>
    <row r="5760" spans="1:4" ht="13.5">
      <c r="A5760" s="37">
        <v>96385</v>
      </c>
      <c r="B5760" s="37" t="s">
        <v>4230</v>
      </c>
      <c r="C5760" s="37" t="s">
        <v>12</v>
      </c>
      <c r="D5760" s="326">
        <v>11.31</v>
      </c>
    </row>
    <row r="5761" spans="1:4" ht="13.5">
      <c r="A5761" s="37">
        <v>96386</v>
      </c>
      <c r="B5761" s="37" t="s">
        <v>4231</v>
      </c>
      <c r="C5761" s="37" t="s">
        <v>12</v>
      </c>
      <c r="D5761" s="326">
        <v>8.51</v>
      </c>
    </row>
    <row r="5762" spans="1:4" ht="13.5">
      <c r="A5762" s="37">
        <v>93367</v>
      </c>
      <c r="B5762" s="37" t="s">
        <v>17820</v>
      </c>
      <c r="C5762" s="37" t="s">
        <v>12</v>
      </c>
      <c r="D5762" s="326">
        <v>23.27</v>
      </c>
    </row>
    <row r="5763" spans="1:4" ht="13.5">
      <c r="A5763" s="37">
        <v>93368</v>
      </c>
      <c r="B5763" s="37" t="s">
        <v>17821</v>
      </c>
      <c r="C5763" s="37" t="s">
        <v>12</v>
      </c>
      <c r="D5763" s="326">
        <v>20.420000000000002</v>
      </c>
    </row>
    <row r="5764" spans="1:4" ht="13.5">
      <c r="A5764" s="37">
        <v>93369</v>
      </c>
      <c r="B5764" s="37" t="s">
        <v>17822</v>
      </c>
      <c r="C5764" s="37" t="s">
        <v>12</v>
      </c>
      <c r="D5764" s="326">
        <v>16.86</v>
      </c>
    </row>
    <row r="5765" spans="1:4" ht="13.5">
      <c r="A5765" s="37">
        <v>93372</v>
      </c>
      <c r="B5765" s="37" t="s">
        <v>17823</v>
      </c>
      <c r="C5765" s="37" t="s">
        <v>12</v>
      </c>
      <c r="D5765" s="326">
        <v>16.22</v>
      </c>
    </row>
    <row r="5766" spans="1:4" ht="13.5">
      <c r="A5766" s="37">
        <v>93373</v>
      </c>
      <c r="B5766" s="37" t="s">
        <v>17824</v>
      </c>
      <c r="C5766" s="37" t="s">
        <v>12</v>
      </c>
      <c r="D5766" s="326">
        <v>13.97</v>
      </c>
    </row>
    <row r="5767" spans="1:4" ht="13.5">
      <c r="A5767" s="37">
        <v>93378</v>
      </c>
      <c r="B5767" s="37" t="s">
        <v>17825</v>
      </c>
      <c r="C5767" s="37" t="s">
        <v>12</v>
      </c>
      <c r="D5767" s="326">
        <v>24.07</v>
      </c>
    </row>
    <row r="5768" spans="1:4" ht="13.5">
      <c r="A5768" s="37">
        <v>93379</v>
      </c>
      <c r="B5768" s="37" t="s">
        <v>17826</v>
      </c>
      <c r="C5768" s="37" t="s">
        <v>12</v>
      </c>
      <c r="D5768" s="326">
        <v>18.54</v>
      </c>
    </row>
    <row r="5769" spans="1:4" ht="13.5">
      <c r="A5769" s="37">
        <v>93380</v>
      </c>
      <c r="B5769" s="37" t="s">
        <v>17827</v>
      </c>
      <c r="C5769" s="37" t="s">
        <v>12</v>
      </c>
      <c r="D5769" s="326">
        <v>15.79</v>
      </c>
    </row>
    <row r="5770" spans="1:4" ht="13.5">
      <c r="A5770" s="37">
        <v>93381</v>
      </c>
      <c r="B5770" s="37" t="s">
        <v>17828</v>
      </c>
      <c r="C5770" s="37" t="s">
        <v>12</v>
      </c>
      <c r="D5770" s="326">
        <v>12.83</v>
      </c>
    </row>
    <row r="5771" spans="1:4" ht="13.5">
      <c r="A5771" s="37">
        <v>93382</v>
      </c>
      <c r="B5771" s="37" t="s">
        <v>17829</v>
      </c>
      <c r="C5771" s="37" t="s">
        <v>12</v>
      </c>
      <c r="D5771" s="326">
        <v>24.68</v>
      </c>
    </row>
    <row r="5772" spans="1:4" ht="13.5">
      <c r="A5772" s="37">
        <v>104728</v>
      </c>
      <c r="B5772" s="37" t="s">
        <v>17830</v>
      </c>
      <c r="C5772" s="37" t="s">
        <v>12</v>
      </c>
      <c r="D5772" s="326">
        <v>18.829999999999998</v>
      </c>
    </row>
    <row r="5773" spans="1:4" ht="13.5">
      <c r="A5773" s="37">
        <v>104729</v>
      </c>
      <c r="B5773" s="37" t="s">
        <v>17831</v>
      </c>
      <c r="C5773" s="37" t="s">
        <v>12</v>
      </c>
      <c r="D5773" s="326">
        <v>16.04</v>
      </c>
    </row>
    <row r="5774" spans="1:4" ht="13.5">
      <c r="A5774" s="37">
        <v>104730</v>
      </c>
      <c r="B5774" s="37" t="s">
        <v>17832</v>
      </c>
      <c r="C5774" s="37" t="s">
        <v>12</v>
      </c>
      <c r="D5774" s="326">
        <v>12.52</v>
      </c>
    </row>
    <row r="5775" spans="1:4" ht="13.5">
      <c r="A5775" s="37">
        <v>104731</v>
      </c>
      <c r="B5775" s="37" t="s">
        <v>17833</v>
      </c>
      <c r="C5775" s="37" t="s">
        <v>12</v>
      </c>
      <c r="D5775" s="326">
        <v>11.89</v>
      </c>
    </row>
    <row r="5776" spans="1:4" ht="13.5">
      <c r="A5776" s="37">
        <v>104732</v>
      </c>
      <c r="B5776" s="37" t="s">
        <v>17834</v>
      </c>
      <c r="C5776" s="37" t="s">
        <v>12</v>
      </c>
      <c r="D5776" s="326">
        <v>9.64</v>
      </c>
    </row>
    <row r="5777" spans="1:4" ht="13.5">
      <c r="A5777" s="37">
        <v>104733</v>
      </c>
      <c r="B5777" s="37" t="s">
        <v>17835</v>
      </c>
      <c r="C5777" s="37" t="s">
        <v>12</v>
      </c>
      <c r="D5777" s="326">
        <v>18.93</v>
      </c>
    </row>
    <row r="5778" spans="1:4" ht="13.5">
      <c r="A5778" s="37">
        <v>104734</v>
      </c>
      <c r="B5778" s="37" t="s">
        <v>17836</v>
      </c>
      <c r="C5778" s="37" t="s">
        <v>12</v>
      </c>
      <c r="D5778" s="326">
        <v>13.77</v>
      </c>
    </row>
    <row r="5779" spans="1:4" ht="13.5">
      <c r="A5779" s="37">
        <v>104735</v>
      </c>
      <c r="B5779" s="37" t="s">
        <v>17837</v>
      </c>
      <c r="C5779" s="37" t="s">
        <v>12</v>
      </c>
      <c r="D5779" s="326">
        <v>11.27</v>
      </c>
    </row>
    <row r="5780" spans="1:4" ht="13.5">
      <c r="A5780" s="37">
        <v>104736</v>
      </c>
      <c r="B5780" s="37" t="s">
        <v>17838</v>
      </c>
      <c r="C5780" s="37" t="s">
        <v>12</v>
      </c>
      <c r="D5780" s="326">
        <v>8.4499999999999993</v>
      </c>
    </row>
    <row r="5781" spans="1:4" ht="13.5">
      <c r="A5781" s="37">
        <v>104737</v>
      </c>
      <c r="B5781" s="37" t="s">
        <v>17839</v>
      </c>
      <c r="C5781" s="37" t="s">
        <v>12</v>
      </c>
      <c r="D5781" s="326">
        <v>19.55</v>
      </c>
    </row>
    <row r="5782" spans="1:4" ht="13.5">
      <c r="A5782" s="37">
        <v>104738</v>
      </c>
      <c r="B5782" s="37" t="s">
        <v>17840</v>
      </c>
      <c r="C5782" s="37" t="s">
        <v>12</v>
      </c>
      <c r="D5782" s="326">
        <v>78.25</v>
      </c>
    </row>
    <row r="5783" spans="1:4" ht="13.5">
      <c r="A5783" s="37">
        <v>104739</v>
      </c>
      <c r="B5783" s="37" t="s">
        <v>17841</v>
      </c>
      <c r="C5783" s="37" t="s">
        <v>12</v>
      </c>
      <c r="D5783" s="326">
        <v>83.68</v>
      </c>
    </row>
    <row r="5784" spans="1:4" ht="13.5">
      <c r="A5784" s="37">
        <v>104740</v>
      </c>
      <c r="B5784" s="37" t="s">
        <v>17842</v>
      </c>
      <c r="C5784" s="37" t="s">
        <v>12</v>
      </c>
      <c r="D5784" s="326">
        <v>27.55</v>
      </c>
    </row>
    <row r="5785" spans="1:4" ht="13.5">
      <c r="A5785" s="37">
        <v>104741</v>
      </c>
      <c r="B5785" s="37" t="s">
        <v>17843</v>
      </c>
      <c r="C5785" s="37" t="s">
        <v>12</v>
      </c>
      <c r="D5785" s="326">
        <v>22.42</v>
      </c>
    </row>
    <row r="5786" spans="1:4" ht="13.5">
      <c r="A5786" s="37">
        <v>104742</v>
      </c>
      <c r="B5786" s="37" t="s">
        <v>17844</v>
      </c>
      <c r="C5786" s="37" t="s">
        <v>9</v>
      </c>
      <c r="D5786" s="326">
        <v>8.23</v>
      </c>
    </row>
    <row r="5787" spans="1:4" ht="13.5">
      <c r="A5787" s="37">
        <v>97916</v>
      </c>
      <c r="B5787" s="37" t="s">
        <v>8596</v>
      </c>
      <c r="C5787" s="37" t="s">
        <v>4232</v>
      </c>
      <c r="D5787" s="326">
        <v>2.39</v>
      </c>
    </row>
    <row r="5788" spans="1:4" ht="13.5">
      <c r="A5788" s="37">
        <v>97917</v>
      </c>
      <c r="B5788" s="37" t="s">
        <v>8597</v>
      </c>
      <c r="C5788" s="37" t="s">
        <v>4232</v>
      </c>
      <c r="D5788" s="326">
        <v>2.06</v>
      </c>
    </row>
    <row r="5789" spans="1:4" ht="13.5">
      <c r="A5789" s="37">
        <v>97918</v>
      </c>
      <c r="B5789" s="37" t="s">
        <v>8598</v>
      </c>
      <c r="C5789" s="37" t="s">
        <v>4232</v>
      </c>
      <c r="D5789" s="326">
        <v>1.9</v>
      </c>
    </row>
    <row r="5790" spans="1:4" ht="13.5">
      <c r="A5790" s="37">
        <v>97919</v>
      </c>
      <c r="B5790" s="37" t="s">
        <v>8599</v>
      </c>
      <c r="C5790" s="37" t="s">
        <v>4232</v>
      </c>
      <c r="D5790" s="326">
        <v>0.75</v>
      </c>
    </row>
    <row r="5791" spans="1:4" ht="13.5">
      <c r="A5791" s="37">
        <v>101616</v>
      </c>
      <c r="B5791" s="37" t="s">
        <v>8600</v>
      </c>
      <c r="C5791" s="37" t="s">
        <v>9</v>
      </c>
      <c r="D5791" s="326">
        <v>5.79</v>
      </c>
    </row>
    <row r="5792" spans="1:4" ht="13.5">
      <c r="A5792" s="37">
        <v>101617</v>
      </c>
      <c r="B5792" s="37" t="s">
        <v>8601</v>
      </c>
      <c r="C5792" s="37" t="s">
        <v>9</v>
      </c>
      <c r="D5792" s="326">
        <v>2.86</v>
      </c>
    </row>
    <row r="5793" spans="1:4" ht="13.5">
      <c r="A5793" s="37">
        <v>101618</v>
      </c>
      <c r="B5793" s="37" t="s">
        <v>8602</v>
      </c>
      <c r="C5793" s="37" t="s">
        <v>12</v>
      </c>
      <c r="D5793" s="326">
        <v>203.95</v>
      </c>
    </row>
    <row r="5794" spans="1:4" ht="13.5">
      <c r="A5794" s="37">
        <v>101619</v>
      </c>
      <c r="B5794" s="37" t="s">
        <v>8603</v>
      </c>
      <c r="C5794" s="37" t="s">
        <v>12</v>
      </c>
      <c r="D5794" s="326">
        <v>318.31</v>
      </c>
    </row>
    <row r="5795" spans="1:4" ht="13.5">
      <c r="A5795" s="37">
        <v>101620</v>
      </c>
      <c r="B5795" s="37" t="s">
        <v>8604</v>
      </c>
      <c r="C5795" s="37" t="s">
        <v>12</v>
      </c>
      <c r="D5795" s="326">
        <v>180.26</v>
      </c>
    </row>
    <row r="5796" spans="1:4" ht="13.5">
      <c r="A5796" s="37">
        <v>101621</v>
      </c>
      <c r="B5796" s="37" t="s">
        <v>8605</v>
      </c>
      <c r="C5796" s="37" t="s">
        <v>12</v>
      </c>
      <c r="D5796" s="326">
        <v>294.61</v>
      </c>
    </row>
    <row r="5797" spans="1:4" ht="13.5">
      <c r="A5797" s="37">
        <v>101622</v>
      </c>
      <c r="B5797" s="37" t="s">
        <v>8606</v>
      </c>
      <c r="C5797" s="37" t="s">
        <v>12</v>
      </c>
      <c r="D5797" s="326">
        <v>183.98</v>
      </c>
    </row>
    <row r="5798" spans="1:4" ht="13.5">
      <c r="A5798" s="37">
        <v>101623</v>
      </c>
      <c r="B5798" s="37" t="s">
        <v>8607</v>
      </c>
      <c r="C5798" s="37" t="s">
        <v>12</v>
      </c>
      <c r="D5798" s="326">
        <v>293.7</v>
      </c>
    </row>
    <row r="5799" spans="1:4" ht="13.5">
      <c r="A5799" s="37">
        <v>101624</v>
      </c>
      <c r="B5799" s="37" t="s">
        <v>8608</v>
      </c>
      <c r="C5799" s="37" t="s">
        <v>12</v>
      </c>
      <c r="D5799" s="326">
        <v>248.81</v>
      </c>
    </row>
    <row r="5800" spans="1:4" ht="13.5">
      <c r="A5800" s="37">
        <v>101625</v>
      </c>
      <c r="B5800" s="37" t="s">
        <v>8609</v>
      </c>
      <c r="C5800" s="37" t="s">
        <v>12</v>
      </c>
      <c r="D5800" s="326">
        <v>144.69999999999999</v>
      </c>
    </row>
    <row r="5801" spans="1:4" ht="13.5">
      <c r="A5801" s="37">
        <v>101159</v>
      </c>
      <c r="B5801" s="37" t="s">
        <v>8610</v>
      </c>
      <c r="C5801" s="37" t="s">
        <v>9</v>
      </c>
      <c r="D5801" s="326">
        <v>116.25</v>
      </c>
    </row>
    <row r="5802" spans="1:4" ht="13.5">
      <c r="A5802" s="37">
        <v>103322</v>
      </c>
      <c r="B5802" s="37" t="s">
        <v>13837</v>
      </c>
      <c r="C5802" s="37" t="s">
        <v>9</v>
      </c>
      <c r="D5802" s="326">
        <v>46.37</v>
      </c>
    </row>
    <row r="5803" spans="1:4" ht="13.5">
      <c r="A5803" s="37">
        <v>103323</v>
      </c>
      <c r="B5803" s="37" t="s">
        <v>13838</v>
      </c>
      <c r="C5803" s="37" t="s">
        <v>9</v>
      </c>
      <c r="D5803" s="326">
        <v>47.32</v>
      </c>
    </row>
    <row r="5804" spans="1:4" ht="13.5">
      <c r="A5804" s="37">
        <v>103324</v>
      </c>
      <c r="B5804" s="37" t="s">
        <v>13839</v>
      </c>
      <c r="C5804" s="37" t="s">
        <v>9</v>
      </c>
      <c r="D5804" s="326">
        <v>62.56</v>
      </c>
    </row>
    <row r="5805" spans="1:4" ht="13.5">
      <c r="A5805" s="37">
        <v>103325</v>
      </c>
      <c r="B5805" s="37" t="s">
        <v>13840</v>
      </c>
      <c r="C5805" s="37" t="s">
        <v>9</v>
      </c>
      <c r="D5805" s="326">
        <v>63.63</v>
      </c>
    </row>
    <row r="5806" spans="1:4" ht="13.5">
      <c r="A5806" s="37">
        <v>103326</v>
      </c>
      <c r="B5806" s="37" t="s">
        <v>13841</v>
      </c>
      <c r="C5806" s="37" t="s">
        <v>9</v>
      </c>
      <c r="D5806" s="326">
        <v>75.150000000000006</v>
      </c>
    </row>
    <row r="5807" spans="1:4" ht="13.5">
      <c r="A5807" s="37">
        <v>103327</v>
      </c>
      <c r="B5807" s="37" t="s">
        <v>13842</v>
      </c>
      <c r="C5807" s="37" t="s">
        <v>9</v>
      </c>
      <c r="D5807" s="326">
        <v>76.41</v>
      </c>
    </row>
    <row r="5808" spans="1:4" ht="13.5">
      <c r="A5808" s="37">
        <v>103328</v>
      </c>
      <c r="B5808" s="37" t="s">
        <v>13843</v>
      </c>
      <c r="C5808" s="37" t="s">
        <v>9</v>
      </c>
      <c r="D5808" s="326">
        <v>77.87</v>
      </c>
    </row>
    <row r="5809" spans="1:4" ht="13.5">
      <c r="A5809" s="37">
        <v>103329</v>
      </c>
      <c r="B5809" s="37" t="s">
        <v>13844</v>
      </c>
      <c r="C5809" s="37" t="s">
        <v>9</v>
      </c>
      <c r="D5809" s="326">
        <v>78.7</v>
      </c>
    </row>
    <row r="5810" spans="1:4" ht="13.5">
      <c r="A5810" s="37">
        <v>103330</v>
      </c>
      <c r="B5810" s="37" t="s">
        <v>13845</v>
      </c>
      <c r="C5810" s="37" t="s">
        <v>9</v>
      </c>
      <c r="D5810" s="326">
        <v>69.5</v>
      </c>
    </row>
    <row r="5811" spans="1:4" ht="13.5">
      <c r="A5811" s="37">
        <v>103331</v>
      </c>
      <c r="B5811" s="37" t="s">
        <v>13846</v>
      </c>
      <c r="C5811" s="37" t="s">
        <v>9</v>
      </c>
      <c r="D5811" s="326">
        <v>70.39</v>
      </c>
    </row>
    <row r="5812" spans="1:4" ht="13.5">
      <c r="A5812" s="37">
        <v>103332</v>
      </c>
      <c r="B5812" s="37" t="s">
        <v>13847</v>
      </c>
      <c r="C5812" s="37" t="s">
        <v>9</v>
      </c>
      <c r="D5812" s="326">
        <v>103</v>
      </c>
    </row>
    <row r="5813" spans="1:4" ht="13.5">
      <c r="A5813" s="37">
        <v>103333</v>
      </c>
      <c r="B5813" s="37" t="s">
        <v>13848</v>
      </c>
      <c r="C5813" s="37" t="s">
        <v>9</v>
      </c>
      <c r="D5813" s="326">
        <v>103.95</v>
      </c>
    </row>
    <row r="5814" spans="1:4" ht="13.5">
      <c r="A5814" s="37">
        <v>103334</v>
      </c>
      <c r="B5814" s="37" t="s">
        <v>13849</v>
      </c>
      <c r="C5814" s="37" t="s">
        <v>9</v>
      </c>
      <c r="D5814" s="326">
        <v>123</v>
      </c>
    </row>
    <row r="5815" spans="1:4" ht="13.5">
      <c r="A5815" s="37">
        <v>103335</v>
      </c>
      <c r="B5815" s="37" t="s">
        <v>13850</v>
      </c>
      <c r="C5815" s="37" t="s">
        <v>9</v>
      </c>
      <c r="D5815" s="326">
        <v>124.67</v>
      </c>
    </row>
    <row r="5816" spans="1:4" ht="13.5">
      <c r="A5816" s="37">
        <v>103350</v>
      </c>
      <c r="B5816" s="37" t="s">
        <v>13851</v>
      </c>
      <c r="C5816" s="37" t="s">
        <v>9</v>
      </c>
      <c r="D5816" s="326">
        <v>150.91</v>
      </c>
    </row>
    <row r="5817" spans="1:4" ht="13.5">
      <c r="A5817" s="37">
        <v>103351</v>
      </c>
      <c r="B5817" s="37" t="s">
        <v>13852</v>
      </c>
      <c r="C5817" s="37" t="s">
        <v>9</v>
      </c>
      <c r="D5817" s="326">
        <v>152.13</v>
      </c>
    </row>
    <row r="5818" spans="1:4" ht="13.5">
      <c r="A5818" s="37">
        <v>103356</v>
      </c>
      <c r="B5818" s="37" t="s">
        <v>13853</v>
      </c>
      <c r="C5818" s="37" t="s">
        <v>9</v>
      </c>
      <c r="D5818" s="326">
        <v>46.38</v>
      </c>
    </row>
    <row r="5819" spans="1:4" ht="13.5">
      <c r="A5819" s="37">
        <v>103357</v>
      </c>
      <c r="B5819" s="37" t="s">
        <v>13854</v>
      </c>
      <c r="C5819" s="37" t="s">
        <v>9</v>
      </c>
      <c r="D5819" s="326">
        <v>47.08</v>
      </c>
    </row>
    <row r="5820" spans="1:4" ht="13.5">
      <c r="A5820" s="37">
        <v>89282</v>
      </c>
      <c r="B5820" s="37" t="s">
        <v>17845</v>
      </c>
      <c r="C5820" s="37" t="s">
        <v>9</v>
      </c>
      <c r="D5820" s="326">
        <v>55.82</v>
      </c>
    </row>
    <row r="5821" spans="1:4" ht="13.5">
      <c r="A5821" s="37">
        <v>89283</v>
      </c>
      <c r="B5821" s="37" t="s">
        <v>17846</v>
      </c>
      <c r="C5821" s="37" t="s">
        <v>9</v>
      </c>
      <c r="D5821" s="326">
        <v>56.86</v>
      </c>
    </row>
    <row r="5822" spans="1:4" ht="13.5">
      <c r="A5822" s="37">
        <v>89290</v>
      </c>
      <c r="B5822" s="37" t="s">
        <v>17847</v>
      </c>
      <c r="C5822" s="37" t="s">
        <v>9</v>
      </c>
      <c r="D5822" s="326">
        <v>64.27</v>
      </c>
    </row>
    <row r="5823" spans="1:4" ht="13.5">
      <c r="A5823" s="37">
        <v>89291</v>
      </c>
      <c r="B5823" s="37" t="s">
        <v>17848</v>
      </c>
      <c r="C5823" s="37" t="s">
        <v>9</v>
      </c>
      <c r="D5823" s="326">
        <v>65.42</v>
      </c>
    </row>
    <row r="5824" spans="1:4" ht="13.5">
      <c r="A5824" s="37">
        <v>89298</v>
      </c>
      <c r="B5824" s="37" t="s">
        <v>17849</v>
      </c>
      <c r="C5824" s="37" t="s">
        <v>9</v>
      </c>
      <c r="D5824" s="326">
        <v>66.14</v>
      </c>
    </row>
    <row r="5825" spans="1:4" ht="13.5">
      <c r="A5825" s="37">
        <v>89299</v>
      </c>
      <c r="B5825" s="37" t="s">
        <v>17850</v>
      </c>
      <c r="C5825" s="37" t="s">
        <v>9</v>
      </c>
      <c r="D5825" s="326">
        <v>67.53</v>
      </c>
    </row>
    <row r="5826" spans="1:4" ht="13.5">
      <c r="A5826" s="37">
        <v>89306</v>
      </c>
      <c r="B5826" s="37" t="s">
        <v>17851</v>
      </c>
      <c r="C5826" s="37" t="s">
        <v>9</v>
      </c>
      <c r="D5826" s="326">
        <v>78.86</v>
      </c>
    </row>
    <row r="5827" spans="1:4" ht="13.5">
      <c r="A5827" s="37">
        <v>89307</v>
      </c>
      <c r="B5827" s="37" t="s">
        <v>17852</v>
      </c>
      <c r="C5827" s="37" t="s">
        <v>9</v>
      </c>
      <c r="D5827" s="326">
        <v>80.41</v>
      </c>
    </row>
    <row r="5828" spans="1:4" ht="13.5">
      <c r="A5828" s="37">
        <v>101157</v>
      </c>
      <c r="B5828" s="37" t="s">
        <v>12435</v>
      </c>
      <c r="C5828" s="37" t="s">
        <v>9</v>
      </c>
      <c r="D5828" s="326">
        <v>60.81</v>
      </c>
    </row>
    <row r="5829" spans="1:4" ht="13.5">
      <c r="A5829" s="37">
        <v>101158</v>
      </c>
      <c r="B5829" s="37" t="s">
        <v>12436</v>
      </c>
      <c r="C5829" s="37" t="s">
        <v>9</v>
      </c>
      <c r="D5829" s="326">
        <v>79.63</v>
      </c>
    </row>
    <row r="5830" spans="1:4" ht="13.5">
      <c r="A5830" s="37">
        <v>101162</v>
      </c>
      <c r="B5830" s="37" t="s">
        <v>8611</v>
      </c>
      <c r="C5830" s="37" t="s">
        <v>9</v>
      </c>
      <c r="D5830" s="326">
        <v>128.38999999999999</v>
      </c>
    </row>
    <row r="5831" spans="1:4" ht="13.5">
      <c r="A5831" s="37">
        <v>103316</v>
      </c>
      <c r="B5831" s="37" t="s">
        <v>13855</v>
      </c>
      <c r="C5831" s="37" t="s">
        <v>9</v>
      </c>
      <c r="D5831" s="326">
        <v>69.680000000000007</v>
      </c>
    </row>
    <row r="5832" spans="1:4" ht="13.5">
      <c r="A5832" s="37">
        <v>103317</v>
      </c>
      <c r="B5832" s="37" t="s">
        <v>13856</v>
      </c>
      <c r="C5832" s="37" t="s">
        <v>9</v>
      </c>
      <c r="D5832" s="326">
        <v>70.47</v>
      </c>
    </row>
    <row r="5833" spans="1:4" ht="13.5">
      <c r="A5833" s="37">
        <v>103318</v>
      </c>
      <c r="B5833" s="37" t="s">
        <v>13857</v>
      </c>
      <c r="C5833" s="37" t="s">
        <v>9</v>
      </c>
      <c r="D5833" s="326">
        <v>90.41</v>
      </c>
    </row>
    <row r="5834" spans="1:4" ht="13.5">
      <c r="A5834" s="37">
        <v>103319</v>
      </c>
      <c r="B5834" s="37" t="s">
        <v>13858</v>
      </c>
      <c r="C5834" s="37" t="s">
        <v>9</v>
      </c>
      <c r="D5834" s="326">
        <v>91.34</v>
      </c>
    </row>
    <row r="5835" spans="1:4" ht="13.5">
      <c r="A5835" s="37">
        <v>103320</v>
      </c>
      <c r="B5835" s="37" t="s">
        <v>13859</v>
      </c>
      <c r="C5835" s="37" t="s">
        <v>9</v>
      </c>
      <c r="D5835" s="326">
        <v>108.91</v>
      </c>
    </row>
    <row r="5836" spans="1:4" ht="13.5">
      <c r="A5836" s="37">
        <v>103321</v>
      </c>
      <c r="B5836" s="37" t="s">
        <v>13860</v>
      </c>
      <c r="C5836" s="37" t="s">
        <v>9</v>
      </c>
      <c r="D5836" s="326">
        <v>110.08</v>
      </c>
    </row>
    <row r="5837" spans="1:4" ht="13.5">
      <c r="A5837" s="37">
        <v>103336</v>
      </c>
      <c r="B5837" s="37" t="s">
        <v>13861</v>
      </c>
      <c r="C5837" s="37" t="s">
        <v>9</v>
      </c>
      <c r="D5837" s="326">
        <v>78.09</v>
      </c>
    </row>
    <row r="5838" spans="1:4" ht="13.5">
      <c r="A5838" s="37">
        <v>103337</v>
      </c>
      <c r="B5838" s="37" t="s">
        <v>13862</v>
      </c>
      <c r="C5838" s="37" t="s">
        <v>9</v>
      </c>
      <c r="D5838" s="326">
        <v>78.88</v>
      </c>
    </row>
    <row r="5839" spans="1:4" ht="13.5">
      <c r="A5839" s="37">
        <v>103338</v>
      </c>
      <c r="B5839" s="37" t="s">
        <v>13863</v>
      </c>
      <c r="C5839" s="37" t="s">
        <v>9</v>
      </c>
      <c r="D5839" s="326">
        <v>102.71</v>
      </c>
    </row>
    <row r="5840" spans="1:4" ht="13.5">
      <c r="A5840" s="37">
        <v>103339</v>
      </c>
      <c r="B5840" s="37" t="s">
        <v>13864</v>
      </c>
      <c r="C5840" s="37" t="s">
        <v>9</v>
      </c>
      <c r="D5840" s="326">
        <v>103.64</v>
      </c>
    </row>
    <row r="5841" spans="1:4" ht="13.5">
      <c r="A5841" s="37">
        <v>103340</v>
      </c>
      <c r="B5841" s="37" t="s">
        <v>13865</v>
      </c>
      <c r="C5841" s="37" t="s">
        <v>9</v>
      </c>
      <c r="D5841" s="326">
        <v>124.66</v>
      </c>
    </row>
    <row r="5842" spans="1:4" ht="13.5">
      <c r="A5842" s="37">
        <v>103341</v>
      </c>
      <c r="B5842" s="37" t="s">
        <v>13866</v>
      </c>
      <c r="C5842" s="37" t="s">
        <v>9</v>
      </c>
      <c r="D5842" s="326">
        <v>125.83</v>
      </c>
    </row>
    <row r="5843" spans="1:4" ht="13.5">
      <c r="A5843" s="37">
        <v>103342</v>
      </c>
      <c r="B5843" s="37" t="s">
        <v>13867</v>
      </c>
      <c r="C5843" s="37" t="s">
        <v>9</v>
      </c>
      <c r="D5843" s="326">
        <v>105.43</v>
      </c>
    </row>
    <row r="5844" spans="1:4" ht="13.5">
      <c r="A5844" s="37">
        <v>103343</v>
      </c>
      <c r="B5844" s="37" t="s">
        <v>13868</v>
      </c>
      <c r="C5844" s="37" t="s">
        <v>9</v>
      </c>
      <c r="D5844" s="326">
        <v>106.45</v>
      </c>
    </row>
    <row r="5845" spans="1:4" ht="13.5">
      <c r="A5845" s="37">
        <v>89453</v>
      </c>
      <c r="B5845" s="37" t="s">
        <v>17853</v>
      </c>
      <c r="C5845" s="37" t="s">
        <v>9</v>
      </c>
      <c r="D5845" s="326">
        <v>79.41</v>
      </c>
    </row>
    <row r="5846" spans="1:4" ht="13.5">
      <c r="A5846" s="37">
        <v>89455</v>
      </c>
      <c r="B5846" s="37" t="s">
        <v>17854</v>
      </c>
      <c r="C5846" s="37" t="s">
        <v>9</v>
      </c>
      <c r="D5846" s="326">
        <v>96.54</v>
      </c>
    </row>
    <row r="5847" spans="1:4" ht="13.5">
      <c r="A5847" s="37">
        <v>89462</v>
      </c>
      <c r="B5847" s="37" t="s">
        <v>17855</v>
      </c>
      <c r="C5847" s="37" t="s">
        <v>9</v>
      </c>
      <c r="D5847" s="326">
        <v>104.38</v>
      </c>
    </row>
    <row r="5848" spans="1:4" ht="13.5">
      <c r="A5848" s="37">
        <v>89464</v>
      </c>
      <c r="B5848" s="37" t="s">
        <v>17856</v>
      </c>
      <c r="C5848" s="37" t="s">
        <v>9</v>
      </c>
      <c r="D5848" s="326">
        <v>123.16</v>
      </c>
    </row>
    <row r="5849" spans="1:4" ht="13.5">
      <c r="A5849" s="37">
        <v>89470</v>
      </c>
      <c r="B5849" s="37" t="s">
        <v>17857</v>
      </c>
      <c r="C5849" s="37" t="s">
        <v>9</v>
      </c>
      <c r="D5849" s="326">
        <v>89.81</v>
      </c>
    </row>
    <row r="5850" spans="1:4" ht="13.5">
      <c r="A5850" s="37">
        <v>89472</v>
      </c>
      <c r="B5850" s="37" t="s">
        <v>17858</v>
      </c>
      <c r="C5850" s="37" t="s">
        <v>9</v>
      </c>
      <c r="D5850" s="326">
        <v>107.87</v>
      </c>
    </row>
    <row r="5851" spans="1:4" ht="13.5">
      <c r="A5851" s="37">
        <v>89478</v>
      </c>
      <c r="B5851" s="37" t="s">
        <v>17859</v>
      </c>
      <c r="C5851" s="37" t="s">
        <v>9</v>
      </c>
      <c r="D5851" s="326">
        <v>121.38</v>
      </c>
    </row>
    <row r="5852" spans="1:4" ht="13.5">
      <c r="A5852" s="37">
        <v>89480</v>
      </c>
      <c r="B5852" s="37" t="s">
        <v>17860</v>
      </c>
      <c r="C5852" s="37" t="s">
        <v>9</v>
      </c>
      <c r="D5852" s="326">
        <v>141.12</v>
      </c>
    </row>
    <row r="5853" spans="1:4" ht="13.5">
      <c r="A5853" s="37">
        <v>101161</v>
      </c>
      <c r="B5853" s="37" t="s">
        <v>8612</v>
      </c>
      <c r="C5853" s="37" t="s">
        <v>9</v>
      </c>
      <c r="D5853" s="326">
        <v>206.57</v>
      </c>
    </row>
    <row r="5854" spans="1:4" ht="13.5">
      <c r="A5854" s="37">
        <v>101163</v>
      </c>
      <c r="B5854" s="37" t="s">
        <v>8613</v>
      </c>
      <c r="C5854" s="37" t="s">
        <v>9</v>
      </c>
      <c r="D5854" s="326">
        <v>747.18</v>
      </c>
    </row>
    <row r="5855" spans="1:4" ht="13.5">
      <c r="A5855" s="37">
        <v>101164</v>
      </c>
      <c r="B5855" s="37" t="s">
        <v>8614</v>
      </c>
      <c r="C5855" s="37" t="s">
        <v>9</v>
      </c>
      <c r="D5855" s="326">
        <v>758.13</v>
      </c>
    </row>
    <row r="5856" spans="1:4" ht="13.5">
      <c r="A5856" s="37">
        <v>96358</v>
      </c>
      <c r="B5856" s="37" t="s">
        <v>17861</v>
      </c>
      <c r="C5856" s="37" t="s">
        <v>9</v>
      </c>
      <c r="D5856" s="326">
        <v>89.53</v>
      </c>
    </row>
    <row r="5857" spans="1:4" ht="13.5">
      <c r="A5857" s="37">
        <v>96359</v>
      </c>
      <c r="B5857" s="37" t="s">
        <v>17862</v>
      </c>
      <c r="C5857" s="37" t="s">
        <v>9</v>
      </c>
      <c r="D5857" s="326">
        <v>99.87</v>
      </c>
    </row>
    <row r="5858" spans="1:4" ht="13.5">
      <c r="A5858" s="37">
        <v>96360</v>
      </c>
      <c r="B5858" s="37" t="s">
        <v>17863</v>
      </c>
      <c r="C5858" s="37" t="s">
        <v>9</v>
      </c>
      <c r="D5858" s="326">
        <v>115.05</v>
      </c>
    </row>
    <row r="5859" spans="1:4" ht="13.5">
      <c r="A5859" s="37">
        <v>96361</v>
      </c>
      <c r="B5859" s="37" t="s">
        <v>17864</v>
      </c>
      <c r="C5859" s="37" t="s">
        <v>9</v>
      </c>
      <c r="D5859" s="326">
        <v>134.52000000000001</v>
      </c>
    </row>
    <row r="5860" spans="1:4" ht="13.5">
      <c r="A5860" s="37">
        <v>96362</v>
      </c>
      <c r="B5860" s="37" t="s">
        <v>17865</v>
      </c>
      <c r="C5860" s="37" t="s">
        <v>9</v>
      </c>
      <c r="D5860" s="326">
        <v>116.39</v>
      </c>
    </row>
    <row r="5861" spans="1:4" ht="13.5">
      <c r="A5861" s="37">
        <v>96363</v>
      </c>
      <c r="B5861" s="37" t="s">
        <v>17866</v>
      </c>
      <c r="C5861" s="37" t="s">
        <v>9</v>
      </c>
      <c r="D5861" s="326">
        <v>127.33</v>
      </c>
    </row>
    <row r="5862" spans="1:4" ht="13.5">
      <c r="A5862" s="37">
        <v>96364</v>
      </c>
      <c r="B5862" s="37" t="s">
        <v>17867</v>
      </c>
      <c r="C5862" s="37" t="s">
        <v>9</v>
      </c>
      <c r="D5862" s="326">
        <v>141.91</v>
      </c>
    </row>
    <row r="5863" spans="1:4" ht="13.5">
      <c r="A5863" s="37">
        <v>96365</v>
      </c>
      <c r="B5863" s="37" t="s">
        <v>17868</v>
      </c>
      <c r="C5863" s="37" t="s">
        <v>9</v>
      </c>
      <c r="D5863" s="326">
        <v>162</v>
      </c>
    </row>
    <row r="5864" spans="1:4" ht="13.5">
      <c r="A5864" s="37">
        <v>96366</v>
      </c>
      <c r="B5864" s="37" t="s">
        <v>17869</v>
      </c>
      <c r="C5864" s="37" t="s">
        <v>9</v>
      </c>
      <c r="D5864" s="326">
        <v>143.25</v>
      </c>
    </row>
    <row r="5865" spans="1:4" ht="13.5">
      <c r="A5865" s="37">
        <v>96367</v>
      </c>
      <c r="B5865" s="37" t="s">
        <v>17870</v>
      </c>
      <c r="C5865" s="37" t="s">
        <v>9</v>
      </c>
      <c r="D5865" s="326">
        <v>154.81</v>
      </c>
    </row>
    <row r="5866" spans="1:4" ht="13.5">
      <c r="A5866" s="37">
        <v>96368</v>
      </c>
      <c r="B5866" s="37" t="s">
        <v>17871</v>
      </c>
      <c r="C5866" s="37" t="s">
        <v>9</v>
      </c>
      <c r="D5866" s="326">
        <v>168.79</v>
      </c>
    </row>
    <row r="5867" spans="1:4" ht="13.5">
      <c r="A5867" s="37">
        <v>96369</v>
      </c>
      <c r="B5867" s="37" t="s">
        <v>17872</v>
      </c>
      <c r="C5867" s="37" t="s">
        <v>9</v>
      </c>
      <c r="D5867" s="326">
        <v>189.48</v>
      </c>
    </row>
    <row r="5868" spans="1:4" ht="13.5">
      <c r="A5868" s="37">
        <v>96370</v>
      </c>
      <c r="B5868" s="37" t="s">
        <v>17873</v>
      </c>
      <c r="C5868" s="37" t="s">
        <v>9</v>
      </c>
      <c r="D5868" s="326">
        <v>58.77</v>
      </c>
    </row>
    <row r="5869" spans="1:4" ht="13.5">
      <c r="A5869" s="37">
        <v>96371</v>
      </c>
      <c r="B5869" s="37" t="s">
        <v>17874</v>
      </c>
      <c r="C5869" s="37" t="s">
        <v>9</v>
      </c>
      <c r="D5869" s="326">
        <v>68.48</v>
      </c>
    </row>
    <row r="5870" spans="1:4" ht="13.5">
      <c r="A5870" s="37">
        <v>96373</v>
      </c>
      <c r="B5870" s="37" t="s">
        <v>17875</v>
      </c>
      <c r="C5870" s="37" t="s">
        <v>6</v>
      </c>
      <c r="D5870" s="326">
        <v>10.54</v>
      </c>
    </row>
    <row r="5871" spans="1:4" ht="13.5">
      <c r="A5871" s="37">
        <v>96374</v>
      </c>
      <c r="B5871" s="37" t="s">
        <v>17876</v>
      </c>
      <c r="C5871" s="37" t="s">
        <v>6</v>
      </c>
      <c r="D5871" s="326">
        <v>29.44</v>
      </c>
    </row>
    <row r="5872" spans="1:4" ht="13.5">
      <c r="A5872" s="37">
        <v>102235</v>
      </c>
      <c r="B5872" s="37" t="s">
        <v>17877</v>
      </c>
      <c r="C5872" s="37" t="s">
        <v>9</v>
      </c>
      <c r="D5872" s="326">
        <v>481.83</v>
      </c>
    </row>
    <row r="5873" spans="1:4" ht="13.5">
      <c r="A5873" s="37">
        <v>102253</v>
      </c>
      <c r="B5873" s="37" t="s">
        <v>8615</v>
      </c>
      <c r="C5873" s="37" t="s">
        <v>9</v>
      </c>
      <c r="D5873" s="326">
        <v>536.26</v>
      </c>
    </row>
    <row r="5874" spans="1:4" ht="13.5">
      <c r="A5874" s="37">
        <v>102254</v>
      </c>
      <c r="B5874" s="37" t="s">
        <v>8616</v>
      </c>
      <c r="C5874" s="37" t="s">
        <v>9</v>
      </c>
      <c r="D5874" s="326">
        <v>427.96</v>
      </c>
    </row>
    <row r="5875" spans="1:4" ht="13.5">
      <c r="A5875" s="37">
        <v>102255</v>
      </c>
      <c r="B5875" s="37" t="s">
        <v>8617</v>
      </c>
      <c r="C5875" s="37" t="s">
        <v>9</v>
      </c>
      <c r="D5875" s="326">
        <v>583.16999999999996</v>
      </c>
    </row>
    <row r="5876" spans="1:4" ht="13.5">
      <c r="A5876" s="37">
        <v>102256</v>
      </c>
      <c r="B5876" s="37" t="s">
        <v>8618</v>
      </c>
      <c r="C5876" s="37" t="s">
        <v>9</v>
      </c>
      <c r="D5876" s="326">
        <v>480.03</v>
      </c>
    </row>
    <row r="5877" spans="1:4" ht="13.5">
      <c r="A5877" s="37">
        <v>102257</v>
      </c>
      <c r="B5877" s="37" t="s">
        <v>8619</v>
      </c>
      <c r="C5877" s="37" t="s">
        <v>9</v>
      </c>
      <c r="D5877" s="326">
        <v>327.52</v>
      </c>
    </row>
    <row r="5878" spans="1:4" ht="13.5">
      <c r="A5878" s="37">
        <v>102258</v>
      </c>
      <c r="B5878" s="37" t="s">
        <v>8620</v>
      </c>
      <c r="C5878" s="37" t="s">
        <v>9</v>
      </c>
      <c r="D5878" s="326">
        <v>376.52</v>
      </c>
    </row>
    <row r="5879" spans="1:4" ht="13.5">
      <c r="A5879" s="37">
        <v>104718</v>
      </c>
      <c r="B5879" s="37" t="s">
        <v>17878</v>
      </c>
      <c r="C5879" s="37" t="s">
        <v>9</v>
      </c>
      <c r="D5879" s="326">
        <v>118.51</v>
      </c>
    </row>
    <row r="5880" spans="1:4" ht="13.5">
      <c r="A5880" s="37">
        <v>104719</v>
      </c>
      <c r="B5880" s="37" t="s">
        <v>17879</v>
      </c>
      <c r="C5880" s="37" t="s">
        <v>9</v>
      </c>
      <c r="D5880" s="326">
        <v>168.76</v>
      </c>
    </row>
    <row r="5881" spans="1:4" ht="13.5">
      <c r="A5881" s="37">
        <v>104720</v>
      </c>
      <c r="B5881" s="37" t="s">
        <v>17880</v>
      </c>
      <c r="C5881" s="37" t="s">
        <v>9</v>
      </c>
      <c r="D5881" s="326">
        <v>147.19999999999999</v>
      </c>
    </row>
    <row r="5882" spans="1:4" ht="13.5">
      <c r="A5882" s="37">
        <v>104721</v>
      </c>
      <c r="B5882" s="37" t="s">
        <v>17881</v>
      </c>
      <c r="C5882" s="37" t="s">
        <v>9</v>
      </c>
      <c r="D5882" s="326">
        <v>197.45</v>
      </c>
    </row>
    <row r="5883" spans="1:4" ht="13.5">
      <c r="A5883" s="37">
        <v>104722</v>
      </c>
      <c r="B5883" s="37" t="s">
        <v>17882</v>
      </c>
      <c r="C5883" s="37" t="s">
        <v>9</v>
      </c>
      <c r="D5883" s="326">
        <v>175.87</v>
      </c>
    </row>
    <row r="5884" spans="1:4" ht="13.5">
      <c r="A5884" s="37">
        <v>104723</v>
      </c>
      <c r="B5884" s="37" t="s">
        <v>17883</v>
      </c>
      <c r="C5884" s="37" t="s">
        <v>9</v>
      </c>
      <c r="D5884" s="326">
        <v>226.12</v>
      </c>
    </row>
    <row r="5885" spans="1:4" ht="13.5">
      <c r="A5885" s="37">
        <v>104724</v>
      </c>
      <c r="B5885" s="37" t="s">
        <v>17884</v>
      </c>
      <c r="C5885" s="37" t="s">
        <v>9</v>
      </c>
      <c r="D5885" s="326">
        <v>85.91</v>
      </c>
    </row>
    <row r="5886" spans="1:4" ht="13.5">
      <c r="A5886" s="37">
        <v>101154</v>
      </c>
      <c r="B5886" s="37" t="s">
        <v>8621</v>
      </c>
      <c r="C5886" s="37" t="s">
        <v>9</v>
      </c>
      <c r="D5886" s="326">
        <v>125.45</v>
      </c>
    </row>
    <row r="5887" spans="1:4" ht="13.5">
      <c r="A5887" s="37">
        <v>101155</v>
      </c>
      <c r="B5887" s="37" t="s">
        <v>8622</v>
      </c>
      <c r="C5887" s="37" t="s">
        <v>9</v>
      </c>
      <c r="D5887" s="326">
        <v>176.72</v>
      </c>
    </row>
    <row r="5888" spans="1:4" ht="13.5">
      <c r="A5888" s="37">
        <v>101156</v>
      </c>
      <c r="B5888" s="37" t="s">
        <v>8623</v>
      </c>
      <c r="C5888" s="37" t="s">
        <v>9</v>
      </c>
      <c r="D5888" s="326">
        <v>260.35000000000002</v>
      </c>
    </row>
    <row r="5889" spans="1:4" ht="13.5">
      <c r="A5889" s="37">
        <v>101814</v>
      </c>
      <c r="B5889" s="37" t="s">
        <v>8624</v>
      </c>
      <c r="C5889" s="37" t="s">
        <v>9</v>
      </c>
      <c r="D5889" s="326">
        <v>42.3</v>
      </c>
    </row>
    <row r="5890" spans="1:4" ht="13.5">
      <c r="A5890" s="37">
        <v>101816</v>
      </c>
      <c r="B5890" s="37" t="s">
        <v>8625</v>
      </c>
      <c r="C5890" s="37" t="s">
        <v>9</v>
      </c>
      <c r="D5890" s="326">
        <v>63.22</v>
      </c>
    </row>
    <row r="5891" spans="1:4" ht="13.5">
      <c r="A5891" s="37">
        <v>101817</v>
      </c>
      <c r="B5891" s="37" t="s">
        <v>8626</v>
      </c>
      <c r="C5891" s="37" t="s">
        <v>9</v>
      </c>
      <c r="D5891" s="326">
        <v>45.06</v>
      </c>
    </row>
    <row r="5892" spans="1:4" ht="13.5">
      <c r="A5892" s="37">
        <v>101819</v>
      </c>
      <c r="B5892" s="37" t="s">
        <v>8627</v>
      </c>
      <c r="C5892" s="37" t="s">
        <v>9</v>
      </c>
      <c r="D5892" s="326">
        <v>56.88</v>
      </c>
    </row>
    <row r="5893" spans="1:4" ht="13.5">
      <c r="A5893" s="37">
        <v>101820</v>
      </c>
      <c r="B5893" s="37" t="s">
        <v>8628</v>
      </c>
      <c r="C5893" s="37" t="s">
        <v>9</v>
      </c>
      <c r="D5893" s="326">
        <v>37.799999999999997</v>
      </c>
    </row>
    <row r="5894" spans="1:4" ht="13.5">
      <c r="A5894" s="37">
        <v>101822</v>
      </c>
      <c r="B5894" s="37" t="s">
        <v>8629</v>
      </c>
      <c r="C5894" s="37" t="s">
        <v>12</v>
      </c>
      <c r="D5894" s="326">
        <v>117.12</v>
      </c>
    </row>
    <row r="5895" spans="1:4" ht="13.5">
      <c r="A5895" s="37">
        <v>101823</v>
      </c>
      <c r="B5895" s="37" t="s">
        <v>8630</v>
      </c>
      <c r="C5895" s="37" t="s">
        <v>12</v>
      </c>
      <c r="D5895" s="326">
        <v>151.32</v>
      </c>
    </row>
    <row r="5896" spans="1:4" ht="13.5">
      <c r="A5896" s="37">
        <v>101824</v>
      </c>
      <c r="B5896" s="37" t="s">
        <v>8631</v>
      </c>
      <c r="C5896" s="37" t="s">
        <v>12</v>
      </c>
      <c r="D5896" s="326">
        <v>183.16</v>
      </c>
    </row>
    <row r="5897" spans="1:4" ht="13.5">
      <c r="A5897" s="37">
        <v>101825</v>
      </c>
      <c r="B5897" s="37" t="s">
        <v>8632</v>
      </c>
      <c r="C5897" s="37" t="s">
        <v>12</v>
      </c>
      <c r="D5897" s="326">
        <v>214.15</v>
      </c>
    </row>
    <row r="5898" spans="1:4" ht="13.5">
      <c r="A5898" s="37">
        <v>101826</v>
      </c>
      <c r="B5898" s="37" t="s">
        <v>8633</v>
      </c>
      <c r="C5898" s="37" t="s">
        <v>12</v>
      </c>
      <c r="D5898" s="326">
        <v>244.72</v>
      </c>
    </row>
    <row r="5899" spans="1:4" ht="13.5">
      <c r="A5899" s="37">
        <v>101827</v>
      </c>
      <c r="B5899" s="37" t="s">
        <v>8634</v>
      </c>
      <c r="C5899" s="37" t="s">
        <v>12</v>
      </c>
      <c r="D5899" s="326">
        <v>232.53</v>
      </c>
    </row>
    <row r="5900" spans="1:4" ht="13.5">
      <c r="A5900" s="37">
        <v>101828</v>
      </c>
      <c r="B5900" s="37" t="s">
        <v>8635</v>
      </c>
      <c r="C5900" s="37" t="s">
        <v>12</v>
      </c>
      <c r="D5900" s="326">
        <v>213.3</v>
      </c>
    </row>
    <row r="5901" spans="1:4" ht="13.5">
      <c r="A5901" s="37">
        <v>101829</v>
      </c>
      <c r="B5901" s="37" t="s">
        <v>13869</v>
      </c>
      <c r="C5901" s="37" t="s">
        <v>12</v>
      </c>
      <c r="D5901" s="326">
        <v>293.95</v>
      </c>
    </row>
    <row r="5902" spans="1:4" ht="13.5">
      <c r="A5902" s="37">
        <v>101830</v>
      </c>
      <c r="B5902" s="37" t="s">
        <v>13870</v>
      </c>
      <c r="C5902" s="37" t="s">
        <v>12</v>
      </c>
      <c r="D5902" s="326">
        <v>322.63</v>
      </c>
    </row>
    <row r="5903" spans="1:4" ht="13.5">
      <c r="A5903" s="37">
        <v>101831</v>
      </c>
      <c r="B5903" s="37" t="s">
        <v>13871</v>
      </c>
      <c r="C5903" s="37" t="s">
        <v>12</v>
      </c>
      <c r="D5903" s="326">
        <v>350.9</v>
      </c>
    </row>
    <row r="5904" spans="1:4" ht="13.5">
      <c r="A5904" s="37">
        <v>101832</v>
      </c>
      <c r="B5904" s="37" t="s">
        <v>8636</v>
      </c>
      <c r="C5904" s="37" t="s">
        <v>12</v>
      </c>
      <c r="D5904" s="326">
        <v>275.49</v>
      </c>
    </row>
    <row r="5905" spans="1:4" ht="13.5">
      <c r="A5905" s="37">
        <v>101833</v>
      </c>
      <c r="B5905" s="37" t="s">
        <v>8637</v>
      </c>
      <c r="C5905" s="37" t="s">
        <v>12</v>
      </c>
      <c r="D5905" s="326">
        <v>304.55</v>
      </c>
    </row>
    <row r="5906" spans="1:4" ht="13.5">
      <c r="A5906" s="37">
        <v>101834</v>
      </c>
      <c r="B5906" s="37" t="s">
        <v>8638</v>
      </c>
      <c r="C5906" s="37" t="s">
        <v>12</v>
      </c>
      <c r="D5906" s="326">
        <v>333.2</v>
      </c>
    </row>
    <row r="5907" spans="1:4" ht="13.5">
      <c r="A5907" s="37">
        <v>101835</v>
      </c>
      <c r="B5907" s="37" t="s">
        <v>8639</v>
      </c>
      <c r="C5907" s="37" t="s">
        <v>12</v>
      </c>
      <c r="D5907" s="326">
        <v>336.56</v>
      </c>
    </row>
    <row r="5908" spans="1:4" ht="13.5">
      <c r="A5908" s="37">
        <v>101836</v>
      </c>
      <c r="B5908" s="37" t="s">
        <v>8640</v>
      </c>
      <c r="C5908" s="37" t="s">
        <v>12</v>
      </c>
      <c r="D5908" s="326">
        <v>26.55</v>
      </c>
    </row>
    <row r="5909" spans="1:4" ht="13.5">
      <c r="A5909" s="37">
        <v>101837</v>
      </c>
      <c r="B5909" s="37" t="s">
        <v>8641</v>
      </c>
      <c r="C5909" s="37" t="s">
        <v>12</v>
      </c>
      <c r="D5909" s="326">
        <v>60.75</v>
      </c>
    </row>
    <row r="5910" spans="1:4" ht="13.5">
      <c r="A5910" s="37">
        <v>101838</v>
      </c>
      <c r="B5910" s="37" t="s">
        <v>8642</v>
      </c>
      <c r="C5910" s="37" t="s">
        <v>12</v>
      </c>
      <c r="D5910" s="326">
        <v>92.59</v>
      </c>
    </row>
    <row r="5911" spans="1:4" ht="13.5">
      <c r="A5911" s="37">
        <v>101839</v>
      </c>
      <c r="B5911" s="37" t="s">
        <v>8643</v>
      </c>
      <c r="C5911" s="37" t="s">
        <v>12</v>
      </c>
      <c r="D5911" s="326">
        <v>123.58</v>
      </c>
    </row>
    <row r="5912" spans="1:4" ht="13.5">
      <c r="A5912" s="37">
        <v>101840</v>
      </c>
      <c r="B5912" s="37" t="s">
        <v>8644</v>
      </c>
      <c r="C5912" s="37" t="s">
        <v>12</v>
      </c>
      <c r="D5912" s="326">
        <v>204.24</v>
      </c>
    </row>
    <row r="5913" spans="1:4" ht="13.5">
      <c r="A5913" s="37">
        <v>101841</v>
      </c>
      <c r="B5913" s="37" t="s">
        <v>8645</v>
      </c>
      <c r="C5913" s="37" t="s">
        <v>12</v>
      </c>
      <c r="D5913" s="326">
        <v>141.96</v>
      </c>
    </row>
    <row r="5914" spans="1:4" ht="13.5">
      <c r="A5914" s="37">
        <v>101842</v>
      </c>
      <c r="B5914" s="37" t="s">
        <v>8646</v>
      </c>
      <c r="C5914" s="37" t="s">
        <v>12</v>
      </c>
      <c r="D5914" s="326">
        <v>122.73</v>
      </c>
    </row>
    <row r="5915" spans="1:4" ht="13.5">
      <c r="A5915" s="37">
        <v>101843</v>
      </c>
      <c r="B5915" s="37" t="s">
        <v>13872</v>
      </c>
      <c r="C5915" s="37" t="s">
        <v>12</v>
      </c>
      <c r="D5915" s="326">
        <v>203.38</v>
      </c>
    </row>
    <row r="5916" spans="1:4" ht="13.5">
      <c r="A5916" s="37">
        <v>101844</v>
      </c>
      <c r="B5916" s="37" t="s">
        <v>13873</v>
      </c>
      <c r="C5916" s="37" t="s">
        <v>12</v>
      </c>
      <c r="D5916" s="326">
        <v>232.06</v>
      </c>
    </row>
    <row r="5917" spans="1:4" ht="13.5">
      <c r="A5917" s="37">
        <v>101845</v>
      </c>
      <c r="B5917" s="37" t="s">
        <v>13874</v>
      </c>
      <c r="C5917" s="37" t="s">
        <v>12</v>
      </c>
      <c r="D5917" s="326">
        <v>260.33</v>
      </c>
    </row>
    <row r="5918" spans="1:4" ht="13.5">
      <c r="A5918" s="37">
        <v>101846</v>
      </c>
      <c r="B5918" s="37" t="s">
        <v>8647</v>
      </c>
      <c r="C5918" s="37" t="s">
        <v>12</v>
      </c>
      <c r="D5918" s="326">
        <v>184.92</v>
      </c>
    </row>
    <row r="5919" spans="1:4" ht="13.5">
      <c r="A5919" s="37">
        <v>101847</v>
      </c>
      <c r="B5919" s="37" t="s">
        <v>8648</v>
      </c>
      <c r="C5919" s="37" t="s">
        <v>12</v>
      </c>
      <c r="D5919" s="326">
        <v>213.98</v>
      </c>
    </row>
    <row r="5920" spans="1:4" ht="13.5">
      <c r="A5920" s="37">
        <v>101848</v>
      </c>
      <c r="B5920" s="37" t="s">
        <v>8649</v>
      </c>
      <c r="C5920" s="37" t="s">
        <v>12</v>
      </c>
      <c r="D5920" s="326">
        <v>242.63</v>
      </c>
    </row>
    <row r="5921" spans="1:4" ht="13.5">
      <c r="A5921" s="37">
        <v>101849</v>
      </c>
      <c r="B5921" s="37" t="s">
        <v>8650</v>
      </c>
      <c r="C5921" s="37" t="s">
        <v>12</v>
      </c>
      <c r="D5921" s="326">
        <v>245.99</v>
      </c>
    </row>
    <row r="5922" spans="1:4" ht="13.5">
      <c r="A5922" s="37">
        <v>101850</v>
      </c>
      <c r="B5922" s="37" t="s">
        <v>8651</v>
      </c>
      <c r="C5922" s="37" t="s">
        <v>9</v>
      </c>
      <c r="D5922" s="326">
        <v>54.76</v>
      </c>
    </row>
    <row r="5923" spans="1:4" ht="13.5">
      <c r="A5923" s="37">
        <v>101852</v>
      </c>
      <c r="B5923" s="37" t="s">
        <v>8652</v>
      </c>
      <c r="C5923" s="37" t="s">
        <v>9</v>
      </c>
      <c r="D5923" s="326">
        <v>67.099999999999994</v>
      </c>
    </row>
    <row r="5924" spans="1:4" ht="13.5">
      <c r="A5924" s="37">
        <v>101853</v>
      </c>
      <c r="B5924" s="37" t="s">
        <v>8653</v>
      </c>
      <c r="C5924" s="37" t="s">
        <v>9</v>
      </c>
      <c r="D5924" s="326">
        <v>50.04</v>
      </c>
    </row>
    <row r="5925" spans="1:4" ht="13.5">
      <c r="A5925" s="37">
        <v>101855</v>
      </c>
      <c r="B5925" s="37" t="s">
        <v>8654</v>
      </c>
      <c r="C5925" s="37" t="s">
        <v>9</v>
      </c>
      <c r="D5925" s="326">
        <v>71.400000000000006</v>
      </c>
    </row>
    <row r="5926" spans="1:4" ht="13.5">
      <c r="A5926" s="37">
        <v>101856</v>
      </c>
      <c r="B5926" s="37" t="s">
        <v>8655</v>
      </c>
      <c r="C5926" s="37" t="s">
        <v>9</v>
      </c>
      <c r="D5926" s="326">
        <v>23.94</v>
      </c>
    </row>
    <row r="5927" spans="1:4" ht="13.5">
      <c r="A5927" s="37">
        <v>101857</v>
      </c>
      <c r="B5927" s="37" t="s">
        <v>8656</v>
      </c>
      <c r="C5927" s="37" t="s">
        <v>9</v>
      </c>
      <c r="D5927" s="326">
        <v>29.73</v>
      </c>
    </row>
    <row r="5928" spans="1:4" ht="13.5">
      <c r="A5928" s="37">
        <v>101858</v>
      </c>
      <c r="B5928" s="37" t="s">
        <v>8657</v>
      </c>
      <c r="C5928" s="37" t="s">
        <v>9</v>
      </c>
      <c r="D5928" s="326">
        <v>24.42</v>
      </c>
    </row>
    <row r="5929" spans="1:4" ht="13.5">
      <c r="A5929" s="37">
        <v>101859</v>
      </c>
      <c r="B5929" s="37" t="s">
        <v>8658</v>
      </c>
      <c r="C5929" s="37" t="s">
        <v>9</v>
      </c>
      <c r="D5929" s="326">
        <v>26.92</v>
      </c>
    </row>
    <row r="5930" spans="1:4" ht="13.5">
      <c r="A5930" s="37">
        <v>101860</v>
      </c>
      <c r="B5930" s="37" t="s">
        <v>8659</v>
      </c>
      <c r="C5930" s="37" t="s">
        <v>9</v>
      </c>
      <c r="D5930" s="326">
        <v>30.84</v>
      </c>
    </row>
    <row r="5931" spans="1:4" ht="13.5">
      <c r="A5931" s="37">
        <v>101861</v>
      </c>
      <c r="B5931" s="37" t="s">
        <v>8660</v>
      </c>
      <c r="C5931" s="37" t="s">
        <v>9</v>
      </c>
      <c r="D5931" s="326">
        <v>28.89</v>
      </c>
    </row>
    <row r="5932" spans="1:4" ht="13.5">
      <c r="A5932" s="37">
        <v>101862</v>
      </c>
      <c r="B5932" s="37" t="s">
        <v>8661</v>
      </c>
      <c r="C5932" s="37" t="s">
        <v>9</v>
      </c>
      <c r="D5932" s="326">
        <v>31.41</v>
      </c>
    </row>
    <row r="5933" spans="1:4" ht="13.5">
      <c r="A5933" s="37">
        <v>101863</v>
      </c>
      <c r="B5933" s="37" t="s">
        <v>8662</v>
      </c>
      <c r="C5933" s="37" t="s">
        <v>9</v>
      </c>
      <c r="D5933" s="326">
        <v>24.77</v>
      </c>
    </row>
    <row r="5934" spans="1:4" ht="13.5">
      <c r="A5934" s="37">
        <v>101864</v>
      </c>
      <c r="B5934" s="37" t="s">
        <v>8663</v>
      </c>
      <c r="C5934" s="37" t="s">
        <v>9</v>
      </c>
      <c r="D5934" s="326">
        <v>28.7</v>
      </c>
    </row>
    <row r="5935" spans="1:4" ht="13.5">
      <c r="A5935" s="37">
        <v>101865</v>
      </c>
      <c r="B5935" s="37" t="s">
        <v>8664</v>
      </c>
      <c r="C5935" s="37" t="s">
        <v>9</v>
      </c>
      <c r="D5935" s="326">
        <v>32.61</v>
      </c>
    </row>
    <row r="5936" spans="1:4" ht="13.5">
      <c r="A5936" s="37">
        <v>101866</v>
      </c>
      <c r="B5936" s="37" t="s">
        <v>8665</v>
      </c>
      <c r="C5936" s="37" t="s">
        <v>9</v>
      </c>
      <c r="D5936" s="326">
        <v>29.09</v>
      </c>
    </row>
    <row r="5937" spans="1:4" ht="13.5">
      <c r="A5937" s="37">
        <v>101867</v>
      </c>
      <c r="B5937" s="37" t="s">
        <v>8666</v>
      </c>
      <c r="C5937" s="37" t="s">
        <v>9</v>
      </c>
      <c r="D5937" s="326">
        <v>33</v>
      </c>
    </row>
    <row r="5938" spans="1:4" ht="13.5">
      <c r="A5938" s="37">
        <v>101868</v>
      </c>
      <c r="B5938" s="37" t="s">
        <v>8667</v>
      </c>
      <c r="C5938" s="37" t="s">
        <v>9</v>
      </c>
      <c r="D5938" s="326">
        <v>26.35</v>
      </c>
    </row>
    <row r="5939" spans="1:4" ht="13.5">
      <c r="A5939" s="37">
        <v>101869</v>
      </c>
      <c r="B5939" s="37" t="s">
        <v>8668</v>
      </c>
      <c r="C5939" s="37" t="s">
        <v>9</v>
      </c>
      <c r="D5939" s="326">
        <v>30.27</v>
      </c>
    </row>
    <row r="5940" spans="1:4" ht="13.5">
      <c r="A5940" s="37">
        <v>101870</v>
      </c>
      <c r="B5940" s="37" t="s">
        <v>8669</v>
      </c>
      <c r="C5940" s="37" t="s">
        <v>9</v>
      </c>
      <c r="D5940" s="326">
        <v>34.17</v>
      </c>
    </row>
    <row r="5941" spans="1:4" ht="13.5">
      <c r="A5941" s="37">
        <v>102098</v>
      </c>
      <c r="B5941" s="37" t="s">
        <v>8670</v>
      </c>
      <c r="C5941" s="37" t="s">
        <v>12</v>
      </c>
      <c r="D5941" s="38">
        <v>2108.0500000000002</v>
      </c>
    </row>
    <row r="5942" spans="1:4" ht="13.5">
      <c r="A5942" s="37">
        <v>102988</v>
      </c>
      <c r="B5942" s="37" t="s">
        <v>8671</v>
      </c>
      <c r="C5942" s="37" t="s">
        <v>9</v>
      </c>
      <c r="D5942" s="326">
        <v>50.2</v>
      </c>
    </row>
    <row r="5943" spans="1:4" ht="13.5">
      <c r="A5943" s="37">
        <v>100576</v>
      </c>
      <c r="B5943" s="37" t="s">
        <v>4236</v>
      </c>
      <c r="C5943" s="37" t="s">
        <v>9</v>
      </c>
      <c r="D5943" s="326">
        <v>2.46</v>
      </c>
    </row>
    <row r="5944" spans="1:4" ht="13.5">
      <c r="A5944" s="37">
        <v>100577</v>
      </c>
      <c r="B5944" s="37" t="s">
        <v>4237</v>
      </c>
      <c r="C5944" s="37" t="s">
        <v>9</v>
      </c>
      <c r="D5944" s="326">
        <v>1.2</v>
      </c>
    </row>
    <row r="5945" spans="1:4" ht="13.5">
      <c r="A5945" s="37">
        <v>96388</v>
      </c>
      <c r="B5945" s="37" t="s">
        <v>4238</v>
      </c>
      <c r="C5945" s="37" t="s">
        <v>12</v>
      </c>
      <c r="D5945" s="326">
        <v>12.03</v>
      </c>
    </row>
    <row r="5946" spans="1:4" ht="13.5">
      <c r="A5946" s="37">
        <v>96389</v>
      </c>
      <c r="B5946" s="37" t="s">
        <v>7305</v>
      </c>
      <c r="C5946" s="37" t="s">
        <v>12</v>
      </c>
      <c r="D5946" s="326">
        <v>51.01</v>
      </c>
    </row>
    <row r="5947" spans="1:4" ht="13.5">
      <c r="A5947" s="37">
        <v>96390</v>
      </c>
      <c r="B5947" s="37" t="s">
        <v>7306</v>
      </c>
      <c r="C5947" s="37" t="s">
        <v>12</v>
      </c>
      <c r="D5947" s="326">
        <v>81</v>
      </c>
    </row>
    <row r="5948" spans="1:4" ht="13.5">
      <c r="A5948" s="37">
        <v>96391</v>
      </c>
      <c r="B5948" s="37" t="s">
        <v>4239</v>
      </c>
      <c r="C5948" s="37" t="s">
        <v>12</v>
      </c>
      <c r="D5948" s="326">
        <v>112.88</v>
      </c>
    </row>
    <row r="5949" spans="1:4" ht="13.5">
      <c r="A5949" s="37">
        <v>96392</v>
      </c>
      <c r="B5949" s="37" t="s">
        <v>4240</v>
      </c>
      <c r="C5949" s="37" t="s">
        <v>12</v>
      </c>
      <c r="D5949" s="326">
        <v>143.44999999999999</v>
      </c>
    </row>
    <row r="5950" spans="1:4" ht="13.5">
      <c r="A5950" s="37">
        <v>96396</v>
      </c>
      <c r="B5950" s="37" t="s">
        <v>4241</v>
      </c>
      <c r="C5950" s="37" t="s">
        <v>12</v>
      </c>
      <c r="D5950" s="326">
        <v>232.83</v>
      </c>
    </row>
    <row r="5951" spans="1:4" ht="13.5">
      <c r="A5951" s="37">
        <v>96397</v>
      </c>
      <c r="B5951" s="37" t="s">
        <v>4242</v>
      </c>
      <c r="C5951" s="37" t="s">
        <v>12</v>
      </c>
      <c r="D5951" s="326">
        <v>292.58999999999997</v>
      </c>
    </row>
    <row r="5952" spans="1:4" ht="13.5">
      <c r="A5952" s="37">
        <v>96398</v>
      </c>
      <c r="B5952" s="37" t="s">
        <v>4243</v>
      </c>
      <c r="C5952" s="37" t="s">
        <v>12</v>
      </c>
      <c r="D5952" s="326">
        <v>373.22</v>
      </c>
    </row>
    <row r="5953" spans="1:4" ht="13.5">
      <c r="A5953" s="37">
        <v>96399</v>
      </c>
      <c r="B5953" s="37" t="s">
        <v>7307</v>
      </c>
      <c r="C5953" s="37" t="s">
        <v>12</v>
      </c>
      <c r="D5953" s="326">
        <v>159.30000000000001</v>
      </c>
    </row>
    <row r="5954" spans="1:4" ht="13.5">
      <c r="A5954" s="37">
        <v>96400</v>
      </c>
      <c r="B5954" s="37" t="s">
        <v>4244</v>
      </c>
      <c r="C5954" s="37" t="s">
        <v>12</v>
      </c>
      <c r="D5954" s="326">
        <v>206.6</v>
      </c>
    </row>
    <row r="5955" spans="1:4" ht="13.5">
      <c r="A5955" s="37">
        <v>100564</v>
      </c>
      <c r="B5955" s="37" t="s">
        <v>4245</v>
      </c>
      <c r="C5955" s="37" t="s">
        <v>12</v>
      </c>
      <c r="D5955" s="326">
        <v>138.22</v>
      </c>
    </row>
    <row r="5956" spans="1:4" ht="13.5">
      <c r="A5956" s="37">
        <v>100565</v>
      </c>
      <c r="B5956" s="37" t="s">
        <v>4246</v>
      </c>
      <c r="C5956" s="37" t="s">
        <v>12</v>
      </c>
      <c r="D5956" s="326">
        <v>119.06</v>
      </c>
    </row>
    <row r="5957" spans="1:4" ht="13.5">
      <c r="A5957" s="37">
        <v>100566</v>
      </c>
      <c r="B5957" s="37" t="s">
        <v>4247</v>
      </c>
      <c r="C5957" s="37" t="s">
        <v>12</v>
      </c>
      <c r="D5957" s="326">
        <v>199.64</v>
      </c>
    </row>
    <row r="5958" spans="1:4" ht="13.5">
      <c r="A5958" s="37">
        <v>100567</v>
      </c>
      <c r="B5958" s="37" t="s">
        <v>4248</v>
      </c>
      <c r="C5958" s="37" t="s">
        <v>12</v>
      </c>
      <c r="D5958" s="326">
        <v>228.4</v>
      </c>
    </row>
    <row r="5959" spans="1:4" ht="13.5">
      <c r="A5959" s="37">
        <v>100568</v>
      </c>
      <c r="B5959" s="37" t="s">
        <v>4249</v>
      </c>
      <c r="C5959" s="37" t="s">
        <v>12</v>
      </c>
      <c r="D5959" s="326">
        <v>256.58999999999997</v>
      </c>
    </row>
    <row r="5960" spans="1:4" ht="13.5">
      <c r="A5960" s="37">
        <v>100569</v>
      </c>
      <c r="B5960" s="37" t="s">
        <v>4250</v>
      </c>
      <c r="C5960" s="37" t="s">
        <v>12</v>
      </c>
      <c r="D5960" s="326">
        <v>181.18</v>
      </c>
    </row>
    <row r="5961" spans="1:4" ht="13.5">
      <c r="A5961" s="37">
        <v>100570</v>
      </c>
      <c r="B5961" s="37" t="s">
        <v>4251</v>
      </c>
      <c r="C5961" s="37" t="s">
        <v>12</v>
      </c>
      <c r="D5961" s="326">
        <v>212.52</v>
      </c>
    </row>
    <row r="5962" spans="1:4" ht="13.5">
      <c r="A5962" s="37">
        <v>100571</v>
      </c>
      <c r="B5962" s="37" t="s">
        <v>4252</v>
      </c>
      <c r="C5962" s="37" t="s">
        <v>12</v>
      </c>
      <c r="D5962" s="326">
        <v>238.97</v>
      </c>
    </row>
    <row r="5963" spans="1:4" ht="13.5">
      <c r="A5963" s="37">
        <v>100572</v>
      </c>
      <c r="B5963" s="37" t="s">
        <v>4253</v>
      </c>
      <c r="C5963" s="37" t="s">
        <v>12</v>
      </c>
      <c r="D5963" s="326">
        <v>143.03</v>
      </c>
    </row>
    <row r="5964" spans="1:4" ht="13.5">
      <c r="A5964" s="37">
        <v>100573</v>
      </c>
      <c r="B5964" s="37" t="s">
        <v>4254</v>
      </c>
      <c r="C5964" s="37" t="s">
        <v>12</v>
      </c>
      <c r="D5964" s="326">
        <v>123.87</v>
      </c>
    </row>
    <row r="5965" spans="1:4" ht="13.5">
      <c r="A5965" s="37">
        <v>100574</v>
      </c>
      <c r="B5965" s="37" t="s">
        <v>4255</v>
      </c>
      <c r="C5965" s="37" t="s">
        <v>12</v>
      </c>
      <c r="D5965" s="326">
        <v>1.44</v>
      </c>
    </row>
    <row r="5966" spans="1:4" ht="13.5">
      <c r="A5966" s="37">
        <v>100575</v>
      </c>
      <c r="B5966" s="37" t="s">
        <v>4256</v>
      </c>
      <c r="C5966" s="37" t="s">
        <v>9</v>
      </c>
      <c r="D5966" s="326">
        <v>0.12</v>
      </c>
    </row>
    <row r="5967" spans="1:4" ht="13.5">
      <c r="A5967" s="37">
        <v>101767</v>
      </c>
      <c r="B5967" s="37" t="s">
        <v>8672</v>
      </c>
      <c r="C5967" s="37" t="s">
        <v>12</v>
      </c>
      <c r="D5967" s="326">
        <v>27.62</v>
      </c>
    </row>
    <row r="5968" spans="1:4" ht="13.5">
      <c r="A5968" s="37">
        <v>101768</v>
      </c>
      <c r="B5968" s="37" t="s">
        <v>17885</v>
      </c>
      <c r="C5968" s="37" t="s">
        <v>12</v>
      </c>
      <c r="D5968" s="326">
        <v>24.07</v>
      </c>
    </row>
    <row r="5969" spans="1:4" ht="13.5">
      <c r="A5969" s="37">
        <v>92391</v>
      </c>
      <c r="B5969" s="37" t="s">
        <v>17886</v>
      </c>
      <c r="C5969" s="37" t="s">
        <v>9</v>
      </c>
      <c r="D5969" s="326">
        <v>66.819999999999993</v>
      </c>
    </row>
    <row r="5970" spans="1:4" ht="13.5">
      <c r="A5970" s="37">
        <v>92392</v>
      </c>
      <c r="B5970" s="37" t="s">
        <v>17887</v>
      </c>
      <c r="C5970" s="37" t="s">
        <v>9</v>
      </c>
      <c r="D5970" s="326">
        <v>139.84</v>
      </c>
    </row>
    <row r="5971" spans="1:4" ht="13.5">
      <c r="A5971" s="37">
        <v>92393</v>
      </c>
      <c r="B5971" s="37" t="s">
        <v>17888</v>
      </c>
      <c r="C5971" s="37" t="s">
        <v>9</v>
      </c>
      <c r="D5971" s="326">
        <v>65.83</v>
      </c>
    </row>
    <row r="5972" spans="1:4" ht="13.5">
      <c r="A5972" s="37">
        <v>92394</v>
      </c>
      <c r="B5972" s="37" t="s">
        <v>17889</v>
      </c>
      <c r="C5972" s="37" t="s">
        <v>9</v>
      </c>
      <c r="D5972" s="326">
        <v>82.03</v>
      </c>
    </row>
    <row r="5973" spans="1:4" ht="13.5">
      <c r="A5973" s="37">
        <v>92395</v>
      </c>
      <c r="B5973" s="37" t="s">
        <v>17890</v>
      </c>
      <c r="C5973" s="37" t="s">
        <v>9</v>
      </c>
      <c r="D5973" s="326">
        <v>98.54</v>
      </c>
    </row>
    <row r="5974" spans="1:4" ht="13.5">
      <c r="A5974" s="37">
        <v>92396</v>
      </c>
      <c r="B5974" s="37" t="s">
        <v>17891</v>
      </c>
      <c r="C5974" s="37" t="s">
        <v>9</v>
      </c>
      <c r="D5974" s="326">
        <v>78.22</v>
      </c>
    </row>
    <row r="5975" spans="1:4" ht="13.5">
      <c r="A5975" s="37">
        <v>92397</v>
      </c>
      <c r="B5975" s="37" t="s">
        <v>17892</v>
      </c>
      <c r="C5975" s="37" t="s">
        <v>9</v>
      </c>
      <c r="D5975" s="326">
        <v>69.16</v>
      </c>
    </row>
    <row r="5976" spans="1:4" ht="13.5">
      <c r="A5976" s="37">
        <v>92398</v>
      </c>
      <c r="B5976" s="37" t="s">
        <v>17893</v>
      </c>
      <c r="C5976" s="37" t="s">
        <v>9</v>
      </c>
      <c r="D5976" s="326">
        <v>86.18</v>
      </c>
    </row>
    <row r="5977" spans="1:4" ht="13.5">
      <c r="A5977" s="37">
        <v>92400</v>
      </c>
      <c r="B5977" s="37" t="s">
        <v>17894</v>
      </c>
      <c r="C5977" s="37" t="s">
        <v>9</v>
      </c>
      <c r="D5977" s="326">
        <v>101.18</v>
      </c>
    </row>
    <row r="5978" spans="1:4" ht="13.5">
      <c r="A5978" s="37">
        <v>92402</v>
      </c>
      <c r="B5978" s="37" t="s">
        <v>17895</v>
      </c>
      <c r="C5978" s="37" t="s">
        <v>9</v>
      </c>
      <c r="D5978" s="326">
        <v>76.41</v>
      </c>
    </row>
    <row r="5979" spans="1:4" ht="13.5">
      <c r="A5979" s="37">
        <v>92403</v>
      </c>
      <c r="B5979" s="37" t="s">
        <v>17896</v>
      </c>
      <c r="C5979" s="37" t="s">
        <v>9</v>
      </c>
      <c r="D5979" s="326">
        <v>67.03</v>
      </c>
    </row>
    <row r="5980" spans="1:4" ht="13.5">
      <c r="A5980" s="37">
        <v>92404</v>
      </c>
      <c r="B5980" s="37" t="s">
        <v>17897</v>
      </c>
      <c r="C5980" s="37" t="s">
        <v>9</v>
      </c>
      <c r="D5980" s="326">
        <v>84.07</v>
      </c>
    </row>
    <row r="5981" spans="1:4" ht="13.5">
      <c r="A5981" s="37">
        <v>92406</v>
      </c>
      <c r="B5981" s="37" t="s">
        <v>17898</v>
      </c>
      <c r="C5981" s="37" t="s">
        <v>9</v>
      </c>
      <c r="D5981" s="326">
        <v>100.86</v>
      </c>
    </row>
    <row r="5982" spans="1:4" ht="13.5">
      <c r="A5982" s="37">
        <v>93679</v>
      </c>
      <c r="B5982" s="37" t="s">
        <v>17899</v>
      </c>
      <c r="C5982" s="37" t="s">
        <v>9</v>
      </c>
      <c r="D5982" s="326">
        <v>87.11</v>
      </c>
    </row>
    <row r="5983" spans="1:4" ht="13.5">
      <c r="A5983" s="37">
        <v>93680</v>
      </c>
      <c r="B5983" s="37" t="s">
        <v>17900</v>
      </c>
      <c r="C5983" s="37" t="s">
        <v>9</v>
      </c>
      <c r="D5983" s="326">
        <v>77.819999999999993</v>
      </c>
    </row>
    <row r="5984" spans="1:4" ht="13.5">
      <c r="A5984" s="37">
        <v>93681</v>
      </c>
      <c r="B5984" s="37" t="s">
        <v>17901</v>
      </c>
      <c r="C5984" s="37" t="s">
        <v>9</v>
      </c>
      <c r="D5984" s="326">
        <v>93.13</v>
      </c>
    </row>
    <row r="5985" spans="1:4" ht="13.5">
      <c r="A5985" s="37">
        <v>97104</v>
      </c>
      <c r="B5985" s="37" t="s">
        <v>16411</v>
      </c>
      <c r="C5985" s="37" t="s">
        <v>9</v>
      </c>
      <c r="D5985" s="326">
        <v>139.72999999999999</v>
      </c>
    </row>
    <row r="5986" spans="1:4" ht="13.5">
      <c r="A5986" s="37">
        <v>97105</v>
      </c>
      <c r="B5986" s="37" t="s">
        <v>16412</v>
      </c>
      <c r="C5986" s="37" t="s">
        <v>9</v>
      </c>
      <c r="D5986" s="326">
        <v>157.96</v>
      </c>
    </row>
    <row r="5987" spans="1:4" ht="13.5">
      <c r="A5987" s="37">
        <v>97106</v>
      </c>
      <c r="B5987" s="37" t="s">
        <v>16413</v>
      </c>
      <c r="C5987" s="37" t="s">
        <v>9</v>
      </c>
      <c r="D5987" s="326">
        <v>175.38</v>
      </c>
    </row>
    <row r="5988" spans="1:4" ht="13.5">
      <c r="A5988" s="37">
        <v>97107</v>
      </c>
      <c r="B5988" s="37" t="s">
        <v>16414</v>
      </c>
      <c r="C5988" s="37" t="s">
        <v>9</v>
      </c>
      <c r="D5988" s="326">
        <v>200.95</v>
      </c>
    </row>
    <row r="5989" spans="1:4" ht="13.5">
      <c r="A5989" s="37">
        <v>97108</v>
      </c>
      <c r="B5989" s="37" t="s">
        <v>16415</v>
      </c>
      <c r="C5989" s="37" t="s">
        <v>9</v>
      </c>
      <c r="D5989" s="326">
        <v>231.72</v>
      </c>
    </row>
    <row r="5990" spans="1:4" ht="13.5">
      <c r="A5990" s="37">
        <v>97109</v>
      </c>
      <c r="B5990" s="37" t="s">
        <v>16416</v>
      </c>
      <c r="C5990" s="37" t="s">
        <v>9</v>
      </c>
      <c r="D5990" s="326">
        <v>256.86</v>
      </c>
    </row>
    <row r="5991" spans="1:4" ht="13.5">
      <c r="A5991" s="37">
        <v>97111</v>
      </c>
      <c r="B5991" s="37" t="s">
        <v>16417</v>
      </c>
      <c r="C5991" s="37" t="s">
        <v>9</v>
      </c>
      <c r="D5991" s="326">
        <v>279.97000000000003</v>
      </c>
    </row>
    <row r="5992" spans="1:4" ht="13.5">
      <c r="A5992" s="37">
        <v>97112</v>
      </c>
      <c r="B5992" s="37" t="s">
        <v>16418</v>
      </c>
      <c r="C5992" s="37" t="s">
        <v>9</v>
      </c>
      <c r="D5992" s="326">
        <v>242.69</v>
      </c>
    </row>
    <row r="5993" spans="1:4" ht="13.5">
      <c r="A5993" s="37">
        <v>97113</v>
      </c>
      <c r="B5993" s="37" t="s">
        <v>16419</v>
      </c>
      <c r="C5993" s="37" t="s">
        <v>9</v>
      </c>
      <c r="D5993" s="326">
        <v>2.54</v>
      </c>
    </row>
    <row r="5994" spans="1:4" ht="13.5">
      <c r="A5994" s="37">
        <v>97114</v>
      </c>
      <c r="B5994" s="37" t="s">
        <v>16420</v>
      </c>
      <c r="C5994" s="37" t="s">
        <v>6</v>
      </c>
      <c r="D5994" s="326">
        <v>0.35</v>
      </c>
    </row>
    <row r="5995" spans="1:4" ht="13.5">
      <c r="A5995" s="37">
        <v>97115</v>
      </c>
      <c r="B5995" s="37" t="s">
        <v>16421</v>
      </c>
      <c r="C5995" s="37" t="s">
        <v>8</v>
      </c>
      <c r="D5995" s="326">
        <v>56.9</v>
      </c>
    </row>
    <row r="5996" spans="1:4" ht="13.5">
      <c r="A5996" s="37">
        <v>97116</v>
      </c>
      <c r="B5996" s="37" t="s">
        <v>16422</v>
      </c>
      <c r="C5996" s="37" t="s">
        <v>8</v>
      </c>
      <c r="D5996" s="326">
        <v>25.94</v>
      </c>
    </row>
    <row r="5997" spans="1:4" ht="13.5">
      <c r="A5997" s="37">
        <v>97117</v>
      </c>
      <c r="B5997" s="37" t="s">
        <v>16423</v>
      </c>
      <c r="C5997" s="37" t="s">
        <v>8</v>
      </c>
      <c r="D5997" s="326">
        <v>23.9</v>
      </c>
    </row>
    <row r="5998" spans="1:4" ht="13.5">
      <c r="A5998" s="37">
        <v>97118</v>
      </c>
      <c r="B5998" s="37" t="s">
        <v>16424</v>
      </c>
      <c r="C5998" s="37" t="s">
        <v>8</v>
      </c>
      <c r="D5998" s="326">
        <v>20.46</v>
      </c>
    </row>
    <row r="5999" spans="1:4" ht="13.5">
      <c r="A5999" s="37">
        <v>97119</v>
      </c>
      <c r="B5999" s="37" t="s">
        <v>16425</v>
      </c>
      <c r="C5999" s="37" t="s">
        <v>8</v>
      </c>
      <c r="D5999" s="326">
        <v>19.079999999999998</v>
      </c>
    </row>
    <row r="6000" spans="1:4" ht="13.5">
      <c r="A6000" s="37">
        <v>97120</v>
      </c>
      <c r="B6000" s="37" t="s">
        <v>16426</v>
      </c>
      <c r="C6000" s="37" t="s">
        <v>8</v>
      </c>
      <c r="D6000" s="326">
        <v>12.56</v>
      </c>
    </row>
    <row r="6001" spans="1:4" ht="13.5">
      <c r="A6001" s="37">
        <v>101167</v>
      </c>
      <c r="B6001" s="37" t="s">
        <v>8673</v>
      </c>
      <c r="C6001" s="37" t="s">
        <v>9</v>
      </c>
      <c r="D6001" s="326">
        <v>205.36</v>
      </c>
    </row>
    <row r="6002" spans="1:4" ht="13.5">
      <c r="A6002" s="37">
        <v>101169</v>
      </c>
      <c r="B6002" s="37" t="s">
        <v>8674</v>
      </c>
      <c r="C6002" s="37" t="s">
        <v>9</v>
      </c>
      <c r="D6002" s="326">
        <v>217.74</v>
      </c>
    </row>
    <row r="6003" spans="1:4" ht="13.5">
      <c r="A6003" s="37">
        <v>101170</v>
      </c>
      <c r="B6003" s="37" t="s">
        <v>8675</v>
      </c>
      <c r="C6003" s="37" t="s">
        <v>9</v>
      </c>
      <c r="D6003" s="326">
        <v>49.91</v>
      </c>
    </row>
    <row r="6004" spans="1:4" ht="13.5">
      <c r="A6004" s="37">
        <v>101172</v>
      </c>
      <c r="B6004" s="37" t="s">
        <v>8676</v>
      </c>
      <c r="C6004" s="37" t="s">
        <v>9</v>
      </c>
      <c r="D6004" s="326">
        <v>71.39</v>
      </c>
    </row>
    <row r="6005" spans="1:4" ht="13.5">
      <c r="A6005" s="37">
        <v>103904</v>
      </c>
      <c r="B6005" s="37" t="s">
        <v>16427</v>
      </c>
      <c r="C6005" s="37" t="s">
        <v>9</v>
      </c>
      <c r="D6005" s="326">
        <v>135.80000000000001</v>
      </c>
    </row>
    <row r="6006" spans="1:4" ht="13.5">
      <c r="A6006" s="37">
        <v>103905</v>
      </c>
      <c r="B6006" s="37" t="s">
        <v>16428</v>
      </c>
      <c r="C6006" s="37" t="s">
        <v>9</v>
      </c>
      <c r="D6006" s="326">
        <v>143.29</v>
      </c>
    </row>
    <row r="6007" spans="1:4" ht="13.5">
      <c r="A6007" s="37">
        <v>103906</v>
      </c>
      <c r="B6007" s="37" t="s">
        <v>16429</v>
      </c>
      <c r="C6007" s="37" t="s">
        <v>9</v>
      </c>
      <c r="D6007" s="326">
        <v>171.85</v>
      </c>
    </row>
    <row r="6008" spans="1:4" ht="13.5">
      <c r="A6008" s="37">
        <v>103907</v>
      </c>
      <c r="B6008" s="37" t="s">
        <v>16430</v>
      </c>
      <c r="C6008" s="37" t="s">
        <v>9</v>
      </c>
      <c r="D6008" s="326">
        <v>150.96</v>
      </c>
    </row>
    <row r="6009" spans="1:4" ht="13.5">
      <c r="A6009" s="37">
        <v>103908</v>
      </c>
      <c r="B6009" s="37" t="s">
        <v>16431</v>
      </c>
      <c r="C6009" s="37" t="s">
        <v>9</v>
      </c>
      <c r="D6009" s="326">
        <v>170.14</v>
      </c>
    </row>
    <row r="6010" spans="1:4" ht="13.5">
      <c r="A6010" s="37">
        <v>103909</v>
      </c>
      <c r="B6010" s="37" t="s">
        <v>16432</v>
      </c>
      <c r="C6010" s="37" t="s">
        <v>9</v>
      </c>
      <c r="D6010" s="326">
        <v>195.05</v>
      </c>
    </row>
    <row r="6011" spans="1:4" ht="13.5">
      <c r="A6011" s="37">
        <v>103911</v>
      </c>
      <c r="B6011" s="37" t="s">
        <v>16433</v>
      </c>
      <c r="C6011" s="37" t="s">
        <v>9</v>
      </c>
      <c r="D6011" s="326">
        <v>225.17</v>
      </c>
    </row>
    <row r="6012" spans="1:4" ht="13.5">
      <c r="A6012" s="37">
        <v>103912</v>
      </c>
      <c r="B6012" s="37" t="s">
        <v>16434</v>
      </c>
      <c r="C6012" s="37" t="s">
        <v>9</v>
      </c>
      <c r="D6012" s="326">
        <v>249.66</v>
      </c>
    </row>
    <row r="6013" spans="1:4" ht="13.5">
      <c r="A6013" s="37">
        <v>103913</v>
      </c>
      <c r="B6013" s="37" t="s">
        <v>16435</v>
      </c>
      <c r="C6013" s="37" t="s">
        <v>9</v>
      </c>
      <c r="D6013" s="326">
        <v>132.16999999999999</v>
      </c>
    </row>
    <row r="6014" spans="1:4" ht="13.5">
      <c r="A6014" s="37">
        <v>103914</v>
      </c>
      <c r="B6014" s="37" t="s">
        <v>16436</v>
      </c>
      <c r="C6014" s="37" t="s">
        <v>9</v>
      </c>
      <c r="D6014" s="326">
        <v>155.1</v>
      </c>
    </row>
    <row r="6015" spans="1:4" ht="13.5">
      <c r="A6015" s="37">
        <v>103915</v>
      </c>
      <c r="B6015" s="37" t="s">
        <v>16437</v>
      </c>
      <c r="C6015" s="37" t="s">
        <v>9</v>
      </c>
      <c r="D6015" s="326">
        <v>169.54</v>
      </c>
    </row>
    <row r="6016" spans="1:4" ht="13.5">
      <c r="A6016" s="37">
        <v>103916</v>
      </c>
      <c r="B6016" s="37" t="s">
        <v>16438</v>
      </c>
      <c r="C6016" s="37" t="s">
        <v>9</v>
      </c>
      <c r="D6016" s="326">
        <v>194.94</v>
      </c>
    </row>
    <row r="6017" spans="1:4" ht="13.5">
      <c r="A6017" s="37">
        <v>103917</v>
      </c>
      <c r="B6017" s="37" t="s">
        <v>16439</v>
      </c>
      <c r="C6017" s="37" t="s">
        <v>9</v>
      </c>
      <c r="D6017" s="326">
        <v>224.9</v>
      </c>
    </row>
    <row r="6018" spans="1:4" ht="13.5">
      <c r="A6018" s="37">
        <v>103918</v>
      </c>
      <c r="B6018" s="37" t="s">
        <v>16440</v>
      </c>
      <c r="C6018" s="37" t="s">
        <v>9</v>
      </c>
      <c r="D6018" s="326">
        <v>237.31</v>
      </c>
    </row>
    <row r="6019" spans="1:4" ht="13.5">
      <c r="A6019" s="37">
        <v>104432</v>
      </c>
      <c r="B6019" s="37" t="s">
        <v>17902</v>
      </c>
      <c r="C6019" s="37" t="s">
        <v>9</v>
      </c>
      <c r="D6019" s="326">
        <v>82.18</v>
      </c>
    </row>
    <row r="6020" spans="1:4" ht="13.5">
      <c r="A6020" s="37">
        <v>104433</v>
      </c>
      <c r="B6020" s="37" t="s">
        <v>17903</v>
      </c>
      <c r="C6020" s="37" t="s">
        <v>9</v>
      </c>
      <c r="D6020" s="326">
        <v>72.05</v>
      </c>
    </row>
    <row r="6021" spans="1:4" ht="13.5">
      <c r="A6021" s="37">
        <v>103689</v>
      </c>
      <c r="B6021" s="37" t="s">
        <v>17904</v>
      </c>
      <c r="C6021" s="37" t="s">
        <v>9</v>
      </c>
      <c r="D6021" s="326">
        <v>306.23</v>
      </c>
    </row>
    <row r="6022" spans="1:4" ht="13.5">
      <c r="A6022" s="37">
        <v>103694</v>
      </c>
      <c r="B6022" s="37" t="s">
        <v>16441</v>
      </c>
      <c r="C6022" s="37" t="s">
        <v>7</v>
      </c>
      <c r="D6022" s="326">
        <v>110.56</v>
      </c>
    </row>
    <row r="6023" spans="1:4" ht="13.5">
      <c r="A6023" s="37">
        <v>103695</v>
      </c>
      <c r="B6023" s="37" t="s">
        <v>16442</v>
      </c>
      <c r="C6023" s="37" t="s">
        <v>7</v>
      </c>
      <c r="D6023" s="326">
        <v>98.82</v>
      </c>
    </row>
    <row r="6024" spans="1:4" ht="13.5">
      <c r="A6024" s="37">
        <v>103696</v>
      </c>
      <c r="B6024" s="37" t="s">
        <v>16443</v>
      </c>
      <c r="C6024" s="37" t="s">
        <v>7</v>
      </c>
      <c r="D6024" s="326">
        <v>136.28</v>
      </c>
    </row>
    <row r="6025" spans="1:4" ht="13.5">
      <c r="A6025" s="37">
        <v>103697</v>
      </c>
      <c r="B6025" s="37" t="s">
        <v>16444</v>
      </c>
      <c r="C6025" s="37" t="s">
        <v>7</v>
      </c>
      <c r="D6025" s="326">
        <v>124.54</v>
      </c>
    </row>
    <row r="6026" spans="1:4" ht="13.5">
      <c r="A6026" s="37">
        <v>95995</v>
      </c>
      <c r="B6026" s="37" t="s">
        <v>4257</v>
      </c>
      <c r="C6026" s="37" t="s">
        <v>12</v>
      </c>
      <c r="D6026" s="38">
        <v>1662.62</v>
      </c>
    </row>
    <row r="6027" spans="1:4" ht="13.5">
      <c r="A6027" s="37">
        <v>95996</v>
      </c>
      <c r="B6027" s="37" t="s">
        <v>4258</v>
      </c>
      <c r="C6027" s="37" t="s">
        <v>12</v>
      </c>
      <c r="D6027" s="38">
        <v>1439.65</v>
      </c>
    </row>
    <row r="6028" spans="1:4" ht="13.5">
      <c r="A6028" s="37">
        <v>96001</v>
      </c>
      <c r="B6028" s="37" t="s">
        <v>4259</v>
      </c>
      <c r="C6028" s="37" t="s">
        <v>9</v>
      </c>
      <c r="D6028" s="326">
        <v>6.83</v>
      </c>
    </row>
    <row r="6029" spans="1:4" ht="13.5">
      <c r="A6029" s="37">
        <v>96393</v>
      </c>
      <c r="B6029" s="37" t="s">
        <v>7308</v>
      </c>
      <c r="C6029" s="37" t="s">
        <v>12</v>
      </c>
      <c r="D6029" s="326">
        <v>219.44</v>
      </c>
    </row>
    <row r="6030" spans="1:4" ht="13.5">
      <c r="A6030" s="37">
        <v>96394</v>
      </c>
      <c r="B6030" s="37" t="s">
        <v>7309</v>
      </c>
      <c r="C6030" s="37" t="s">
        <v>12</v>
      </c>
      <c r="D6030" s="326">
        <v>277.38</v>
      </c>
    </row>
    <row r="6031" spans="1:4" ht="13.5">
      <c r="A6031" s="37">
        <v>96395</v>
      </c>
      <c r="B6031" s="37" t="s">
        <v>7310</v>
      </c>
      <c r="C6031" s="37" t="s">
        <v>12</v>
      </c>
      <c r="D6031" s="326">
        <v>359.83</v>
      </c>
    </row>
    <row r="6032" spans="1:4" ht="13.5">
      <c r="A6032" s="37">
        <v>88411</v>
      </c>
      <c r="B6032" s="37" t="s">
        <v>4260</v>
      </c>
      <c r="C6032" s="37" t="s">
        <v>9</v>
      </c>
      <c r="D6032" s="326">
        <v>3.6</v>
      </c>
    </row>
    <row r="6033" spans="1:4" ht="13.5">
      <c r="A6033" s="37">
        <v>88412</v>
      </c>
      <c r="B6033" s="37" t="s">
        <v>4261</v>
      </c>
      <c r="C6033" s="37" t="s">
        <v>9</v>
      </c>
      <c r="D6033" s="326">
        <v>2.84</v>
      </c>
    </row>
    <row r="6034" spans="1:4" ht="13.5">
      <c r="A6034" s="37">
        <v>88413</v>
      </c>
      <c r="B6034" s="37" t="s">
        <v>4262</v>
      </c>
      <c r="C6034" s="37" t="s">
        <v>9</v>
      </c>
      <c r="D6034" s="326">
        <v>5.12</v>
      </c>
    </row>
    <row r="6035" spans="1:4" ht="13.5">
      <c r="A6035" s="37">
        <v>88414</v>
      </c>
      <c r="B6035" s="37" t="s">
        <v>4263</v>
      </c>
      <c r="C6035" s="37" t="s">
        <v>9</v>
      </c>
      <c r="D6035" s="326">
        <v>5.61</v>
      </c>
    </row>
    <row r="6036" spans="1:4" ht="13.5">
      <c r="A6036" s="37">
        <v>88415</v>
      </c>
      <c r="B6036" s="37" t="s">
        <v>4264</v>
      </c>
      <c r="C6036" s="37" t="s">
        <v>9</v>
      </c>
      <c r="D6036" s="326">
        <v>3.83</v>
      </c>
    </row>
    <row r="6037" spans="1:4" ht="13.5">
      <c r="A6037" s="37">
        <v>88416</v>
      </c>
      <c r="B6037" s="37" t="s">
        <v>4265</v>
      </c>
      <c r="C6037" s="37" t="s">
        <v>9</v>
      </c>
      <c r="D6037" s="326">
        <v>18.09</v>
      </c>
    </row>
    <row r="6038" spans="1:4" ht="13.5">
      <c r="A6038" s="37">
        <v>88417</v>
      </c>
      <c r="B6038" s="37" t="s">
        <v>4266</v>
      </c>
      <c r="C6038" s="37" t="s">
        <v>9</v>
      </c>
      <c r="D6038" s="326">
        <v>15.4</v>
      </c>
    </row>
    <row r="6039" spans="1:4" ht="13.5">
      <c r="A6039" s="37">
        <v>88420</v>
      </c>
      <c r="B6039" s="37" t="s">
        <v>4267</v>
      </c>
      <c r="C6039" s="37" t="s">
        <v>9</v>
      </c>
      <c r="D6039" s="326">
        <v>23.54</v>
      </c>
    </row>
    <row r="6040" spans="1:4" ht="13.5">
      <c r="A6040" s="37">
        <v>88421</v>
      </c>
      <c r="B6040" s="37" t="s">
        <v>4268</v>
      </c>
      <c r="C6040" s="37" t="s">
        <v>9</v>
      </c>
      <c r="D6040" s="326">
        <v>25.26</v>
      </c>
    </row>
    <row r="6041" spans="1:4" ht="13.5">
      <c r="A6041" s="37">
        <v>88423</v>
      </c>
      <c r="B6041" s="37" t="s">
        <v>4269</v>
      </c>
      <c r="C6041" s="37" t="s">
        <v>9</v>
      </c>
      <c r="D6041" s="326">
        <v>18.93</v>
      </c>
    </row>
    <row r="6042" spans="1:4" ht="13.5">
      <c r="A6042" s="37">
        <v>88424</v>
      </c>
      <c r="B6042" s="37" t="s">
        <v>4270</v>
      </c>
      <c r="C6042" s="37" t="s">
        <v>9</v>
      </c>
      <c r="D6042" s="326">
        <v>21.8</v>
      </c>
    </row>
    <row r="6043" spans="1:4" ht="13.5">
      <c r="A6043" s="37">
        <v>88426</v>
      </c>
      <c r="B6043" s="37" t="s">
        <v>4271</v>
      </c>
      <c r="C6043" s="37" t="s">
        <v>9</v>
      </c>
      <c r="D6043" s="326">
        <v>17.14</v>
      </c>
    </row>
    <row r="6044" spans="1:4" ht="13.5">
      <c r="A6044" s="37">
        <v>88428</v>
      </c>
      <c r="B6044" s="37" t="s">
        <v>4272</v>
      </c>
      <c r="C6044" s="37" t="s">
        <v>9</v>
      </c>
      <c r="D6044" s="326">
        <v>31.16</v>
      </c>
    </row>
    <row r="6045" spans="1:4" ht="13.5">
      <c r="A6045" s="37">
        <v>88429</v>
      </c>
      <c r="B6045" s="37" t="s">
        <v>4273</v>
      </c>
      <c r="C6045" s="37" t="s">
        <v>9</v>
      </c>
      <c r="D6045" s="326">
        <v>34.15</v>
      </c>
    </row>
    <row r="6046" spans="1:4" ht="13.5">
      <c r="A6046" s="37">
        <v>88431</v>
      </c>
      <c r="B6046" s="37" t="s">
        <v>4274</v>
      </c>
      <c r="C6046" s="37" t="s">
        <v>9</v>
      </c>
      <c r="D6046" s="326">
        <v>23.26</v>
      </c>
    </row>
    <row r="6047" spans="1:4" ht="13.5">
      <c r="A6047" s="37">
        <v>88432</v>
      </c>
      <c r="B6047" s="37" t="s">
        <v>4275</v>
      </c>
      <c r="C6047" s="37" t="s">
        <v>9</v>
      </c>
      <c r="D6047" s="326">
        <v>17.940000000000001</v>
      </c>
    </row>
    <row r="6048" spans="1:4" ht="13.5">
      <c r="A6048" s="37">
        <v>88484</v>
      </c>
      <c r="B6048" s="37" t="s">
        <v>17905</v>
      </c>
      <c r="C6048" s="37" t="s">
        <v>9</v>
      </c>
      <c r="D6048" s="326">
        <v>5.37</v>
      </c>
    </row>
    <row r="6049" spans="1:4" ht="13.5">
      <c r="A6049" s="37">
        <v>88485</v>
      </c>
      <c r="B6049" s="37" t="s">
        <v>17906</v>
      </c>
      <c r="C6049" s="37" t="s">
        <v>9</v>
      </c>
      <c r="D6049" s="326">
        <v>4.4400000000000004</v>
      </c>
    </row>
    <row r="6050" spans="1:4" ht="13.5">
      <c r="A6050" s="37">
        <v>88488</v>
      </c>
      <c r="B6050" s="37" t="s">
        <v>17907</v>
      </c>
      <c r="C6050" s="37" t="s">
        <v>9</v>
      </c>
      <c r="D6050" s="326">
        <v>14.47</v>
      </c>
    </row>
    <row r="6051" spans="1:4" ht="13.5">
      <c r="A6051" s="37">
        <v>88489</v>
      </c>
      <c r="B6051" s="37" t="s">
        <v>17908</v>
      </c>
      <c r="C6051" s="37" t="s">
        <v>9</v>
      </c>
      <c r="D6051" s="326">
        <v>12.2</v>
      </c>
    </row>
    <row r="6052" spans="1:4" ht="13.5">
      <c r="A6052" s="37">
        <v>88494</v>
      </c>
      <c r="B6052" s="37" t="s">
        <v>17909</v>
      </c>
      <c r="C6052" s="37" t="s">
        <v>9</v>
      </c>
      <c r="D6052" s="326">
        <v>21.48</v>
      </c>
    </row>
    <row r="6053" spans="1:4" ht="13.5">
      <c r="A6053" s="37">
        <v>88495</v>
      </c>
      <c r="B6053" s="37" t="s">
        <v>17910</v>
      </c>
      <c r="C6053" s="37" t="s">
        <v>9</v>
      </c>
      <c r="D6053" s="326">
        <v>12.24</v>
      </c>
    </row>
    <row r="6054" spans="1:4" ht="13.5">
      <c r="A6054" s="37">
        <v>88496</v>
      </c>
      <c r="B6054" s="37" t="s">
        <v>17911</v>
      </c>
      <c r="C6054" s="37" t="s">
        <v>9</v>
      </c>
      <c r="D6054" s="326">
        <v>32.85</v>
      </c>
    </row>
    <row r="6055" spans="1:4" ht="13.5">
      <c r="A6055" s="37">
        <v>88497</v>
      </c>
      <c r="B6055" s="37" t="s">
        <v>17912</v>
      </c>
      <c r="C6055" s="37" t="s">
        <v>9</v>
      </c>
      <c r="D6055" s="326">
        <v>19.28</v>
      </c>
    </row>
    <row r="6056" spans="1:4" ht="13.5">
      <c r="A6056" s="37">
        <v>95305</v>
      </c>
      <c r="B6056" s="37" t="s">
        <v>17913</v>
      </c>
      <c r="C6056" s="37" t="s">
        <v>9</v>
      </c>
      <c r="D6056" s="326">
        <v>12.87</v>
      </c>
    </row>
    <row r="6057" spans="1:4" ht="13.5">
      <c r="A6057" s="37">
        <v>95306</v>
      </c>
      <c r="B6057" s="37" t="s">
        <v>17914</v>
      </c>
      <c r="C6057" s="37" t="s">
        <v>9</v>
      </c>
      <c r="D6057" s="326">
        <v>15.03</v>
      </c>
    </row>
    <row r="6058" spans="1:4" ht="13.5">
      <c r="A6058" s="37">
        <v>95622</v>
      </c>
      <c r="B6058" s="37" t="s">
        <v>4276</v>
      </c>
      <c r="C6058" s="37" t="s">
        <v>9</v>
      </c>
      <c r="D6058" s="326">
        <v>16.100000000000001</v>
      </c>
    </row>
    <row r="6059" spans="1:4" ht="13.5">
      <c r="A6059" s="37">
        <v>95623</v>
      </c>
      <c r="B6059" s="37" t="s">
        <v>4277</v>
      </c>
      <c r="C6059" s="37" t="s">
        <v>9</v>
      </c>
      <c r="D6059" s="326">
        <v>12.42</v>
      </c>
    </row>
    <row r="6060" spans="1:4" ht="13.5">
      <c r="A6060" s="37">
        <v>95624</v>
      </c>
      <c r="B6060" s="37" t="s">
        <v>4278</v>
      </c>
      <c r="C6060" s="37" t="s">
        <v>9</v>
      </c>
      <c r="D6060" s="326">
        <v>23.58</v>
      </c>
    </row>
    <row r="6061" spans="1:4" ht="13.5">
      <c r="A6061" s="37">
        <v>95625</v>
      </c>
      <c r="B6061" s="37" t="s">
        <v>4279</v>
      </c>
      <c r="C6061" s="37" t="s">
        <v>9</v>
      </c>
      <c r="D6061" s="326">
        <v>25.94</v>
      </c>
    </row>
    <row r="6062" spans="1:4" ht="13.5">
      <c r="A6062" s="37">
        <v>95626</v>
      </c>
      <c r="B6062" s="37" t="s">
        <v>4280</v>
      </c>
      <c r="C6062" s="37" t="s">
        <v>9</v>
      </c>
      <c r="D6062" s="326">
        <v>17.29</v>
      </c>
    </row>
    <row r="6063" spans="1:4" ht="13.5">
      <c r="A6063" s="37">
        <v>96126</v>
      </c>
      <c r="B6063" s="37" t="s">
        <v>4281</v>
      </c>
      <c r="C6063" s="37" t="s">
        <v>9</v>
      </c>
      <c r="D6063" s="326">
        <v>22.07</v>
      </c>
    </row>
    <row r="6064" spans="1:4" ht="13.5">
      <c r="A6064" s="37">
        <v>96127</v>
      </c>
      <c r="B6064" s="37" t="s">
        <v>4282</v>
      </c>
      <c r="C6064" s="37" t="s">
        <v>9</v>
      </c>
      <c r="D6064" s="326">
        <v>17.47</v>
      </c>
    </row>
    <row r="6065" spans="1:4" ht="13.5">
      <c r="A6065" s="37">
        <v>96128</v>
      </c>
      <c r="B6065" s="37" t="s">
        <v>4283</v>
      </c>
      <c r="C6065" s="37" t="s">
        <v>9</v>
      </c>
      <c r="D6065" s="326">
        <v>31.38</v>
      </c>
    </row>
    <row r="6066" spans="1:4" ht="13.5">
      <c r="A6066" s="37">
        <v>96129</v>
      </c>
      <c r="B6066" s="37" t="s">
        <v>4284</v>
      </c>
      <c r="C6066" s="37" t="s">
        <v>9</v>
      </c>
      <c r="D6066" s="326">
        <v>34.35</v>
      </c>
    </row>
    <row r="6067" spans="1:4" ht="13.5">
      <c r="A6067" s="37">
        <v>96130</v>
      </c>
      <c r="B6067" s="37" t="s">
        <v>4285</v>
      </c>
      <c r="C6067" s="37" t="s">
        <v>9</v>
      </c>
      <c r="D6067" s="326">
        <v>23.52</v>
      </c>
    </row>
    <row r="6068" spans="1:4" ht="13.5">
      <c r="A6068" s="37">
        <v>96131</v>
      </c>
      <c r="B6068" s="37" t="s">
        <v>4286</v>
      </c>
      <c r="C6068" s="37" t="s">
        <v>9</v>
      </c>
      <c r="D6068" s="326">
        <v>30.78</v>
      </c>
    </row>
    <row r="6069" spans="1:4" ht="13.5">
      <c r="A6069" s="37">
        <v>96132</v>
      </c>
      <c r="B6069" s="37" t="s">
        <v>4287</v>
      </c>
      <c r="C6069" s="37" t="s">
        <v>9</v>
      </c>
      <c r="D6069" s="326">
        <v>24.66</v>
      </c>
    </row>
    <row r="6070" spans="1:4" ht="13.5">
      <c r="A6070" s="37">
        <v>96133</v>
      </c>
      <c r="B6070" s="37" t="s">
        <v>4288</v>
      </c>
      <c r="C6070" s="37" t="s">
        <v>9</v>
      </c>
      <c r="D6070" s="326">
        <v>43.16</v>
      </c>
    </row>
    <row r="6071" spans="1:4" ht="13.5">
      <c r="A6071" s="37">
        <v>96134</v>
      </c>
      <c r="B6071" s="37" t="s">
        <v>4289</v>
      </c>
      <c r="C6071" s="37" t="s">
        <v>9</v>
      </c>
      <c r="D6071" s="326">
        <v>47.11</v>
      </c>
    </row>
    <row r="6072" spans="1:4" ht="13.5">
      <c r="A6072" s="37">
        <v>96135</v>
      </c>
      <c r="B6072" s="37" t="s">
        <v>4290</v>
      </c>
      <c r="C6072" s="37" t="s">
        <v>9</v>
      </c>
      <c r="D6072" s="326">
        <v>32.74</v>
      </c>
    </row>
    <row r="6073" spans="1:4" ht="13.5">
      <c r="A6073" s="37">
        <v>104639</v>
      </c>
      <c r="B6073" s="37" t="s">
        <v>17915</v>
      </c>
      <c r="C6073" s="37" t="s">
        <v>9</v>
      </c>
      <c r="D6073" s="326">
        <v>11.2</v>
      </c>
    </row>
    <row r="6074" spans="1:4" ht="13.5">
      <c r="A6074" s="37">
        <v>104640</v>
      </c>
      <c r="B6074" s="37" t="s">
        <v>17916</v>
      </c>
      <c r="C6074" s="37" t="s">
        <v>9</v>
      </c>
      <c r="D6074" s="326">
        <v>12.41</v>
      </c>
    </row>
    <row r="6075" spans="1:4" ht="13.5">
      <c r="A6075" s="37">
        <v>104641</v>
      </c>
      <c r="B6075" s="37" t="s">
        <v>17917</v>
      </c>
      <c r="C6075" s="37" t="s">
        <v>9</v>
      </c>
      <c r="D6075" s="326">
        <v>8.93</v>
      </c>
    </row>
    <row r="6076" spans="1:4" ht="13.5">
      <c r="A6076" s="37">
        <v>104642</v>
      </c>
      <c r="B6076" s="37" t="s">
        <v>17918</v>
      </c>
      <c r="C6076" s="37" t="s">
        <v>9</v>
      </c>
      <c r="D6076" s="326">
        <v>10.14</v>
      </c>
    </row>
    <row r="6077" spans="1:4" ht="13.5">
      <c r="A6077" s="37">
        <v>102193</v>
      </c>
      <c r="B6077" s="37" t="s">
        <v>8677</v>
      </c>
      <c r="C6077" s="37" t="s">
        <v>9</v>
      </c>
      <c r="D6077" s="326">
        <v>2.2000000000000002</v>
      </c>
    </row>
    <row r="6078" spans="1:4" ht="13.5">
      <c r="A6078" s="37">
        <v>102194</v>
      </c>
      <c r="B6078" s="37" t="s">
        <v>8678</v>
      </c>
      <c r="C6078" s="37" t="s">
        <v>9</v>
      </c>
      <c r="D6078" s="326">
        <v>8.39</v>
      </c>
    </row>
    <row r="6079" spans="1:4" ht="13.5">
      <c r="A6079" s="37">
        <v>102197</v>
      </c>
      <c r="B6079" s="37" t="s">
        <v>8679</v>
      </c>
      <c r="C6079" s="37" t="s">
        <v>9</v>
      </c>
      <c r="D6079" s="326">
        <v>32.380000000000003</v>
      </c>
    </row>
    <row r="6080" spans="1:4" ht="13.5">
      <c r="A6080" s="37">
        <v>102200</v>
      </c>
      <c r="B6080" s="37" t="s">
        <v>8680</v>
      </c>
      <c r="C6080" s="37" t="s">
        <v>9</v>
      </c>
      <c r="D6080" s="326">
        <v>24.13</v>
      </c>
    </row>
    <row r="6081" spans="1:4" ht="13.5">
      <c r="A6081" s="37">
        <v>102201</v>
      </c>
      <c r="B6081" s="37" t="s">
        <v>16445</v>
      </c>
      <c r="C6081" s="37" t="s">
        <v>9</v>
      </c>
      <c r="D6081" s="326">
        <v>21.12</v>
      </c>
    </row>
    <row r="6082" spans="1:4" ht="13.5">
      <c r="A6082" s="37">
        <v>102202</v>
      </c>
      <c r="B6082" s="37" t="s">
        <v>8681</v>
      </c>
      <c r="C6082" s="37" t="s">
        <v>9</v>
      </c>
      <c r="D6082" s="326">
        <v>63.72</v>
      </c>
    </row>
    <row r="6083" spans="1:4" ht="13.5">
      <c r="A6083" s="37">
        <v>102203</v>
      </c>
      <c r="B6083" s="37" t="s">
        <v>8682</v>
      </c>
      <c r="C6083" s="37" t="s">
        <v>9</v>
      </c>
      <c r="D6083" s="326">
        <v>10.11</v>
      </c>
    </row>
    <row r="6084" spans="1:4" ht="13.5">
      <c r="A6084" s="37">
        <v>102204</v>
      </c>
      <c r="B6084" s="37" t="s">
        <v>8683</v>
      </c>
      <c r="C6084" s="37" t="s">
        <v>9</v>
      </c>
      <c r="D6084" s="326">
        <v>10.4</v>
      </c>
    </row>
    <row r="6085" spans="1:4" ht="13.5">
      <c r="A6085" s="37">
        <v>102205</v>
      </c>
      <c r="B6085" s="37" t="s">
        <v>8684</v>
      </c>
      <c r="C6085" s="37" t="s">
        <v>9</v>
      </c>
      <c r="D6085" s="326">
        <v>9.4600000000000009</v>
      </c>
    </row>
    <row r="6086" spans="1:4" ht="13.5">
      <c r="A6086" s="37">
        <v>102207</v>
      </c>
      <c r="B6086" s="37" t="s">
        <v>8685</v>
      </c>
      <c r="C6086" s="37" t="s">
        <v>9</v>
      </c>
      <c r="D6086" s="326">
        <v>8.64</v>
      </c>
    </row>
    <row r="6087" spans="1:4" ht="13.5">
      <c r="A6087" s="37">
        <v>102208</v>
      </c>
      <c r="B6087" s="37" t="s">
        <v>8686</v>
      </c>
      <c r="C6087" s="37" t="s">
        <v>9</v>
      </c>
      <c r="D6087" s="326">
        <v>8.24</v>
      </c>
    </row>
    <row r="6088" spans="1:4" ht="13.5">
      <c r="A6088" s="37">
        <v>102209</v>
      </c>
      <c r="B6088" s="37" t="s">
        <v>8687</v>
      </c>
      <c r="C6088" s="37" t="s">
        <v>9</v>
      </c>
      <c r="D6088" s="326">
        <v>8.51</v>
      </c>
    </row>
    <row r="6089" spans="1:4" ht="13.5">
      <c r="A6089" s="37">
        <v>102210</v>
      </c>
      <c r="B6089" s="37" t="s">
        <v>8688</v>
      </c>
      <c r="C6089" s="37" t="s">
        <v>9</v>
      </c>
      <c r="D6089" s="326">
        <v>8.11</v>
      </c>
    </row>
    <row r="6090" spans="1:4" ht="13.5">
      <c r="A6090" s="37">
        <v>102213</v>
      </c>
      <c r="B6090" s="37" t="s">
        <v>8689</v>
      </c>
      <c r="C6090" s="37" t="s">
        <v>9</v>
      </c>
      <c r="D6090" s="326">
        <v>20.23</v>
      </c>
    </row>
    <row r="6091" spans="1:4" ht="13.5">
      <c r="A6091" s="37">
        <v>102214</v>
      </c>
      <c r="B6091" s="37" t="s">
        <v>8690</v>
      </c>
      <c r="C6091" s="37" t="s">
        <v>9</v>
      </c>
      <c r="D6091" s="326">
        <v>20.83</v>
      </c>
    </row>
    <row r="6092" spans="1:4" ht="13.5">
      <c r="A6092" s="37">
        <v>102215</v>
      </c>
      <c r="B6092" s="37" t="s">
        <v>8691</v>
      </c>
      <c r="C6092" s="37" t="s">
        <v>9</v>
      </c>
      <c r="D6092" s="326">
        <v>18.940000000000001</v>
      </c>
    </row>
    <row r="6093" spans="1:4" ht="13.5">
      <c r="A6093" s="37">
        <v>102217</v>
      </c>
      <c r="B6093" s="37" t="s">
        <v>8692</v>
      </c>
      <c r="C6093" s="37" t="s">
        <v>9</v>
      </c>
      <c r="D6093" s="326">
        <v>17.309999999999999</v>
      </c>
    </row>
    <row r="6094" spans="1:4" ht="13.5">
      <c r="A6094" s="37">
        <v>102218</v>
      </c>
      <c r="B6094" s="37" t="s">
        <v>8693</v>
      </c>
      <c r="C6094" s="37" t="s">
        <v>9</v>
      </c>
      <c r="D6094" s="326">
        <v>16.5</v>
      </c>
    </row>
    <row r="6095" spans="1:4" ht="13.5">
      <c r="A6095" s="37">
        <v>102219</v>
      </c>
      <c r="B6095" s="37" t="s">
        <v>8694</v>
      </c>
      <c r="C6095" s="37" t="s">
        <v>9</v>
      </c>
      <c r="D6095" s="326">
        <v>17.03</v>
      </c>
    </row>
    <row r="6096" spans="1:4" ht="13.5">
      <c r="A6096" s="37">
        <v>102220</v>
      </c>
      <c r="B6096" s="37" t="s">
        <v>8695</v>
      </c>
      <c r="C6096" s="37" t="s">
        <v>9</v>
      </c>
      <c r="D6096" s="326">
        <v>16.239999999999998</v>
      </c>
    </row>
    <row r="6097" spans="1:4" ht="13.5">
      <c r="A6097" s="37">
        <v>102223</v>
      </c>
      <c r="B6097" s="37" t="s">
        <v>8696</v>
      </c>
      <c r="C6097" s="37" t="s">
        <v>9</v>
      </c>
      <c r="D6097" s="326">
        <v>30.37</v>
      </c>
    </row>
    <row r="6098" spans="1:4" ht="13.5">
      <c r="A6098" s="37">
        <v>102224</v>
      </c>
      <c r="B6098" s="37" t="s">
        <v>8697</v>
      </c>
      <c r="C6098" s="37" t="s">
        <v>9</v>
      </c>
      <c r="D6098" s="326">
        <v>31.25</v>
      </c>
    </row>
    <row r="6099" spans="1:4" ht="13.5">
      <c r="A6099" s="37">
        <v>102225</v>
      </c>
      <c r="B6099" s="37" t="s">
        <v>8698</v>
      </c>
      <c r="C6099" s="37" t="s">
        <v>9</v>
      </c>
      <c r="D6099" s="326">
        <v>28.42</v>
      </c>
    </row>
    <row r="6100" spans="1:4" ht="13.5">
      <c r="A6100" s="37">
        <v>102227</v>
      </c>
      <c r="B6100" s="37" t="s">
        <v>8699</v>
      </c>
      <c r="C6100" s="37" t="s">
        <v>9</v>
      </c>
      <c r="D6100" s="326">
        <v>25.96</v>
      </c>
    </row>
    <row r="6101" spans="1:4" ht="13.5">
      <c r="A6101" s="37">
        <v>102228</v>
      </c>
      <c r="B6101" s="37" t="s">
        <v>8700</v>
      </c>
      <c r="C6101" s="37" t="s">
        <v>9</v>
      </c>
      <c r="D6101" s="326">
        <v>24.76</v>
      </c>
    </row>
    <row r="6102" spans="1:4" ht="13.5">
      <c r="A6102" s="37">
        <v>102229</v>
      </c>
      <c r="B6102" s="37" t="s">
        <v>8701</v>
      </c>
      <c r="C6102" s="37" t="s">
        <v>9</v>
      </c>
      <c r="D6102" s="326">
        <v>25.55</v>
      </c>
    </row>
    <row r="6103" spans="1:4" ht="13.5">
      <c r="A6103" s="37">
        <v>102230</v>
      </c>
      <c r="B6103" s="37" t="s">
        <v>8702</v>
      </c>
      <c r="C6103" s="37" t="s">
        <v>9</v>
      </c>
      <c r="D6103" s="326">
        <v>24.35</v>
      </c>
    </row>
    <row r="6104" spans="1:4" ht="13.5">
      <c r="A6104" s="37">
        <v>102233</v>
      </c>
      <c r="B6104" s="37" t="s">
        <v>8703</v>
      </c>
      <c r="C6104" s="37" t="s">
        <v>9</v>
      </c>
      <c r="D6104" s="326">
        <v>10.67</v>
      </c>
    </row>
    <row r="6105" spans="1:4" ht="13.5">
      <c r="A6105" s="37">
        <v>102234</v>
      </c>
      <c r="B6105" s="37" t="s">
        <v>8704</v>
      </c>
      <c r="C6105" s="37" t="s">
        <v>9</v>
      </c>
      <c r="D6105" s="326">
        <v>21.34</v>
      </c>
    </row>
    <row r="6106" spans="1:4" ht="13.5">
      <c r="A6106" s="37">
        <v>100716</v>
      </c>
      <c r="B6106" s="37" t="s">
        <v>4291</v>
      </c>
      <c r="C6106" s="37" t="s">
        <v>9</v>
      </c>
      <c r="D6106" s="326">
        <v>26.54</v>
      </c>
    </row>
    <row r="6107" spans="1:4" ht="13.5">
      <c r="A6107" s="37">
        <v>100717</v>
      </c>
      <c r="B6107" s="37" t="s">
        <v>4292</v>
      </c>
      <c r="C6107" s="37" t="s">
        <v>9</v>
      </c>
      <c r="D6107" s="326">
        <v>10.130000000000001</v>
      </c>
    </row>
    <row r="6108" spans="1:4" ht="13.5">
      <c r="A6108" s="37">
        <v>100718</v>
      </c>
      <c r="B6108" s="37" t="s">
        <v>4293</v>
      </c>
      <c r="C6108" s="37" t="s">
        <v>6</v>
      </c>
      <c r="D6108" s="326">
        <v>1.4</v>
      </c>
    </row>
    <row r="6109" spans="1:4" ht="13.5">
      <c r="A6109" s="37">
        <v>100719</v>
      </c>
      <c r="B6109" s="37" t="s">
        <v>17919</v>
      </c>
      <c r="C6109" s="37" t="s">
        <v>9</v>
      </c>
      <c r="D6109" s="326">
        <v>10.99</v>
      </c>
    </row>
    <row r="6110" spans="1:4" ht="13.5">
      <c r="A6110" s="37">
        <v>100720</v>
      </c>
      <c r="B6110" s="37" t="s">
        <v>4294</v>
      </c>
      <c r="C6110" s="37" t="s">
        <v>9</v>
      </c>
      <c r="D6110" s="326">
        <v>10.94</v>
      </c>
    </row>
    <row r="6111" spans="1:4" ht="13.5">
      <c r="A6111" s="37">
        <v>100721</v>
      </c>
      <c r="B6111" s="37" t="s">
        <v>17920</v>
      </c>
      <c r="C6111" s="37" t="s">
        <v>9</v>
      </c>
      <c r="D6111" s="326">
        <v>25.29</v>
      </c>
    </row>
    <row r="6112" spans="1:4" ht="13.5">
      <c r="A6112" s="37">
        <v>100722</v>
      </c>
      <c r="B6112" s="37" t="s">
        <v>4295</v>
      </c>
      <c r="C6112" s="37" t="s">
        <v>9</v>
      </c>
      <c r="D6112" s="326">
        <v>24.62</v>
      </c>
    </row>
    <row r="6113" spans="1:4" ht="13.5">
      <c r="A6113" s="37">
        <v>100723</v>
      </c>
      <c r="B6113" s="37" t="s">
        <v>17921</v>
      </c>
      <c r="C6113" s="37" t="s">
        <v>9</v>
      </c>
      <c r="D6113" s="326">
        <v>11.81</v>
      </c>
    </row>
    <row r="6114" spans="1:4" ht="13.5">
      <c r="A6114" s="37">
        <v>100724</v>
      </c>
      <c r="B6114" s="37" t="s">
        <v>4296</v>
      </c>
      <c r="C6114" s="37" t="s">
        <v>9</v>
      </c>
      <c r="D6114" s="326">
        <v>14.22</v>
      </c>
    </row>
    <row r="6115" spans="1:4" ht="13.5">
      <c r="A6115" s="37">
        <v>100725</v>
      </c>
      <c r="B6115" s="37" t="s">
        <v>17922</v>
      </c>
      <c r="C6115" s="37" t="s">
        <v>9</v>
      </c>
      <c r="D6115" s="326">
        <v>25.55</v>
      </c>
    </row>
    <row r="6116" spans="1:4" ht="13.5">
      <c r="A6116" s="37">
        <v>100726</v>
      </c>
      <c r="B6116" s="37" t="s">
        <v>4297</v>
      </c>
      <c r="C6116" s="37" t="s">
        <v>9</v>
      </c>
      <c r="D6116" s="326">
        <v>27.8</v>
      </c>
    </row>
    <row r="6117" spans="1:4" ht="13.5">
      <c r="A6117" s="37">
        <v>100727</v>
      </c>
      <c r="B6117" s="37" t="s">
        <v>17923</v>
      </c>
      <c r="C6117" s="37" t="s">
        <v>9</v>
      </c>
      <c r="D6117" s="326">
        <v>27.09</v>
      </c>
    </row>
    <row r="6118" spans="1:4" ht="13.5">
      <c r="A6118" s="37">
        <v>100728</v>
      </c>
      <c r="B6118" s="37" t="s">
        <v>4299</v>
      </c>
      <c r="C6118" s="37" t="s">
        <v>9</v>
      </c>
      <c r="D6118" s="326">
        <v>24.33</v>
      </c>
    </row>
    <row r="6119" spans="1:4" ht="13.5">
      <c r="A6119" s="37">
        <v>100729</v>
      </c>
      <c r="B6119" s="37" t="s">
        <v>17924</v>
      </c>
      <c r="C6119" s="37" t="s">
        <v>9</v>
      </c>
      <c r="D6119" s="326">
        <v>20.41</v>
      </c>
    </row>
    <row r="6120" spans="1:4" ht="13.5">
      <c r="A6120" s="37">
        <v>100730</v>
      </c>
      <c r="B6120" s="37" t="s">
        <v>4300</v>
      </c>
      <c r="C6120" s="37" t="s">
        <v>9</v>
      </c>
      <c r="D6120" s="326">
        <v>23.88</v>
      </c>
    </row>
    <row r="6121" spans="1:4" ht="13.5">
      <c r="A6121" s="37">
        <v>100733</v>
      </c>
      <c r="B6121" s="37" t="s">
        <v>17925</v>
      </c>
      <c r="C6121" s="37" t="s">
        <v>9</v>
      </c>
      <c r="D6121" s="326">
        <v>13.48</v>
      </c>
    </row>
    <row r="6122" spans="1:4" ht="13.5">
      <c r="A6122" s="37">
        <v>100734</v>
      </c>
      <c r="B6122" s="37" t="s">
        <v>4301</v>
      </c>
      <c r="C6122" s="37" t="s">
        <v>9</v>
      </c>
      <c r="D6122" s="326">
        <v>16.739999999999998</v>
      </c>
    </row>
    <row r="6123" spans="1:4" ht="13.5">
      <c r="A6123" s="37">
        <v>100735</v>
      </c>
      <c r="B6123" s="37" t="s">
        <v>17926</v>
      </c>
      <c r="C6123" s="37" t="s">
        <v>9</v>
      </c>
      <c r="D6123" s="326">
        <v>11.24</v>
      </c>
    </row>
    <row r="6124" spans="1:4" ht="13.5">
      <c r="A6124" s="37">
        <v>100736</v>
      </c>
      <c r="B6124" s="37" t="s">
        <v>4302</v>
      </c>
      <c r="C6124" s="37" t="s">
        <v>9</v>
      </c>
      <c r="D6124" s="326">
        <v>14.93</v>
      </c>
    </row>
    <row r="6125" spans="1:4" ht="13.5">
      <c r="A6125" s="37">
        <v>100739</v>
      </c>
      <c r="B6125" s="37" t="s">
        <v>17927</v>
      </c>
      <c r="C6125" s="37" t="s">
        <v>9</v>
      </c>
      <c r="D6125" s="326">
        <v>10.82</v>
      </c>
    </row>
    <row r="6126" spans="1:4" ht="13.5">
      <c r="A6126" s="37">
        <v>100740</v>
      </c>
      <c r="B6126" s="37" t="s">
        <v>4303</v>
      </c>
      <c r="C6126" s="37" t="s">
        <v>9</v>
      </c>
      <c r="D6126" s="326">
        <v>11.52</v>
      </c>
    </row>
    <row r="6127" spans="1:4" ht="13.5">
      <c r="A6127" s="37">
        <v>100741</v>
      </c>
      <c r="B6127" s="37" t="s">
        <v>17928</v>
      </c>
      <c r="C6127" s="37" t="s">
        <v>9</v>
      </c>
      <c r="D6127" s="326">
        <v>24.9</v>
      </c>
    </row>
    <row r="6128" spans="1:4" ht="13.5">
      <c r="A6128" s="37">
        <v>100742</v>
      </c>
      <c r="B6128" s="37" t="s">
        <v>4304</v>
      </c>
      <c r="C6128" s="37" t="s">
        <v>9</v>
      </c>
      <c r="D6128" s="326">
        <v>25.16</v>
      </c>
    </row>
    <row r="6129" spans="1:4" ht="13.5">
      <c r="A6129" s="37">
        <v>100743</v>
      </c>
      <c r="B6129" s="37" t="s">
        <v>17929</v>
      </c>
      <c r="C6129" s="37" t="s">
        <v>9</v>
      </c>
      <c r="D6129" s="326">
        <v>10.57</v>
      </c>
    </row>
    <row r="6130" spans="1:4" ht="13.5">
      <c r="A6130" s="37">
        <v>100744</v>
      </c>
      <c r="B6130" s="37" t="s">
        <v>4306</v>
      </c>
      <c r="C6130" s="37" t="s">
        <v>9</v>
      </c>
      <c r="D6130" s="326">
        <v>11.36</v>
      </c>
    </row>
    <row r="6131" spans="1:4" ht="13.5">
      <c r="A6131" s="37">
        <v>100745</v>
      </c>
      <c r="B6131" s="37" t="s">
        <v>17930</v>
      </c>
      <c r="C6131" s="37" t="s">
        <v>9</v>
      </c>
      <c r="D6131" s="326">
        <v>24.64</v>
      </c>
    </row>
    <row r="6132" spans="1:4" ht="13.5">
      <c r="A6132" s="37">
        <v>100746</v>
      </c>
      <c r="B6132" s="37" t="s">
        <v>4307</v>
      </c>
      <c r="C6132" s="37" t="s">
        <v>9</v>
      </c>
      <c r="D6132" s="326">
        <v>25</v>
      </c>
    </row>
    <row r="6133" spans="1:4" ht="13.5">
      <c r="A6133" s="37">
        <v>100747</v>
      </c>
      <c r="B6133" s="37" t="s">
        <v>17931</v>
      </c>
      <c r="C6133" s="37" t="s">
        <v>9</v>
      </c>
      <c r="D6133" s="326">
        <v>10.68</v>
      </c>
    </row>
    <row r="6134" spans="1:4" ht="13.5">
      <c r="A6134" s="37">
        <v>100748</v>
      </c>
      <c r="B6134" s="37" t="s">
        <v>4308</v>
      </c>
      <c r="C6134" s="37" t="s">
        <v>9</v>
      </c>
      <c r="D6134" s="326">
        <v>11.42</v>
      </c>
    </row>
    <row r="6135" spans="1:4" ht="13.5">
      <c r="A6135" s="37">
        <v>100749</v>
      </c>
      <c r="B6135" s="37" t="s">
        <v>17932</v>
      </c>
      <c r="C6135" s="37" t="s">
        <v>9</v>
      </c>
      <c r="D6135" s="326">
        <v>24.75</v>
      </c>
    </row>
    <row r="6136" spans="1:4" ht="13.5">
      <c r="A6136" s="37">
        <v>100750</v>
      </c>
      <c r="B6136" s="37" t="s">
        <v>4309</v>
      </c>
      <c r="C6136" s="37" t="s">
        <v>9</v>
      </c>
      <c r="D6136" s="326">
        <v>25.07</v>
      </c>
    </row>
    <row r="6137" spans="1:4" ht="13.5">
      <c r="A6137" s="37">
        <v>100751</v>
      </c>
      <c r="B6137" s="37" t="s">
        <v>17933</v>
      </c>
      <c r="C6137" s="37" t="s">
        <v>9</v>
      </c>
      <c r="D6137" s="326">
        <v>40.81</v>
      </c>
    </row>
    <row r="6138" spans="1:4" ht="13.5">
      <c r="A6138" s="37">
        <v>100752</v>
      </c>
      <c r="B6138" s="37" t="s">
        <v>4310</v>
      </c>
      <c r="C6138" s="37" t="s">
        <v>9</v>
      </c>
      <c r="D6138" s="326">
        <v>47.77</v>
      </c>
    </row>
    <row r="6139" spans="1:4" ht="13.5">
      <c r="A6139" s="37">
        <v>100753</v>
      </c>
      <c r="B6139" s="37" t="s">
        <v>17934</v>
      </c>
      <c r="C6139" s="37" t="s">
        <v>9</v>
      </c>
      <c r="D6139" s="326">
        <v>22.51</v>
      </c>
    </row>
    <row r="6140" spans="1:4" ht="13.5">
      <c r="A6140" s="37">
        <v>100754</v>
      </c>
      <c r="B6140" s="37" t="s">
        <v>4311</v>
      </c>
      <c r="C6140" s="37" t="s">
        <v>9</v>
      </c>
      <c r="D6140" s="326">
        <v>29.86</v>
      </c>
    </row>
    <row r="6141" spans="1:4" ht="13.5">
      <c r="A6141" s="37">
        <v>100757</v>
      </c>
      <c r="B6141" s="37" t="s">
        <v>17935</v>
      </c>
      <c r="C6141" s="37" t="s">
        <v>9</v>
      </c>
      <c r="D6141" s="326">
        <v>49.83</v>
      </c>
    </row>
    <row r="6142" spans="1:4" ht="13.5">
      <c r="A6142" s="37">
        <v>100758</v>
      </c>
      <c r="B6142" s="37" t="s">
        <v>4312</v>
      </c>
      <c r="C6142" s="37" t="s">
        <v>9</v>
      </c>
      <c r="D6142" s="326">
        <v>50.36</v>
      </c>
    </row>
    <row r="6143" spans="1:4" ht="13.5">
      <c r="A6143" s="37">
        <v>100759</v>
      </c>
      <c r="B6143" s="37" t="s">
        <v>17936</v>
      </c>
      <c r="C6143" s="37" t="s">
        <v>9</v>
      </c>
      <c r="D6143" s="326">
        <v>49.3</v>
      </c>
    </row>
    <row r="6144" spans="1:4" ht="13.5">
      <c r="A6144" s="37">
        <v>100760</v>
      </c>
      <c r="B6144" s="37" t="s">
        <v>4314</v>
      </c>
      <c r="C6144" s="37" t="s">
        <v>9</v>
      </c>
      <c r="D6144" s="326">
        <v>50.03</v>
      </c>
    </row>
    <row r="6145" spans="1:4" ht="13.5">
      <c r="A6145" s="37">
        <v>100761</v>
      </c>
      <c r="B6145" s="37" t="s">
        <v>17937</v>
      </c>
      <c r="C6145" s="37" t="s">
        <v>9</v>
      </c>
      <c r="D6145" s="326">
        <v>49.53</v>
      </c>
    </row>
    <row r="6146" spans="1:4" ht="13.5">
      <c r="A6146" s="37">
        <v>100762</v>
      </c>
      <c r="B6146" s="37" t="s">
        <v>4315</v>
      </c>
      <c r="C6146" s="37" t="s">
        <v>9</v>
      </c>
      <c r="D6146" s="326">
        <v>50.17</v>
      </c>
    </row>
    <row r="6147" spans="1:4" ht="13.5">
      <c r="A6147" s="37">
        <v>102488</v>
      </c>
      <c r="B6147" s="37" t="s">
        <v>8705</v>
      </c>
      <c r="C6147" s="37" t="s">
        <v>9</v>
      </c>
      <c r="D6147" s="326">
        <v>3.28</v>
      </c>
    </row>
    <row r="6148" spans="1:4" ht="13.5">
      <c r="A6148" s="37">
        <v>102489</v>
      </c>
      <c r="B6148" s="37" t="s">
        <v>8706</v>
      </c>
      <c r="C6148" s="37" t="s">
        <v>9</v>
      </c>
      <c r="D6148" s="326">
        <v>26.06</v>
      </c>
    </row>
    <row r="6149" spans="1:4" ht="13.5">
      <c r="A6149" s="37">
        <v>102491</v>
      </c>
      <c r="B6149" s="37" t="s">
        <v>8707</v>
      </c>
      <c r="C6149" s="37" t="s">
        <v>9</v>
      </c>
      <c r="D6149" s="326">
        <v>20.36</v>
      </c>
    </row>
    <row r="6150" spans="1:4" ht="13.5">
      <c r="A6150" s="37">
        <v>102492</v>
      </c>
      <c r="B6150" s="37" t="s">
        <v>8708</v>
      </c>
      <c r="C6150" s="37" t="s">
        <v>9</v>
      </c>
      <c r="D6150" s="326">
        <v>25.7</v>
      </c>
    </row>
    <row r="6151" spans="1:4" ht="13.5">
      <c r="A6151" s="37">
        <v>102494</v>
      </c>
      <c r="B6151" s="37" t="s">
        <v>8709</v>
      </c>
      <c r="C6151" s="37" t="s">
        <v>9</v>
      </c>
      <c r="D6151" s="326">
        <v>63.57</v>
      </c>
    </row>
    <row r="6152" spans="1:4" ht="13.5">
      <c r="A6152" s="37">
        <v>102496</v>
      </c>
      <c r="B6152" s="37" t="s">
        <v>8710</v>
      </c>
      <c r="C6152" s="37" t="s">
        <v>6</v>
      </c>
      <c r="D6152" s="326">
        <v>13.27</v>
      </c>
    </row>
    <row r="6153" spans="1:4" ht="13.5">
      <c r="A6153" s="37">
        <v>102497</v>
      </c>
      <c r="B6153" s="37" t="s">
        <v>8711</v>
      </c>
      <c r="C6153" s="37" t="s">
        <v>6</v>
      </c>
      <c r="D6153" s="326">
        <v>4.8</v>
      </c>
    </row>
    <row r="6154" spans="1:4" ht="13.5">
      <c r="A6154" s="37">
        <v>102498</v>
      </c>
      <c r="B6154" s="37" t="s">
        <v>8712</v>
      </c>
      <c r="C6154" s="37" t="s">
        <v>6</v>
      </c>
      <c r="D6154" s="326">
        <v>1.57</v>
      </c>
    </row>
    <row r="6155" spans="1:4" ht="13.5">
      <c r="A6155" s="37">
        <v>102499</v>
      </c>
      <c r="B6155" s="37" t="s">
        <v>8713</v>
      </c>
      <c r="C6155" s="37" t="s">
        <v>9</v>
      </c>
      <c r="D6155" s="326">
        <v>2.96</v>
      </c>
    </row>
    <row r="6156" spans="1:4" ht="13.5">
      <c r="A6156" s="37">
        <v>102500</v>
      </c>
      <c r="B6156" s="37" t="s">
        <v>8714</v>
      </c>
      <c r="C6156" s="37" t="s">
        <v>6</v>
      </c>
      <c r="D6156" s="326">
        <v>4.29</v>
      </c>
    </row>
    <row r="6157" spans="1:4" ht="13.5">
      <c r="A6157" s="37">
        <v>102501</v>
      </c>
      <c r="B6157" s="37" t="s">
        <v>8715</v>
      </c>
      <c r="C6157" s="37" t="s">
        <v>9</v>
      </c>
      <c r="D6157" s="326">
        <v>24.21</v>
      </c>
    </row>
    <row r="6158" spans="1:4" ht="13.5">
      <c r="A6158" s="37">
        <v>102504</v>
      </c>
      <c r="B6158" s="37" t="s">
        <v>8716</v>
      </c>
      <c r="C6158" s="37" t="s">
        <v>6</v>
      </c>
      <c r="D6158" s="326">
        <v>9.68</v>
      </c>
    </row>
    <row r="6159" spans="1:4" ht="13.5">
      <c r="A6159" s="37">
        <v>102505</v>
      </c>
      <c r="B6159" s="37" t="s">
        <v>8717</v>
      </c>
      <c r="C6159" s="37" t="s">
        <v>6</v>
      </c>
      <c r="D6159" s="326">
        <v>10.38</v>
      </c>
    </row>
    <row r="6160" spans="1:4" ht="13.5">
      <c r="A6160" s="37">
        <v>102506</v>
      </c>
      <c r="B6160" s="37" t="s">
        <v>8718</v>
      </c>
      <c r="C6160" s="37" t="s">
        <v>6</v>
      </c>
      <c r="D6160" s="326">
        <v>10.7</v>
      </c>
    </row>
    <row r="6161" spans="1:4" ht="13.5">
      <c r="A6161" s="37">
        <v>102507</v>
      </c>
      <c r="B6161" s="37" t="s">
        <v>8719</v>
      </c>
      <c r="C6161" s="37" t="s">
        <v>6</v>
      </c>
      <c r="D6161" s="326">
        <v>6.32</v>
      </c>
    </row>
    <row r="6162" spans="1:4" ht="13.5">
      <c r="A6162" s="37">
        <v>102508</v>
      </c>
      <c r="B6162" s="37" t="s">
        <v>8720</v>
      </c>
      <c r="C6162" s="37" t="s">
        <v>9</v>
      </c>
      <c r="D6162" s="326">
        <v>44.96</v>
      </c>
    </row>
    <row r="6163" spans="1:4" ht="13.5">
      <c r="A6163" s="37">
        <v>102509</v>
      </c>
      <c r="B6163" s="37" t="s">
        <v>8721</v>
      </c>
      <c r="C6163" s="37" t="s">
        <v>9</v>
      </c>
      <c r="D6163" s="326">
        <v>27.37</v>
      </c>
    </row>
    <row r="6164" spans="1:4" ht="13.5">
      <c r="A6164" s="37">
        <v>102512</v>
      </c>
      <c r="B6164" s="37" t="s">
        <v>8722</v>
      </c>
      <c r="C6164" s="37" t="s">
        <v>6</v>
      </c>
      <c r="D6164" s="326">
        <v>5.79</v>
      </c>
    </row>
    <row r="6165" spans="1:4" ht="13.5">
      <c r="A6165" s="37">
        <v>102513</v>
      </c>
      <c r="B6165" s="37" t="s">
        <v>8723</v>
      </c>
      <c r="C6165" s="37" t="s">
        <v>9</v>
      </c>
      <c r="D6165" s="326">
        <v>46.08</v>
      </c>
    </row>
    <row r="6166" spans="1:4" ht="13.5">
      <c r="A6166" s="37">
        <v>102520</v>
      </c>
      <c r="B6166" s="37" t="s">
        <v>8724</v>
      </c>
      <c r="C6166" s="37" t="s">
        <v>9</v>
      </c>
      <c r="D6166" s="326">
        <v>80.14</v>
      </c>
    </row>
    <row r="6167" spans="1:4" ht="13.5">
      <c r="A6167" s="37">
        <v>101749</v>
      </c>
      <c r="B6167" s="37" t="s">
        <v>8725</v>
      </c>
      <c r="C6167" s="37" t="s">
        <v>9</v>
      </c>
      <c r="D6167" s="326">
        <v>50.21</v>
      </c>
    </row>
    <row r="6168" spans="1:4" ht="13.5">
      <c r="A6168" s="37">
        <v>101750</v>
      </c>
      <c r="B6168" s="37" t="s">
        <v>8726</v>
      </c>
      <c r="C6168" s="37" t="s">
        <v>9</v>
      </c>
      <c r="D6168" s="326">
        <v>47.9</v>
      </c>
    </row>
    <row r="6169" spans="1:4" ht="13.5">
      <c r="A6169" s="37">
        <v>101729</v>
      </c>
      <c r="B6169" s="37" t="s">
        <v>8727</v>
      </c>
      <c r="C6169" s="37" t="s">
        <v>9</v>
      </c>
      <c r="D6169" s="326">
        <v>203.6</v>
      </c>
    </row>
    <row r="6170" spans="1:4" ht="13.5">
      <c r="A6170" s="37">
        <v>101746</v>
      </c>
      <c r="B6170" s="37" t="s">
        <v>8728</v>
      </c>
      <c r="C6170" s="37" t="s">
        <v>9</v>
      </c>
      <c r="D6170" s="326">
        <v>308.69</v>
      </c>
    </row>
    <row r="6171" spans="1:4" ht="13.5">
      <c r="A6171" s="37">
        <v>101751</v>
      </c>
      <c r="B6171" s="37" t="s">
        <v>8729</v>
      </c>
      <c r="C6171" s="37" t="s">
        <v>9</v>
      </c>
      <c r="D6171" s="326">
        <v>209.98</v>
      </c>
    </row>
    <row r="6172" spans="1:4" ht="13.5">
      <c r="A6172" s="37">
        <v>87246</v>
      </c>
      <c r="B6172" s="37" t="s">
        <v>17938</v>
      </c>
      <c r="C6172" s="37" t="s">
        <v>9</v>
      </c>
      <c r="D6172" s="326">
        <v>70.400000000000006</v>
      </c>
    </row>
    <row r="6173" spans="1:4" ht="13.5">
      <c r="A6173" s="37">
        <v>87247</v>
      </c>
      <c r="B6173" s="37" t="s">
        <v>17939</v>
      </c>
      <c r="C6173" s="37" t="s">
        <v>9</v>
      </c>
      <c r="D6173" s="326">
        <v>63.88</v>
      </c>
    </row>
    <row r="6174" spans="1:4" ht="13.5">
      <c r="A6174" s="37">
        <v>87248</v>
      </c>
      <c r="B6174" s="37" t="s">
        <v>17940</v>
      </c>
      <c r="C6174" s="37" t="s">
        <v>9</v>
      </c>
      <c r="D6174" s="326">
        <v>57.19</v>
      </c>
    </row>
    <row r="6175" spans="1:4" ht="13.5">
      <c r="A6175" s="37">
        <v>87249</v>
      </c>
      <c r="B6175" s="37" t="s">
        <v>17941</v>
      </c>
      <c r="C6175" s="37" t="s">
        <v>9</v>
      </c>
      <c r="D6175" s="326">
        <v>74.989999999999995</v>
      </c>
    </row>
    <row r="6176" spans="1:4" ht="13.5">
      <c r="A6176" s="37">
        <v>87250</v>
      </c>
      <c r="B6176" s="37" t="s">
        <v>17942</v>
      </c>
      <c r="C6176" s="37" t="s">
        <v>9</v>
      </c>
      <c r="D6176" s="326">
        <v>65.150000000000006</v>
      </c>
    </row>
    <row r="6177" spans="1:4" ht="13.5">
      <c r="A6177" s="37">
        <v>87251</v>
      </c>
      <c r="B6177" s="37" t="s">
        <v>17943</v>
      </c>
      <c r="C6177" s="37" t="s">
        <v>9</v>
      </c>
      <c r="D6177" s="326">
        <v>57.43</v>
      </c>
    </row>
    <row r="6178" spans="1:4" ht="13.5">
      <c r="A6178" s="37">
        <v>87255</v>
      </c>
      <c r="B6178" s="37" t="s">
        <v>17944</v>
      </c>
      <c r="C6178" s="37" t="s">
        <v>9</v>
      </c>
      <c r="D6178" s="326">
        <v>123.42</v>
      </c>
    </row>
    <row r="6179" spans="1:4" ht="13.5">
      <c r="A6179" s="37">
        <v>87256</v>
      </c>
      <c r="B6179" s="37" t="s">
        <v>17945</v>
      </c>
      <c r="C6179" s="37" t="s">
        <v>9</v>
      </c>
      <c r="D6179" s="326">
        <v>111.08</v>
      </c>
    </row>
    <row r="6180" spans="1:4" ht="13.5">
      <c r="A6180" s="37">
        <v>87257</v>
      </c>
      <c r="B6180" s="37" t="s">
        <v>17946</v>
      </c>
      <c r="C6180" s="37" t="s">
        <v>9</v>
      </c>
      <c r="D6180" s="326">
        <v>101.77</v>
      </c>
    </row>
    <row r="6181" spans="1:4" ht="13.5">
      <c r="A6181" s="37">
        <v>87258</v>
      </c>
      <c r="B6181" s="37" t="s">
        <v>17947</v>
      </c>
      <c r="C6181" s="37" t="s">
        <v>9</v>
      </c>
      <c r="D6181" s="326">
        <v>169.26</v>
      </c>
    </row>
    <row r="6182" spans="1:4" ht="13.5">
      <c r="A6182" s="37">
        <v>87259</v>
      </c>
      <c r="B6182" s="37" t="s">
        <v>17948</v>
      </c>
      <c r="C6182" s="37" t="s">
        <v>9</v>
      </c>
      <c r="D6182" s="326">
        <v>156.65</v>
      </c>
    </row>
    <row r="6183" spans="1:4" ht="13.5">
      <c r="A6183" s="37">
        <v>87260</v>
      </c>
      <c r="B6183" s="37" t="s">
        <v>17949</v>
      </c>
      <c r="C6183" s="37" t="s">
        <v>9</v>
      </c>
      <c r="D6183" s="326">
        <v>148.13</v>
      </c>
    </row>
    <row r="6184" spans="1:4" ht="13.5">
      <c r="A6184" s="37">
        <v>87261</v>
      </c>
      <c r="B6184" s="37" t="s">
        <v>17950</v>
      </c>
      <c r="C6184" s="37" t="s">
        <v>9</v>
      </c>
      <c r="D6184" s="326">
        <v>194.87</v>
      </c>
    </row>
    <row r="6185" spans="1:4" ht="13.5">
      <c r="A6185" s="37">
        <v>87262</v>
      </c>
      <c r="B6185" s="37" t="s">
        <v>17951</v>
      </c>
      <c r="C6185" s="37" t="s">
        <v>9</v>
      </c>
      <c r="D6185" s="326">
        <v>180.43</v>
      </c>
    </row>
    <row r="6186" spans="1:4" ht="13.5">
      <c r="A6186" s="37">
        <v>87263</v>
      </c>
      <c r="B6186" s="37" t="s">
        <v>17952</v>
      </c>
      <c r="C6186" s="37" t="s">
        <v>9</v>
      </c>
      <c r="D6186" s="326">
        <v>170.32</v>
      </c>
    </row>
    <row r="6187" spans="1:4" ht="13.5">
      <c r="A6187" s="37">
        <v>89046</v>
      </c>
      <c r="B6187" s="37" t="s">
        <v>8730</v>
      </c>
      <c r="C6187" s="37" t="s">
        <v>9</v>
      </c>
      <c r="D6187" s="326">
        <v>63.17</v>
      </c>
    </row>
    <row r="6188" spans="1:4" ht="13.5">
      <c r="A6188" s="37">
        <v>89171</v>
      </c>
      <c r="B6188" s="37" t="s">
        <v>8731</v>
      </c>
      <c r="C6188" s="37" t="s">
        <v>9</v>
      </c>
      <c r="D6188" s="326">
        <v>60.15</v>
      </c>
    </row>
    <row r="6189" spans="1:4" ht="13.5">
      <c r="A6189" s="37">
        <v>93389</v>
      </c>
      <c r="B6189" s="37" t="s">
        <v>17953</v>
      </c>
      <c r="C6189" s="37" t="s">
        <v>9</v>
      </c>
      <c r="D6189" s="326">
        <v>63.25</v>
      </c>
    </row>
    <row r="6190" spans="1:4" ht="13.5">
      <c r="A6190" s="37">
        <v>93390</v>
      </c>
      <c r="B6190" s="37" t="s">
        <v>17954</v>
      </c>
      <c r="C6190" s="37" t="s">
        <v>9</v>
      </c>
      <c r="D6190" s="326">
        <v>56.84</v>
      </c>
    </row>
    <row r="6191" spans="1:4" ht="13.5">
      <c r="A6191" s="37">
        <v>93391</v>
      </c>
      <c r="B6191" s="37" t="s">
        <v>17955</v>
      </c>
      <c r="C6191" s="37" t="s">
        <v>9</v>
      </c>
      <c r="D6191" s="326">
        <v>50.18</v>
      </c>
    </row>
    <row r="6192" spans="1:4" ht="13.5">
      <c r="A6192" s="37">
        <v>104593</v>
      </c>
      <c r="B6192" s="37" t="s">
        <v>17956</v>
      </c>
      <c r="C6192" s="37" t="s">
        <v>9</v>
      </c>
      <c r="D6192" s="326">
        <v>127.44</v>
      </c>
    </row>
    <row r="6193" spans="1:4" ht="13.5">
      <c r="A6193" s="37">
        <v>104594</v>
      </c>
      <c r="B6193" s="37" t="s">
        <v>17957</v>
      </c>
      <c r="C6193" s="37" t="s">
        <v>9</v>
      </c>
      <c r="D6193" s="326">
        <v>113.54</v>
      </c>
    </row>
    <row r="6194" spans="1:4" ht="13.5">
      <c r="A6194" s="37">
        <v>104595</v>
      </c>
      <c r="B6194" s="37" t="s">
        <v>17958</v>
      </c>
      <c r="C6194" s="37" t="s">
        <v>9</v>
      </c>
      <c r="D6194" s="326">
        <v>102.33</v>
      </c>
    </row>
    <row r="6195" spans="1:4" ht="13.5">
      <c r="A6195" s="37">
        <v>104596</v>
      </c>
      <c r="B6195" s="37" t="s">
        <v>17959</v>
      </c>
      <c r="C6195" s="37" t="s">
        <v>9</v>
      </c>
      <c r="D6195" s="326">
        <v>199.89</v>
      </c>
    </row>
    <row r="6196" spans="1:4" ht="13.5">
      <c r="A6196" s="37">
        <v>104597</v>
      </c>
      <c r="B6196" s="37" t="s">
        <v>17960</v>
      </c>
      <c r="C6196" s="37" t="s">
        <v>9</v>
      </c>
      <c r="D6196" s="326">
        <v>183.51</v>
      </c>
    </row>
    <row r="6197" spans="1:4" ht="13.5">
      <c r="A6197" s="37">
        <v>104598</v>
      </c>
      <c r="B6197" s="37" t="s">
        <v>17961</v>
      </c>
      <c r="C6197" s="37" t="s">
        <v>9</v>
      </c>
      <c r="D6197" s="326">
        <v>171.06</v>
      </c>
    </row>
    <row r="6198" spans="1:4" ht="13.5">
      <c r="A6198" s="37">
        <v>104599</v>
      </c>
      <c r="B6198" s="37" t="s">
        <v>17962</v>
      </c>
      <c r="C6198" s="37" t="s">
        <v>9</v>
      </c>
      <c r="D6198" s="326">
        <v>82.99</v>
      </c>
    </row>
    <row r="6199" spans="1:4" ht="13.5">
      <c r="A6199" s="37">
        <v>104600</v>
      </c>
      <c r="B6199" s="37" t="s">
        <v>17963</v>
      </c>
      <c r="C6199" s="37" t="s">
        <v>9</v>
      </c>
      <c r="D6199" s="326">
        <v>75.27</v>
      </c>
    </row>
    <row r="6200" spans="1:4" ht="13.5">
      <c r="A6200" s="37">
        <v>104601</v>
      </c>
      <c r="B6200" s="37" t="s">
        <v>17964</v>
      </c>
      <c r="C6200" s="37" t="s">
        <v>9</v>
      </c>
      <c r="D6200" s="326">
        <v>68.63</v>
      </c>
    </row>
    <row r="6201" spans="1:4" ht="13.5">
      <c r="A6201" s="37">
        <v>104602</v>
      </c>
      <c r="B6201" s="37" t="s">
        <v>17965</v>
      </c>
      <c r="C6201" s="37" t="s">
        <v>9</v>
      </c>
      <c r="D6201" s="326">
        <v>61.38</v>
      </c>
    </row>
    <row r="6202" spans="1:4" ht="13.5">
      <c r="A6202" s="37">
        <v>104603</v>
      </c>
      <c r="B6202" s="37" t="s">
        <v>17966</v>
      </c>
      <c r="C6202" s="37" t="s">
        <v>9</v>
      </c>
      <c r="D6202" s="326">
        <v>59.55</v>
      </c>
    </row>
    <row r="6203" spans="1:4" ht="13.5">
      <c r="A6203" s="37">
        <v>104604</v>
      </c>
      <c r="B6203" s="37" t="s">
        <v>17967</v>
      </c>
      <c r="C6203" s="37" t="s">
        <v>9</v>
      </c>
      <c r="D6203" s="326">
        <v>52.43</v>
      </c>
    </row>
    <row r="6204" spans="1:4" ht="13.5">
      <c r="A6204" s="37">
        <v>104605</v>
      </c>
      <c r="B6204" s="37" t="s">
        <v>17968</v>
      </c>
      <c r="C6204" s="37" t="s">
        <v>9</v>
      </c>
      <c r="D6204" s="326">
        <v>101.64</v>
      </c>
    </row>
    <row r="6205" spans="1:4" ht="13.5">
      <c r="A6205" s="37">
        <v>104606</v>
      </c>
      <c r="B6205" s="37" t="s">
        <v>17969</v>
      </c>
      <c r="C6205" s="37" t="s">
        <v>9</v>
      </c>
      <c r="D6205" s="326">
        <v>72.709999999999994</v>
      </c>
    </row>
    <row r="6206" spans="1:4" ht="13.5">
      <c r="A6206" s="37">
        <v>104607</v>
      </c>
      <c r="B6206" s="37" t="s">
        <v>17970</v>
      </c>
      <c r="C6206" s="37" t="s">
        <v>9</v>
      </c>
      <c r="D6206" s="326">
        <v>60.79</v>
      </c>
    </row>
    <row r="6207" spans="1:4" ht="13.5">
      <c r="A6207" s="37">
        <v>104608</v>
      </c>
      <c r="B6207" s="37" t="s">
        <v>17971</v>
      </c>
      <c r="C6207" s="37" t="s">
        <v>9</v>
      </c>
      <c r="D6207" s="326">
        <v>207.72</v>
      </c>
    </row>
    <row r="6208" spans="1:4" ht="13.5">
      <c r="A6208" s="37">
        <v>104609</v>
      </c>
      <c r="B6208" s="37" t="s">
        <v>17972</v>
      </c>
      <c r="C6208" s="37" t="s">
        <v>9</v>
      </c>
      <c r="D6208" s="326">
        <v>167.52</v>
      </c>
    </row>
    <row r="6209" spans="1:4" ht="13.5">
      <c r="A6209" s="37">
        <v>104610</v>
      </c>
      <c r="B6209" s="37" t="s">
        <v>17973</v>
      </c>
      <c r="C6209" s="37" t="s">
        <v>9</v>
      </c>
      <c r="D6209" s="326">
        <v>152.97999999999999</v>
      </c>
    </row>
    <row r="6210" spans="1:4" ht="13.5">
      <c r="A6210" s="37">
        <v>98671</v>
      </c>
      <c r="B6210" s="37" t="s">
        <v>8732</v>
      </c>
      <c r="C6210" s="37" t="s">
        <v>9</v>
      </c>
      <c r="D6210" s="326">
        <v>269.02</v>
      </c>
    </row>
    <row r="6211" spans="1:4" ht="13.5">
      <c r="A6211" s="37">
        <v>98672</v>
      </c>
      <c r="B6211" s="37" t="s">
        <v>8733</v>
      </c>
      <c r="C6211" s="37" t="s">
        <v>9</v>
      </c>
      <c r="D6211" s="326">
        <v>284.99</v>
      </c>
    </row>
    <row r="6212" spans="1:4" ht="13.5">
      <c r="A6212" s="37">
        <v>98678</v>
      </c>
      <c r="B6212" s="37" t="s">
        <v>8734</v>
      </c>
      <c r="C6212" s="37" t="s">
        <v>9</v>
      </c>
      <c r="D6212" s="326">
        <v>352.19</v>
      </c>
    </row>
    <row r="6213" spans="1:4" ht="13.5">
      <c r="A6213" s="37">
        <v>98679</v>
      </c>
      <c r="B6213" s="37" t="s">
        <v>8735</v>
      </c>
      <c r="C6213" s="37" t="s">
        <v>9</v>
      </c>
      <c r="D6213" s="326">
        <v>34.24</v>
      </c>
    </row>
    <row r="6214" spans="1:4" ht="13.5">
      <c r="A6214" s="37">
        <v>98680</v>
      </c>
      <c r="B6214" s="37" t="s">
        <v>8736</v>
      </c>
      <c r="C6214" s="37" t="s">
        <v>9</v>
      </c>
      <c r="D6214" s="326">
        <v>43.03</v>
      </c>
    </row>
    <row r="6215" spans="1:4" ht="13.5">
      <c r="A6215" s="37">
        <v>98681</v>
      </c>
      <c r="B6215" s="37" t="s">
        <v>8737</v>
      </c>
      <c r="C6215" s="37" t="s">
        <v>9</v>
      </c>
      <c r="D6215" s="326">
        <v>31.92</v>
      </c>
    </row>
    <row r="6216" spans="1:4" ht="13.5">
      <c r="A6216" s="37">
        <v>98682</v>
      </c>
      <c r="B6216" s="37" t="s">
        <v>8738</v>
      </c>
      <c r="C6216" s="37" t="s">
        <v>9</v>
      </c>
      <c r="D6216" s="326">
        <v>40.72</v>
      </c>
    </row>
    <row r="6217" spans="1:4" ht="13.5">
      <c r="A6217" s="37">
        <v>98685</v>
      </c>
      <c r="B6217" s="37" t="s">
        <v>8739</v>
      </c>
      <c r="C6217" s="37" t="s">
        <v>6</v>
      </c>
      <c r="D6217" s="326">
        <v>49.62</v>
      </c>
    </row>
    <row r="6218" spans="1:4" ht="13.5">
      <c r="A6218" s="37">
        <v>98686</v>
      </c>
      <c r="B6218" s="37" t="s">
        <v>8740</v>
      </c>
      <c r="C6218" s="37" t="s">
        <v>6</v>
      </c>
      <c r="D6218" s="326">
        <v>39.229999999999997</v>
      </c>
    </row>
    <row r="6219" spans="1:4" ht="13.5">
      <c r="A6219" s="37">
        <v>98688</v>
      </c>
      <c r="B6219" s="37" t="s">
        <v>8741</v>
      </c>
      <c r="C6219" s="37" t="s">
        <v>6</v>
      </c>
      <c r="D6219" s="326">
        <v>66.41</v>
      </c>
    </row>
    <row r="6220" spans="1:4" ht="13.5">
      <c r="A6220" s="37">
        <v>98689</v>
      </c>
      <c r="B6220" s="37" t="s">
        <v>8742</v>
      </c>
      <c r="C6220" s="37" t="s">
        <v>6</v>
      </c>
      <c r="D6220" s="326">
        <v>72.040000000000006</v>
      </c>
    </row>
    <row r="6221" spans="1:4" ht="13.5">
      <c r="A6221" s="37">
        <v>101090</v>
      </c>
      <c r="B6221" s="37" t="s">
        <v>8743</v>
      </c>
      <c r="C6221" s="37" t="s">
        <v>9</v>
      </c>
      <c r="D6221" s="326">
        <v>186.42</v>
      </c>
    </row>
    <row r="6222" spans="1:4" ht="13.5">
      <c r="A6222" s="37">
        <v>101091</v>
      </c>
      <c r="B6222" s="37" t="s">
        <v>8744</v>
      </c>
      <c r="C6222" s="37" t="s">
        <v>9</v>
      </c>
      <c r="D6222" s="326">
        <v>134.31</v>
      </c>
    </row>
    <row r="6223" spans="1:4" ht="13.5">
      <c r="A6223" s="37">
        <v>101725</v>
      </c>
      <c r="B6223" s="37" t="s">
        <v>8745</v>
      </c>
      <c r="C6223" s="37" t="s">
        <v>9</v>
      </c>
      <c r="D6223" s="326">
        <v>256.31</v>
      </c>
    </row>
    <row r="6224" spans="1:4" ht="13.5">
      <c r="A6224" s="37">
        <v>101726</v>
      </c>
      <c r="B6224" s="37" t="s">
        <v>8746</v>
      </c>
      <c r="C6224" s="37" t="s">
        <v>9</v>
      </c>
      <c r="D6224" s="326">
        <v>172.54</v>
      </c>
    </row>
    <row r="6225" spans="1:4" ht="13.5">
      <c r="A6225" s="37">
        <v>101731</v>
      </c>
      <c r="B6225" s="37" t="s">
        <v>8747</v>
      </c>
      <c r="C6225" s="37" t="s">
        <v>9</v>
      </c>
      <c r="D6225" s="326">
        <v>276.25</v>
      </c>
    </row>
    <row r="6226" spans="1:4" ht="13.5">
      <c r="A6226" s="37">
        <v>101732</v>
      </c>
      <c r="B6226" s="37" t="s">
        <v>8748</v>
      </c>
      <c r="C6226" s="37" t="s">
        <v>9</v>
      </c>
      <c r="D6226" s="326">
        <v>86.54</v>
      </c>
    </row>
    <row r="6227" spans="1:4" ht="13.5">
      <c r="A6227" s="37">
        <v>101094</v>
      </c>
      <c r="B6227" s="37" t="s">
        <v>17974</v>
      </c>
      <c r="C6227" s="37" t="s">
        <v>6</v>
      </c>
      <c r="D6227" s="326">
        <v>166.36</v>
      </c>
    </row>
    <row r="6228" spans="1:4" ht="13.5">
      <c r="A6228" s="37">
        <v>101727</v>
      </c>
      <c r="B6228" s="37" t="s">
        <v>8749</v>
      </c>
      <c r="C6228" s="37" t="s">
        <v>9</v>
      </c>
      <c r="D6228" s="326">
        <v>198</v>
      </c>
    </row>
    <row r="6229" spans="1:4" ht="13.5">
      <c r="A6229" s="37">
        <v>101733</v>
      </c>
      <c r="B6229" s="37" t="s">
        <v>8750</v>
      </c>
      <c r="C6229" s="37" t="s">
        <v>9</v>
      </c>
      <c r="D6229" s="326">
        <v>269.02999999999997</v>
      </c>
    </row>
    <row r="6230" spans="1:4" ht="13.5">
      <c r="A6230" s="37">
        <v>101734</v>
      </c>
      <c r="B6230" s="37" t="s">
        <v>8751</v>
      </c>
      <c r="C6230" s="37" t="s">
        <v>9</v>
      </c>
      <c r="D6230" s="326">
        <v>408.21</v>
      </c>
    </row>
    <row r="6231" spans="1:4" ht="13.5">
      <c r="A6231" s="37">
        <v>101735</v>
      </c>
      <c r="B6231" s="37" t="s">
        <v>8752</v>
      </c>
      <c r="C6231" s="37" t="s">
        <v>9</v>
      </c>
      <c r="D6231" s="326">
        <v>418.3</v>
      </c>
    </row>
    <row r="6232" spans="1:4" ht="13.5">
      <c r="A6232" s="37">
        <v>101736</v>
      </c>
      <c r="B6232" s="37" t="s">
        <v>8753</v>
      </c>
      <c r="C6232" s="37" t="s">
        <v>9</v>
      </c>
      <c r="D6232" s="326">
        <v>110.06</v>
      </c>
    </row>
    <row r="6233" spans="1:4" ht="13.5">
      <c r="A6233" s="37">
        <v>101737</v>
      </c>
      <c r="B6233" s="37" t="s">
        <v>8754</v>
      </c>
      <c r="C6233" s="37" t="s">
        <v>9</v>
      </c>
      <c r="D6233" s="326">
        <v>130.04</v>
      </c>
    </row>
    <row r="6234" spans="1:4" ht="13.5">
      <c r="A6234" s="37">
        <v>101748</v>
      </c>
      <c r="B6234" s="37" t="s">
        <v>8755</v>
      </c>
      <c r="C6234" s="37" t="s">
        <v>9</v>
      </c>
      <c r="D6234" s="326">
        <v>3.28</v>
      </c>
    </row>
    <row r="6235" spans="1:4" ht="13.5">
      <c r="A6235" s="37">
        <v>104162</v>
      </c>
      <c r="B6235" s="37" t="s">
        <v>16446</v>
      </c>
      <c r="C6235" s="37" t="s">
        <v>9</v>
      </c>
      <c r="D6235" s="326">
        <v>84.2</v>
      </c>
    </row>
    <row r="6236" spans="1:4" ht="13.5">
      <c r="A6236" s="37">
        <v>101092</v>
      </c>
      <c r="B6236" s="37" t="s">
        <v>8756</v>
      </c>
      <c r="C6236" s="37" t="s">
        <v>9</v>
      </c>
      <c r="D6236" s="326">
        <v>279.11</v>
      </c>
    </row>
    <row r="6237" spans="1:4" ht="13.5">
      <c r="A6237" s="37">
        <v>101093</v>
      </c>
      <c r="B6237" s="37" t="s">
        <v>8757</v>
      </c>
      <c r="C6237" s="37" t="s">
        <v>9</v>
      </c>
      <c r="D6237" s="326">
        <v>295.08</v>
      </c>
    </row>
    <row r="6238" spans="1:4" ht="13.5">
      <c r="A6238" s="37">
        <v>98695</v>
      </c>
      <c r="B6238" s="37" t="s">
        <v>8758</v>
      </c>
      <c r="C6238" s="37" t="s">
        <v>6</v>
      </c>
      <c r="D6238" s="326">
        <v>56.3</v>
      </c>
    </row>
    <row r="6239" spans="1:4" ht="13.5">
      <c r="A6239" s="37">
        <v>98697</v>
      </c>
      <c r="B6239" s="37" t="s">
        <v>8759</v>
      </c>
      <c r="C6239" s="37" t="s">
        <v>6</v>
      </c>
      <c r="D6239" s="326">
        <v>36.03</v>
      </c>
    </row>
    <row r="6240" spans="1:4" ht="13.5">
      <c r="A6240" s="37">
        <v>101738</v>
      </c>
      <c r="B6240" s="37" t="s">
        <v>8760</v>
      </c>
      <c r="C6240" s="37" t="s">
        <v>6</v>
      </c>
      <c r="D6240" s="326">
        <v>30.12</v>
      </c>
    </row>
    <row r="6241" spans="1:4" ht="13.5">
      <c r="A6241" s="37">
        <v>101739</v>
      </c>
      <c r="B6241" s="37" t="s">
        <v>8761</v>
      </c>
      <c r="C6241" s="37" t="s">
        <v>6</v>
      </c>
      <c r="D6241" s="326">
        <v>32.96</v>
      </c>
    </row>
    <row r="6242" spans="1:4" ht="13.5">
      <c r="A6242" s="37">
        <v>88648</v>
      </c>
      <c r="B6242" s="37" t="s">
        <v>17975</v>
      </c>
      <c r="C6242" s="37" t="s">
        <v>6</v>
      </c>
      <c r="D6242" s="326">
        <v>7.98</v>
      </c>
    </row>
    <row r="6243" spans="1:4" ht="13.5">
      <c r="A6243" s="37">
        <v>88649</v>
      </c>
      <c r="B6243" s="37" t="s">
        <v>17976</v>
      </c>
      <c r="C6243" s="37" t="s">
        <v>6</v>
      </c>
      <c r="D6243" s="326">
        <v>9.15</v>
      </c>
    </row>
    <row r="6244" spans="1:4" ht="13.5">
      <c r="A6244" s="37">
        <v>88650</v>
      </c>
      <c r="B6244" s="37" t="s">
        <v>17977</v>
      </c>
      <c r="C6244" s="37" t="s">
        <v>6</v>
      </c>
      <c r="D6244" s="326">
        <v>18.5</v>
      </c>
    </row>
    <row r="6245" spans="1:4" ht="13.5">
      <c r="A6245" s="37">
        <v>96467</v>
      </c>
      <c r="B6245" s="37" t="s">
        <v>17978</v>
      </c>
      <c r="C6245" s="37" t="s">
        <v>6</v>
      </c>
      <c r="D6245" s="326">
        <v>7.17</v>
      </c>
    </row>
    <row r="6246" spans="1:4" ht="13.5">
      <c r="A6246" s="37">
        <v>101740</v>
      </c>
      <c r="B6246" s="37" t="s">
        <v>8762</v>
      </c>
      <c r="C6246" s="37" t="s">
        <v>6</v>
      </c>
      <c r="D6246" s="326">
        <v>43.97</v>
      </c>
    </row>
    <row r="6247" spans="1:4" ht="13.5">
      <c r="A6247" s="37">
        <v>101741</v>
      </c>
      <c r="B6247" s="37" t="s">
        <v>8763</v>
      </c>
      <c r="C6247" s="37" t="s">
        <v>6</v>
      </c>
      <c r="D6247" s="326">
        <v>21.22</v>
      </c>
    </row>
    <row r="6248" spans="1:4" ht="13.5">
      <c r="A6248" s="37">
        <v>94990</v>
      </c>
      <c r="B6248" s="37" t="s">
        <v>16447</v>
      </c>
      <c r="C6248" s="37" t="s">
        <v>12</v>
      </c>
      <c r="D6248" s="326">
        <v>735.69</v>
      </c>
    </row>
    <row r="6249" spans="1:4" ht="13.5">
      <c r="A6249" s="37">
        <v>94991</v>
      </c>
      <c r="B6249" s="37" t="s">
        <v>17979</v>
      </c>
      <c r="C6249" s="37" t="s">
        <v>12</v>
      </c>
      <c r="D6249" s="326">
        <v>751.83</v>
      </c>
    </row>
    <row r="6250" spans="1:4" ht="13.5">
      <c r="A6250" s="37">
        <v>94992</v>
      </c>
      <c r="B6250" s="37" t="s">
        <v>16448</v>
      </c>
      <c r="C6250" s="37" t="s">
        <v>9</v>
      </c>
      <c r="D6250" s="326">
        <v>82.97</v>
      </c>
    </row>
    <row r="6251" spans="1:4" ht="13.5">
      <c r="A6251" s="37">
        <v>94993</v>
      </c>
      <c r="B6251" s="37" t="s">
        <v>16449</v>
      </c>
      <c r="C6251" s="37" t="s">
        <v>9</v>
      </c>
      <c r="D6251" s="326">
        <v>83.94</v>
      </c>
    </row>
    <row r="6252" spans="1:4" ht="13.5">
      <c r="A6252" s="37">
        <v>94994</v>
      </c>
      <c r="B6252" s="37" t="s">
        <v>16450</v>
      </c>
      <c r="C6252" s="37" t="s">
        <v>9</v>
      </c>
      <c r="D6252" s="326">
        <v>97.98</v>
      </c>
    </row>
    <row r="6253" spans="1:4" ht="13.5">
      <c r="A6253" s="37">
        <v>94995</v>
      </c>
      <c r="B6253" s="37" t="s">
        <v>16451</v>
      </c>
      <c r="C6253" s="37" t="s">
        <v>9</v>
      </c>
      <c r="D6253" s="326">
        <v>99.27</v>
      </c>
    </row>
    <row r="6254" spans="1:4" ht="13.5">
      <c r="A6254" s="37">
        <v>101747</v>
      </c>
      <c r="B6254" s="37" t="s">
        <v>8764</v>
      </c>
      <c r="C6254" s="37" t="s">
        <v>9</v>
      </c>
      <c r="D6254" s="326">
        <v>78.09</v>
      </c>
    </row>
    <row r="6255" spans="1:4" ht="13.5">
      <c r="A6255" s="37">
        <v>104626</v>
      </c>
      <c r="B6255" s="37" t="s">
        <v>17980</v>
      </c>
      <c r="C6255" s="37" t="s">
        <v>12</v>
      </c>
      <c r="D6255" s="326">
        <v>769.94</v>
      </c>
    </row>
    <row r="6256" spans="1:4" ht="13.5">
      <c r="A6256" s="37">
        <v>104658</v>
      </c>
      <c r="B6256" s="37" t="s">
        <v>17981</v>
      </c>
      <c r="C6256" s="37" t="s">
        <v>9</v>
      </c>
      <c r="D6256" s="326">
        <v>144.30000000000001</v>
      </c>
    </row>
    <row r="6257" spans="1:4" ht="13.5">
      <c r="A6257" s="37">
        <v>87620</v>
      </c>
      <c r="B6257" s="37" t="s">
        <v>8765</v>
      </c>
      <c r="C6257" s="37" t="s">
        <v>9</v>
      </c>
      <c r="D6257" s="326">
        <v>28.05</v>
      </c>
    </row>
    <row r="6258" spans="1:4" ht="13.5">
      <c r="A6258" s="37">
        <v>87622</v>
      </c>
      <c r="B6258" s="37" t="s">
        <v>8766</v>
      </c>
      <c r="C6258" s="37" t="s">
        <v>9</v>
      </c>
      <c r="D6258" s="326">
        <v>30.62</v>
      </c>
    </row>
    <row r="6259" spans="1:4" ht="13.5">
      <c r="A6259" s="37">
        <v>87623</v>
      </c>
      <c r="B6259" s="37" t="s">
        <v>8767</v>
      </c>
      <c r="C6259" s="37" t="s">
        <v>9</v>
      </c>
      <c r="D6259" s="326">
        <v>65.5</v>
      </c>
    </row>
    <row r="6260" spans="1:4" ht="13.5">
      <c r="A6260" s="37">
        <v>87624</v>
      </c>
      <c r="B6260" s="37" t="s">
        <v>17982</v>
      </c>
      <c r="C6260" s="37" t="s">
        <v>9</v>
      </c>
      <c r="D6260" s="326">
        <v>71.010000000000005</v>
      </c>
    </row>
    <row r="6261" spans="1:4" ht="13.5">
      <c r="A6261" s="37">
        <v>87630</v>
      </c>
      <c r="B6261" s="37" t="s">
        <v>8768</v>
      </c>
      <c r="C6261" s="37" t="s">
        <v>9</v>
      </c>
      <c r="D6261" s="326">
        <v>35.92</v>
      </c>
    </row>
    <row r="6262" spans="1:4" ht="13.5">
      <c r="A6262" s="37">
        <v>87632</v>
      </c>
      <c r="B6262" s="37" t="s">
        <v>8769</v>
      </c>
      <c r="C6262" s="37" t="s">
        <v>9</v>
      </c>
      <c r="D6262" s="326">
        <v>39.51</v>
      </c>
    </row>
    <row r="6263" spans="1:4" ht="13.5">
      <c r="A6263" s="37">
        <v>87633</v>
      </c>
      <c r="B6263" s="37" t="s">
        <v>8770</v>
      </c>
      <c r="C6263" s="37" t="s">
        <v>9</v>
      </c>
      <c r="D6263" s="326">
        <v>88</v>
      </c>
    </row>
    <row r="6264" spans="1:4" ht="13.5">
      <c r="A6264" s="37">
        <v>87634</v>
      </c>
      <c r="B6264" s="37" t="s">
        <v>8771</v>
      </c>
      <c r="C6264" s="37" t="s">
        <v>9</v>
      </c>
      <c r="D6264" s="326">
        <v>95.66</v>
      </c>
    </row>
    <row r="6265" spans="1:4" ht="13.5">
      <c r="A6265" s="37">
        <v>87640</v>
      </c>
      <c r="B6265" s="37" t="s">
        <v>8772</v>
      </c>
      <c r="C6265" s="37" t="s">
        <v>9</v>
      </c>
      <c r="D6265" s="326">
        <v>42.4</v>
      </c>
    </row>
    <row r="6266" spans="1:4" ht="13.5">
      <c r="A6266" s="37">
        <v>87642</v>
      </c>
      <c r="B6266" s="37" t="s">
        <v>8773</v>
      </c>
      <c r="C6266" s="37" t="s">
        <v>9</v>
      </c>
      <c r="D6266" s="326">
        <v>46.8</v>
      </c>
    </row>
    <row r="6267" spans="1:4" ht="13.5">
      <c r="A6267" s="37">
        <v>87643</v>
      </c>
      <c r="B6267" s="37" t="s">
        <v>8774</v>
      </c>
      <c r="C6267" s="37" t="s">
        <v>9</v>
      </c>
      <c r="D6267" s="326">
        <v>106.43</v>
      </c>
    </row>
    <row r="6268" spans="1:4" ht="13.5">
      <c r="A6268" s="37">
        <v>87644</v>
      </c>
      <c r="B6268" s="37" t="s">
        <v>8775</v>
      </c>
      <c r="C6268" s="37" t="s">
        <v>9</v>
      </c>
      <c r="D6268" s="326">
        <v>115.85</v>
      </c>
    </row>
    <row r="6269" spans="1:4" ht="13.5">
      <c r="A6269" s="37">
        <v>87680</v>
      </c>
      <c r="B6269" s="37" t="s">
        <v>8776</v>
      </c>
      <c r="C6269" s="37" t="s">
        <v>9</v>
      </c>
      <c r="D6269" s="326">
        <v>38.43</v>
      </c>
    </row>
    <row r="6270" spans="1:4" ht="13.5">
      <c r="A6270" s="37">
        <v>87682</v>
      </c>
      <c r="B6270" s="37" t="s">
        <v>8777</v>
      </c>
      <c r="C6270" s="37" t="s">
        <v>9</v>
      </c>
      <c r="D6270" s="326">
        <v>42.83</v>
      </c>
    </row>
    <row r="6271" spans="1:4" ht="13.5">
      <c r="A6271" s="37">
        <v>87683</v>
      </c>
      <c r="B6271" s="37" t="s">
        <v>8778</v>
      </c>
      <c r="C6271" s="37" t="s">
        <v>9</v>
      </c>
      <c r="D6271" s="326">
        <v>102.46</v>
      </c>
    </row>
    <row r="6272" spans="1:4" ht="13.5">
      <c r="A6272" s="37">
        <v>87684</v>
      </c>
      <c r="B6272" s="37" t="s">
        <v>8779</v>
      </c>
      <c r="C6272" s="37" t="s">
        <v>9</v>
      </c>
      <c r="D6272" s="326">
        <v>111.88</v>
      </c>
    </row>
    <row r="6273" spans="1:4" ht="13.5">
      <c r="A6273" s="37">
        <v>87690</v>
      </c>
      <c r="B6273" s="37" t="s">
        <v>8780</v>
      </c>
      <c r="C6273" s="37" t="s">
        <v>9</v>
      </c>
      <c r="D6273" s="326">
        <v>44.04</v>
      </c>
    </row>
    <row r="6274" spans="1:4" ht="13.5">
      <c r="A6274" s="37">
        <v>87692</v>
      </c>
      <c r="B6274" s="37" t="s">
        <v>8781</v>
      </c>
      <c r="C6274" s="37" t="s">
        <v>9</v>
      </c>
      <c r="D6274" s="326">
        <v>49.08</v>
      </c>
    </row>
    <row r="6275" spans="1:4" ht="13.5">
      <c r="A6275" s="37">
        <v>87693</v>
      </c>
      <c r="B6275" s="37" t="s">
        <v>8782</v>
      </c>
      <c r="C6275" s="37" t="s">
        <v>9</v>
      </c>
      <c r="D6275" s="326">
        <v>117.37</v>
      </c>
    </row>
    <row r="6276" spans="1:4" ht="13.5">
      <c r="A6276" s="37">
        <v>87694</v>
      </c>
      <c r="B6276" s="37" t="s">
        <v>8783</v>
      </c>
      <c r="C6276" s="37" t="s">
        <v>9</v>
      </c>
      <c r="D6276" s="326">
        <v>128.16</v>
      </c>
    </row>
    <row r="6277" spans="1:4" ht="13.5">
      <c r="A6277" s="37">
        <v>87700</v>
      </c>
      <c r="B6277" s="37" t="s">
        <v>8784</v>
      </c>
      <c r="C6277" s="37" t="s">
        <v>9</v>
      </c>
      <c r="D6277" s="326">
        <v>47.56</v>
      </c>
    </row>
    <row r="6278" spans="1:4" ht="13.5">
      <c r="A6278" s="37">
        <v>87702</v>
      </c>
      <c r="B6278" s="37" t="s">
        <v>8785</v>
      </c>
      <c r="C6278" s="37" t="s">
        <v>9</v>
      </c>
      <c r="D6278" s="326">
        <v>53.05</v>
      </c>
    </row>
    <row r="6279" spans="1:4" ht="13.5">
      <c r="A6279" s="37">
        <v>87703</v>
      </c>
      <c r="B6279" s="37" t="s">
        <v>8786</v>
      </c>
      <c r="C6279" s="37" t="s">
        <v>9</v>
      </c>
      <c r="D6279" s="326">
        <v>127.42</v>
      </c>
    </row>
    <row r="6280" spans="1:4" ht="13.5">
      <c r="A6280" s="37">
        <v>87704</v>
      </c>
      <c r="B6280" s="37" t="s">
        <v>8787</v>
      </c>
      <c r="C6280" s="37" t="s">
        <v>9</v>
      </c>
      <c r="D6280" s="326">
        <v>139.16</v>
      </c>
    </row>
    <row r="6281" spans="1:4" ht="13.5">
      <c r="A6281" s="37">
        <v>87735</v>
      </c>
      <c r="B6281" s="37" t="s">
        <v>8788</v>
      </c>
      <c r="C6281" s="37" t="s">
        <v>9</v>
      </c>
      <c r="D6281" s="326">
        <v>39.119999999999997</v>
      </c>
    </row>
    <row r="6282" spans="1:4" ht="13.5">
      <c r="A6282" s="37">
        <v>87737</v>
      </c>
      <c r="B6282" s="37" t="s">
        <v>8789</v>
      </c>
      <c r="C6282" s="37" t="s">
        <v>9</v>
      </c>
      <c r="D6282" s="326">
        <v>41.69</v>
      </c>
    </row>
    <row r="6283" spans="1:4" ht="13.5">
      <c r="A6283" s="37">
        <v>87738</v>
      </c>
      <c r="B6283" s="37" t="s">
        <v>8790</v>
      </c>
      <c r="C6283" s="37" t="s">
        <v>9</v>
      </c>
      <c r="D6283" s="326">
        <v>76.569999999999993</v>
      </c>
    </row>
    <row r="6284" spans="1:4" ht="13.5">
      <c r="A6284" s="37">
        <v>87739</v>
      </c>
      <c r="B6284" s="37" t="s">
        <v>8791</v>
      </c>
      <c r="C6284" s="37" t="s">
        <v>9</v>
      </c>
      <c r="D6284" s="326">
        <v>82.08</v>
      </c>
    </row>
    <row r="6285" spans="1:4" ht="13.5">
      <c r="A6285" s="37">
        <v>87745</v>
      </c>
      <c r="B6285" s="37" t="s">
        <v>8792</v>
      </c>
      <c r="C6285" s="37" t="s">
        <v>9</v>
      </c>
      <c r="D6285" s="326">
        <v>47.01</v>
      </c>
    </row>
    <row r="6286" spans="1:4" ht="13.5">
      <c r="A6286" s="37">
        <v>87747</v>
      </c>
      <c r="B6286" s="37" t="s">
        <v>8793</v>
      </c>
      <c r="C6286" s="37" t="s">
        <v>9</v>
      </c>
      <c r="D6286" s="326">
        <v>50.6</v>
      </c>
    </row>
    <row r="6287" spans="1:4" ht="13.5">
      <c r="A6287" s="37">
        <v>87748</v>
      </c>
      <c r="B6287" s="37" t="s">
        <v>8794</v>
      </c>
      <c r="C6287" s="37" t="s">
        <v>9</v>
      </c>
      <c r="D6287" s="326">
        <v>99.09</v>
      </c>
    </row>
    <row r="6288" spans="1:4" ht="13.5">
      <c r="A6288" s="37">
        <v>87749</v>
      </c>
      <c r="B6288" s="37" t="s">
        <v>8795</v>
      </c>
      <c r="C6288" s="37" t="s">
        <v>9</v>
      </c>
      <c r="D6288" s="326">
        <v>106.75</v>
      </c>
    </row>
    <row r="6289" spans="1:4" ht="13.5">
      <c r="A6289" s="37">
        <v>87755</v>
      </c>
      <c r="B6289" s="37" t="s">
        <v>8796</v>
      </c>
      <c r="C6289" s="37" t="s">
        <v>9</v>
      </c>
      <c r="D6289" s="326">
        <v>45.19</v>
      </c>
    </row>
    <row r="6290" spans="1:4" ht="13.5">
      <c r="A6290" s="37">
        <v>87757</v>
      </c>
      <c r="B6290" s="37" t="s">
        <v>8797</v>
      </c>
      <c r="C6290" s="37" t="s">
        <v>9</v>
      </c>
      <c r="D6290" s="326">
        <v>48.78</v>
      </c>
    </row>
    <row r="6291" spans="1:4" ht="13.5">
      <c r="A6291" s="37">
        <v>87758</v>
      </c>
      <c r="B6291" s="37" t="s">
        <v>8798</v>
      </c>
      <c r="C6291" s="37" t="s">
        <v>9</v>
      </c>
      <c r="D6291" s="326">
        <v>97.27</v>
      </c>
    </row>
    <row r="6292" spans="1:4" ht="13.5">
      <c r="A6292" s="37">
        <v>87759</v>
      </c>
      <c r="B6292" s="37" t="s">
        <v>8799</v>
      </c>
      <c r="C6292" s="37" t="s">
        <v>9</v>
      </c>
      <c r="D6292" s="326">
        <v>104.93</v>
      </c>
    </row>
    <row r="6293" spans="1:4" ht="13.5">
      <c r="A6293" s="37">
        <v>87765</v>
      </c>
      <c r="B6293" s="37" t="s">
        <v>8800</v>
      </c>
      <c r="C6293" s="37" t="s">
        <v>9</v>
      </c>
      <c r="D6293" s="326">
        <v>51.71</v>
      </c>
    </row>
    <row r="6294" spans="1:4" ht="13.5">
      <c r="A6294" s="37">
        <v>87767</v>
      </c>
      <c r="B6294" s="37" t="s">
        <v>8801</v>
      </c>
      <c r="C6294" s="37" t="s">
        <v>9</v>
      </c>
      <c r="D6294" s="326">
        <v>56.11</v>
      </c>
    </row>
    <row r="6295" spans="1:4" ht="13.5">
      <c r="A6295" s="37">
        <v>87768</v>
      </c>
      <c r="B6295" s="37" t="s">
        <v>8802</v>
      </c>
      <c r="C6295" s="37" t="s">
        <v>9</v>
      </c>
      <c r="D6295" s="326">
        <v>115.74</v>
      </c>
    </row>
    <row r="6296" spans="1:4" ht="13.5">
      <c r="A6296" s="37">
        <v>87769</v>
      </c>
      <c r="B6296" s="37" t="s">
        <v>8803</v>
      </c>
      <c r="C6296" s="37" t="s">
        <v>9</v>
      </c>
      <c r="D6296" s="326">
        <v>125.16</v>
      </c>
    </row>
    <row r="6297" spans="1:4" ht="13.5">
      <c r="A6297" s="37">
        <v>88470</v>
      </c>
      <c r="B6297" s="37" t="s">
        <v>8804</v>
      </c>
      <c r="C6297" s="37" t="s">
        <v>9</v>
      </c>
      <c r="D6297" s="326">
        <v>27.4</v>
      </c>
    </row>
    <row r="6298" spans="1:4" ht="13.5">
      <c r="A6298" s="37">
        <v>88471</v>
      </c>
      <c r="B6298" s="37" t="s">
        <v>8805</v>
      </c>
      <c r="C6298" s="37" t="s">
        <v>9</v>
      </c>
      <c r="D6298" s="326">
        <v>34.22</v>
      </c>
    </row>
    <row r="6299" spans="1:4" ht="13.5">
      <c r="A6299" s="37">
        <v>88472</v>
      </c>
      <c r="B6299" s="37" t="s">
        <v>8806</v>
      </c>
      <c r="C6299" s="37" t="s">
        <v>9</v>
      </c>
      <c r="D6299" s="326">
        <v>39.65</v>
      </c>
    </row>
    <row r="6300" spans="1:4" ht="13.5">
      <c r="A6300" s="37">
        <v>88476</v>
      </c>
      <c r="B6300" s="37" t="s">
        <v>8807</v>
      </c>
      <c r="C6300" s="37" t="s">
        <v>9</v>
      </c>
      <c r="D6300" s="326">
        <v>22.3</v>
      </c>
    </row>
    <row r="6301" spans="1:4" ht="13.5">
      <c r="A6301" s="37">
        <v>88477</v>
      </c>
      <c r="B6301" s="37" t="s">
        <v>8808</v>
      </c>
      <c r="C6301" s="37" t="s">
        <v>9</v>
      </c>
      <c r="D6301" s="326">
        <v>30.8</v>
      </c>
    </row>
    <row r="6302" spans="1:4" ht="13.5">
      <c r="A6302" s="37">
        <v>88478</v>
      </c>
      <c r="B6302" s="37" t="s">
        <v>8809</v>
      </c>
      <c r="C6302" s="37" t="s">
        <v>9</v>
      </c>
      <c r="D6302" s="326">
        <v>37.81</v>
      </c>
    </row>
    <row r="6303" spans="1:4" ht="13.5">
      <c r="A6303" s="37">
        <v>90930</v>
      </c>
      <c r="B6303" s="37" t="s">
        <v>8810</v>
      </c>
      <c r="C6303" s="37" t="s">
        <v>9</v>
      </c>
      <c r="D6303" s="326">
        <v>74.08</v>
      </c>
    </row>
    <row r="6304" spans="1:4" ht="13.5">
      <c r="A6304" s="37">
        <v>90932</v>
      </c>
      <c r="B6304" s="37" t="s">
        <v>8811</v>
      </c>
      <c r="C6304" s="37" t="s">
        <v>9</v>
      </c>
      <c r="D6304" s="326">
        <v>79.12</v>
      </c>
    </row>
    <row r="6305" spans="1:4" ht="13.5">
      <c r="A6305" s="37">
        <v>90933</v>
      </c>
      <c r="B6305" s="37" t="s">
        <v>8812</v>
      </c>
      <c r="C6305" s="37" t="s">
        <v>9</v>
      </c>
      <c r="D6305" s="326">
        <v>147.41</v>
      </c>
    </row>
    <row r="6306" spans="1:4" ht="13.5">
      <c r="A6306" s="37">
        <v>90934</v>
      </c>
      <c r="B6306" s="37" t="s">
        <v>8813</v>
      </c>
      <c r="C6306" s="37" t="s">
        <v>9</v>
      </c>
      <c r="D6306" s="326">
        <v>158.19999999999999</v>
      </c>
    </row>
    <row r="6307" spans="1:4" ht="13.5">
      <c r="A6307" s="37">
        <v>90940</v>
      </c>
      <c r="B6307" s="37" t="s">
        <v>8814</v>
      </c>
      <c r="C6307" s="37" t="s">
        <v>9</v>
      </c>
      <c r="D6307" s="326">
        <v>78.8</v>
      </c>
    </row>
    <row r="6308" spans="1:4" ht="13.5">
      <c r="A6308" s="37">
        <v>90942</v>
      </c>
      <c r="B6308" s="37" t="s">
        <v>8815</v>
      </c>
      <c r="C6308" s="37" t="s">
        <v>9</v>
      </c>
      <c r="D6308" s="326">
        <v>84.29</v>
      </c>
    </row>
    <row r="6309" spans="1:4" ht="13.5">
      <c r="A6309" s="37">
        <v>90943</v>
      </c>
      <c r="B6309" s="37" t="s">
        <v>8816</v>
      </c>
      <c r="C6309" s="37" t="s">
        <v>9</v>
      </c>
      <c r="D6309" s="326">
        <v>158.66</v>
      </c>
    </row>
    <row r="6310" spans="1:4" ht="13.5">
      <c r="A6310" s="37">
        <v>90944</v>
      </c>
      <c r="B6310" s="37" t="s">
        <v>8817</v>
      </c>
      <c r="C6310" s="37" t="s">
        <v>9</v>
      </c>
      <c r="D6310" s="326">
        <v>170.4</v>
      </c>
    </row>
    <row r="6311" spans="1:4" ht="13.5">
      <c r="A6311" s="37">
        <v>90950</v>
      </c>
      <c r="B6311" s="37" t="s">
        <v>8818</v>
      </c>
      <c r="C6311" s="37" t="s">
        <v>9</v>
      </c>
      <c r="D6311" s="326">
        <v>87.41</v>
      </c>
    </row>
    <row r="6312" spans="1:4" ht="13.5">
      <c r="A6312" s="37">
        <v>90952</v>
      </c>
      <c r="B6312" s="37" t="s">
        <v>8819</v>
      </c>
      <c r="C6312" s="37" t="s">
        <v>9</v>
      </c>
      <c r="D6312" s="326">
        <v>93.73</v>
      </c>
    </row>
    <row r="6313" spans="1:4" ht="13.5">
      <c r="A6313" s="37">
        <v>90953</v>
      </c>
      <c r="B6313" s="37" t="s">
        <v>8820</v>
      </c>
      <c r="C6313" s="37" t="s">
        <v>9</v>
      </c>
      <c r="D6313" s="326">
        <v>179.23</v>
      </c>
    </row>
    <row r="6314" spans="1:4" ht="13.5">
      <c r="A6314" s="37">
        <v>90954</v>
      </c>
      <c r="B6314" s="37" t="s">
        <v>8821</v>
      </c>
      <c r="C6314" s="37" t="s">
        <v>9</v>
      </c>
      <c r="D6314" s="326">
        <v>192.74</v>
      </c>
    </row>
    <row r="6315" spans="1:4" ht="13.5">
      <c r="A6315" s="37">
        <v>94438</v>
      </c>
      <c r="B6315" s="37" t="s">
        <v>4318</v>
      </c>
      <c r="C6315" s="37" t="s">
        <v>9</v>
      </c>
      <c r="D6315" s="326">
        <v>39.630000000000003</v>
      </c>
    </row>
    <row r="6316" spans="1:4" ht="13.5">
      <c r="A6316" s="37">
        <v>94439</v>
      </c>
      <c r="B6316" s="37" t="s">
        <v>12437</v>
      </c>
      <c r="C6316" s="37" t="s">
        <v>9</v>
      </c>
      <c r="D6316" s="326">
        <v>44.82</v>
      </c>
    </row>
    <row r="6317" spans="1:4" ht="13.5">
      <c r="A6317" s="37">
        <v>94779</v>
      </c>
      <c r="B6317" s="37" t="s">
        <v>4319</v>
      </c>
      <c r="C6317" s="37" t="s">
        <v>9</v>
      </c>
      <c r="D6317" s="326">
        <v>38.200000000000003</v>
      </c>
    </row>
    <row r="6318" spans="1:4" ht="13.5">
      <c r="A6318" s="37">
        <v>94782</v>
      </c>
      <c r="B6318" s="37" t="s">
        <v>12438</v>
      </c>
      <c r="C6318" s="37" t="s">
        <v>9</v>
      </c>
      <c r="D6318" s="326">
        <v>43.96</v>
      </c>
    </row>
    <row r="6319" spans="1:4" ht="13.5">
      <c r="A6319" s="37">
        <v>102803</v>
      </c>
      <c r="B6319" s="37" t="s">
        <v>8822</v>
      </c>
      <c r="C6319" s="37" t="s">
        <v>9</v>
      </c>
      <c r="D6319" s="326">
        <v>2.17</v>
      </c>
    </row>
    <row r="6320" spans="1:4" ht="13.5">
      <c r="A6320" s="37">
        <v>101742</v>
      </c>
      <c r="B6320" s="37" t="s">
        <v>8823</v>
      </c>
      <c r="C6320" s="37" t="s">
        <v>6</v>
      </c>
      <c r="D6320" s="326">
        <v>57.57</v>
      </c>
    </row>
    <row r="6321" spans="1:4" ht="13.5">
      <c r="A6321" s="37">
        <v>87878</v>
      </c>
      <c r="B6321" s="37" t="s">
        <v>17983</v>
      </c>
      <c r="C6321" s="37" t="s">
        <v>9</v>
      </c>
      <c r="D6321" s="326">
        <v>4.4000000000000004</v>
      </c>
    </row>
    <row r="6322" spans="1:4" ht="13.5">
      <c r="A6322" s="37">
        <v>87879</v>
      </c>
      <c r="B6322" s="37" t="s">
        <v>17984</v>
      </c>
      <c r="C6322" s="37" t="s">
        <v>9</v>
      </c>
      <c r="D6322" s="326">
        <v>4.03</v>
      </c>
    </row>
    <row r="6323" spans="1:4" ht="13.5">
      <c r="A6323" s="37">
        <v>87881</v>
      </c>
      <c r="B6323" s="37" t="s">
        <v>17985</v>
      </c>
      <c r="C6323" s="37" t="s">
        <v>9</v>
      </c>
      <c r="D6323" s="326">
        <v>5.74</v>
      </c>
    </row>
    <row r="6324" spans="1:4" ht="13.5">
      <c r="A6324" s="37">
        <v>87882</v>
      </c>
      <c r="B6324" s="37" t="s">
        <v>17986</v>
      </c>
      <c r="C6324" s="37" t="s">
        <v>9</v>
      </c>
      <c r="D6324" s="326">
        <v>5.62</v>
      </c>
    </row>
    <row r="6325" spans="1:4" ht="13.5">
      <c r="A6325" s="37">
        <v>87884</v>
      </c>
      <c r="B6325" s="37" t="s">
        <v>17987</v>
      </c>
      <c r="C6325" s="37" t="s">
        <v>9</v>
      </c>
      <c r="D6325" s="326">
        <v>8.69</v>
      </c>
    </row>
    <row r="6326" spans="1:4" ht="13.5">
      <c r="A6326" s="37">
        <v>87885</v>
      </c>
      <c r="B6326" s="37" t="s">
        <v>17988</v>
      </c>
      <c r="C6326" s="37" t="s">
        <v>9</v>
      </c>
      <c r="D6326" s="326">
        <v>8.3800000000000008</v>
      </c>
    </row>
    <row r="6327" spans="1:4" ht="13.5">
      <c r="A6327" s="37">
        <v>87886</v>
      </c>
      <c r="B6327" s="37" t="s">
        <v>17989</v>
      </c>
      <c r="C6327" s="37" t="s">
        <v>9</v>
      </c>
      <c r="D6327" s="326">
        <v>15.09</v>
      </c>
    </row>
    <row r="6328" spans="1:4" ht="13.5">
      <c r="A6328" s="37">
        <v>87887</v>
      </c>
      <c r="B6328" s="37" t="s">
        <v>17990</v>
      </c>
      <c r="C6328" s="37" t="s">
        <v>9</v>
      </c>
      <c r="D6328" s="326">
        <v>14.42</v>
      </c>
    </row>
    <row r="6329" spans="1:4" ht="13.5">
      <c r="A6329" s="37">
        <v>87888</v>
      </c>
      <c r="B6329" s="37" t="s">
        <v>17991</v>
      </c>
      <c r="C6329" s="37" t="s">
        <v>9</v>
      </c>
      <c r="D6329" s="326">
        <v>7.23</v>
      </c>
    </row>
    <row r="6330" spans="1:4" ht="13.5">
      <c r="A6330" s="37">
        <v>87889</v>
      </c>
      <c r="B6330" s="37" t="s">
        <v>17992</v>
      </c>
      <c r="C6330" s="37" t="s">
        <v>9</v>
      </c>
      <c r="D6330" s="326">
        <v>7.11</v>
      </c>
    </row>
    <row r="6331" spans="1:4" ht="13.5">
      <c r="A6331" s="37">
        <v>87891</v>
      </c>
      <c r="B6331" s="37" t="s">
        <v>17993</v>
      </c>
      <c r="C6331" s="37" t="s">
        <v>9</v>
      </c>
      <c r="D6331" s="326">
        <v>10.18</v>
      </c>
    </row>
    <row r="6332" spans="1:4" ht="13.5">
      <c r="A6332" s="37">
        <v>87892</v>
      </c>
      <c r="B6332" s="37" t="s">
        <v>17994</v>
      </c>
      <c r="C6332" s="37" t="s">
        <v>9</v>
      </c>
      <c r="D6332" s="326">
        <v>9.8699999999999992</v>
      </c>
    </row>
    <row r="6333" spans="1:4" ht="13.5">
      <c r="A6333" s="37">
        <v>87893</v>
      </c>
      <c r="B6333" s="37" t="s">
        <v>17995</v>
      </c>
      <c r="C6333" s="37" t="s">
        <v>9</v>
      </c>
      <c r="D6333" s="326">
        <v>6.62</v>
      </c>
    </row>
    <row r="6334" spans="1:4" ht="13.5">
      <c r="A6334" s="37">
        <v>87894</v>
      </c>
      <c r="B6334" s="37" t="s">
        <v>17996</v>
      </c>
      <c r="C6334" s="37" t="s">
        <v>9</v>
      </c>
      <c r="D6334" s="326">
        <v>6.25</v>
      </c>
    </row>
    <row r="6335" spans="1:4" ht="13.5">
      <c r="A6335" s="37">
        <v>87896</v>
      </c>
      <c r="B6335" s="37" t="s">
        <v>17997</v>
      </c>
      <c r="C6335" s="37" t="s">
        <v>9</v>
      </c>
      <c r="D6335" s="326">
        <v>5.07</v>
      </c>
    </row>
    <row r="6336" spans="1:4" ht="13.5">
      <c r="A6336" s="37">
        <v>87897</v>
      </c>
      <c r="B6336" s="37" t="s">
        <v>17998</v>
      </c>
      <c r="C6336" s="37" t="s">
        <v>9</v>
      </c>
      <c r="D6336" s="326">
        <v>4.7</v>
      </c>
    </row>
    <row r="6337" spans="1:4" ht="13.5">
      <c r="A6337" s="37">
        <v>87899</v>
      </c>
      <c r="B6337" s="37" t="s">
        <v>17999</v>
      </c>
      <c r="C6337" s="37" t="s">
        <v>9</v>
      </c>
      <c r="D6337" s="326">
        <v>7.88</v>
      </c>
    </row>
    <row r="6338" spans="1:4" ht="13.5">
      <c r="A6338" s="37">
        <v>87900</v>
      </c>
      <c r="B6338" s="37" t="s">
        <v>18000</v>
      </c>
      <c r="C6338" s="37" t="s">
        <v>9</v>
      </c>
      <c r="D6338" s="326">
        <v>7.76</v>
      </c>
    </row>
    <row r="6339" spans="1:4" ht="13.5">
      <c r="A6339" s="37">
        <v>87902</v>
      </c>
      <c r="B6339" s="37" t="s">
        <v>18001</v>
      </c>
      <c r="C6339" s="37" t="s">
        <v>9</v>
      </c>
      <c r="D6339" s="326">
        <v>10.83</v>
      </c>
    </row>
    <row r="6340" spans="1:4" ht="13.5">
      <c r="A6340" s="37">
        <v>87903</v>
      </c>
      <c r="B6340" s="37" t="s">
        <v>18002</v>
      </c>
      <c r="C6340" s="37" t="s">
        <v>9</v>
      </c>
      <c r="D6340" s="326">
        <v>10.52</v>
      </c>
    </row>
    <row r="6341" spans="1:4" ht="13.5">
      <c r="A6341" s="37">
        <v>87904</v>
      </c>
      <c r="B6341" s="37" t="s">
        <v>18003</v>
      </c>
      <c r="C6341" s="37" t="s">
        <v>9</v>
      </c>
      <c r="D6341" s="326">
        <v>7.67</v>
      </c>
    </row>
    <row r="6342" spans="1:4" ht="13.5">
      <c r="A6342" s="37">
        <v>87905</v>
      </c>
      <c r="B6342" s="37" t="s">
        <v>18004</v>
      </c>
      <c r="C6342" s="37" t="s">
        <v>9</v>
      </c>
      <c r="D6342" s="326">
        <v>7.3</v>
      </c>
    </row>
    <row r="6343" spans="1:4" ht="13.5">
      <c r="A6343" s="37">
        <v>87907</v>
      </c>
      <c r="B6343" s="37" t="s">
        <v>18005</v>
      </c>
      <c r="C6343" s="37" t="s">
        <v>9</v>
      </c>
      <c r="D6343" s="326">
        <v>6.09</v>
      </c>
    </row>
    <row r="6344" spans="1:4" ht="13.5">
      <c r="A6344" s="37">
        <v>87908</v>
      </c>
      <c r="B6344" s="37" t="s">
        <v>18006</v>
      </c>
      <c r="C6344" s="37" t="s">
        <v>9</v>
      </c>
      <c r="D6344" s="326">
        <v>5.72</v>
      </c>
    </row>
    <row r="6345" spans="1:4" ht="13.5">
      <c r="A6345" s="37">
        <v>87910</v>
      </c>
      <c r="B6345" s="37" t="s">
        <v>18007</v>
      </c>
      <c r="C6345" s="37" t="s">
        <v>9</v>
      </c>
      <c r="D6345" s="326">
        <v>20.079999999999998</v>
      </c>
    </row>
    <row r="6346" spans="1:4" ht="13.5">
      <c r="A6346" s="37">
        <v>87911</v>
      </c>
      <c r="B6346" s="37" t="s">
        <v>18008</v>
      </c>
      <c r="C6346" s="37" t="s">
        <v>9</v>
      </c>
      <c r="D6346" s="326">
        <v>19.41</v>
      </c>
    </row>
    <row r="6347" spans="1:4" ht="13.5">
      <c r="A6347" s="37">
        <v>104410</v>
      </c>
      <c r="B6347" s="37" t="s">
        <v>18009</v>
      </c>
      <c r="C6347" s="37" t="s">
        <v>9</v>
      </c>
      <c r="D6347" s="326">
        <v>4.62</v>
      </c>
    </row>
    <row r="6348" spans="1:4" ht="13.5">
      <c r="A6348" s="37">
        <v>104411</v>
      </c>
      <c r="B6348" s="37" t="s">
        <v>18010</v>
      </c>
      <c r="C6348" s="37" t="s">
        <v>9</v>
      </c>
      <c r="D6348" s="326">
        <v>4.62</v>
      </c>
    </row>
    <row r="6349" spans="1:4" ht="13.5">
      <c r="A6349" s="37">
        <v>87411</v>
      </c>
      <c r="B6349" s="37" t="s">
        <v>18011</v>
      </c>
      <c r="C6349" s="37" t="s">
        <v>9</v>
      </c>
      <c r="D6349" s="326">
        <v>14.3</v>
      </c>
    </row>
    <row r="6350" spans="1:4" ht="13.5">
      <c r="A6350" s="37">
        <v>87412</v>
      </c>
      <c r="B6350" s="37" t="s">
        <v>18012</v>
      </c>
      <c r="C6350" s="37" t="s">
        <v>9</v>
      </c>
      <c r="D6350" s="326">
        <v>20.420000000000002</v>
      </c>
    </row>
    <row r="6351" spans="1:4" ht="13.5">
      <c r="A6351" s="37">
        <v>87413</v>
      </c>
      <c r="B6351" s="37" t="s">
        <v>18013</v>
      </c>
      <c r="C6351" s="37" t="s">
        <v>9</v>
      </c>
      <c r="D6351" s="326">
        <v>23.94</v>
      </c>
    </row>
    <row r="6352" spans="1:4" ht="13.5">
      <c r="A6352" s="37">
        <v>87414</v>
      </c>
      <c r="B6352" s="37" t="s">
        <v>18014</v>
      </c>
      <c r="C6352" s="37" t="s">
        <v>9</v>
      </c>
      <c r="D6352" s="326">
        <v>23.12</v>
      </c>
    </row>
    <row r="6353" spans="1:4" ht="13.5">
      <c r="A6353" s="37">
        <v>87415</v>
      </c>
      <c r="B6353" s="37" t="s">
        <v>18015</v>
      </c>
      <c r="C6353" s="37" t="s">
        <v>9</v>
      </c>
      <c r="D6353" s="326">
        <v>29.25</v>
      </c>
    </row>
    <row r="6354" spans="1:4" ht="13.5">
      <c r="A6354" s="37">
        <v>87416</v>
      </c>
      <c r="B6354" s="37" t="s">
        <v>18016</v>
      </c>
      <c r="C6354" s="37" t="s">
        <v>9</v>
      </c>
      <c r="D6354" s="326">
        <v>32.770000000000003</v>
      </c>
    </row>
    <row r="6355" spans="1:4" ht="13.5">
      <c r="A6355" s="37">
        <v>87418</v>
      </c>
      <c r="B6355" s="37" t="s">
        <v>18017</v>
      </c>
      <c r="C6355" s="37" t="s">
        <v>9</v>
      </c>
      <c r="D6355" s="326">
        <v>16.25</v>
      </c>
    </row>
    <row r="6356" spans="1:4" ht="13.5">
      <c r="A6356" s="37">
        <v>87421</v>
      </c>
      <c r="B6356" s="37" t="s">
        <v>18018</v>
      </c>
      <c r="C6356" s="37" t="s">
        <v>9</v>
      </c>
      <c r="D6356" s="326">
        <v>25.35</v>
      </c>
    </row>
    <row r="6357" spans="1:4" ht="13.5">
      <c r="A6357" s="37">
        <v>87424</v>
      </c>
      <c r="B6357" s="37" t="s">
        <v>18019</v>
      </c>
      <c r="C6357" s="37" t="s">
        <v>9</v>
      </c>
      <c r="D6357" s="326">
        <v>32.19</v>
      </c>
    </row>
    <row r="6358" spans="1:4" ht="13.5">
      <c r="A6358" s="37">
        <v>87427</v>
      </c>
      <c r="B6358" s="37" t="s">
        <v>18020</v>
      </c>
      <c r="C6358" s="37" t="s">
        <v>9</v>
      </c>
      <c r="D6358" s="326">
        <v>38.520000000000003</v>
      </c>
    </row>
    <row r="6359" spans="1:4" ht="13.5">
      <c r="A6359" s="37">
        <v>87430</v>
      </c>
      <c r="B6359" s="37" t="s">
        <v>18021</v>
      </c>
      <c r="C6359" s="37" t="s">
        <v>9</v>
      </c>
      <c r="D6359" s="326">
        <v>16.309999999999999</v>
      </c>
    </row>
    <row r="6360" spans="1:4" ht="13.5">
      <c r="A6360" s="37">
        <v>87433</v>
      </c>
      <c r="B6360" s="37" t="s">
        <v>18022</v>
      </c>
      <c r="C6360" s="37" t="s">
        <v>9</v>
      </c>
      <c r="D6360" s="326">
        <v>24.32</v>
      </c>
    </row>
    <row r="6361" spans="1:4" ht="13.5">
      <c r="A6361" s="37">
        <v>87436</v>
      </c>
      <c r="B6361" s="37" t="s">
        <v>18023</v>
      </c>
      <c r="C6361" s="37" t="s">
        <v>9</v>
      </c>
      <c r="D6361" s="326">
        <v>27.1</v>
      </c>
    </row>
    <row r="6362" spans="1:4" ht="13.5">
      <c r="A6362" s="37">
        <v>87439</v>
      </c>
      <c r="B6362" s="37" t="s">
        <v>18024</v>
      </c>
      <c r="C6362" s="37" t="s">
        <v>9</v>
      </c>
      <c r="D6362" s="326">
        <v>33.51</v>
      </c>
    </row>
    <row r="6363" spans="1:4" ht="13.5">
      <c r="A6363" s="37">
        <v>87527</v>
      </c>
      <c r="B6363" s="37" t="s">
        <v>4322</v>
      </c>
      <c r="C6363" s="37" t="s">
        <v>9</v>
      </c>
      <c r="D6363" s="326">
        <v>39.08</v>
      </c>
    </row>
    <row r="6364" spans="1:4" ht="13.5">
      <c r="A6364" s="37">
        <v>87528</v>
      </c>
      <c r="B6364" s="37" t="s">
        <v>4323</v>
      </c>
      <c r="C6364" s="37" t="s">
        <v>9</v>
      </c>
      <c r="D6364" s="326">
        <v>42.5</v>
      </c>
    </row>
    <row r="6365" spans="1:4" ht="13.5">
      <c r="A6365" s="37">
        <v>87529</v>
      </c>
      <c r="B6365" s="37" t="s">
        <v>4324</v>
      </c>
      <c r="C6365" s="37" t="s">
        <v>9</v>
      </c>
      <c r="D6365" s="326">
        <v>35.5</v>
      </c>
    </row>
    <row r="6366" spans="1:4" ht="13.5">
      <c r="A6366" s="37">
        <v>87530</v>
      </c>
      <c r="B6366" s="37" t="s">
        <v>4325</v>
      </c>
      <c r="C6366" s="37" t="s">
        <v>9</v>
      </c>
      <c r="D6366" s="326">
        <v>38.92</v>
      </c>
    </row>
    <row r="6367" spans="1:4" ht="13.5">
      <c r="A6367" s="37">
        <v>87531</v>
      </c>
      <c r="B6367" s="37" t="s">
        <v>4326</v>
      </c>
      <c r="C6367" s="37" t="s">
        <v>9</v>
      </c>
      <c r="D6367" s="326">
        <v>34.229999999999997</v>
      </c>
    </row>
    <row r="6368" spans="1:4" ht="13.5">
      <c r="A6368" s="37">
        <v>87532</v>
      </c>
      <c r="B6368" s="37" t="s">
        <v>4327</v>
      </c>
      <c r="C6368" s="37" t="s">
        <v>9</v>
      </c>
      <c r="D6368" s="326">
        <v>37.65</v>
      </c>
    </row>
    <row r="6369" spans="1:4" ht="13.5">
      <c r="A6369" s="37">
        <v>87535</v>
      </c>
      <c r="B6369" s="37" t="s">
        <v>4328</v>
      </c>
      <c r="C6369" s="37" t="s">
        <v>9</v>
      </c>
      <c r="D6369" s="326">
        <v>30.66</v>
      </c>
    </row>
    <row r="6370" spans="1:4" ht="13.5">
      <c r="A6370" s="37">
        <v>87536</v>
      </c>
      <c r="B6370" s="37" t="s">
        <v>4329</v>
      </c>
      <c r="C6370" s="37" t="s">
        <v>9</v>
      </c>
      <c r="D6370" s="326">
        <v>34.08</v>
      </c>
    </row>
    <row r="6371" spans="1:4" ht="13.5">
      <c r="A6371" s="37">
        <v>87537</v>
      </c>
      <c r="B6371" s="37" t="s">
        <v>4330</v>
      </c>
      <c r="C6371" s="37" t="s">
        <v>9</v>
      </c>
      <c r="D6371" s="326">
        <v>73.98</v>
      </c>
    </row>
    <row r="6372" spans="1:4" ht="13.5">
      <c r="A6372" s="37">
        <v>87538</v>
      </c>
      <c r="B6372" s="37" t="s">
        <v>4331</v>
      </c>
      <c r="C6372" s="37" t="s">
        <v>9</v>
      </c>
      <c r="D6372" s="326">
        <v>70.900000000000006</v>
      </c>
    </row>
    <row r="6373" spans="1:4" ht="13.5">
      <c r="A6373" s="37">
        <v>87539</v>
      </c>
      <c r="B6373" s="37" t="s">
        <v>4332</v>
      </c>
      <c r="C6373" s="37" t="s">
        <v>9</v>
      </c>
      <c r="D6373" s="326">
        <v>69.8</v>
      </c>
    </row>
    <row r="6374" spans="1:4" ht="13.5">
      <c r="A6374" s="37">
        <v>87541</v>
      </c>
      <c r="B6374" s="37" t="s">
        <v>4333</v>
      </c>
      <c r="C6374" s="37" t="s">
        <v>9</v>
      </c>
      <c r="D6374" s="326">
        <v>66.73</v>
      </c>
    </row>
    <row r="6375" spans="1:4" ht="13.5">
      <c r="A6375" s="37">
        <v>87543</v>
      </c>
      <c r="B6375" s="37" t="s">
        <v>4334</v>
      </c>
      <c r="C6375" s="37" t="s">
        <v>9</v>
      </c>
      <c r="D6375" s="326">
        <v>23.28</v>
      </c>
    </row>
    <row r="6376" spans="1:4" ht="13.5">
      <c r="A6376" s="37">
        <v>87545</v>
      </c>
      <c r="B6376" s="37" t="s">
        <v>4335</v>
      </c>
      <c r="C6376" s="37" t="s">
        <v>9</v>
      </c>
      <c r="D6376" s="326">
        <v>26.4</v>
      </c>
    </row>
    <row r="6377" spans="1:4" ht="13.5">
      <c r="A6377" s="37">
        <v>87546</v>
      </c>
      <c r="B6377" s="37" t="s">
        <v>4336</v>
      </c>
      <c r="C6377" s="37" t="s">
        <v>9</v>
      </c>
      <c r="D6377" s="326">
        <v>28.34</v>
      </c>
    </row>
    <row r="6378" spans="1:4" ht="13.5">
      <c r="A6378" s="37">
        <v>87547</v>
      </c>
      <c r="B6378" s="37" t="s">
        <v>4337</v>
      </c>
      <c r="C6378" s="37" t="s">
        <v>9</v>
      </c>
      <c r="D6378" s="326">
        <v>22.84</v>
      </c>
    </row>
    <row r="6379" spans="1:4" ht="13.5">
      <c r="A6379" s="37">
        <v>87548</v>
      </c>
      <c r="B6379" s="37" t="s">
        <v>4338</v>
      </c>
      <c r="C6379" s="37" t="s">
        <v>9</v>
      </c>
      <c r="D6379" s="326">
        <v>24.78</v>
      </c>
    </row>
    <row r="6380" spans="1:4" ht="13.5">
      <c r="A6380" s="37">
        <v>87549</v>
      </c>
      <c r="B6380" s="37" t="s">
        <v>4339</v>
      </c>
      <c r="C6380" s="37" t="s">
        <v>9</v>
      </c>
      <c r="D6380" s="326">
        <v>21.55</v>
      </c>
    </row>
    <row r="6381" spans="1:4" ht="13.5">
      <c r="A6381" s="37">
        <v>87550</v>
      </c>
      <c r="B6381" s="37" t="s">
        <v>4340</v>
      </c>
      <c r="C6381" s="37" t="s">
        <v>9</v>
      </c>
      <c r="D6381" s="326">
        <v>23.49</v>
      </c>
    </row>
    <row r="6382" spans="1:4" ht="13.5">
      <c r="A6382" s="37">
        <v>87553</v>
      </c>
      <c r="B6382" s="37" t="s">
        <v>4341</v>
      </c>
      <c r="C6382" s="37" t="s">
        <v>9</v>
      </c>
      <c r="D6382" s="326">
        <v>17.98</v>
      </c>
    </row>
    <row r="6383" spans="1:4" ht="13.5">
      <c r="A6383" s="37">
        <v>87554</v>
      </c>
      <c r="B6383" s="37" t="s">
        <v>4342</v>
      </c>
      <c r="C6383" s="37" t="s">
        <v>9</v>
      </c>
      <c r="D6383" s="326">
        <v>19.920000000000002</v>
      </c>
    </row>
    <row r="6384" spans="1:4" ht="13.5">
      <c r="A6384" s="37">
        <v>87555</v>
      </c>
      <c r="B6384" s="37" t="s">
        <v>4343</v>
      </c>
      <c r="C6384" s="37" t="s">
        <v>9</v>
      </c>
      <c r="D6384" s="326">
        <v>45.09</v>
      </c>
    </row>
    <row r="6385" spans="1:4" ht="13.5">
      <c r="A6385" s="37">
        <v>87556</v>
      </c>
      <c r="B6385" s="37" t="s">
        <v>4344</v>
      </c>
      <c r="C6385" s="37" t="s">
        <v>9</v>
      </c>
      <c r="D6385" s="326">
        <v>42.03</v>
      </c>
    </row>
    <row r="6386" spans="1:4" ht="13.5">
      <c r="A6386" s="37">
        <v>87557</v>
      </c>
      <c r="B6386" s="37" t="s">
        <v>4345</v>
      </c>
      <c r="C6386" s="37" t="s">
        <v>9</v>
      </c>
      <c r="D6386" s="326">
        <v>40.909999999999997</v>
      </c>
    </row>
    <row r="6387" spans="1:4" ht="13.5">
      <c r="A6387" s="37">
        <v>87559</v>
      </c>
      <c r="B6387" s="37" t="s">
        <v>4346</v>
      </c>
      <c r="C6387" s="37" t="s">
        <v>9</v>
      </c>
      <c r="D6387" s="326">
        <v>37.840000000000003</v>
      </c>
    </row>
    <row r="6388" spans="1:4" ht="13.5">
      <c r="A6388" s="37">
        <v>87561</v>
      </c>
      <c r="B6388" s="37" t="s">
        <v>4347</v>
      </c>
      <c r="C6388" s="37" t="s">
        <v>9</v>
      </c>
      <c r="D6388" s="326">
        <v>41.19</v>
      </c>
    </row>
    <row r="6389" spans="1:4" ht="13.5">
      <c r="A6389" s="37">
        <v>87775</v>
      </c>
      <c r="B6389" s="37" t="s">
        <v>16452</v>
      </c>
      <c r="C6389" s="37" t="s">
        <v>9</v>
      </c>
      <c r="D6389" s="326">
        <v>50.24</v>
      </c>
    </row>
    <row r="6390" spans="1:4" ht="13.5">
      <c r="A6390" s="37">
        <v>87777</v>
      </c>
      <c r="B6390" s="37" t="s">
        <v>16453</v>
      </c>
      <c r="C6390" s="37" t="s">
        <v>9</v>
      </c>
      <c r="D6390" s="326">
        <v>53.1</v>
      </c>
    </row>
    <row r="6391" spans="1:4" ht="13.5">
      <c r="A6391" s="37">
        <v>87778</v>
      </c>
      <c r="B6391" s="37" t="s">
        <v>16454</v>
      </c>
      <c r="C6391" s="37" t="s">
        <v>9</v>
      </c>
      <c r="D6391" s="326">
        <v>79.78</v>
      </c>
    </row>
    <row r="6392" spans="1:4" ht="13.5">
      <c r="A6392" s="37">
        <v>87779</v>
      </c>
      <c r="B6392" s="37" t="s">
        <v>16455</v>
      </c>
      <c r="C6392" s="37" t="s">
        <v>9</v>
      </c>
      <c r="D6392" s="326">
        <v>64.5</v>
      </c>
    </row>
    <row r="6393" spans="1:4" ht="13.5">
      <c r="A6393" s="37">
        <v>87781</v>
      </c>
      <c r="B6393" s="37" t="s">
        <v>16456</v>
      </c>
      <c r="C6393" s="37" t="s">
        <v>9</v>
      </c>
      <c r="D6393" s="326">
        <v>68.33</v>
      </c>
    </row>
    <row r="6394" spans="1:4" ht="13.5">
      <c r="A6394" s="37">
        <v>87783</v>
      </c>
      <c r="B6394" s="37" t="s">
        <v>16457</v>
      </c>
      <c r="C6394" s="37" t="s">
        <v>9</v>
      </c>
      <c r="D6394" s="326">
        <v>104.34</v>
      </c>
    </row>
    <row r="6395" spans="1:4" ht="13.5">
      <c r="A6395" s="37">
        <v>87784</v>
      </c>
      <c r="B6395" s="37" t="s">
        <v>16458</v>
      </c>
      <c r="C6395" s="37" t="s">
        <v>9</v>
      </c>
      <c r="D6395" s="326">
        <v>70.260000000000005</v>
      </c>
    </row>
    <row r="6396" spans="1:4" ht="13.5">
      <c r="A6396" s="37">
        <v>87786</v>
      </c>
      <c r="B6396" s="37" t="s">
        <v>16459</v>
      </c>
      <c r="C6396" s="37" t="s">
        <v>9</v>
      </c>
      <c r="D6396" s="326">
        <v>75.06</v>
      </c>
    </row>
    <row r="6397" spans="1:4" ht="13.5">
      <c r="A6397" s="37">
        <v>87787</v>
      </c>
      <c r="B6397" s="37" t="s">
        <v>16460</v>
      </c>
      <c r="C6397" s="37" t="s">
        <v>9</v>
      </c>
      <c r="D6397" s="326">
        <v>121.11</v>
      </c>
    </row>
    <row r="6398" spans="1:4" ht="13.5">
      <c r="A6398" s="37">
        <v>87788</v>
      </c>
      <c r="B6398" s="37" t="s">
        <v>16461</v>
      </c>
      <c r="C6398" s="37" t="s">
        <v>9</v>
      </c>
      <c r="D6398" s="326">
        <v>82.78</v>
      </c>
    </row>
    <row r="6399" spans="1:4" ht="13.5">
      <c r="A6399" s="37">
        <v>87790</v>
      </c>
      <c r="B6399" s="37" t="s">
        <v>4349</v>
      </c>
      <c r="C6399" s="37" t="s">
        <v>9</v>
      </c>
      <c r="D6399" s="326">
        <v>88.07</v>
      </c>
    </row>
    <row r="6400" spans="1:4" ht="13.5">
      <c r="A6400" s="37">
        <v>87791</v>
      </c>
      <c r="B6400" s="37" t="s">
        <v>16462</v>
      </c>
      <c r="C6400" s="37" t="s">
        <v>9</v>
      </c>
      <c r="D6400" s="326">
        <v>133.4</v>
      </c>
    </row>
    <row r="6401" spans="1:4" ht="13.5">
      <c r="A6401" s="37">
        <v>87792</v>
      </c>
      <c r="B6401" s="37" t="s">
        <v>16463</v>
      </c>
      <c r="C6401" s="37" t="s">
        <v>9</v>
      </c>
      <c r="D6401" s="326">
        <v>37.44</v>
      </c>
    </row>
    <row r="6402" spans="1:4" ht="13.5">
      <c r="A6402" s="37">
        <v>87794</v>
      </c>
      <c r="B6402" s="37" t="s">
        <v>16464</v>
      </c>
      <c r="C6402" s="37" t="s">
        <v>9</v>
      </c>
      <c r="D6402" s="326">
        <v>40.11</v>
      </c>
    </row>
    <row r="6403" spans="1:4" ht="13.5">
      <c r="A6403" s="37">
        <v>87795</v>
      </c>
      <c r="B6403" s="37" t="s">
        <v>16465</v>
      </c>
      <c r="C6403" s="37" t="s">
        <v>9</v>
      </c>
      <c r="D6403" s="326">
        <v>65.94</v>
      </c>
    </row>
    <row r="6404" spans="1:4" ht="13.5">
      <c r="A6404" s="37">
        <v>87797</v>
      </c>
      <c r="B6404" s="37" t="s">
        <v>16466</v>
      </c>
      <c r="C6404" s="37" t="s">
        <v>9</v>
      </c>
      <c r="D6404" s="326">
        <v>51.38</v>
      </c>
    </row>
    <row r="6405" spans="1:4" ht="13.5">
      <c r="A6405" s="37">
        <v>87799</v>
      </c>
      <c r="B6405" s="37" t="s">
        <v>16467</v>
      </c>
      <c r="C6405" s="37" t="s">
        <v>9</v>
      </c>
      <c r="D6405" s="326">
        <v>54.96</v>
      </c>
    </row>
    <row r="6406" spans="1:4" ht="13.5">
      <c r="A6406" s="37">
        <v>87800</v>
      </c>
      <c r="B6406" s="37" t="s">
        <v>16468</v>
      </c>
      <c r="C6406" s="37" t="s">
        <v>9</v>
      </c>
      <c r="D6406" s="326">
        <v>89.36</v>
      </c>
    </row>
    <row r="6407" spans="1:4" ht="13.5">
      <c r="A6407" s="37">
        <v>87801</v>
      </c>
      <c r="B6407" s="37" t="s">
        <v>16469</v>
      </c>
      <c r="C6407" s="37" t="s">
        <v>9</v>
      </c>
      <c r="D6407" s="326">
        <v>56.77</v>
      </c>
    </row>
    <row r="6408" spans="1:4" ht="13.5">
      <c r="A6408" s="37">
        <v>87803</v>
      </c>
      <c r="B6408" s="37" t="s">
        <v>16470</v>
      </c>
      <c r="C6408" s="37" t="s">
        <v>9</v>
      </c>
      <c r="D6408" s="326">
        <v>61.25</v>
      </c>
    </row>
    <row r="6409" spans="1:4" ht="13.5">
      <c r="A6409" s="37">
        <v>87804</v>
      </c>
      <c r="B6409" s="37" t="s">
        <v>16471</v>
      </c>
      <c r="C6409" s="37" t="s">
        <v>9</v>
      </c>
      <c r="D6409" s="326">
        <v>105.03</v>
      </c>
    </row>
    <row r="6410" spans="1:4" ht="13.5">
      <c r="A6410" s="37">
        <v>87805</v>
      </c>
      <c r="B6410" s="37" t="s">
        <v>16472</v>
      </c>
      <c r="C6410" s="37" t="s">
        <v>9</v>
      </c>
      <c r="D6410" s="326">
        <v>61.92</v>
      </c>
    </row>
    <row r="6411" spans="1:4" ht="13.5">
      <c r="A6411" s="37">
        <v>87807</v>
      </c>
      <c r="B6411" s="37" t="s">
        <v>16473</v>
      </c>
      <c r="C6411" s="37" t="s">
        <v>9</v>
      </c>
      <c r="D6411" s="326">
        <v>66.86</v>
      </c>
    </row>
    <row r="6412" spans="1:4" ht="13.5">
      <c r="A6412" s="37">
        <v>87808</v>
      </c>
      <c r="B6412" s="37" t="s">
        <v>16474</v>
      </c>
      <c r="C6412" s="37" t="s">
        <v>9</v>
      </c>
      <c r="D6412" s="326">
        <v>112.24</v>
      </c>
    </row>
    <row r="6413" spans="1:4" ht="13.5">
      <c r="A6413" s="37">
        <v>87809</v>
      </c>
      <c r="B6413" s="37" t="s">
        <v>16475</v>
      </c>
      <c r="C6413" s="37" t="s">
        <v>9</v>
      </c>
      <c r="D6413" s="326">
        <v>70.180000000000007</v>
      </c>
    </row>
    <row r="6414" spans="1:4" ht="13.5">
      <c r="A6414" s="37">
        <v>87811</v>
      </c>
      <c r="B6414" s="37" t="s">
        <v>16476</v>
      </c>
      <c r="C6414" s="37" t="s">
        <v>9</v>
      </c>
      <c r="D6414" s="326">
        <v>72.849999999999994</v>
      </c>
    </row>
    <row r="6415" spans="1:4" ht="13.5">
      <c r="A6415" s="37">
        <v>87812</v>
      </c>
      <c r="B6415" s="37" t="s">
        <v>16477</v>
      </c>
      <c r="C6415" s="37" t="s">
        <v>9</v>
      </c>
      <c r="D6415" s="326">
        <v>95.36</v>
      </c>
    </row>
    <row r="6416" spans="1:4" ht="13.5">
      <c r="A6416" s="37">
        <v>87813</v>
      </c>
      <c r="B6416" s="37" t="s">
        <v>16478</v>
      </c>
      <c r="C6416" s="37" t="s">
        <v>9</v>
      </c>
      <c r="D6416" s="326">
        <v>84.1</v>
      </c>
    </row>
    <row r="6417" spans="1:4" ht="13.5">
      <c r="A6417" s="37">
        <v>87815</v>
      </c>
      <c r="B6417" s="37" t="s">
        <v>16479</v>
      </c>
      <c r="C6417" s="37" t="s">
        <v>9</v>
      </c>
      <c r="D6417" s="326">
        <v>87.68</v>
      </c>
    </row>
    <row r="6418" spans="1:4" ht="13.5">
      <c r="A6418" s="37">
        <v>87816</v>
      </c>
      <c r="B6418" s="37" t="s">
        <v>16480</v>
      </c>
      <c r="C6418" s="37" t="s">
        <v>9</v>
      </c>
      <c r="D6418" s="326">
        <v>118.83</v>
      </c>
    </row>
    <row r="6419" spans="1:4" ht="13.5">
      <c r="A6419" s="37">
        <v>87817</v>
      </c>
      <c r="B6419" s="37" t="s">
        <v>16481</v>
      </c>
      <c r="C6419" s="37" t="s">
        <v>9</v>
      </c>
      <c r="D6419" s="326">
        <v>89.49</v>
      </c>
    </row>
    <row r="6420" spans="1:4" ht="13.5">
      <c r="A6420" s="37">
        <v>87819</v>
      </c>
      <c r="B6420" s="37" t="s">
        <v>16482</v>
      </c>
      <c r="C6420" s="37" t="s">
        <v>9</v>
      </c>
      <c r="D6420" s="326">
        <v>93.97</v>
      </c>
    </row>
    <row r="6421" spans="1:4" ht="13.5">
      <c r="A6421" s="37">
        <v>87820</v>
      </c>
      <c r="B6421" s="37" t="s">
        <v>16483</v>
      </c>
      <c r="C6421" s="37" t="s">
        <v>9</v>
      </c>
      <c r="D6421" s="326">
        <v>134.5</v>
      </c>
    </row>
    <row r="6422" spans="1:4" ht="13.5">
      <c r="A6422" s="37">
        <v>87821</v>
      </c>
      <c r="B6422" s="37" t="s">
        <v>16484</v>
      </c>
      <c r="C6422" s="37" t="s">
        <v>9</v>
      </c>
      <c r="D6422" s="326">
        <v>116.23</v>
      </c>
    </row>
    <row r="6423" spans="1:4" ht="13.5">
      <c r="A6423" s="37">
        <v>87823</v>
      </c>
      <c r="B6423" s="37" t="s">
        <v>18025</v>
      </c>
      <c r="C6423" s="37" t="s">
        <v>9</v>
      </c>
      <c r="D6423" s="326">
        <v>121.17</v>
      </c>
    </row>
    <row r="6424" spans="1:4" ht="13.5">
      <c r="A6424" s="37">
        <v>87824</v>
      </c>
      <c r="B6424" s="37" t="s">
        <v>16485</v>
      </c>
      <c r="C6424" s="37" t="s">
        <v>9</v>
      </c>
      <c r="D6424" s="326">
        <v>155.66999999999999</v>
      </c>
    </row>
    <row r="6425" spans="1:4" ht="13.5">
      <c r="A6425" s="37">
        <v>87825</v>
      </c>
      <c r="B6425" s="37" t="s">
        <v>16486</v>
      </c>
      <c r="C6425" s="37" t="s">
        <v>9</v>
      </c>
      <c r="D6425" s="326">
        <v>65.72</v>
      </c>
    </row>
    <row r="6426" spans="1:4" ht="13.5">
      <c r="A6426" s="37">
        <v>87827</v>
      </c>
      <c r="B6426" s="37" t="s">
        <v>16487</v>
      </c>
      <c r="C6426" s="37" t="s">
        <v>9</v>
      </c>
      <c r="D6426" s="326">
        <v>68.989999999999995</v>
      </c>
    </row>
    <row r="6427" spans="1:4" ht="13.5">
      <c r="A6427" s="37">
        <v>87828</v>
      </c>
      <c r="B6427" s="37" t="s">
        <v>16488</v>
      </c>
      <c r="C6427" s="37" t="s">
        <v>9</v>
      </c>
      <c r="D6427" s="326">
        <v>98.51</v>
      </c>
    </row>
    <row r="6428" spans="1:4" ht="13.5">
      <c r="A6428" s="37">
        <v>87829</v>
      </c>
      <c r="B6428" s="37" t="s">
        <v>16489</v>
      </c>
      <c r="C6428" s="37" t="s">
        <v>9</v>
      </c>
      <c r="D6428" s="326">
        <v>79.59</v>
      </c>
    </row>
    <row r="6429" spans="1:4" ht="13.5">
      <c r="A6429" s="37">
        <v>87831</v>
      </c>
      <c r="B6429" s="37" t="s">
        <v>16490</v>
      </c>
      <c r="C6429" s="37" t="s">
        <v>9</v>
      </c>
      <c r="D6429" s="326">
        <v>83.97</v>
      </c>
    </row>
    <row r="6430" spans="1:4" ht="13.5">
      <c r="A6430" s="37">
        <v>87832</v>
      </c>
      <c r="B6430" s="37" t="s">
        <v>16491</v>
      </c>
      <c r="C6430" s="37" t="s">
        <v>9</v>
      </c>
      <c r="D6430" s="326">
        <v>124.25</v>
      </c>
    </row>
    <row r="6431" spans="1:4" ht="13.5">
      <c r="A6431" s="37">
        <v>87834</v>
      </c>
      <c r="B6431" s="37" t="s">
        <v>4350</v>
      </c>
      <c r="C6431" s="37" t="s">
        <v>9</v>
      </c>
      <c r="D6431" s="326">
        <v>172.88</v>
      </c>
    </row>
    <row r="6432" spans="1:4" ht="13.5">
      <c r="A6432" s="37">
        <v>87835</v>
      </c>
      <c r="B6432" s="37" t="s">
        <v>4351</v>
      </c>
      <c r="C6432" s="37" t="s">
        <v>9</v>
      </c>
      <c r="D6432" s="326">
        <v>120.38</v>
      </c>
    </row>
    <row r="6433" spans="1:4" ht="13.5">
      <c r="A6433" s="37">
        <v>87836</v>
      </c>
      <c r="B6433" s="37" t="s">
        <v>4352</v>
      </c>
      <c r="C6433" s="37" t="s">
        <v>9</v>
      </c>
      <c r="D6433" s="326">
        <v>165.97</v>
      </c>
    </row>
    <row r="6434" spans="1:4" ht="13.5">
      <c r="A6434" s="37">
        <v>87837</v>
      </c>
      <c r="B6434" s="37" t="s">
        <v>4353</v>
      </c>
      <c r="C6434" s="37" t="s">
        <v>9</v>
      </c>
      <c r="D6434" s="326">
        <v>114.11</v>
      </c>
    </row>
    <row r="6435" spans="1:4" ht="13.5">
      <c r="A6435" s="37">
        <v>87838</v>
      </c>
      <c r="B6435" s="37" t="s">
        <v>4354</v>
      </c>
      <c r="C6435" s="37" t="s">
        <v>9</v>
      </c>
      <c r="D6435" s="326">
        <v>179.7</v>
      </c>
    </row>
    <row r="6436" spans="1:4" ht="13.5">
      <c r="A6436" s="37">
        <v>87839</v>
      </c>
      <c r="B6436" s="37" t="s">
        <v>4355</v>
      </c>
      <c r="C6436" s="37" t="s">
        <v>9</v>
      </c>
      <c r="D6436" s="326">
        <v>125.75</v>
      </c>
    </row>
    <row r="6437" spans="1:4" ht="13.5">
      <c r="A6437" s="37">
        <v>87840</v>
      </c>
      <c r="B6437" s="37" t="s">
        <v>4356</v>
      </c>
      <c r="C6437" s="37" t="s">
        <v>9</v>
      </c>
      <c r="D6437" s="326">
        <v>171.03</v>
      </c>
    </row>
    <row r="6438" spans="1:4" ht="13.5">
      <c r="A6438" s="37">
        <v>87841</v>
      </c>
      <c r="B6438" s="37" t="s">
        <v>4357</v>
      </c>
      <c r="C6438" s="37" t="s">
        <v>9</v>
      </c>
      <c r="D6438" s="326">
        <v>117.7</v>
      </c>
    </row>
    <row r="6439" spans="1:4" ht="13.5">
      <c r="A6439" s="37">
        <v>87842</v>
      </c>
      <c r="B6439" s="37" t="s">
        <v>4358</v>
      </c>
      <c r="C6439" s="37" t="s">
        <v>9</v>
      </c>
      <c r="D6439" s="326">
        <v>184.09</v>
      </c>
    </row>
    <row r="6440" spans="1:4" ht="13.5">
      <c r="A6440" s="37">
        <v>87843</v>
      </c>
      <c r="B6440" s="37" t="s">
        <v>4359</v>
      </c>
      <c r="C6440" s="37" t="s">
        <v>9</v>
      </c>
      <c r="D6440" s="326">
        <v>136.33000000000001</v>
      </c>
    </row>
    <row r="6441" spans="1:4" ht="13.5">
      <c r="A6441" s="37">
        <v>87844</v>
      </c>
      <c r="B6441" s="37" t="s">
        <v>4360</v>
      </c>
      <c r="C6441" s="37" t="s">
        <v>9</v>
      </c>
      <c r="D6441" s="326">
        <v>170.73</v>
      </c>
    </row>
    <row r="6442" spans="1:4" ht="13.5">
      <c r="A6442" s="37">
        <v>87845</v>
      </c>
      <c r="B6442" s="37" t="s">
        <v>4361</v>
      </c>
      <c r="C6442" s="37" t="s">
        <v>9</v>
      </c>
      <c r="D6442" s="326">
        <v>123.64</v>
      </c>
    </row>
    <row r="6443" spans="1:4" ht="13.5">
      <c r="A6443" s="37">
        <v>87846</v>
      </c>
      <c r="B6443" s="37" t="s">
        <v>4362</v>
      </c>
      <c r="C6443" s="37" t="s">
        <v>9</v>
      </c>
      <c r="D6443" s="326">
        <v>187.75</v>
      </c>
    </row>
    <row r="6444" spans="1:4" ht="13.5">
      <c r="A6444" s="37">
        <v>87847</v>
      </c>
      <c r="B6444" s="37" t="s">
        <v>4363</v>
      </c>
      <c r="C6444" s="37" t="s">
        <v>9</v>
      </c>
      <c r="D6444" s="326">
        <v>135.22999999999999</v>
      </c>
    </row>
    <row r="6445" spans="1:4" ht="13.5">
      <c r="A6445" s="37">
        <v>87848</v>
      </c>
      <c r="B6445" s="37" t="s">
        <v>4364</v>
      </c>
      <c r="C6445" s="37" t="s">
        <v>9</v>
      </c>
      <c r="D6445" s="326">
        <v>179.59</v>
      </c>
    </row>
    <row r="6446" spans="1:4" ht="13.5">
      <c r="A6446" s="37">
        <v>87849</v>
      </c>
      <c r="B6446" s="37" t="s">
        <v>4365</v>
      </c>
      <c r="C6446" s="37" t="s">
        <v>9</v>
      </c>
      <c r="D6446" s="326">
        <v>127.73</v>
      </c>
    </row>
    <row r="6447" spans="1:4" ht="13.5">
      <c r="A6447" s="37">
        <v>87850</v>
      </c>
      <c r="B6447" s="37" t="s">
        <v>4366</v>
      </c>
      <c r="C6447" s="37" t="s">
        <v>9</v>
      </c>
      <c r="D6447" s="326">
        <v>194.6</v>
      </c>
    </row>
    <row r="6448" spans="1:4" ht="13.5">
      <c r="A6448" s="37">
        <v>87851</v>
      </c>
      <c r="B6448" s="37" t="s">
        <v>4367</v>
      </c>
      <c r="C6448" s="37" t="s">
        <v>9</v>
      </c>
      <c r="D6448" s="326">
        <v>140.63</v>
      </c>
    </row>
    <row r="6449" spans="1:4" ht="13.5">
      <c r="A6449" s="37">
        <v>87852</v>
      </c>
      <c r="B6449" s="37" t="s">
        <v>4368</v>
      </c>
      <c r="C6449" s="37" t="s">
        <v>9</v>
      </c>
      <c r="D6449" s="326">
        <v>184.62</v>
      </c>
    </row>
    <row r="6450" spans="1:4" ht="13.5">
      <c r="A6450" s="37">
        <v>87853</v>
      </c>
      <c r="B6450" s="37" t="s">
        <v>4369</v>
      </c>
      <c r="C6450" s="37" t="s">
        <v>9</v>
      </c>
      <c r="D6450" s="326">
        <v>131.29</v>
      </c>
    </row>
    <row r="6451" spans="1:4" ht="13.5">
      <c r="A6451" s="37">
        <v>87854</v>
      </c>
      <c r="B6451" s="37" t="s">
        <v>4370</v>
      </c>
      <c r="C6451" s="37" t="s">
        <v>9</v>
      </c>
      <c r="D6451" s="326">
        <v>198.96</v>
      </c>
    </row>
    <row r="6452" spans="1:4" ht="13.5">
      <c r="A6452" s="37">
        <v>87855</v>
      </c>
      <c r="B6452" s="37" t="s">
        <v>4371</v>
      </c>
      <c r="C6452" s="37" t="s">
        <v>9</v>
      </c>
      <c r="D6452" s="326">
        <v>151.21</v>
      </c>
    </row>
    <row r="6453" spans="1:4" ht="13.5">
      <c r="A6453" s="37">
        <v>87856</v>
      </c>
      <c r="B6453" s="37" t="s">
        <v>4372</v>
      </c>
      <c r="C6453" s="37" t="s">
        <v>9</v>
      </c>
      <c r="D6453" s="326">
        <v>184.35</v>
      </c>
    </row>
    <row r="6454" spans="1:4" ht="13.5">
      <c r="A6454" s="37">
        <v>87857</v>
      </c>
      <c r="B6454" s="37" t="s">
        <v>4373</v>
      </c>
      <c r="C6454" s="37" t="s">
        <v>9</v>
      </c>
      <c r="D6454" s="326">
        <v>137.22999999999999</v>
      </c>
    </row>
    <row r="6455" spans="1:4" ht="13.5">
      <c r="A6455" s="37">
        <v>87858</v>
      </c>
      <c r="B6455" s="37" t="s">
        <v>4374</v>
      </c>
      <c r="C6455" s="37" t="s">
        <v>9</v>
      </c>
      <c r="D6455" s="326">
        <v>130.69999999999999</v>
      </c>
    </row>
    <row r="6456" spans="1:4" ht="13.5">
      <c r="A6456" s="37">
        <v>87859</v>
      </c>
      <c r="B6456" s="37" t="s">
        <v>4375</v>
      </c>
      <c r="C6456" s="37" t="s">
        <v>9</v>
      </c>
      <c r="D6456" s="326">
        <v>151.43</v>
      </c>
    </row>
    <row r="6457" spans="1:4" ht="13.5">
      <c r="A6457" s="37">
        <v>89048</v>
      </c>
      <c r="B6457" s="37" t="s">
        <v>4376</v>
      </c>
      <c r="C6457" s="37" t="s">
        <v>9</v>
      </c>
      <c r="D6457" s="326">
        <v>36.26</v>
      </c>
    </row>
    <row r="6458" spans="1:4" ht="13.5">
      <c r="A6458" s="37">
        <v>89049</v>
      </c>
      <c r="B6458" s="37" t="s">
        <v>4377</v>
      </c>
      <c r="C6458" s="37" t="s">
        <v>9</v>
      </c>
      <c r="D6458" s="326">
        <v>19.899999999999999</v>
      </c>
    </row>
    <row r="6459" spans="1:4" ht="13.5">
      <c r="A6459" s="37">
        <v>89173</v>
      </c>
      <c r="B6459" s="37" t="s">
        <v>4378</v>
      </c>
      <c r="C6459" s="37" t="s">
        <v>9</v>
      </c>
      <c r="D6459" s="326">
        <v>35.700000000000003</v>
      </c>
    </row>
    <row r="6460" spans="1:4" ht="13.5">
      <c r="A6460" s="37">
        <v>90406</v>
      </c>
      <c r="B6460" s="37" t="s">
        <v>4379</v>
      </c>
      <c r="C6460" s="37" t="s">
        <v>9</v>
      </c>
      <c r="D6460" s="326">
        <v>45.93</v>
      </c>
    </row>
    <row r="6461" spans="1:4" ht="13.5">
      <c r="A6461" s="37">
        <v>90407</v>
      </c>
      <c r="B6461" s="37" t="s">
        <v>4380</v>
      </c>
      <c r="C6461" s="37" t="s">
        <v>9</v>
      </c>
      <c r="D6461" s="326">
        <v>49.35</v>
      </c>
    </row>
    <row r="6462" spans="1:4" ht="13.5">
      <c r="A6462" s="37">
        <v>90408</v>
      </c>
      <c r="B6462" s="37" t="s">
        <v>4381</v>
      </c>
      <c r="C6462" s="37" t="s">
        <v>9</v>
      </c>
      <c r="D6462" s="326">
        <v>32.97</v>
      </c>
    </row>
    <row r="6463" spans="1:4" ht="13.5">
      <c r="A6463" s="37">
        <v>90409</v>
      </c>
      <c r="B6463" s="37" t="s">
        <v>4382</v>
      </c>
      <c r="C6463" s="37" t="s">
        <v>9</v>
      </c>
      <c r="D6463" s="326">
        <v>34.909999999999997</v>
      </c>
    </row>
    <row r="6464" spans="1:4" ht="13.5">
      <c r="A6464" s="37">
        <v>104203</v>
      </c>
      <c r="B6464" s="37" t="s">
        <v>16492</v>
      </c>
      <c r="C6464" s="37" t="s">
        <v>9</v>
      </c>
      <c r="D6464" s="326">
        <v>54.51</v>
      </c>
    </row>
    <row r="6465" spans="1:4" ht="13.5">
      <c r="A6465" s="37">
        <v>104204</v>
      </c>
      <c r="B6465" s="37" t="s">
        <v>16493</v>
      </c>
      <c r="C6465" s="37" t="s">
        <v>9</v>
      </c>
      <c r="D6465" s="326">
        <v>70.260000000000005</v>
      </c>
    </row>
    <row r="6466" spans="1:4" ht="13.5">
      <c r="A6466" s="37">
        <v>104205</v>
      </c>
      <c r="B6466" s="37" t="s">
        <v>16494</v>
      </c>
      <c r="C6466" s="37" t="s">
        <v>9</v>
      </c>
      <c r="D6466" s="326">
        <v>76.7</v>
      </c>
    </row>
    <row r="6467" spans="1:4" ht="13.5">
      <c r="A6467" s="37">
        <v>104206</v>
      </c>
      <c r="B6467" s="37" t="s">
        <v>16495</v>
      </c>
      <c r="C6467" s="37" t="s">
        <v>9</v>
      </c>
      <c r="D6467" s="326">
        <v>84.64</v>
      </c>
    </row>
    <row r="6468" spans="1:4" ht="13.5">
      <c r="A6468" s="37">
        <v>104207</v>
      </c>
      <c r="B6468" s="37" t="s">
        <v>16496</v>
      </c>
      <c r="C6468" s="37" t="s">
        <v>9</v>
      </c>
      <c r="D6468" s="326">
        <v>40.72</v>
      </c>
    </row>
    <row r="6469" spans="1:4" ht="13.5">
      <c r="A6469" s="37">
        <v>104208</v>
      </c>
      <c r="B6469" s="37" t="s">
        <v>16497</v>
      </c>
      <c r="C6469" s="37" t="s">
        <v>9</v>
      </c>
      <c r="D6469" s="326">
        <v>56.02</v>
      </c>
    </row>
    <row r="6470" spans="1:4" ht="13.5">
      <c r="A6470" s="37">
        <v>104209</v>
      </c>
      <c r="B6470" s="37" t="s">
        <v>16498</v>
      </c>
      <c r="C6470" s="37" t="s">
        <v>9</v>
      </c>
      <c r="D6470" s="326">
        <v>62.09</v>
      </c>
    </row>
    <row r="6471" spans="1:4" ht="13.5">
      <c r="A6471" s="37">
        <v>104210</v>
      </c>
      <c r="B6471" s="37" t="s">
        <v>16499</v>
      </c>
      <c r="C6471" s="37" t="s">
        <v>9</v>
      </c>
      <c r="D6471" s="326">
        <v>64.39</v>
      </c>
    </row>
    <row r="6472" spans="1:4" ht="13.5">
      <c r="A6472" s="37">
        <v>104211</v>
      </c>
      <c r="B6472" s="37" t="s">
        <v>16500</v>
      </c>
      <c r="C6472" s="37" t="s">
        <v>9</v>
      </c>
      <c r="D6472" s="326">
        <v>76.47</v>
      </c>
    </row>
    <row r="6473" spans="1:4" ht="13.5">
      <c r="A6473" s="37">
        <v>104212</v>
      </c>
      <c r="B6473" s="37" t="s">
        <v>16501</v>
      </c>
      <c r="C6473" s="37" t="s">
        <v>9</v>
      </c>
      <c r="D6473" s="326">
        <v>91.83</v>
      </c>
    </row>
    <row r="6474" spans="1:4" ht="13.5">
      <c r="A6474" s="37">
        <v>104213</v>
      </c>
      <c r="B6474" s="37" t="s">
        <v>16502</v>
      </c>
      <c r="C6474" s="37" t="s">
        <v>9</v>
      </c>
      <c r="D6474" s="326">
        <v>97.9</v>
      </c>
    </row>
    <row r="6475" spans="1:4" ht="13.5">
      <c r="A6475" s="37">
        <v>104214</v>
      </c>
      <c r="B6475" s="37" t="s">
        <v>16503</v>
      </c>
      <c r="C6475" s="37" t="s">
        <v>9</v>
      </c>
      <c r="D6475" s="326">
        <v>116.86</v>
      </c>
    </row>
    <row r="6476" spans="1:4" ht="13.5">
      <c r="A6476" s="37">
        <v>104215</v>
      </c>
      <c r="B6476" s="37" t="s">
        <v>16504</v>
      </c>
      <c r="C6476" s="37" t="s">
        <v>9</v>
      </c>
      <c r="D6476" s="326">
        <v>71.430000000000007</v>
      </c>
    </row>
    <row r="6477" spans="1:4" ht="13.5">
      <c r="A6477" s="37">
        <v>104216</v>
      </c>
      <c r="B6477" s="37" t="s">
        <v>16505</v>
      </c>
      <c r="C6477" s="37" t="s">
        <v>9</v>
      </c>
      <c r="D6477" s="326">
        <v>86.59</v>
      </c>
    </row>
    <row r="6478" spans="1:4" ht="13.5">
      <c r="A6478" s="37">
        <v>104217</v>
      </c>
      <c r="B6478" s="37" t="s">
        <v>16506</v>
      </c>
      <c r="C6478" s="37" t="s">
        <v>9</v>
      </c>
      <c r="D6478" s="326">
        <v>46.75</v>
      </c>
    </row>
    <row r="6479" spans="1:4" ht="13.5">
      <c r="A6479" s="37">
        <v>104218</v>
      </c>
      <c r="B6479" s="37" t="s">
        <v>16507</v>
      </c>
      <c r="C6479" s="37" t="s">
        <v>9</v>
      </c>
      <c r="D6479" s="326">
        <v>49.61</v>
      </c>
    </row>
    <row r="6480" spans="1:4" ht="13.5">
      <c r="A6480" s="37">
        <v>104219</v>
      </c>
      <c r="B6480" s="37" t="s">
        <v>16508</v>
      </c>
      <c r="C6480" s="37" t="s">
        <v>9</v>
      </c>
      <c r="D6480" s="326">
        <v>76.64</v>
      </c>
    </row>
    <row r="6481" spans="1:4" ht="13.5">
      <c r="A6481" s="37">
        <v>104220</v>
      </c>
      <c r="B6481" s="37" t="s">
        <v>16509</v>
      </c>
      <c r="C6481" s="37" t="s">
        <v>9</v>
      </c>
      <c r="D6481" s="326">
        <v>50.77</v>
      </c>
    </row>
    <row r="6482" spans="1:4" ht="13.5">
      <c r="A6482" s="37">
        <v>104221</v>
      </c>
      <c r="B6482" s="37" t="s">
        <v>16510</v>
      </c>
      <c r="C6482" s="37" t="s">
        <v>9</v>
      </c>
      <c r="D6482" s="326">
        <v>60.03</v>
      </c>
    </row>
    <row r="6483" spans="1:4" ht="13.5">
      <c r="A6483" s="37">
        <v>104222</v>
      </c>
      <c r="B6483" s="37" t="s">
        <v>16511</v>
      </c>
      <c r="C6483" s="37" t="s">
        <v>9</v>
      </c>
      <c r="D6483" s="326">
        <v>63.86</v>
      </c>
    </row>
    <row r="6484" spans="1:4" ht="13.5">
      <c r="A6484" s="37">
        <v>104223</v>
      </c>
      <c r="B6484" s="37" t="s">
        <v>16512</v>
      </c>
      <c r="C6484" s="37" t="s">
        <v>9</v>
      </c>
      <c r="D6484" s="326">
        <v>100.27</v>
      </c>
    </row>
    <row r="6485" spans="1:4" ht="13.5">
      <c r="A6485" s="37">
        <v>104224</v>
      </c>
      <c r="B6485" s="37" t="s">
        <v>16513</v>
      </c>
      <c r="C6485" s="37" t="s">
        <v>9</v>
      </c>
      <c r="D6485" s="326">
        <v>65.400000000000006</v>
      </c>
    </row>
    <row r="6486" spans="1:4" ht="13.5">
      <c r="A6486" s="37">
        <v>104225</v>
      </c>
      <c r="B6486" s="37" t="s">
        <v>16514</v>
      </c>
      <c r="C6486" s="37" t="s">
        <v>9</v>
      </c>
      <c r="D6486" s="326">
        <v>65.790000000000006</v>
      </c>
    </row>
    <row r="6487" spans="1:4" ht="13.5">
      <c r="A6487" s="37">
        <v>104226</v>
      </c>
      <c r="B6487" s="37" t="s">
        <v>16515</v>
      </c>
      <c r="C6487" s="37" t="s">
        <v>9</v>
      </c>
      <c r="D6487" s="326">
        <v>70.59</v>
      </c>
    </row>
    <row r="6488" spans="1:4" ht="13.5">
      <c r="A6488" s="37">
        <v>104227</v>
      </c>
      <c r="B6488" s="37" t="s">
        <v>16516</v>
      </c>
      <c r="C6488" s="37" t="s">
        <v>9</v>
      </c>
      <c r="D6488" s="326">
        <v>117.04</v>
      </c>
    </row>
    <row r="6489" spans="1:4" ht="13.5">
      <c r="A6489" s="37">
        <v>104228</v>
      </c>
      <c r="B6489" s="37" t="s">
        <v>16517</v>
      </c>
      <c r="C6489" s="37" t="s">
        <v>9</v>
      </c>
      <c r="D6489" s="326">
        <v>71.84</v>
      </c>
    </row>
    <row r="6490" spans="1:4" ht="13.5">
      <c r="A6490" s="37">
        <v>104229</v>
      </c>
      <c r="B6490" s="37" t="s">
        <v>16518</v>
      </c>
      <c r="C6490" s="37" t="s">
        <v>9</v>
      </c>
      <c r="D6490" s="326">
        <v>77.23</v>
      </c>
    </row>
    <row r="6491" spans="1:4" ht="13.5">
      <c r="A6491" s="37">
        <v>104230</v>
      </c>
      <c r="B6491" s="37" t="s">
        <v>16519</v>
      </c>
      <c r="C6491" s="37" t="s">
        <v>9</v>
      </c>
      <c r="D6491" s="326">
        <v>82.52</v>
      </c>
    </row>
    <row r="6492" spans="1:4" ht="13.5">
      <c r="A6492" s="37">
        <v>104231</v>
      </c>
      <c r="B6492" s="37" t="s">
        <v>16520</v>
      </c>
      <c r="C6492" s="37" t="s">
        <v>9</v>
      </c>
      <c r="D6492" s="326">
        <v>128.93</v>
      </c>
    </row>
    <row r="6493" spans="1:4" ht="13.5">
      <c r="A6493" s="37">
        <v>104232</v>
      </c>
      <c r="B6493" s="37" t="s">
        <v>16521</v>
      </c>
      <c r="C6493" s="37" t="s">
        <v>9</v>
      </c>
      <c r="D6493" s="326">
        <v>79.31</v>
      </c>
    </row>
    <row r="6494" spans="1:4" ht="13.5">
      <c r="A6494" s="37">
        <v>104233</v>
      </c>
      <c r="B6494" s="37" t="s">
        <v>16522</v>
      </c>
      <c r="C6494" s="37" t="s">
        <v>9</v>
      </c>
      <c r="D6494" s="326">
        <v>35.39</v>
      </c>
    </row>
    <row r="6495" spans="1:4" ht="13.5">
      <c r="A6495" s="37">
        <v>104234</v>
      </c>
      <c r="B6495" s="37" t="s">
        <v>16523</v>
      </c>
      <c r="C6495" s="37" t="s">
        <v>9</v>
      </c>
      <c r="D6495" s="326">
        <v>38.06</v>
      </c>
    </row>
    <row r="6496" spans="1:4" ht="13.5">
      <c r="A6496" s="37">
        <v>104235</v>
      </c>
      <c r="B6496" s="37" t="s">
        <v>16524</v>
      </c>
      <c r="C6496" s="37" t="s">
        <v>9</v>
      </c>
      <c r="D6496" s="326">
        <v>64.010000000000005</v>
      </c>
    </row>
    <row r="6497" spans="1:4" ht="13.5">
      <c r="A6497" s="37">
        <v>104236</v>
      </c>
      <c r="B6497" s="37" t="s">
        <v>16525</v>
      </c>
      <c r="C6497" s="37" t="s">
        <v>9</v>
      </c>
      <c r="D6497" s="326">
        <v>38.409999999999997</v>
      </c>
    </row>
    <row r="6498" spans="1:4" ht="13.5">
      <c r="A6498" s="37">
        <v>104237</v>
      </c>
      <c r="B6498" s="37" t="s">
        <v>16526</v>
      </c>
      <c r="C6498" s="37" t="s">
        <v>9</v>
      </c>
      <c r="D6498" s="326">
        <v>48.33</v>
      </c>
    </row>
    <row r="6499" spans="1:4" ht="13.5">
      <c r="A6499" s="37">
        <v>104238</v>
      </c>
      <c r="B6499" s="37" t="s">
        <v>16527</v>
      </c>
      <c r="C6499" s="37" t="s">
        <v>9</v>
      </c>
      <c r="D6499" s="326">
        <v>51.91</v>
      </c>
    </row>
    <row r="6500" spans="1:4" ht="13.5">
      <c r="A6500" s="37">
        <v>104239</v>
      </c>
      <c r="B6500" s="37" t="s">
        <v>16528</v>
      </c>
      <c r="C6500" s="37" t="s">
        <v>9</v>
      </c>
      <c r="D6500" s="326">
        <v>86.59</v>
      </c>
    </row>
    <row r="6501" spans="1:4" ht="13.5">
      <c r="A6501" s="37">
        <v>104240</v>
      </c>
      <c r="B6501" s="37" t="s">
        <v>16529</v>
      </c>
      <c r="C6501" s="37" t="s">
        <v>9</v>
      </c>
      <c r="D6501" s="326">
        <v>52.72</v>
      </c>
    </row>
    <row r="6502" spans="1:4" ht="13.5">
      <c r="A6502" s="37">
        <v>104241</v>
      </c>
      <c r="B6502" s="37" t="s">
        <v>16530</v>
      </c>
      <c r="C6502" s="37" t="s">
        <v>9</v>
      </c>
      <c r="D6502" s="326">
        <v>53.72</v>
      </c>
    </row>
    <row r="6503" spans="1:4" ht="13.5">
      <c r="A6503" s="37">
        <v>104242</v>
      </c>
      <c r="B6503" s="37" t="s">
        <v>16531</v>
      </c>
      <c r="C6503" s="37" t="s">
        <v>9</v>
      </c>
      <c r="D6503" s="326">
        <v>58.2</v>
      </c>
    </row>
    <row r="6504" spans="1:4" ht="13.5">
      <c r="A6504" s="37">
        <v>104243</v>
      </c>
      <c r="B6504" s="37" t="s">
        <v>16532</v>
      </c>
      <c r="C6504" s="37" t="s">
        <v>9</v>
      </c>
      <c r="D6504" s="326">
        <v>102.26</v>
      </c>
    </row>
    <row r="6505" spans="1:4" ht="13.5">
      <c r="A6505" s="37">
        <v>104244</v>
      </c>
      <c r="B6505" s="37" t="s">
        <v>16533</v>
      </c>
      <c r="C6505" s="37" t="s">
        <v>9</v>
      </c>
      <c r="D6505" s="326">
        <v>58.79</v>
      </c>
    </row>
    <row r="6506" spans="1:4" ht="13.5">
      <c r="A6506" s="37">
        <v>104245</v>
      </c>
      <c r="B6506" s="37" t="s">
        <v>16534</v>
      </c>
      <c r="C6506" s="37" t="s">
        <v>9</v>
      </c>
      <c r="D6506" s="326">
        <v>58.57</v>
      </c>
    </row>
    <row r="6507" spans="1:4" ht="13.5">
      <c r="A6507" s="37">
        <v>104246</v>
      </c>
      <c r="B6507" s="37" t="s">
        <v>16535</v>
      </c>
      <c r="C6507" s="37" t="s">
        <v>9</v>
      </c>
      <c r="D6507" s="326">
        <v>63.51</v>
      </c>
    </row>
    <row r="6508" spans="1:4" ht="13.5">
      <c r="A6508" s="37">
        <v>104247</v>
      </c>
      <c r="B6508" s="37" t="s">
        <v>16536</v>
      </c>
      <c r="C6508" s="37" t="s">
        <v>9</v>
      </c>
      <c r="D6508" s="326">
        <v>109.56</v>
      </c>
    </row>
    <row r="6509" spans="1:4" ht="13.5">
      <c r="A6509" s="37">
        <v>104248</v>
      </c>
      <c r="B6509" s="37" t="s">
        <v>16537</v>
      </c>
      <c r="C6509" s="37" t="s">
        <v>9</v>
      </c>
      <c r="D6509" s="326">
        <v>61.19</v>
      </c>
    </row>
    <row r="6510" spans="1:4" ht="13.5">
      <c r="A6510" s="37">
        <v>104249</v>
      </c>
      <c r="B6510" s="37" t="s">
        <v>16538</v>
      </c>
      <c r="C6510" s="37" t="s">
        <v>9</v>
      </c>
      <c r="D6510" s="326">
        <v>63.91</v>
      </c>
    </row>
    <row r="6511" spans="1:4" ht="13.5">
      <c r="A6511" s="37">
        <v>104250</v>
      </c>
      <c r="B6511" s="37" t="s">
        <v>16539</v>
      </c>
      <c r="C6511" s="37" t="s">
        <v>9</v>
      </c>
      <c r="D6511" s="326">
        <v>66.58</v>
      </c>
    </row>
    <row r="6512" spans="1:4" ht="13.5">
      <c r="A6512" s="37">
        <v>104251</v>
      </c>
      <c r="B6512" s="37" t="s">
        <v>16540</v>
      </c>
      <c r="C6512" s="37" t="s">
        <v>9</v>
      </c>
      <c r="D6512" s="326">
        <v>89.72</v>
      </c>
    </row>
    <row r="6513" spans="1:4" ht="13.5">
      <c r="A6513" s="37">
        <v>104252</v>
      </c>
      <c r="B6513" s="37" t="s">
        <v>16541</v>
      </c>
      <c r="C6513" s="37" t="s">
        <v>9</v>
      </c>
      <c r="D6513" s="326">
        <v>69.739999999999995</v>
      </c>
    </row>
    <row r="6514" spans="1:4" ht="13.5">
      <c r="A6514" s="37">
        <v>104253</v>
      </c>
      <c r="B6514" s="37" t="s">
        <v>16542</v>
      </c>
      <c r="C6514" s="37" t="s">
        <v>9</v>
      </c>
      <c r="D6514" s="326">
        <v>76.849999999999994</v>
      </c>
    </row>
    <row r="6515" spans="1:4" ht="13.5">
      <c r="A6515" s="37">
        <v>104254</v>
      </c>
      <c r="B6515" s="37" t="s">
        <v>16543</v>
      </c>
      <c r="C6515" s="37" t="s">
        <v>9</v>
      </c>
      <c r="D6515" s="326">
        <v>80.430000000000007</v>
      </c>
    </row>
    <row r="6516" spans="1:4" ht="13.5">
      <c r="A6516" s="37">
        <v>104255</v>
      </c>
      <c r="B6516" s="37" t="s">
        <v>16544</v>
      </c>
      <c r="C6516" s="37" t="s">
        <v>9</v>
      </c>
      <c r="D6516" s="326">
        <v>112.3</v>
      </c>
    </row>
    <row r="6517" spans="1:4" ht="13.5">
      <c r="A6517" s="37">
        <v>104256</v>
      </c>
      <c r="B6517" s="37" t="s">
        <v>16545</v>
      </c>
      <c r="C6517" s="37" t="s">
        <v>9</v>
      </c>
      <c r="D6517" s="326">
        <v>84.04</v>
      </c>
    </row>
    <row r="6518" spans="1:4" ht="13.5">
      <c r="A6518" s="37">
        <v>104257</v>
      </c>
      <c r="B6518" s="37" t="s">
        <v>16546</v>
      </c>
      <c r="C6518" s="37" t="s">
        <v>9</v>
      </c>
      <c r="D6518" s="326">
        <v>82.24</v>
      </c>
    </row>
    <row r="6519" spans="1:4" ht="13.5">
      <c r="A6519" s="37">
        <v>104258</v>
      </c>
      <c r="B6519" s="37" t="s">
        <v>16547</v>
      </c>
      <c r="C6519" s="37" t="s">
        <v>9</v>
      </c>
      <c r="D6519" s="326">
        <v>86.72</v>
      </c>
    </row>
    <row r="6520" spans="1:4" ht="13.5">
      <c r="A6520" s="37">
        <v>104259</v>
      </c>
      <c r="B6520" s="37" t="s">
        <v>16548</v>
      </c>
      <c r="C6520" s="37" t="s">
        <v>9</v>
      </c>
      <c r="D6520" s="326">
        <v>127.97</v>
      </c>
    </row>
    <row r="6521" spans="1:4" ht="13.5">
      <c r="A6521" s="37">
        <v>104260</v>
      </c>
      <c r="B6521" s="37" t="s">
        <v>16549</v>
      </c>
      <c r="C6521" s="37" t="s">
        <v>9</v>
      </c>
      <c r="D6521" s="326">
        <v>90.11</v>
      </c>
    </row>
    <row r="6522" spans="1:4" ht="13.5">
      <c r="A6522" s="37">
        <v>104261</v>
      </c>
      <c r="B6522" s="37" t="s">
        <v>16550</v>
      </c>
      <c r="C6522" s="37" t="s">
        <v>9</v>
      </c>
      <c r="D6522" s="326">
        <v>106.33</v>
      </c>
    </row>
    <row r="6523" spans="1:4" ht="13.5">
      <c r="A6523" s="37">
        <v>104262</v>
      </c>
      <c r="B6523" s="37" t="s">
        <v>16551</v>
      </c>
      <c r="C6523" s="37" t="s">
        <v>9</v>
      </c>
      <c r="D6523" s="326">
        <v>111.27</v>
      </c>
    </row>
    <row r="6524" spans="1:4" ht="13.5">
      <c r="A6524" s="37">
        <v>104263</v>
      </c>
      <c r="B6524" s="37" t="s">
        <v>16552</v>
      </c>
      <c r="C6524" s="37" t="s">
        <v>9</v>
      </c>
      <c r="D6524" s="326">
        <v>147.61000000000001</v>
      </c>
    </row>
    <row r="6525" spans="1:4" ht="13.5">
      <c r="A6525" s="37">
        <v>104264</v>
      </c>
      <c r="B6525" s="37" t="s">
        <v>16553</v>
      </c>
      <c r="C6525" s="37" t="s">
        <v>9</v>
      </c>
      <c r="D6525" s="326">
        <v>107.24</v>
      </c>
    </row>
    <row r="6526" spans="1:4" ht="13.5">
      <c r="A6526" s="37">
        <v>104627</v>
      </c>
      <c r="B6526" s="37" t="s">
        <v>18026</v>
      </c>
      <c r="C6526" s="37" t="s">
        <v>9</v>
      </c>
      <c r="D6526" s="326">
        <v>16.23</v>
      </c>
    </row>
    <row r="6527" spans="1:4" ht="13.5">
      <c r="A6527" s="37">
        <v>104628</v>
      </c>
      <c r="B6527" s="37" t="s">
        <v>18027</v>
      </c>
      <c r="C6527" s="37" t="s">
        <v>9</v>
      </c>
      <c r="D6527" s="326">
        <v>24.18</v>
      </c>
    </row>
    <row r="6528" spans="1:4" ht="13.5">
      <c r="A6528" s="37">
        <v>104629</v>
      </c>
      <c r="B6528" s="37" t="s">
        <v>18028</v>
      </c>
      <c r="C6528" s="37" t="s">
        <v>9</v>
      </c>
      <c r="D6528" s="326">
        <v>28.75</v>
      </c>
    </row>
    <row r="6529" spans="1:4" ht="13.5">
      <c r="A6529" s="37">
        <v>104630</v>
      </c>
      <c r="B6529" s="37" t="s">
        <v>18029</v>
      </c>
      <c r="C6529" s="37" t="s">
        <v>9</v>
      </c>
      <c r="D6529" s="326">
        <v>25.89</v>
      </c>
    </row>
    <row r="6530" spans="1:4" ht="13.5">
      <c r="A6530" s="37">
        <v>104631</v>
      </c>
      <c r="B6530" s="37" t="s">
        <v>18030</v>
      </c>
      <c r="C6530" s="37" t="s">
        <v>9</v>
      </c>
      <c r="D6530" s="326">
        <v>33.840000000000003</v>
      </c>
    </row>
    <row r="6531" spans="1:4" ht="13.5">
      <c r="A6531" s="37">
        <v>104632</v>
      </c>
      <c r="B6531" s="37" t="s">
        <v>18031</v>
      </c>
      <c r="C6531" s="37" t="s">
        <v>9</v>
      </c>
      <c r="D6531" s="326">
        <v>38.409999999999997</v>
      </c>
    </row>
    <row r="6532" spans="1:4" ht="13.5">
      <c r="A6532" s="37">
        <v>104633</v>
      </c>
      <c r="B6532" s="37" t="s">
        <v>18032</v>
      </c>
      <c r="C6532" s="37" t="s">
        <v>9</v>
      </c>
      <c r="D6532" s="326">
        <v>21.57</v>
      </c>
    </row>
    <row r="6533" spans="1:4" ht="13.5">
      <c r="A6533" s="37">
        <v>104634</v>
      </c>
      <c r="B6533" s="37" t="s">
        <v>18033</v>
      </c>
      <c r="C6533" s="37" t="s">
        <v>9</v>
      </c>
      <c r="D6533" s="326">
        <v>32.44</v>
      </c>
    </row>
    <row r="6534" spans="1:4" ht="13.5">
      <c r="A6534" s="37">
        <v>104635</v>
      </c>
      <c r="B6534" s="37" t="s">
        <v>18034</v>
      </c>
      <c r="C6534" s="37" t="s">
        <v>9</v>
      </c>
      <c r="D6534" s="326">
        <v>43.51</v>
      </c>
    </row>
    <row r="6535" spans="1:4" ht="13.5">
      <c r="A6535" s="37">
        <v>104636</v>
      </c>
      <c r="B6535" s="37" t="s">
        <v>18035</v>
      </c>
      <c r="C6535" s="37" t="s">
        <v>9</v>
      </c>
      <c r="D6535" s="326">
        <v>51.08</v>
      </c>
    </row>
    <row r="6536" spans="1:4" ht="13.5">
      <c r="A6536" s="37">
        <v>87244</v>
      </c>
      <c r="B6536" s="37" t="s">
        <v>18036</v>
      </c>
      <c r="C6536" s="37" t="s">
        <v>9</v>
      </c>
      <c r="D6536" s="326">
        <v>216.17</v>
      </c>
    </row>
    <row r="6537" spans="1:4" ht="13.5">
      <c r="A6537" s="37">
        <v>87245</v>
      </c>
      <c r="B6537" s="37" t="s">
        <v>18037</v>
      </c>
      <c r="C6537" s="37" t="s">
        <v>9</v>
      </c>
      <c r="D6537" s="326">
        <v>258.48</v>
      </c>
    </row>
    <row r="6538" spans="1:4" ht="13.5">
      <c r="A6538" s="37">
        <v>87265</v>
      </c>
      <c r="B6538" s="37" t="s">
        <v>18038</v>
      </c>
      <c r="C6538" s="37" t="s">
        <v>9</v>
      </c>
      <c r="D6538" s="326">
        <v>63.66</v>
      </c>
    </row>
    <row r="6539" spans="1:4" ht="13.5">
      <c r="A6539" s="37">
        <v>87267</v>
      </c>
      <c r="B6539" s="37" t="s">
        <v>18039</v>
      </c>
      <c r="C6539" s="37" t="s">
        <v>9</v>
      </c>
      <c r="D6539" s="326">
        <v>68.36</v>
      </c>
    </row>
    <row r="6540" spans="1:4" ht="13.5">
      <c r="A6540" s="37">
        <v>87269</v>
      </c>
      <c r="B6540" s="37" t="s">
        <v>18040</v>
      </c>
      <c r="C6540" s="37" t="s">
        <v>9</v>
      </c>
      <c r="D6540" s="326">
        <v>67.27</v>
      </c>
    </row>
    <row r="6541" spans="1:4" ht="13.5">
      <c r="A6541" s="37">
        <v>87271</v>
      </c>
      <c r="B6541" s="37" t="s">
        <v>18041</v>
      </c>
      <c r="C6541" s="37" t="s">
        <v>9</v>
      </c>
      <c r="D6541" s="326">
        <v>72.040000000000006</v>
      </c>
    </row>
    <row r="6542" spans="1:4" ht="13.5">
      <c r="A6542" s="37">
        <v>87273</v>
      </c>
      <c r="B6542" s="37" t="s">
        <v>18042</v>
      </c>
      <c r="C6542" s="37" t="s">
        <v>9</v>
      </c>
      <c r="D6542" s="326">
        <v>70.13</v>
      </c>
    </row>
    <row r="6543" spans="1:4" ht="13.5">
      <c r="A6543" s="37">
        <v>87275</v>
      </c>
      <c r="B6543" s="37" t="s">
        <v>18043</v>
      </c>
      <c r="C6543" s="37" t="s">
        <v>9</v>
      </c>
      <c r="D6543" s="326">
        <v>76.5</v>
      </c>
    </row>
    <row r="6544" spans="1:4" ht="13.5">
      <c r="A6544" s="37">
        <v>88788</v>
      </c>
      <c r="B6544" s="37" t="s">
        <v>18044</v>
      </c>
      <c r="C6544" s="37" t="s">
        <v>9</v>
      </c>
      <c r="D6544" s="326">
        <v>309.20999999999998</v>
      </c>
    </row>
    <row r="6545" spans="1:4" ht="13.5">
      <c r="A6545" s="37">
        <v>88789</v>
      </c>
      <c r="B6545" s="37" t="s">
        <v>18045</v>
      </c>
      <c r="C6545" s="37" t="s">
        <v>9</v>
      </c>
      <c r="D6545" s="326">
        <v>371.24</v>
      </c>
    </row>
    <row r="6546" spans="1:4" ht="13.5">
      <c r="A6546" s="37">
        <v>89045</v>
      </c>
      <c r="B6546" s="37" t="s">
        <v>8824</v>
      </c>
      <c r="C6546" s="37" t="s">
        <v>9</v>
      </c>
      <c r="D6546" s="326">
        <v>64.83</v>
      </c>
    </row>
    <row r="6547" spans="1:4" ht="13.5">
      <c r="A6547" s="37">
        <v>89170</v>
      </c>
      <c r="B6547" s="37" t="s">
        <v>12439</v>
      </c>
      <c r="C6547" s="37" t="s">
        <v>9</v>
      </c>
      <c r="D6547" s="326">
        <v>64.83</v>
      </c>
    </row>
    <row r="6548" spans="1:4" ht="13.5">
      <c r="A6548" s="37">
        <v>93393</v>
      </c>
      <c r="B6548" s="37" t="s">
        <v>18046</v>
      </c>
      <c r="C6548" s="37" t="s">
        <v>9</v>
      </c>
      <c r="D6548" s="326">
        <v>53.04</v>
      </c>
    </row>
    <row r="6549" spans="1:4" ht="13.5">
      <c r="A6549" s="37">
        <v>93395</v>
      </c>
      <c r="B6549" s="37" t="s">
        <v>18047</v>
      </c>
      <c r="C6549" s="37" t="s">
        <v>9</v>
      </c>
      <c r="D6549" s="326">
        <v>57.68</v>
      </c>
    </row>
    <row r="6550" spans="1:4" ht="13.5">
      <c r="A6550" s="37">
        <v>99195</v>
      </c>
      <c r="B6550" s="37" t="s">
        <v>18048</v>
      </c>
      <c r="C6550" s="37" t="s">
        <v>9</v>
      </c>
      <c r="D6550" s="326">
        <v>60.26</v>
      </c>
    </row>
    <row r="6551" spans="1:4" ht="13.5">
      <c r="A6551" s="37">
        <v>99198</v>
      </c>
      <c r="B6551" s="37" t="s">
        <v>18049</v>
      </c>
      <c r="C6551" s="37" t="s">
        <v>9</v>
      </c>
      <c r="D6551" s="326">
        <v>64.900000000000006</v>
      </c>
    </row>
    <row r="6552" spans="1:4" ht="13.5">
      <c r="A6552" s="37">
        <v>104611</v>
      </c>
      <c r="B6552" s="37" t="s">
        <v>18050</v>
      </c>
      <c r="C6552" s="37" t="s">
        <v>9</v>
      </c>
      <c r="D6552" s="326">
        <v>87.01</v>
      </c>
    </row>
    <row r="6553" spans="1:4" ht="13.5">
      <c r="A6553" s="37">
        <v>104612</v>
      </c>
      <c r="B6553" s="37" t="s">
        <v>18051</v>
      </c>
      <c r="C6553" s="37" t="s">
        <v>9</v>
      </c>
      <c r="D6553" s="326">
        <v>87.58</v>
      </c>
    </row>
    <row r="6554" spans="1:4" ht="13.5">
      <c r="A6554" s="37">
        <v>104613</v>
      </c>
      <c r="B6554" s="37" t="s">
        <v>18052</v>
      </c>
      <c r="C6554" s="37" t="s">
        <v>9</v>
      </c>
      <c r="D6554" s="326">
        <v>66.89</v>
      </c>
    </row>
    <row r="6555" spans="1:4" ht="13.5">
      <c r="A6555" s="37">
        <v>104614</v>
      </c>
      <c r="B6555" s="37" t="s">
        <v>18053</v>
      </c>
      <c r="C6555" s="37" t="s">
        <v>9</v>
      </c>
      <c r="D6555" s="326">
        <v>73.08</v>
      </c>
    </row>
    <row r="6556" spans="1:4" ht="13.5">
      <c r="A6556" s="37">
        <v>104615</v>
      </c>
      <c r="B6556" s="37" t="s">
        <v>18054</v>
      </c>
      <c r="C6556" s="37" t="s">
        <v>9</v>
      </c>
      <c r="D6556" s="326">
        <v>214.49</v>
      </c>
    </row>
    <row r="6557" spans="1:4" ht="13.5">
      <c r="A6557" s="37">
        <v>104616</v>
      </c>
      <c r="B6557" s="37" t="s">
        <v>18055</v>
      </c>
      <c r="C6557" s="37" t="s">
        <v>9</v>
      </c>
      <c r="D6557" s="326">
        <v>311.27999999999997</v>
      </c>
    </row>
    <row r="6558" spans="1:4" ht="13.5">
      <c r="A6558" s="37">
        <v>104617</v>
      </c>
      <c r="B6558" s="37" t="s">
        <v>18056</v>
      </c>
      <c r="C6558" s="37" t="s">
        <v>9</v>
      </c>
      <c r="D6558" s="326">
        <v>223.84</v>
      </c>
    </row>
    <row r="6559" spans="1:4" ht="13.5">
      <c r="A6559" s="37">
        <v>104618</v>
      </c>
      <c r="B6559" s="37" t="s">
        <v>18057</v>
      </c>
      <c r="C6559" s="37" t="s">
        <v>9</v>
      </c>
      <c r="D6559" s="326">
        <v>320.63</v>
      </c>
    </row>
    <row r="6560" spans="1:4" ht="13.5">
      <c r="A6560" s="37">
        <v>104619</v>
      </c>
      <c r="B6560" s="37" t="s">
        <v>18058</v>
      </c>
      <c r="C6560" s="37" t="s">
        <v>6</v>
      </c>
      <c r="D6560" s="326">
        <v>22.56</v>
      </c>
    </row>
    <row r="6561" spans="1:4" ht="13.5">
      <c r="A6561" s="37">
        <v>101965</v>
      </c>
      <c r="B6561" s="37" t="s">
        <v>8825</v>
      </c>
      <c r="C6561" s="37" t="s">
        <v>6</v>
      </c>
      <c r="D6561" s="326">
        <v>78.180000000000007</v>
      </c>
    </row>
    <row r="6562" spans="1:4" ht="13.5">
      <c r="A6562" s="37">
        <v>101966</v>
      </c>
      <c r="B6562" s="37" t="s">
        <v>8826</v>
      </c>
      <c r="C6562" s="37" t="s">
        <v>6</v>
      </c>
      <c r="D6562" s="326">
        <v>85.76</v>
      </c>
    </row>
    <row r="6563" spans="1:4" ht="13.5">
      <c r="A6563" s="37">
        <v>101979</v>
      </c>
      <c r="B6563" s="37" t="s">
        <v>8827</v>
      </c>
      <c r="C6563" s="37" t="s">
        <v>6</v>
      </c>
      <c r="D6563" s="326">
        <v>46.07</v>
      </c>
    </row>
    <row r="6564" spans="1:4" ht="13.5">
      <c r="A6564" s="37">
        <v>96112</v>
      </c>
      <c r="B6564" s="37" t="s">
        <v>18059</v>
      </c>
      <c r="C6564" s="37" t="s">
        <v>9</v>
      </c>
      <c r="D6564" s="326">
        <v>132.86000000000001</v>
      </c>
    </row>
    <row r="6565" spans="1:4" ht="13.5">
      <c r="A6565" s="37">
        <v>96122</v>
      </c>
      <c r="B6565" s="37" t="s">
        <v>18060</v>
      </c>
      <c r="C6565" s="37" t="s">
        <v>6</v>
      </c>
      <c r="D6565" s="326">
        <v>42.91</v>
      </c>
    </row>
    <row r="6566" spans="1:4" ht="13.5">
      <c r="A6566" s="37">
        <v>104756</v>
      </c>
      <c r="B6566" s="37" t="s">
        <v>18061</v>
      </c>
      <c r="C6566" s="37" t="s">
        <v>9</v>
      </c>
      <c r="D6566" s="326">
        <v>179.76</v>
      </c>
    </row>
    <row r="6567" spans="1:4" ht="13.5">
      <c r="A6567" s="37">
        <v>96109</v>
      </c>
      <c r="B6567" s="37" t="s">
        <v>18062</v>
      </c>
      <c r="C6567" s="37" t="s">
        <v>9</v>
      </c>
      <c r="D6567" s="326">
        <v>42.87</v>
      </c>
    </row>
    <row r="6568" spans="1:4" ht="13.5">
      <c r="A6568" s="37">
        <v>96110</v>
      </c>
      <c r="B6568" s="37" t="s">
        <v>18063</v>
      </c>
      <c r="C6568" s="37" t="s">
        <v>9</v>
      </c>
      <c r="D6568" s="326">
        <v>71.66</v>
      </c>
    </row>
    <row r="6569" spans="1:4" ht="13.5">
      <c r="A6569" s="37">
        <v>96113</v>
      </c>
      <c r="B6569" s="37" t="s">
        <v>18064</v>
      </c>
      <c r="C6569" s="37" t="s">
        <v>9</v>
      </c>
      <c r="D6569" s="326">
        <v>39.03</v>
      </c>
    </row>
    <row r="6570" spans="1:4" ht="13.5">
      <c r="A6570" s="37">
        <v>96114</v>
      </c>
      <c r="B6570" s="37" t="s">
        <v>18065</v>
      </c>
      <c r="C6570" s="37" t="s">
        <v>9</v>
      </c>
      <c r="D6570" s="326">
        <v>72.099999999999994</v>
      </c>
    </row>
    <row r="6571" spans="1:4" ht="13.5">
      <c r="A6571" s="37">
        <v>96120</v>
      </c>
      <c r="B6571" s="37" t="s">
        <v>18066</v>
      </c>
      <c r="C6571" s="37" t="s">
        <v>6</v>
      </c>
      <c r="D6571" s="326">
        <v>2.58</v>
      </c>
    </row>
    <row r="6572" spans="1:4" ht="13.5">
      <c r="A6572" s="37">
        <v>96123</v>
      </c>
      <c r="B6572" s="37" t="s">
        <v>18067</v>
      </c>
      <c r="C6572" s="37" t="s">
        <v>6</v>
      </c>
      <c r="D6572" s="326">
        <v>27.34</v>
      </c>
    </row>
    <row r="6573" spans="1:4" ht="13.5">
      <c r="A6573" s="37">
        <v>99054</v>
      </c>
      <c r="B6573" s="37" t="s">
        <v>18068</v>
      </c>
      <c r="C6573" s="37" t="s">
        <v>9</v>
      </c>
      <c r="D6573" s="326">
        <v>48.55</v>
      </c>
    </row>
    <row r="6574" spans="1:4" ht="13.5">
      <c r="A6574" s="37">
        <v>96111</v>
      </c>
      <c r="B6574" s="37" t="s">
        <v>18069</v>
      </c>
      <c r="C6574" s="37" t="s">
        <v>9</v>
      </c>
      <c r="D6574" s="326">
        <v>58.68</v>
      </c>
    </row>
    <row r="6575" spans="1:4" ht="13.5">
      <c r="A6575" s="37">
        <v>96116</v>
      </c>
      <c r="B6575" s="37" t="s">
        <v>18070</v>
      </c>
      <c r="C6575" s="37" t="s">
        <v>9</v>
      </c>
      <c r="D6575" s="326">
        <v>60.33</v>
      </c>
    </row>
    <row r="6576" spans="1:4" ht="13.5">
      <c r="A6576" s="37">
        <v>96121</v>
      </c>
      <c r="B6576" s="37" t="s">
        <v>18071</v>
      </c>
      <c r="C6576" s="37" t="s">
        <v>6</v>
      </c>
      <c r="D6576" s="326">
        <v>11.45</v>
      </c>
    </row>
    <row r="6577" spans="1:4" ht="13.5">
      <c r="A6577" s="37">
        <v>96485</v>
      </c>
      <c r="B6577" s="37" t="s">
        <v>18072</v>
      </c>
      <c r="C6577" s="37" t="s">
        <v>9</v>
      </c>
      <c r="D6577" s="326">
        <v>67.239999999999995</v>
      </c>
    </row>
    <row r="6578" spans="1:4" ht="13.5">
      <c r="A6578" s="37">
        <v>96486</v>
      </c>
      <c r="B6578" s="37" t="s">
        <v>18073</v>
      </c>
      <c r="C6578" s="37" t="s">
        <v>9</v>
      </c>
      <c r="D6578" s="326">
        <v>68.89</v>
      </c>
    </row>
    <row r="6579" spans="1:4" ht="13.5">
      <c r="A6579" s="37">
        <v>91515</v>
      </c>
      <c r="B6579" s="37" t="s">
        <v>18074</v>
      </c>
      <c r="C6579" s="37" t="s">
        <v>9</v>
      </c>
      <c r="D6579" s="326">
        <v>5.76</v>
      </c>
    </row>
    <row r="6580" spans="1:4" ht="13.5">
      <c r="A6580" s="37">
        <v>91519</v>
      </c>
      <c r="B6580" s="37" t="s">
        <v>18075</v>
      </c>
      <c r="C6580" s="37" t="s">
        <v>9</v>
      </c>
      <c r="D6580" s="326">
        <v>7.74</v>
      </c>
    </row>
    <row r="6581" spans="1:4" ht="13.5">
      <c r="A6581" s="37">
        <v>91520</v>
      </c>
      <c r="B6581" s="37" t="s">
        <v>18076</v>
      </c>
      <c r="C6581" s="37" t="s">
        <v>9</v>
      </c>
      <c r="D6581" s="326">
        <v>2.15</v>
      </c>
    </row>
    <row r="6582" spans="1:4" ht="13.5">
      <c r="A6582" s="37">
        <v>91522</v>
      </c>
      <c r="B6582" s="37" t="s">
        <v>18077</v>
      </c>
      <c r="C6582" s="37" t="s">
        <v>9</v>
      </c>
      <c r="D6582" s="326">
        <v>2.98</v>
      </c>
    </row>
    <row r="6583" spans="1:4" ht="13.5">
      <c r="A6583" s="37">
        <v>91525</v>
      </c>
      <c r="B6583" s="37" t="s">
        <v>18078</v>
      </c>
      <c r="C6583" s="37" t="s">
        <v>9</v>
      </c>
      <c r="D6583" s="326">
        <v>6.91</v>
      </c>
    </row>
    <row r="6584" spans="1:4" ht="13.5">
      <c r="A6584" s="37">
        <v>104412</v>
      </c>
      <c r="B6584" s="37" t="s">
        <v>18079</v>
      </c>
      <c r="C6584" s="37" t="s">
        <v>9</v>
      </c>
      <c r="D6584" s="326">
        <v>2.67</v>
      </c>
    </row>
    <row r="6585" spans="1:4" ht="13.5">
      <c r="A6585" s="37">
        <v>104413</v>
      </c>
      <c r="B6585" s="37" t="s">
        <v>18080</v>
      </c>
      <c r="C6585" s="37" t="s">
        <v>9</v>
      </c>
      <c r="D6585" s="326">
        <v>4.7</v>
      </c>
    </row>
    <row r="6586" spans="1:4" ht="13.5">
      <c r="A6586" s="37">
        <v>104414</v>
      </c>
      <c r="B6586" s="37" t="s">
        <v>18081</v>
      </c>
      <c r="C6586" s="37" t="s">
        <v>9</v>
      </c>
      <c r="D6586" s="326">
        <v>6.2</v>
      </c>
    </row>
    <row r="6587" spans="1:4" ht="13.5">
      <c r="A6587" s="37">
        <v>104415</v>
      </c>
      <c r="B6587" s="37" t="s">
        <v>18082</v>
      </c>
      <c r="C6587" s="37" t="s">
        <v>9</v>
      </c>
      <c r="D6587" s="326">
        <v>10.74</v>
      </c>
    </row>
    <row r="6588" spans="1:4" ht="13.5">
      <c r="A6588" s="37">
        <v>104416</v>
      </c>
      <c r="B6588" s="37" t="s">
        <v>18083</v>
      </c>
      <c r="C6588" s="37" t="s">
        <v>9</v>
      </c>
      <c r="D6588" s="326">
        <v>1.84</v>
      </c>
    </row>
    <row r="6589" spans="1:4" ht="13.5">
      <c r="A6589" s="37">
        <v>104417</v>
      </c>
      <c r="B6589" s="37" t="s">
        <v>18084</v>
      </c>
      <c r="C6589" s="37" t="s">
        <v>9</v>
      </c>
      <c r="D6589" s="326">
        <v>3.87</v>
      </c>
    </row>
    <row r="6590" spans="1:4" ht="13.5">
      <c r="A6590" s="37">
        <v>104418</v>
      </c>
      <c r="B6590" s="37" t="s">
        <v>18085</v>
      </c>
      <c r="C6590" s="37" t="s">
        <v>9</v>
      </c>
      <c r="D6590" s="326">
        <v>2.4900000000000002</v>
      </c>
    </row>
    <row r="6591" spans="1:4" ht="13.5">
      <c r="A6591" s="37">
        <v>104419</v>
      </c>
      <c r="B6591" s="37" t="s">
        <v>18086</v>
      </c>
      <c r="C6591" s="37" t="s">
        <v>9</v>
      </c>
      <c r="D6591" s="326">
        <v>10.35</v>
      </c>
    </row>
    <row r="6592" spans="1:4" ht="13.5">
      <c r="A6592" s="37">
        <v>104420</v>
      </c>
      <c r="B6592" s="37" t="s">
        <v>18087</v>
      </c>
      <c r="C6592" s="37" t="s">
        <v>9</v>
      </c>
      <c r="D6592" s="326">
        <v>9.34</v>
      </c>
    </row>
    <row r="6593" spans="1:4" ht="13.5">
      <c r="A6593" s="37">
        <v>104421</v>
      </c>
      <c r="B6593" s="37" t="s">
        <v>18088</v>
      </c>
      <c r="C6593" s="37" t="s">
        <v>9</v>
      </c>
      <c r="D6593" s="326">
        <v>13.17</v>
      </c>
    </row>
    <row r="6594" spans="1:4" ht="13.5">
      <c r="A6594" s="37">
        <v>104422</v>
      </c>
      <c r="B6594" s="37" t="s">
        <v>18089</v>
      </c>
      <c r="C6594" s="37" t="s">
        <v>9</v>
      </c>
      <c r="D6594" s="326">
        <v>7.71</v>
      </c>
    </row>
    <row r="6595" spans="1:4" ht="13.5">
      <c r="A6595" s="37">
        <v>104423</v>
      </c>
      <c r="B6595" s="37" t="s">
        <v>18090</v>
      </c>
      <c r="C6595" s="37" t="s">
        <v>9</v>
      </c>
      <c r="D6595" s="326">
        <v>20.92</v>
      </c>
    </row>
    <row r="6596" spans="1:4" ht="13.5">
      <c r="A6596" s="37">
        <v>104424</v>
      </c>
      <c r="B6596" s="37" t="s">
        <v>18091</v>
      </c>
      <c r="C6596" s="37" t="s">
        <v>9</v>
      </c>
      <c r="D6596" s="326">
        <v>19.28</v>
      </c>
    </row>
    <row r="6597" spans="1:4" ht="13.5">
      <c r="A6597" s="37">
        <v>104425</v>
      </c>
      <c r="B6597" s="37" t="s">
        <v>18092</v>
      </c>
      <c r="C6597" s="37" t="s">
        <v>9</v>
      </c>
      <c r="D6597" s="326">
        <v>16.54</v>
      </c>
    </row>
    <row r="6598" spans="1:4" ht="13.5">
      <c r="A6598" s="37">
        <v>87280</v>
      </c>
      <c r="B6598" s="37" t="s">
        <v>4384</v>
      </c>
      <c r="C6598" s="37" t="s">
        <v>12</v>
      </c>
      <c r="D6598" s="326">
        <v>404.64</v>
      </c>
    </row>
    <row r="6599" spans="1:4" ht="13.5">
      <c r="A6599" s="37">
        <v>87281</v>
      </c>
      <c r="B6599" s="37" t="s">
        <v>4385</v>
      </c>
      <c r="C6599" s="37" t="s">
        <v>12</v>
      </c>
      <c r="D6599" s="326">
        <v>391.69</v>
      </c>
    </row>
    <row r="6600" spans="1:4" ht="13.5">
      <c r="A6600" s="37">
        <v>87283</v>
      </c>
      <c r="B6600" s="37" t="s">
        <v>4386</v>
      </c>
      <c r="C6600" s="37" t="s">
        <v>12</v>
      </c>
      <c r="D6600" s="326">
        <v>417.43</v>
      </c>
    </row>
    <row r="6601" spans="1:4" ht="13.5">
      <c r="A6601" s="37">
        <v>87284</v>
      </c>
      <c r="B6601" s="37" t="s">
        <v>4387</v>
      </c>
      <c r="C6601" s="37" t="s">
        <v>12</v>
      </c>
      <c r="D6601" s="326">
        <v>403.84</v>
      </c>
    </row>
    <row r="6602" spans="1:4" ht="13.5">
      <c r="A6602" s="37">
        <v>87286</v>
      </c>
      <c r="B6602" s="37" t="s">
        <v>4388</v>
      </c>
      <c r="C6602" s="37" t="s">
        <v>12</v>
      </c>
      <c r="D6602" s="326">
        <v>542.11</v>
      </c>
    </row>
    <row r="6603" spans="1:4" ht="13.5">
      <c r="A6603" s="37">
        <v>87287</v>
      </c>
      <c r="B6603" s="37" t="s">
        <v>4389</v>
      </c>
      <c r="C6603" s="37" t="s">
        <v>12</v>
      </c>
      <c r="D6603" s="326">
        <v>515.21</v>
      </c>
    </row>
    <row r="6604" spans="1:4" ht="13.5">
      <c r="A6604" s="37">
        <v>87289</v>
      </c>
      <c r="B6604" s="37" t="s">
        <v>4390</v>
      </c>
      <c r="C6604" s="37" t="s">
        <v>12</v>
      </c>
      <c r="D6604" s="326">
        <v>524.45000000000005</v>
      </c>
    </row>
    <row r="6605" spans="1:4" ht="13.5">
      <c r="A6605" s="37">
        <v>87290</v>
      </c>
      <c r="B6605" s="37" t="s">
        <v>4391</v>
      </c>
      <c r="C6605" s="37" t="s">
        <v>12</v>
      </c>
      <c r="D6605" s="326">
        <v>508.32</v>
      </c>
    </row>
    <row r="6606" spans="1:4" ht="13.5">
      <c r="A6606" s="37">
        <v>87292</v>
      </c>
      <c r="B6606" s="37" t="s">
        <v>4392</v>
      </c>
      <c r="C6606" s="37" t="s">
        <v>12</v>
      </c>
      <c r="D6606" s="326">
        <v>538.16</v>
      </c>
    </row>
    <row r="6607" spans="1:4" ht="13.5">
      <c r="A6607" s="37">
        <v>87294</v>
      </c>
      <c r="B6607" s="37" t="s">
        <v>4393</v>
      </c>
      <c r="C6607" s="37" t="s">
        <v>12</v>
      </c>
      <c r="D6607" s="326">
        <v>507.53</v>
      </c>
    </row>
    <row r="6608" spans="1:4" ht="13.5">
      <c r="A6608" s="37">
        <v>87295</v>
      </c>
      <c r="B6608" s="37" t="s">
        <v>4394</v>
      </c>
      <c r="C6608" s="37" t="s">
        <v>12</v>
      </c>
      <c r="D6608" s="326">
        <v>530.55999999999995</v>
      </c>
    </row>
    <row r="6609" spans="1:4" ht="13.5">
      <c r="A6609" s="37">
        <v>87296</v>
      </c>
      <c r="B6609" s="37" t="s">
        <v>4395</v>
      </c>
      <c r="C6609" s="37" t="s">
        <v>12</v>
      </c>
      <c r="D6609" s="326">
        <v>492.9</v>
      </c>
    </row>
    <row r="6610" spans="1:4" ht="13.5">
      <c r="A6610" s="37">
        <v>87298</v>
      </c>
      <c r="B6610" s="37" t="s">
        <v>4396</v>
      </c>
      <c r="C6610" s="37" t="s">
        <v>12</v>
      </c>
      <c r="D6610" s="326">
        <v>623.44000000000005</v>
      </c>
    </row>
    <row r="6611" spans="1:4" ht="13.5">
      <c r="A6611" s="37">
        <v>87299</v>
      </c>
      <c r="B6611" s="37" t="s">
        <v>4397</v>
      </c>
      <c r="C6611" s="37" t="s">
        <v>12</v>
      </c>
      <c r="D6611" s="326">
        <v>402.04</v>
      </c>
    </row>
    <row r="6612" spans="1:4" ht="13.5">
      <c r="A6612" s="37">
        <v>87301</v>
      </c>
      <c r="B6612" s="37" t="s">
        <v>4398</v>
      </c>
      <c r="C6612" s="37" t="s">
        <v>12</v>
      </c>
      <c r="D6612" s="326">
        <v>560.98</v>
      </c>
    </row>
    <row r="6613" spans="1:4" ht="13.5">
      <c r="A6613" s="37">
        <v>87302</v>
      </c>
      <c r="B6613" s="37" t="s">
        <v>4400</v>
      </c>
      <c r="C6613" s="37" t="s">
        <v>12</v>
      </c>
      <c r="D6613" s="326">
        <v>544.49</v>
      </c>
    </row>
    <row r="6614" spans="1:4" ht="13.5">
      <c r="A6614" s="37">
        <v>87304</v>
      </c>
      <c r="B6614" s="37" t="s">
        <v>4401</v>
      </c>
      <c r="C6614" s="37" t="s">
        <v>12</v>
      </c>
      <c r="D6614" s="326">
        <v>503.52</v>
      </c>
    </row>
    <row r="6615" spans="1:4" ht="13.5">
      <c r="A6615" s="37">
        <v>87305</v>
      </c>
      <c r="B6615" s="37" t="s">
        <v>4402</v>
      </c>
      <c r="C6615" s="37" t="s">
        <v>12</v>
      </c>
      <c r="D6615" s="326">
        <v>500.57</v>
      </c>
    </row>
    <row r="6616" spans="1:4" ht="13.5">
      <c r="A6616" s="37">
        <v>87307</v>
      </c>
      <c r="B6616" s="37" t="s">
        <v>4403</v>
      </c>
      <c r="C6616" s="37" t="s">
        <v>12</v>
      </c>
      <c r="D6616" s="326">
        <v>480.18</v>
      </c>
    </row>
    <row r="6617" spans="1:4" ht="13.5">
      <c r="A6617" s="37">
        <v>87308</v>
      </c>
      <c r="B6617" s="37" t="s">
        <v>4404</v>
      </c>
      <c r="C6617" s="37" t="s">
        <v>12</v>
      </c>
      <c r="D6617" s="326">
        <v>463.95</v>
      </c>
    </row>
    <row r="6618" spans="1:4" ht="13.5">
      <c r="A6618" s="37">
        <v>87310</v>
      </c>
      <c r="B6618" s="37" t="s">
        <v>4405</v>
      </c>
      <c r="C6618" s="37" t="s">
        <v>12</v>
      </c>
      <c r="D6618" s="326">
        <v>403.47</v>
      </c>
    </row>
    <row r="6619" spans="1:4" ht="13.5">
      <c r="A6619" s="37">
        <v>87311</v>
      </c>
      <c r="B6619" s="37" t="s">
        <v>4406</v>
      </c>
      <c r="C6619" s="37" t="s">
        <v>12</v>
      </c>
      <c r="D6619" s="326">
        <v>387.54</v>
      </c>
    </row>
    <row r="6620" spans="1:4" ht="13.5">
      <c r="A6620" s="37">
        <v>87313</v>
      </c>
      <c r="B6620" s="37" t="s">
        <v>4407</v>
      </c>
      <c r="C6620" s="37" t="s">
        <v>12</v>
      </c>
      <c r="D6620" s="326">
        <v>491.54</v>
      </c>
    </row>
    <row r="6621" spans="1:4" ht="13.5">
      <c r="A6621" s="37">
        <v>87314</v>
      </c>
      <c r="B6621" s="37" t="s">
        <v>4408</v>
      </c>
      <c r="C6621" s="37" t="s">
        <v>12</v>
      </c>
      <c r="D6621" s="326">
        <v>477.28</v>
      </c>
    </row>
    <row r="6622" spans="1:4" ht="13.5">
      <c r="A6622" s="37">
        <v>87316</v>
      </c>
      <c r="B6622" s="37" t="s">
        <v>4409</v>
      </c>
      <c r="C6622" s="37" t="s">
        <v>12</v>
      </c>
      <c r="D6622" s="326">
        <v>446.58</v>
      </c>
    </row>
    <row r="6623" spans="1:4" ht="13.5">
      <c r="A6623" s="37">
        <v>87317</v>
      </c>
      <c r="B6623" s="37" t="s">
        <v>4410</v>
      </c>
      <c r="C6623" s="37" t="s">
        <v>12</v>
      </c>
      <c r="D6623" s="326">
        <v>424.24</v>
      </c>
    </row>
    <row r="6624" spans="1:4" ht="13.5">
      <c r="A6624" s="37">
        <v>87319</v>
      </c>
      <c r="B6624" s="37" t="s">
        <v>4411</v>
      </c>
      <c r="C6624" s="37" t="s">
        <v>12</v>
      </c>
      <c r="D6624" s="38">
        <v>2874.98</v>
      </c>
    </row>
    <row r="6625" spans="1:4" ht="13.5">
      <c r="A6625" s="37">
        <v>87320</v>
      </c>
      <c r="B6625" s="37" t="s">
        <v>4412</v>
      </c>
      <c r="C6625" s="37" t="s">
        <v>12</v>
      </c>
      <c r="D6625" s="38">
        <v>2871.89</v>
      </c>
    </row>
    <row r="6626" spans="1:4" ht="13.5">
      <c r="A6626" s="37">
        <v>87322</v>
      </c>
      <c r="B6626" s="37" t="s">
        <v>4413</v>
      </c>
      <c r="C6626" s="37" t="s">
        <v>12</v>
      </c>
      <c r="D6626" s="38">
        <v>2975.55</v>
      </c>
    </row>
    <row r="6627" spans="1:4" ht="13.5">
      <c r="A6627" s="37">
        <v>87323</v>
      </c>
      <c r="B6627" s="37" t="s">
        <v>4414</v>
      </c>
      <c r="C6627" s="37" t="s">
        <v>12</v>
      </c>
      <c r="D6627" s="38">
        <v>2964.42</v>
      </c>
    </row>
    <row r="6628" spans="1:4" ht="13.5">
      <c r="A6628" s="37">
        <v>87325</v>
      </c>
      <c r="B6628" s="37" t="s">
        <v>4415</v>
      </c>
      <c r="C6628" s="37" t="s">
        <v>12</v>
      </c>
      <c r="D6628" s="38">
        <v>2904.31</v>
      </c>
    </row>
    <row r="6629" spans="1:4" ht="13.5">
      <c r="A6629" s="37">
        <v>87326</v>
      </c>
      <c r="B6629" s="37" t="s">
        <v>4416</v>
      </c>
      <c r="C6629" s="37" t="s">
        <v>12</v>
      </c>
      <c r="D6629" s="38">
        <v>2899.02</v>
      </c>
    </row>
    <row r="6630" spans="1:4" ht="13.5">
      <c r="A6630" s="37">
        <v>87327</v>
      </c>
      <c r="B6630" s="37" t="s">
        <v>4417</v>
      </c>
      <c r="C6630" s="37" t="s">
        <v>12</v>
      </c>
      <c r="D6630" s="326">
        <v>431.1</v>
      </c>
    </row>
    <row r="6631" spans="1:4" ht="13.5">
      <c r="A6631" s="37">
        <v>87328</v>
      </c>
      <c r="B6631" s="37" t="s">
        <v>4418</v>
      </c>
      <c r="C6631" s="37" t="s">
        <v>12</v>
      </c>
      <c r="D6631" s="326">
        <v>361.29</v>
      </c>
    </row>
    <row r="6632" spans="1:4" ht="13.5">
      <c r="A6632" s="37">
        <v>87329</v>
      </c>
      <c r="B6632" s="37" t="s">
        <v>4419</v>
      </c>
      <c r="C6632" s="37" t="s">
        <v>12</v>
      </c>
      <c r="D6632" s="326">
        <v>465.29</v>
      </c>
    </row>
    <row r="6633" spans="1:4" ht="13.5">
      <c r="A6633" s="37">
        <v>87330</v>
      </c>
      <c r="B6633" s="37" t="s">
        <v>4420</v>
      </c>
      <c r="C6633" s="37" t="s">
        <v>12</v>
      </c>
      <c r="D6633" s="326">
        <v>386.67</v>
      </c>
    </row>
    <row r="6634" spans="1:4" ht="13.5">
      <c r="A6634" s="37">
        <v>87331</v>
      </c>
      <c r="B6634" s="37" t="s">
        <v>4421</v>
      </c>
      <c r="C6634" s="37" t="s">
        <v>12</v>
      </c>
      <c r="D6634" s="326">
        <v>567.25</v>
      </c>
    </row>
    <row r="6635" spans="1:4" ht="13.5">
      <c r="A6635" s="37">
        <v>87332</v>
      </c>
      <c r="B6635" s="37" t="s">
        <v>4422</v>
      </c>
      <c r="C6635" s="37" t="s">
        <v>12</v>
      </c>
      <c r="D6635" s="326">
        <v>494.54</v>
      </c>
    </row>
    <row r="6636" spans="1:4" ht="13.5">
      <c r="A6636" s="37">
        <v>87333</v>
      </c>
      <c r="B6636" s="37" t="s">
        <v>4423</v>
      </c>
      <c r="C6636" s="37" t="s">
        <v>12</v>
      </c>
      <c r="D6636" s="326">
        <v>531.01</v>
      </c>
    </row>
    <row r="6637" spans="1:4" ht="13.5">
      <c r="A6637" s="37">
        <v>87334</v>
      </c>
      <c r="B6637" s="37" t="s">
        <v>4424</v>
      </c>
      <c r="C6637" s="37" t="s">
        <v>12</v>
      </c>
      <c r="D6637" s="326">
        <v>485.42</v>
      </c>
    </row>
    <row r="6638" spans="1:4" ht="13.5">
      <c r="A6638" s="37">
        <v>87335</v>
      </c>
      <c r="B6638" s="37" t="s">
        <v>4425</v>
      </c>
      <c r="C6638" s="37" t="s">
        <v>12</v>
      </c>
      <c r="D6638" s="326">
        <v>522.37</v>
      </c>
    </row>
    <row r="6639" spans="1:4" ht="13.5">
      <c r="A6639" s="37">
        <v>87336</v>
      </c>
      <c r="B6639" s="37" t="s">
        <v>4426</v>
      </c>
      <c r="C6639" s="37" t="s">
        <v>12</v>
      </c>
      <c r="D6639" s="326">
        <v>504.42</v>
      </c>
    </row>
    <row r="6640" spans="1:4" ht="13.5">
      <c r="A6640" s="37">
        <v>87337</v>
      </c>
      <c r="B6640" s="37" t="s">
        <v>4427</v>
      </c>
      <c r="C6640" s="37" t="s">
        <v>12</v>
      </c>
      <c r="D6640" s="326">
        <v>516.23</v>
      </c>
    </row>
    <row r="6641" spans="1:4" ht="13.5">
      <c r="A6641" s="37">
        <v>87338</v>
      </c>
      <c r="B6641" s="37" t="s">
        <v>4428</v>
      </c>
      <c r="C6641" s="37" t="s">
        <v>12</v>
      </c>
      <c r="D6641" s="326">
        <v>493.59</v>
      </c>
    </row>
    <row r="6642" spans="1:4" ht="13.5">
      <c r="A6642" s="37">
        <v>87339</v>
      </c>
      <c r="B6642" s="37" t="s">
        <v>4429</v>
      </c>
      <c r="C6642" s="37" t="s">
        <v>12</v>
      </c>
      <c r="D6642" s="326">
        <v>763.84</v>
      </c>
    </row>
    <row r="6643" spans="1:4" ht="13.5">
      <c r="A6643" s="37">
        <v>87340</v>
      </c>
      <c r="B6643" s="37" t="s">
        <v>4430</v>
      </c>
      <c r="C6643" s="37" t="s">
        <v>12</v>
      </c>
      <c r="D6643" s="326">
        <v>623.54</v>
      </c>
    </row>
    <row r="6644" spans="1:4" ht="13.5">
      <c r="A6644" s="37">
        <v>87341</v>
      </c>
      <c r="B6644" s="37" t="s">
        <v>4431</v>
      </c>
      <c r="C6644" s="37" t="s">
        <v>12</v>
      </c>
      <c r="D6644" s="326">
        <v>585.15</v>
      </c>
    </row>
    <row r="6645" spans="1:4" ht="13.5">
      <c r="A6645" s="37">
        <v>87342</v>
      </c>
      <c r="B6645" s="37" t="s">
        <v>4432</v>
      </c>
      <c r="C6645" s="37" t="s">
        <v>12</v>
      </c>
      <c r="D6645" s="326">
        <v>643.32000000000005</v>
      </c>
    </row>
    <row r="6646" spans="1:4" ht="13.5">
      <c r="A6646" s="37">
        <v>87343</v>
      </c>
      <c r="B6646" s="37" t="s">
        <v>4433</v>
      </c>
      <c r="C6646" s="37" t="s">
        <v>12</v>
      </c>
      <c r="D6646" s="326">
        <v>563.87</v>
      </c>
    </row>
    <row r="6647" spans="1:4" ht="13.5">
      <c r="A6647" s="37">
        <v>87344</v>
      </c>
      <c r="B6647" s="37" t="s">
        <v>4434</v>
      </c>
      <c r="C6647" s="37" t="s">
        <v>12</v>
      </c>
      <c r="D6647" s="326">
        <v>516.38</v>
      </c>
    </row>
    <row r="6648" spans="1:4" ht="13.5">
      <c r="A6648" s="37">
        <v>87345</v>
      </c>
      <c r="B6648" s="37" t="s">
        <v>4435</v>
      </c>
      <c r="C6648" s="37" t="s">
        <v>12</v>
      </c>
      <c r="D6648" s="326">
        <v>573.39</v>
      </c>
    </row>
    <row r="6649" spans="1:4" ht="13.5">
      <c r="A6649" s="37">
        <v>87346</v>
      </c>
      <c r="B6649" s="37" t="s">
        <v>4436</v>
      </c>
      <c r="C6649" s="37" t="s">
        <v>12</v>
      </c>
      <c r="D6649" s="326">
        <v>507.69</v>
      </c>
    </row>
    <row r="6650" spans="1:4" ht="13.5">
      <c r="A6650" s="37">
        <v>87347</v>
      </c>
      <c r="B6650" s="37" t="s">
        <v>4437</v>
      </c>
      <c r="C6650" s="37" t="s">
        <v>12</v>
      </c>
      <c r="D6650" s="326">
        <v>469.39</v>
      </c>
    </row>
    <row r="6651" spans="1:4" ht="13.5">
      <c r="A6651" s="37">
        <v>87348</v>
      </c>
      <c r="B6651" s="37" t="s">
        <v>4439</v>
      </c>
      <c r="C6651" s="37" t="s">
        <v>12</v>
      </c>
      <c r="D6651" s="326">
        <v>520.88</v>
      </c>
    </row>
    <row r="6652" spans="1:4" ht="13.5">
      <c r="A6652" s="37">
        <v>87349</v>
      </c>
      <c r="B6652" s="37" t="s">
        <v>4440</v>
      </c>
      <c r="C6652" s="37" t="s">
        <v>12</v>
      </c>
      <c r="D6652" s="326">
        <v>431.28</v>
      </c>
    </row>
    <row r="6653" spans="1:4" ht="13.5">
      <c r="A6653" s="37">
        <v>87350</v>
      </c>
      <c r="B6653" s="37" t="s">
        <v>4441</v>
      </c>
      <c r="C6653" s="37" t="s">
        <v>12</v>
      </c>
      <c r="D6653" s="326">
        <v>455.9</v>
      </c>
    </row>
    <row r="6654" spans="1:4" ht="13.5">
      <c r="A6654" s="37">
        <v>87351</v>
      </c>
      <c r="B6654" s="37" t="s">
        <v>4442</v>
      </c>
      <c r="C6654" s="37" t="s">
        <v>12</v>
      </c>
      <c r="D6654" s="326">
        <v>371.98</v>
      </c>
    </row>
    <row r="6655" spans="1:4" ht="13.5">
      <c r="A6655" s="37">
        <v>87352</v>
      </c>
      <c r="B6655" s="37" t="s">
        <v>4443</v>
      </c>
      <c r="C6655" s="37" t="s">
        <v>12</v>
      </c>
      <c r="D6655" s="326">
        <v>584.30999999999995</v>
      </c>
    </row>
    <row r="6656" spans="1:4" ht="13.5">
      <c r="A6656" s="37">
        <v>87353</v>
      </c>
      <c r="B6656" s="37" t="s">
        <v>4444</v>
      </c>
      <c r="C6656" s="37" t="s">
        <v>12</v>
      </c>
      <c r="D6656" s="326">
        <v>497.98</v>
      </c>
    </row>
    <row r="6657" spans="1:4" ht="13.5">
      <c r="A6657" s="37">
        <v>87354</v>
      </c>
      <c r="B6657" s="37" t="s">
        <v>4445</v>
      </c>
      <c r="C6657" s="37" t="s">
        <v>12</v>
      </c>
      <c r="D6657" s="326">
        <v>455.66</v>
      </c>
    </row>
    <row r="6658" spans="1:4" ht="13.5">
      <c r="A6658" s="37">
        <v>87355</v>
      </c>
      <c r="B6658" s="37" t="s">
        <v>4446</v>
      </c>
      <c r="C6658" s="37" t="s">
        <v>12</v>
      </c>
      <c r="D6658" s="326">
        <v>491.08</v>
      </c>
    </row>
    <row r="6659" spans="1:4" ht="13.5">
      <c r="A6659" s="37">
        <v>87356</v>
      </c>
      <c r="B6659" s="37" t="s">
        <v>4447</v>
      </c>
      <c r="C6659" s="37" t="s">
        <v>12</v>
      </c>
      <c r="D6659" s="326">
        <v>432.3</v>
      </c>
    </row>
    <row r="6660" spans="1:4" ht="13.5">
      <c r="A6660" s="37">
        <v>87357</v>
      </c>
      <c r="B6660" s="37" t="s">
        <v>4448</v>
      </c>
      <c r="C6660" s="37" t="s">
        <v>12</v>
      </c>
      <c r="D6660" s="326">
        <v>401.04</v>
      </c>
    </row>
    <row r="6661" spans="1:4" ht="13.5">
      <c r="A6661" s="37">
        <v>87358</v>
      </c>
      <c r="B6661" s="37" t="s">
        <v>4449</v>
      </c>
      <c r="C6661" s="37" t="s">
        <v>12</v>
      </c>
      <c r="D6661" s="38">
        <v>2851.95</v>
      </c>
    </row>
    <row r="6662" spans="1:4" ht="13.5">
      <c r="A6662" s="37">
        <v>87359</v>
      </c>
      <c r="B6662" s="37" t="s">
        <v>4450</v>
      </c>
      <c r="C6662" s="37" t="s">
        <v>12</v>
      </c>
      <c r="D6662" s="38">
        <v>2813.09</v>
      </c>
    </row>
    <row r="6663" spans="1:4" ht="13.5">
      <c r="A6663" s="37">
        <v>87360</v>
      </c>
      <c r="B6663" s="37" t="s">
        <v>4451</v>
      </c>
      <c r="C6663" s="37" t="s">
        <v>12</v>
      </c>
      <c r="D6663" s="38">
        <v>2958.66</v>
      </c>
    </row>
    <row r="6664" spans="1:4" ht="13.5">
      <c r="A6664" s="37">
        <v>87361</v>
      </c>
      <c r="B6664" s="37" t="s">
        <v>4452</v>
      </c>
      <c r="C6664" s="37" t="s">
        <v>12</v>
      </c>
      <c r="D6664" s="38">
        <v>2903.37</v>
      </c>
    </row>
    <row r="6665" spans="1:4" ht="13.5">
      <c r="A6665" s="37">
        <v>87362</v>
      </c>
      <c r="B6665" s="37" t="s">
        <v>4453</v>
      </c>
      <c r="C6665" s="37" t="s">
        <v>12</v>
      </c>
      <c r="D6665" s="38">
        <v>2891.91</v>
      </c>
    </row>
    <row r="6666" spans="1:4" ht="13.5">
      <c r="A6666" s="37">
        <v>87363</v>
      </c>
      <c r="B6666" s="37" t="s">
        <v>4454</v>
      </c>
      <c r="C6666" s="37" t="s">
        <v>12</v>
      </c>
      <c r="D6666" s="38">
        <v>2889.78</v>
      </c>
    </row>
    <row r="6667" spans="1:4" ht="13.5">
      <c r="A6667" s="37">
        <v>87364</v>
      </c>
      <c r="B6667" s="37" t="s">
        <v>4455</v>
      </c>
      <c r="C6667" s="37" t="s">
        <v>12</v>
      </c>
      <c r="D6667" s="38">
        <v>2844.86</v>
      </c>
    </row>
    <row r="6668" spans="1:4" ht="13.5">
      <c r="A6668" s="37">
        <v>87365</v>
      </c>
      <c r="B6668" s="37" t="s">
        <v>4456</v>
      </c>
      <c r="C6668" s="37" t="s">
        <v>12</v>
      </c>
      <c r="D6668" s="326">
        <v>486.87</v>
      </c>
    </row>
    <row r="6669" spans="1:4" ht="13.5">
      <c r="A6669" s="37">
        <v>87366</v>
      </c>
      <c r="B6669" s="37" t="s">
        <v>4457</v>
      </c>
      <c r="C6669" s="37" t="s">
        <v>12</v>
      </c>
      <c r="D6669" s="326">
        <v>515.46</v>
      </c>
    </row>
    <row r="6670" spans="1:4" ht="13.5">
      <c r="A6670" s="37">
        <v>87367</v>
      </c>
      <c r="B6670" s="37" t="s">
        <v>4459</v>
      </c>
      <c r="C6670" s="37" t="s">
        <v>12</v>
      </c>
      <c r="D6670" s="326">
        <v>622.86</v>
      </c>
    </row>
    <row r="6671" spans="1:4" ht="13.5">
      <c r="A6671" s="37">
        <v>87368</v>
      </c>
      <c r="B6671" s="37" t="s">
        <v>4460</v>
      </c>
      <c r="C6671" s="37" t="s">
        <v>12</v>
      </c>
      <c r="D6671" s="326">
        <v>610.62</v>
      </c>
    </row>
    <row r="6672" spans="1:4" ht="13.5">
      <c r="A6672" s="37">
        <v>87369</v>
      </c>
      <c r="B6672" s="37" t="s">
        <v>4461</v>
      </c>
      <c r="C6672" s="37" t="s">
        <v>12</v>
      </c>
      <c r="D6672" s="326">
        <v>629.14</v>
      </c>
    </row>
    <row r="6673" spans="1:4" ht="13.5">
      <c r="A6673" s="37">
        <v>87370</v>
      </c>
      <c r="B6673" s="37" t="s">
        <v>4462</v>
      </c>
      <c r="C6673" s="37" t="s">
        <v>12</v>
      </c>
      <c r="D6673" s="326">
        <v>604.08000000000004</v>
      </c>
    </row>
    <row r="6674" spans="1:4" ht="13.5">
      <c r="A6674" s="37">
        <v>87371</v>
      </c>
      <c r="B6674" s="37" t="s">
        <v>4463</v>
      </c>
      <c r="C6674" s="37" t="s">
        <v>12</v>
      </c>
      <c r="D6674" s="326">
        <v>594.4</v>
      </c>
    </row>
    <row r="6675" spans="1:4" ht="13.5">
      <c r="A6675" s="37">
        <v>87372</v>
      </c>
      <c r="B6675" s="37" t="s">
        <v>4464</v>
      </c>
      <c r="C6675" s="37" t="s">
        <v>12</v>
      </c>
      <c r="D6675" s="326">
        <v>725.56</v>
      </c>
    </row>
    <row r="6676" spans="1:4" ht="13.5">
      <c r="A6676" s="37">
        <v>87373</v>
      </c>
      <c r="B6676" s="37" t="s">
        <v>4465</v>
      </c>
      <c r="C6676" s="37" t="s">
        <v>12</v>
      </c>
      <c r="D6676" s="326">
        <v>644.12</v>
      </c>
    </row>
    <row r="6677" spans="1:4" ht="13.5">
      <c r="A6677" s="37">
        <v>87374</v>
      </c>
      <c r="B6677" s="37" t="s">
        <v>4466</v>
      </c>
      <c r="C6677" s="37" t="s">
        <v>12</v>
      </c>
      <c r="D6677" s="326">
        <v>598.19000000000005</v>
      </c>
    </row>
    <row r="6678" spans="1:4" ht="13.5">
      <c r="A6678" s="37">
        <v>87375</v>
      </c>
      <c r="B6678" s="37" t="s">
        <v>4467</v>
      </c>
      <c r="C6678" s="37" t="s">
        <v>12</v>
      </c>
      <c r="D6678" s="326">
        <v>568.57000000000005</v>
      </c>
    </row>
    <row r="6679" spans="1:4" ht="13.5">
      <c r="A6679" s="37">
        <v>87376</v>
      </c>
      <c r="B6679" s="37" t="s">
        <v>4468</v>
      </c>
      <c r="C6679" s="37" t="s">
        <v>12</v>
      </c>
      <c r="D6679" s="326">
        <v>497.12</v>
      </c>
    </row>
    <row r="6680" spans="1:4" ht="13.5">
      <c r="A6680" s="37">
        <v>87377</v>
      </c>
      <c r="B6680" s="37" t="s">
        <v>4469</v>
      </c>
      <c r="C6680" s="37" t="s">
        <v>12</v>
      </c>
      <c r="D6680" s="326">
        <v>589.27</v>
      </c>
    </row>
    <row r="6681" spans="1:4" ht="13.5">
      <c r="A6681" s="37">
        <v>87378</v>
      </c>
      <c r="B6681" s="37" t="s">
        <v>4470</v>
      </c>
      <c r="C6681" s="37" t="s">
        <v>12</v>
      </c>
      <c r="D6681" s="326">
        <v>529.70000000000005</v>
      </c>
    </row>
    <row r="6682" spans="1:4" ht="13.5">
      <c r="A6682" s="37">
        <v>87379</v>
      </c>
      <c r="B6682" s="37" t="s">
        <v>4471</v>
      </c>
      <c r="C6682" s="37" t="s">
        <v>12</v>
      </c>
      <c r="D6682" s="38">
        <v>2951.25</v>
      </c>
    </row>
    <row r="6683" spans="1:4" ht="13.5">
      <c r="A6683" s="37">
        <v>87380</v>
      </c>
      <c r="B6683" s="37" t="s">
        <v>4472</v>
      </c>
      <c r="C6683" s="37" t="s">
        <v>12</v>
      </c>
      <c r="D6683" s="38">
        <v>3038.22</v>
      </c>
    </row>
    <row r="6684" spans="1:4" ht="13.5">
      <c r="A6684" s="37">
        <v>87381</v>
      </c>
      <c r="B6684" s="37" t="s">
        <v>4473</v>
      </c>
      <c r="C6684" s="37" t="s">
        <v>12</v>
      </c>
      <c r="D6684" s="38">
        <v>2981.56</v>
      </c>
    </row>
    <row r="6685" spans="1:4" ht="13.5">
      <c r="A6685" s="37">
        <v>87382</v>
      </c>
      <c r="B6685" s="37" t="s">
        <v>4474</v>
      </c>
      <c r="C6685" s="37" t="s">
        <v>12</v>
      </c>
      <c r="D6685" s="38">
        <v>1534.56</v>
      </c>
    </row>
    <row r="6686" spans="1:4" ht="13.5">
      <c r="A6686" s="37">
        <v>87383</v>
      </c>
      <c r="B6686" s="37" t="s">
        <v>4475</v>
      </c>
      <c r="C6686" s="37" t="s">
        <v>12</v>
      </c>
      <c r="D6686" s="38">
        <v>1524.65</v>
      </c>
    </row>
    <row r="6687" spans="1:4" ht="13.5">
      <c r="A6687" s="37">
        <v>87384</v>
      </c>
      <c r="B6687" s="37" t="s">
        <v>4476</v>
      </c>
      <c r="C6687" s="37" t="s">
        <v>12</v>
      </c>
      <c r="D6687" s="38">
        <v>1509.34</v>
      </c>
    </row>
    <row r="6688" spans="1:4" ht="13.5">
      <c r="A6688" s="37">
        <v>87385</v>
      </c>
      <c r="B6688" s="37" t="s">
        <v>4477</v>
      </c>
      <c r="C6688" s="37" t="s">
        <v>12</v>
      </c>
      <c r="D6688" s="38">
        <v>1785.64</v>
      </c>
    </row>
    <row r="6689" spans="1:4" ht="13.5">
      <c r="A6689" s="37">
        <v>87386</v>
      </c>
      <c r="B6689" s="37" t="s">
        <v>4478</v>
      </c>
      <c r="C6689" s="37" t="s">
        <v>12</v>
      </c>
      <c r="D6689" s="38">
        <v>1769.16</v>
      </c>
    </row>
    <row r="6690" spans="1:4" ht="13.5">
      <c r="A6690" s="37">
        <v>87387</v>
      </c>
      <c r="B6690" s="37" t="s">
        <v>4479</v>
      </c>
      <c r="C6690" s="37" t="s">
        <v>12</v>
      </c>
      <c r="D6690" s="38">
        <v>1754.67</v>
      </c>
    </row>
    <row r="6691" spans="1:4" ht="13.5">
      <c r="A6691" s="37">
        <v>87388</v>
      </c>
      <c r="B6691" s="37" t="s">
        <v>4480</v>
      </c>
      <c r="C6691" s="37" t="s">
        <v>12</v>
      </c>
      <c r="D6691" s="38">
        <v>4236.57</v>
      </c>
    </row>
    <row r="6692" spans="1:4" ht="13.5">
      <c r="A6692" s="37">
        <v>87389</v>
      </c>
      <c r="B6692" s="37" t="s">
        <v>4481</v>
      </c>
      <c r="C6692" s="37" t="s">
        <v>12</v>
      </c>
      <c r="D6692" s="38">
        <v>4245.47</v>
      </c>
    </row>
    <row r="6693" spans="1:4" ht="13.5">
      <c r="A6693" s="37">
        <v>87390</v>
      </c>
      <c r="B6693" s="37" t="s">
        <v>4482</v>
      </c>
      <c r="C6693" s="37" t="s">
        <v>12</v>
      </c>
      <c r="D6693" s="38">
        <v>4258.25</v>
      </c>
    </row>
    <row r="6694" spans="1:4" ht="13.5">
      <c r="A6694" s="37">
        <v>87391</v>
      </c>
      <c r="B6694" s="37" t="s">
        <v>4483</v>
      </c>
      <c r="C6694" s="37" t="s">
        <v>12</v>
      </c>
      <c r="D6694" s="38">
        <v>4709.13</v>
      </c>
    </row>
    <row r="6695" spans="1:4" ht="13.5">
      <c r="A6695" s="37">
        <v>87393</v>
      </c>
      <c r="B6695" s="37" t="s">
        <v>4484</v>
      </c>
      <c r="C6695" s="37" t="s">
        <v>12</v>
      </c>
      <c r="D6695" s="38">
        <v>4742.6899999999996</v>
      </c>
    </row>
    <row r="6696" spans="1:4" ht="13.5">
      <c r="A6696" s="37">
        <v>87394</v>
      </c>
      <c r="B6696" s="37" t="s">
        <v>4485</v>
      </c>
      <c r="C6696" s="37" t="s">
        <v>12</v>
      </c>
      <c r="D6696" s="38">
        <v>4772.91</v>
      </c>
    </row>
    <row r="6697" spans="1:4" ht="13.5">
      <c r="A6697" s="37">
        <v>87395</v>
      </c>
      <c r="B6697" s="37" t="s">
        <v>4486</v>
      </c>
      <c r="C6697" s="37" t="s">
        <v>12</v>
      </c>
      <c r="D6697" s="38">
        <v>2988.75</v>
      </c>
    </row>
    <row r="6698" spans="1:4" ht="13.5">
      <c r="A6698" s="37">
        <v>87396</v>
      </c>
      <c r="B6698" s="37" t="s">
        <v>4487</v>
      </c>
      <c r="C6698" s="37" t="s">
        <v>12</v>
      </c>
      <c r="D6698" s="38">
        <v>2999.21</v>
      </c>
    </row>
    <row r="6699" spans="1:4" ht="13.5">
      <c r="A6699" s="37">
        <v>87397</v>
      </c>
      <c r="B6699" s="37" t="s">
        <v>4488</v>
      </c>
      <c r="C6699" s="37" t="s">
        <v>12</v>
      </c>
      <c r="D6699" s="38">
        <v>3007.35</v>
      </c>
    </row>
    <row r="6700" spans="1:4" ht="13.5">
      <c r="A6700" s="37">
        <v>87398</v>
      </c>
      <c r="B6700" s="37" t="s">
        <v>4489</v>
      </c>
      <c r="C6700" s="37" t="s">
        <v>12</v>
      </c>
      <c r="D6700" s="38">
        <v>1697.78</v>
      </c>
    </row>
    <row r="6701" spans="1:4" ht="13.5">
      <c r="A6701" s="37">
        <v>87399</v>
      </c>
      <c r="B6701" s="37" t="s">
        <v>4490</v>
      </c>
      <c r="C6701" s="37" t="s">
        <v>12</v>
      </c>
      <c r="D6701" s="38">
        <v>1946.88</v>
      </c>
    </row>
    <row r="6702" spans="1:4" ht="13.5">
      <c r="A6702" s="37">
        <v>87401</v>
      </c>
      <c r="B6702" s="37" t="s">
        <v>4491</v>
      </c>
      <c r="C6702" s="37" t="s">
        <v>12</v>
      </c>
      <c r="D6702" s="38">
        <v>4952.2700000000004</v>
      </c>
    </row>
    <row r="6703" spans="1:4" ht="13.5">
      <c r="A6703" s="37">
        <v>87402</v>
      </c>
      <c r="B6703" s="37" t="s">
        <v>4492</v>
      </c>
      <c r="C6703" s="37" t="s">
        <v>12</v>
      </c>
      <c r="D6703" s="38">
        <v>3196.67</v>
      </c>
    </row>
    <row r="6704" spans="1:4" ht="13.5">
      <c r="A6704" s="37">
        <v>87404</v>
      </c>
      <c r="B6704" s="37" t="s">
        <v>4493</v>
      </c>
      <c r="C6704" s="37" t="s">
        <v>12</v>
      </c>
      <c r="D6704" s="38">
        <v>4419.46</v>
      </c>
    </row>
    <row r="6705" spans="1:4" ht="13.5">
      <c r="A6705" s="37">
        <v>87405</v>
      </c>
      <c r="B6705" s="37" t="s">
        <v>4494</v>
      </c>
      <c r="C6705" s="37" t="s">
        <v>12</v>
      </c>
      <c r="D6705" s="38">
        <v>4418.47</v>
      </c>
    </row>
    <row r="6706" spans="1:4" ht="13.5">
      <c r="A6706" s="37">
        <v>87407</v>
      </c>
      <c r="B6706" s="37" t="s">
        <v>4495</v>
      </c>
      <c r="C6706" s="37" t="s">
        <v>12</v>
      </c>
      <c r="D6706" s="38">
        <v>1567.18</v>
      </c>
    </row>
    <row r="6707" spans="1:4" ht="13.5">
      <c r="A6707" s="37">
        <v>87408</v>
      </c>
      <c r="B6707" s="37" t="s">
        <v>4496</v>
      </c>
      <c r="C6707" s="37" t="s">
        <v>12</v>
      </c>
      <c r="D6707" s="38">
        <v>1549.31</v>
      </c>
    </row>
    <row r="6708" spans="1:4" ht="13.5">
      <c r="A6708" s="37">
        <v>87410</v>
      </c>
      <c r="B6708" s="37" t="s">
        <v>4497</v>
      </c>
      <c r="C6708" s="37" t="s">
        <v>12</v>
      </c>
      <c r="D6708" s="326">
        <v>868.02</v>
      </c>
    </row>
    <row r="6709" spans="1:4" ht="13.5">
      <c r="A6709" s="37">
        <v>88626</v>
      </c>
      <c r="B6709" s="37" t="s">
        <v>4498</v>
      </c>
      <c r="C6709" s="37" t="s">
        <v>12</v>
      </c>
      <c r="D6709" s="326">
        <v>514.35</v>
      </c>
    </row>
    <row r="6710" spans="1:4" ht="13.5">
      <c r="A6710" s="37">
        <v>88627</v>
      </c>
      <c r="B6710" s="37" t="s">
        <v>4499</v>
      </c>
      <c r="C6710" s="37" t="s">
        <v>12</v>
      </c>
      <c r="D6710" s="326">
        <v>583.83000000000004</v>
      </c>
    </row>
    <row r="6711" spans="1:4" ht="13.5">
      <c r="A6711" s="37">
        <v>88628</v>
      </c>
      <c r="B6711" s="37" t="s">
        <v>4500</v>
      </c>
      <c r="C6711" s="37" t="s">
        <v>12</v>
      </c>
      <c r="D6711" s="326">
        <v>517.75</v>
      </c>
    </row>
    <row r="6712" spans="1:4" ht="13.5">
      <c r="A6712" s="37">
        <v>88629</v>
      </c>
      <c r="B6712" s="37" t="s">
        <v>4501</v>
      </c>
      <c r="C6712" s="37" t="s">
        <v>12</v>
      </c>
      <c r="D6712" s="326">
        <v>594.44000000000005</v>
      </c>
    </row>
    <row r="6713" spans="1:4" ht="13.5">
      <c r="A6713" s="37">
        <v>88630</v>
      </c>
      <c r="B6713" s="37" t="s">
        <v>4502</v>
      </c>
      <c r="C6713" s="37" t="s">
        <v>12</v>
      </c>
      <c r="D6713" s="326">
        <v>437.78</v>
      </c>
    </row>
    <row r="6714" spans="1:4" ht="13.5">
      <c r="A6714" s="37">
        <v>88631</v>
      </c>
      <c r="B6714" s="37" t="s">
        <v>4503</v>
      </c>
      <c r="C6714" s="37" t="s">
        <v>12</v>
      </c>
      <c r="D6714" s="326">
        <v>529.19000000000005</v>
      </c>
    </row>
    <row r="6715" spans="1:4" ht="13.5">
      <c r="A6715" s="37">
        <v>88715</v>
      </c>
      <c r="B6715" s="37" t="s">
        <v>4504</v>
      </c>
      <c r="C6715" s="37" t="s">
        <v>12</v>
      </c>
      <c r="D6715" s="326">
        <v>505.8</v>
      </c>
    </row>
    <row r="6716" spans="1:4" ht="13.5">
      <c r="A6716" s="37">
        <v>95563</v>
      </c>
      <c r="B6716" s="37" t="s">
        <v>7311</v>
      </c>
      <c r="C6716" s="37" t="s">
        <v>12</v>
      </c>
      <c r="D6716" s="326">
        <v>759</v>
      </c>
    </row>
    <row r="6717" spans="1:4" ht="13.5">
      <c r="A6717" s="37">
        <v>100464</v>
      </c>
      <c r="B6717" s="37" t="s">
        <v>4505</v>
      </c>
      <c r="C6717" s="37" t="s">
        <v>12</v>
      </c>
      <c r="D6717" s="326">
        <v>544.74</v>
      </c>
    </row>
    <row r="6718" spans="1:4" ht="13.5">
      <c r="A6718" s="37">
        <v>100465</v>
      </c>
      <c r="B6718" s="37" t="s">
        <v>4506</v>
      </c>
      <c r="C6718" s="37" t="s">
        <v>12</v>
      </c>
      <c r="D6718" s="326">
        <v>501</v>
      </c>
    </row>
    <row r="6719" spans="1:4" ht="13.5">
      <c r="A6719" s="37">
        <v>100466</v>
      </c>
      <c r="B6719" s="37" t="s">
        <v>4507</v>
      </c>
      <c r="C6719" s="37" t="s">
        <v>12</v>
      </c>
      <c r="D6719" s="326">
        <v>476.19</v>
      </c>
    </row>
    <row r="6720" spans="1:4" ht="13.5">
      <c r="A6720" s="37">
        <v>100468</v>
      </c>
      <c r="B6720" s="37" t="s">
        <v>4508</v>
      </c>
      <c r="C6720" s="37" t="s">
        <v>12</v>
      </c>
      <c r="D6720" s="326">
        <v>639.24</v>
      </c>
    </row>
    <row r="6721" spans="1:4" ht="13.5">
      <c r="A6721" s="37">
        <v>100469</v>
      </c>
      <c r="B6721" s="37" t="s">
        <v>4509</v>
      </c>
      <c r="C6721" s="37" t="s">
        <v>12</v>
      </c>
      <c r="D6721" s="326">
        <v>508.12</v>
      </c>
    </row>
    <row r="6722" spans="1:4" ht="13.5">
      <c r="A6722" s="37">
        <v>100470</v>
      </c>
      <c r="B6722" s="37" t="s">
        <v>4510</v>
      </c>
      <c r="C6722" s="37" t="s">
        <v>12</v>
      </c>
      <c r="D6722" s="326">
        <v>457.92</v>
      </c>
    </row>
    <row r="6723" spans="1:4" ht="13.5">
      <c r="A6723" s="37">
        <v>100472</v>
      </c>
      <c r="B6723" s="37" t="s">
        <v>4511</v>
      </c>
      <c r="C6723" s="37" t="s">
        <v>12</v>
      </c>
      <c r="D6723" s="326">
        <v>511.53</v>
      </c>
    </row>
    <row r="6724" spans="1:4" ht="13.5">
      <c r="A6724" s="37">
        <v>100473</v>
      </c>
      <c r="B6724" s="37" t="s">
        <v>4512</v>
      </c>
      <c r="C6724" s="37" t="s">
        <v>12</v>
      </c>
      <c r="D6724" s="326">
        <v>456.25</v>
      </c>
    </row>
    <row r="6725" spans="1:4" ht="13.5">
      <c r="A6725" s="37">
        <v>100474</v>
      </c>
      <c r="B6725" s="37" t="s">
        <v>4513</v>
      </c>
      <c r="C6725" s="37" t="s">
        <v>12</v>
      </c>
      <c r="D6725" s="326">
        <v>428.75</v>
      </c>
    </row>
    <row r="6726" spans="1:4" ht="13.5">
      <c r="A6726" s="37">
        <v>100475</v>
      </c>
      <c r="B6726" s="37" t="s">
        <v>4514</v>
      </c>
      <c r="C6726" s="37" t="s">
        <v>12</v>
      </c>
      <c r="D6726" s="326">
        <v>654.24</v>
      </c>
    </row>
    <row r="6727" spans="1:4" ht="13.5">
      <c r="A6727" s="37">
        <v>100477</v>
      </c>
      <c r="B6727" s="37" t="s">
        <v>4515</v>
      </c>
      <c r="C6727" s="37" t="s">
        <v>12</v>
      </c>
      <c r="D6727" s="326">
        <v>727.49</v>
      </c>
    </row>
    <row r="6728" spans="1:4" ht="13.5">
      <c r="A6728" s="37">
        <v>100478</v>
      </c>
      <c r="B6728" s="37" t="s">
        <v>4516</v>
      </c>
      <c r="C6728" s="37" t="s">
        <v>12</v>
      </c>
      <c r="D6728" s="326">
        <v>641.39</v>
      </c>
    </row>
    <row r="6729" spans="1:4" ht="13.5">
      <c r="A6729" s="37">
        <v>100479</v>
      </c>
      <c r="B6729" s="37" t="s">
        <v>4517</v>
      </c>
      <c r="C6729" s="37" t="s">
        <v>12</v>
      </c>
      <c r="D6729" s="326">
        <v>619.53</v>
      </c>
    </row>
    <row r="6730" spans="1:4" ht="13.5">
      <c r="A6730" s="37">
        <v>100480</v>
      </c>
      <c r="B6730" s="37" t="s">
        <v>4518</v>
      </c>
      <c r="C6730" s="37" t="s">
        <v>12</v>
      </c>
      <c r="D6730" s="326">
        <v>728.07</v>
      </c>
    </row>
    <row r="6731" spans="1:4" ht="13.5">
      <c r="A6731" s="37">
        <v>100481</v>
      </c>
      <c r="B6731" s="37" t="s">
        <v>4519</v>
      </c>
      <c r="C6731" s="37" t="s">
        <v>12</v>
      </c>
      <c r="D6731" s="326">
        <v>562.07000000000005</v>
      </c>
    </row>
    <row r="6732" spans="1:4" ht="13.5">
      <c r="A6732" s="37">
        <v>100483</v>
      </c>
      <c r="B6732" s="37" t="s">
        <v>4520</v>
      </c>
      <c r="C6732" s="37" t="s">
        <v>12</v>
      </c>
      <c r="D6732" s="326">
        <v>616.91999999999996</v>
      </c>
    </row>
    <row r="6733" spans="1:4" ht="13.5">
      <c r="A6733" s="37">
        <v>100484</v>
      </c>
      <c r="B6733" s="37" t="s">
        <v>4521</v>
      </c>
      <c r="C6733" s="37" t="s">
        <v>12</v>
      </c>
      <c r="D6733" s="326">
        <v>562.61</v>
      </c>
    </row>
    <row r="6734" spans="1:4" ht="13.5">
      <c r="A6734" s="37">
        <v>100485</v>
      </c>
      <c r="B6734" s="37" t="s">
        <v>4522</v>
      </c>
      <c r="C6734" s="37" t="s">
        <v>12</v>
      </c>
      <c r="D6734" s="326">
        <v>536.51</v>
      </c>
    </row>
    <row r="6735" spans="1:4" ht="13.5">
      <c r="A6735" s="37">
        <v>100486</v>
      </c>
      <c r="B6735" s="37" t="s">
        <v>4523</v>
      </c>
      <c r="C6735" s="37" t="s">
        <v>12</v>
      </c>
      <c r="D6735" s="326">
        <v>641.52</v>
      </c>
    </row>
    <row r="6736" spans="1:4" ht="13.5">
      <c r="A6736" s="37">
        <v>100487</v>
      </c>
      <c r="B6736" s="37" t="s">
        <v>4524</v>
      </c>
      <c r="C6736" s="37" t="s">
        <v>12</v>
      </c>
      <c r="D6736" s="326">
        <v>475.22</v>
      </c>
    </row>
    <row r="6737" spans="1:4" ht="13.5">
      <c r="A6737" s="37">
        <v>100488</v>
      </c>
      <c r="B6737" s="37" t="s">
        <v>4525</v>
      </c>
      <c r="C6737" s="37" t="s">
        <v>12</v>
      </c>
      <c r="D6737" s="326">
        <v>499.24</v>
      </c>
    </row>
    <row r="6738" spans="1:4" ht="13.5">
      <c r="A6738" s="37">
        <v>100489</v>
      </c>
      <c r="B6738" s="37" t="s">
        <v>4526</v>
      </c>
      <c r="C6738" s="37" t="s">
        <v>12</v>
      </c>
      <c r="D6738" s="326">
        <v>510.94</v>
      </c>
    </row>
    <row r="6739" spans="1:4" ht="13.5">
      <c r="A6739" s="37">
        <v>100490</v>
      </c>
      <c r="B6739" s="37" t="s">
        <v>4527</v>
      </c>
      <c r="C6739" s="37" t="s">
        <v>12</v>
      </c>
      <c r="D6739" s="326">
        <v>447.21</v>
      </c>
    </row>
    <row r="6740" spans="1:4" ht="13.5">
      <c r="A6740" s="37">
        <v>100491</v>
      </c>
      <c r="B6740" s="37" t="s">
        <v>4528</v>
      </c>
      <c r="C6740" s="37" t="s">
        <v>12</v>
      </c>
      <c r="D6740" s="326">
        <v>647.98</v>
      </c>
    </row>
    <row r="6741" spans="1:4" ht="13.5">
      <c r="A6741" s="37">
        <v>100492</v>
      </c>
      <c r="B6741" s="37" t="s">
        <v>4529</v>
      </c>
      <c r="C6741" s="37" t="s">
        <v>12</v>
      </c>
      <c r="D6741" s="326">
        <v>556.58000000000004</v>
      </c>
    </row>
    <row r="6742" spans="1:4" ht="13.5">
      <c r="A6742" s="37">
        <v>92121</v>
      </c>
      <c r="B6742" s="37" t="s">
        <v>4530</v>
      </c>
      <c r="C6742" s="37" t="s">
        <v>12</v>
      </c>
      <c r="D6742" s="326">
        <v>27.74</v>
      </c>
    </row>
    <row r="6743" spans="1:4" ht="13.5">
      <c r="A6743" s="37">
        <v>92122</v>
      </c>
      <c r="B6743" s="37" t="s">
        <v>4531</v>
      </c>
      <c r="C6743" s="37" t="s">
        <v>12</v>
      </c>
      <c r="D6743" s="326">
        <v>46.18</v>
      </c>
    </row>
    <row r="6744" spans="1:4" ht="13.5">
      <c r="A6744" s="37">
        <v>92123</v>
      </c>
      <c r="B6744" s="37" t="s">
        <v>4532</v>
      </c>
      <c r="C6744" s="37" t="s">
        <v>12</v>
      </c>
      <c r="D6744" s="326">
        <v>59.84</v>
      </c>
    </row>
    <row r="6745" spans="1:4" ht="13.5">
      <c r="A6745" s="37">
        <v>100195</v>
      </c>
      <c r="B6745" s="37" t="s">
        <v>4533</v>
      </c>
      <c r="C6745" s="37" t="s">
        <v>4534</v>
      </c>
      <c r="D6745" s="326">
        <v>0.7</v>
      </c>
    </row>
    <row r="6746" spans="1:4" ht="13.5">
      <c r="A6746" s="37">
        <v>100196</v>
      </c>
      <c r="B6746" s="37" t="s">
        <v>4535</v>
      </c>
      <c r="C6746" s="37" t="s">
        <v>4534</v>
      </c>
      <c r="D6746" s="326">
        <v>1.17</v>
      </c>
    </row>
    <row r="6747" spans="1:4" ht="13.5">
      <c r="A6747" s="37">
        <v>100197</v>
      </c>
      <c r="B6747" s="37" t="s">
        <v>4536</v>
      </c>
      <c r="C6747" s="37" t="s">
        <v>4534</v>
      </c>
      <c r="D6747" s="326">
        <v>1.76</v>
      </c>
    </row>
    <row r="6748" spans="1:4" ht="13.5">
      <c r="A6748" s="37">
        <v>100198</v>
      </c>
      <c r="B6748" s="37" t="s">
        <v>4537</v>
      </c>
      <c r="C6748" s="37" t="s">
        <v>4534</v>
      </c>
      <c r="D6748" s="326">
        <v>0.24</v>
      </c>
    </row>
    <row r="6749" spans="1:4" ht="13.5">
      <c r="A6749" s="37">
        <v>100199</v>
      </c>
      <c r="B6749" s="37" t="s">
        <v>4538</v>
      </c>
      <c r="C6749" s="37" t="s">
        <v>4534</v>
      </c>
      <c r="D6749" s="326">
        <v>0.28999999999999998</v>
      </c>
    </row>
    <row r="6750" spans="1:4" ht="13.5">
      <c r="A6750" s="37">
        <v>100200</v>
      </c>
      <c r="B6750" s="37" t="s">
        <v>4539</v>
      </c>
      <c r="C6750" s="37" t="s">
        <v>4534</v>
      </c>
      <c r="D6750" s="326">
        <v>0.36</v>
      </c>
    </row>
    <row r="6751" spans="1:4" ht="13.5">
      <c r="A6751" s="37">
        <v>100201</v>
      </c>
      <c r="B6751" s="37" t="s">
        <v>4540</v>
      </c>
      <c r="C6751" s="37" t="s">
        <v>4534</v>
      </c>
      <c r="D6751" s="326">
        <v>0.71</v>
      </c>
    </row>
    <row r="6752" spans="1:4" ht="13.5">
      <c r="A6752" s="37">
        <v>100202</v>
      </c>
      <c r="B6752" s="37" t="s">
        <v>4541</v>
      </c>
      <c r="C6752" s="37" t="s">
        <v>4534</v>
      </c>
      <c r="D6752" s="326">
        <v>0.83</v>
      </c>
    </row>
    <row r="6753" spans="1:4" ht="13.5">
      <c r="A6753" s="37">
        <v>100203</v>
      </c>
      <c r="B6753" s="37" t="s">
        <v>4542</v>
      </c>
      <c r="C6753" s="37" t="s">
        <v>4534</v>
      </c>
      <c r="D6753" s="326">
        <v>0.99</v>
      </c>
    </row>
    <row r="6754" spans="1:4" ht="13.5">
      <c r="A6754" s="37">
        <v>100204</v>
      </c>
      <c r="B6754" s="37" t="s">
        <v>4543</v>
      </c>
      <c r="C6754" s="37" t="s">
        <v>4534</v>
      </c>
      <c r="D6754" s="326">
        <v>0.11</v>
      </c>
    </row>
    <row r="6755" spans="1:4" ht="13.5">
      <c r="A6755" s="37">
        <v>100205</v>
      </c>
      <c r="B6755" s="37" t="s">
        <v>4544</v>
      </c>
      <c r="C6755" s="37" t="s">
        <v>16554</v>
      </c>
      <c r="D6755" s="38">
        <v>1315.58</v>
      </c>
    </row>
    <row r="6756" spans="1:4" ht="13.5">
      <c r="A6756" s="37">
        <v>100206</v>
      </c>
      <c r="B6756" s="37" t="s">
        <v>4545</v>
      </c>
      <c r="C6756" s="37" t="s">
        <v>16554</v>
      </c>
      <c r="D6756" s="326">
        <v>950.94</v>
      </c>
    </row>
    <row r="6757" spans="1:4" ht="13.5">
      <c r="A6757" s="37">
        <v>100207</v>
      </c>
      <c r="B6757" s="37" t="s">
        <v>4546</v>
      </c>
      <c r="C6757" s="37" t="s">
        <v>16554</v>
      </c>
      <c r="D6757" s="326">
        <v>491.17</v>
      </c>
    </row>
    <row r="6758" spans="1:4" ht="13.5">
      <c r="A6758" s="37">
        <v>100208</v>
      </c>
      <c r="B6758" s="37" t="s">
        <v>4547</v>
      </c>
      <c r="C6758" s="37" t="s">
        <v>16555</v>
      </c>
      <c r="D6758" s="326">
        <v>17.399999999999999</v>
      </c>
    </row>
    <row r="6759" spans="1:4" ht="13.5">
      <c r="A6759" s="37">
        <v>100209</v>
      </c>
      <c r="B6759" s="37" t="s">
        <v>4548</v>
      </c>
      <c r="C6759" s="37" t="s">
        <v>16555</v>
      </c>
      <c r="D6759" s="326">
        <v>8.6999999999999993</v>
      </c>
    </row>
    <row r="6760" spans="1:4" ht="13.5">
      <c r="A6760" s="37">
        <v>100210</v>
      </c>
      <c r="B6760" s="37" t="s">
        <v>4549</v>
      </c>
      <c r="C6760" s="37" t="s">
        <v>16555</v>
      </c>
      <c r="D6760" s="326">
        <v>16.03</v>
      </c>
    </row>
    <row r="6761" spans="1:4" ht="13.5">
      <c r="A6761" s="37">
        <v>100211</v>
      </c>
      <c r="B6761" s="37" t="s">
        <v>4550</v>
      </c>
      <c r="C6761" s="37" t="s">
        <v>16555</v>
      </c>
      <c r="D6761" s="326">
        <v>6.18</v>
      </c>
    </row>
    <row r="6762" spans="1:4" ht="13.5">
      <c r="A6762" s="37">
        <v>100212</v>
      </c>
      <c r="B6762" s="37" t="s">
        <v>4551</v>
      </c>
      <c r="C6762" s="37" t="s">
        <v>16555</v>
      </c>
      <c r="D6762" s="326">
        <v>6.83</v>
      </c>
    </row>
    <row r="6763" spans="1:4" ht="13.5">
      <c r="A6763" s="37">
        <v>100213</v>
      </c>
      <c r="B6763" s="37" t="s">
        <v>4552</v>
      </c>
      <c r="C6763" s="37" t="s">
        <v>16555</v>
      </c>
      <c r="D6763" s="326">
        <v>2.4500000000000002</v>
      </c>
    </row>
    <row r="6764" spans="1:4" ht="13.5">
      <c r="A6764" s="37">
        <v>100214</v>
      </c>
      <c r="B6764" s="37" t="s">
        <v>4553</v>
      </c>
      <c r="C6764" s="37" t="s">
        <v>16555</v>
      </c>
      <c r="D6764" s="326">
        <v>3.76</v>
      </c>
    </row>
    <row r="6765" spans="1:4" ht="13.5">
      <c r="A6765" s="37">
        <v>100215</v>
      </c>
      <c r="B6765" s="37" t="s">
        <v>4554</v>
      </c>
      <c r="C6765" s="37" t="s">
        <v>16555</v>
      </c>
      <c r="D6765" s="326">
        <v>3.22</v>
      </c>
    </row>
    <row r="6766" spans="1:4" ht="13.5">
      <c r="A6766" s="37">
        <v>100216</v>
      </c>
      <c r="B6766" s="37" t="s">
        <v>4555</v>
      </c>
      <c r="C6766" s="37" t="s">
        <v>16555</v>
      </c>
      <c r="D6766" s="326">
        <v>0.87</v>
      </c>
    </row>
    <row r="6767" spans="1:4" ht="13.5">
      <c r="A6767" s="37">
        <v>100217</v>
      </c>
      <c r="B6767" s="37" t="s">
        <v>4556</v>
      </c>
      <c r="C6767" s="37" t="s">
        <v>16555</v>
      </c>
      <c r="D6767" s="326">
        <v>3.06</v>
      </c>
    </row>
    <row r="6768" spans="1:4" ht="13.5">
      <c r="A6768" s="37">
        <v>100218</v>
      </c>
      <c r="B6768" s="37" t="s">
        <v>4557</v>
      </c>
      <c r="C6768" s="37" t="s">
        <v>16555</v>
      </c>
      <c r="D6768" s="326">
        <v>2.1</v>
      </c>
    </row>
    <row r="6769" spans="1:4" ht="13.5">
      <c r="A6769" s="37">
        <v>100219</v>
      </c>
      <c r="B6769" s="37" t="s">
        <v>4558</v>
      </c>
      <c r="C6769" s="37" t="s">
        <v>16555</v>
      </c>
      <c r="D6769" s="326">
        <v>0.45</v>
      </c>
    </row>
    <row r="6770" spans="1:4" ht="13.5">
      <c r="A6770" s="37">
        <v>100220</v>
      </c>
      <c r="B6770" s="37" t="s">
        <v>4559</v>
      </c>
      <c r="C6770" s="37" t="s">
        <v>16556</v>
      </c>
      <c r="D6770" s="326">
        <v>25</v>
      </c>
    </row>
    <row r="6771" spans="1:4" ht="13.5">
      <c r="A6771" s="37">
        <v>100221</v>
      </c>
      <c r="B6771" s="37" t="s">
        <v>4560</v>
      </c>
      <c r="C6771" s="37" t="s">
        <v>16556</v>
      </c>
      <c r="D6771" s="326">
        <v>28.34</v>
      </c>
    </row>
    <row r="6772" spans="1:4" ht="13.5">
      <c r="A6772" s="37">
        <v>100222</v>
      </c>
      <c r="B6772" s="37" t="s">
        <v>4561</v>
      </c>
      <c r="C6772" s="37" t="s">
        <v>16556</v>
      </c>
      <c r="D6772" s="326">
        <v>10.73</v>
      </c>
    </row>
    <row r="6773" spans="1:4" ht="13.5">
      <c r="A6773" s="37">
        <v>100223</v>
      </c>
      <c r="B6773" s="37" t="s">
        <v>4562</v>
      </c>
      <c r="C6773" s="37" t="s">
        <v>16556</v>
      </c>
      <c r="D6773" s="326">
        <v>5.0199999999999996</v>
      </c>
    </row>
    <row r="6774" spans="1:4" ht="13.5">
      <c r="A6774" s="37">
        <v>100224</v>
      </c>
      <c r="B6774" s="37" t="s">
        <v>4563</v>
      </c>
      <c r="C6774" s="37" t="s">
        <v>16556</v>
      </c>
      <c r="D6774" s="326">
        <v>3.06</v>
      </c>
    </row>
    <row r="6775" spans="1:4" ht="13.5">
      <c r="A6775" s="37">
        <v>100225</v>
      </c>
      <c r="B6775" s="37" t="s">
        <v>4564</v>
      </c>
      <c r="C6775" s="37" t="s">
        <v>4565</v>
      </c>
      <c r="D6775" s="326">
        <v>1.96</v>
      </c>
    </row>
    <row r="6776" spans="1:4" ht="13.5">
      <c r="A6776" s="37">
        <v>100226</v>
      </c>
      <c r="B6776" s="37" t="s">
        <v>4566</v>
      </c>
      <c r="C6776" s="37" t="s">
        <v>4565</v>
      </c>
      <c r="D6776" s="326">
        <v>0.61</v>
      </c>
    </row>
    <row r="6777" spans="1:4" ht="13.5">
      <c r="A6777" s="37">
        <v>100227</v>
      </c>
      <c r="B6777" s="37" t="s">
        <v>4567</v>
      </c>
      <c r="C6777" s="37" t="s">
        <v>4565</v>
      </c>
      <c r="D6777" s="326">
        <v>0.91</v>
      </c>
    </row>
    <row r="6778" spans="1:4" ht="13.5">
      <c r="A6778" s="37">
        <v>100228</v>
      </c>
      <c r="B6778" s="37" t="s">
        <v>4568</v>
      </c>
      <c r="C6778" s="37" t="s">
        <v>4565</v>
      </c>
      <c r="D6778" s="326">
        <v>0.28999999999999998</v>
      </c>
    </row>
    <row r="6779" spans="1:4" ht="13.5">
      <c r="A6779" s="37">
        <v>100229</v>
      </c>
      <c r="B6779" s="37" t="s">
        <v>4569</v>
      </c>
      <c r="C6779" s="37" t="s">
        <v>8</v>
      </c>
      <c r="D6779" s="326">
        <v>0.01</v>
      </c>
    </row>
    <row r="6780" spans="1:4" ht="13.5">
      <c r="A6780" s="37">
        <v>100230</v>
      </c>
      <c r="B6780" s="37" t="s">
        <v>4570</v>
      </c>
      <c r="C6780" s="37" t="s">
        <v>8</v>
      </c>
      <c r="D6780" s="326">
        <v>0.02</v>
      </c>
    </row>
    <row r="6781" spans="1:4" ht="13.5">
      <c r="A6781" s="37">
        <v>100231</v>
      </c>
      <c r="B6781" s="37" t="s">
        <v>4571</v>
      </c>
      <c r="C6781" s="37" t="s">
        <v>8</v>
      </c>
      <c r="D6781" s="326">
        <v>0.03</v>
      </c>
    </row>
    <row r="6782" spans="1:4" ht="13.5">
      <c r="A6782" s="37">
        <v>100232</v>
      </c>
      <c r="B6782" s="37" t="s">
        <v>4572</v>
      </c>
      <c r="C6782" s="37" t="s">
        <v>7</v>
      </c>
      <c r="D6782" s="326">
        <v>0.33</v>
      </c>
    </row>
    <row r="6783" spans="1:4" ht="13.5">
      <c r="A6783" s="37">
        <v>100233</v>
      </c>
      <c r="B6783" s="37" t="s">
        <v>4573</v>
      </c>
      <c r="C6783" s="37" t="s">
        <v>7</v>
      </c>
      <c r="D6783" s="326">
        <v>0.16</v>
      </c>
    </row>
    <row r="6784" spans="1:4" ht="13.5">
      <c r="A6784" s="37">
        <v>100234</v>
      </c>
      <c r="B6784" s="37" t="s">
        <v>4574</v>
      </c>
      <c r="C6784" s="37" t="s">
        <v>9</v>
      </c>
      <c r="D6784" s="326">
        <v>0.49</v>
      </c>
    </row>
    <row r="6785" spans="1:4" ht="13.5">
      <c r="A6785" s="37">
        <v>100235</v>
      </c>
      <c r="B6785" s="37" t="s">
        <v>4575</v>
      </c>
      <c r="C6785" s="37" t="s">
        <v>17</v>
      </c>
      <c r="D6785" s="326">
        <v>0.03</v>
      </c>
    </row>
    <row r="6786" spans="1:4" ht="13.5">
      <c r="A6786" s="37">
        <v>100236</v>
      </c>
      <c r="B6786" s="37" t="s">
        <v>4576</v>
      </c>
      <c r="C6786" s="37" t="s">
        <v>4577</v>
      </c>
      <c r="D6786" s="326">
        <v>2.4900000000000002</v>
      </c>
    </row>
    <row r="6787" spans="1:4" ht="13.5">
      <c r="A6787" s="37">
        <v>100237</v>
      </c>
      <c r="B6787" s="37" t="s">
        <v>4578</v>
      </c>
      <c r="C6787" s="37" t="s">
        <v>4577</v>
      </c>
      <c r="D6787" s="326">
        <v>2.99</v>
      </c>
    </row>
    <row r="6788" spans="1:4" ht="13.5">
      <c r="A6788" s="37">
        <v>100238</v>
      </c>
      <c r="B6788" s="37" t="s">
        <v>4579</v>
      </c>
      <c r="C6788" s="37" t="s">
        <v>4577</v>
      </c>
      <c r="D6788" s="326">
        <v>4.78</v>
      </c>
    </row>
    <row r="6789" spans="1:4" ht="13.5">
      <c r="A6789" s="37">
        <v>100239</v>
      </c>
      <c r="B6789" s="37" t="s">
        <v>4580</v>
      </c>
      <c r="C6789" s="37" t="s">
        <v>4577</v>
      </c>
      <c r="D6789" s="326">
        <v>5.98</v>
      </c>
    </row>
    <row r="6790" spans="1:4" ht="13.5">
      <c r="A6790" s="37">
        <v>100240</v>
      </c>
      <c r="B6790" s="37" t="s">
        <v>4581</v>
      </c>
      <c r="C6790" s="37" t="s">
        <v>4577</v>
      </c>
      <c r="D6790" s="326">
        <v>3.58</v>
      </c>
    </row>
    <row r="6791" spans="1:4" ht="13.5">
      <c r="A6791" s="37">
        <v>100241</v>
      </c>
      <c r="B6791" s="37" t="s">
        <v>4582</v>
      </c>
      <c r="C6791" s="37" t="s">
        <v>4577</v>
      </c>
      <c r="D6791" s="326">
        <v>5.98</v>
      </c>
    </row>
    <row r="6792" spans="1:4" ht="13.5">
      <c r="A6792" s="37">
        <v>100242</v>
      </c>
      <c r="B6792" s="37" t="s">
        <v>4583</v>
      </c>
      <c r="C6792" s="37" t="s">
        <v>4577</v>
      </c>
      <c r="D6792" s="326">
        <v>17.670000000000002</v>
      </c>
    </row>
    <row r="6793" spans="1:4" ht="13.5">
      <c r="A6793" s="37">
        <v>100243</v>
      </c>
      <c r="B6793" s="37" t="s">
        <v>4584</v>
      </c>
      <c r="C6793" s="37" t="s">
        <v>4577</v>
      </c>
      <c r="D6793" s="326">
        <v>2.87</v>
      </c>
    </row>
    <row r="6794" spans="1:4" ht="13.5">
      <c r="A6794" s="37">
        <v>100244</v>
      </c>
      <c r="B6794" s="37" t="s">
        <v>4585</v>
      </c>
      <c r="C6794" s="37" t="s">
        <v>4577</v>
      </c>
      <c r="D6794" s="326">
        <v>3.58</v>
      </c>
    </row>
    <row r="6795" spans="1:4" ht="13.5">
      <c r="A6795" s="37">
        <v>100245</v>
      </c>
      <c r="B6795" s="37" t="s">
        <v>4586</v>
      </c>
      <c r="C6795" s="37" t="s">
        <v>4577</v>
      </c>
      <c r="D6795" s="326">
        <v>7.17</v>
      </c>
    </row>
    <row r="6796" spans="1:4" ht="13.5">
      <c r="A6796" s="37">
        <v>100246</v>
      </c>
      <c r="B6796" s="37" t="s">
        <v>4587</v>
      </c>
      <c r="C6796" s="37" t="s">
        <v>4577</v>
      </c>
      <c r="D6796" s="326">
        <v>2.39</v>
      </c>
    </row>
    <row r="6797" spans="1:4" ht="13.5">
      <c r="A6797" s="37">
        <v>100247</v>
      </c>
      <c r="B6797" s="37" t="s">
        <v>4588</v>
      </c>
      <c r="C6797" s="37" t="s">
        <v>4577</v>
      </c>
      <c r="D6797" s="326">
        <v>2.99</v>
      </c>
    </row>
    <row r="6798" spans="1:4" ht="13.5">
      <c r="A6798" s="37">
        <v>100248</v>
      </c>
      <c r="B6798" s="37" t="s">
        <v>4589</v>
      </c>
      <c r="C6798" s="37" t="s">
        <v>4577</v>
      </c>
      <c r="D6798" s="326">
        <v>11.78</v>
      </c>
    </row>
    <row r="6799" spans="1:4" ht="13.5">
      <c r="A6799" s="37">
        <v>100249</v>
      </c>
      <c r="B6799" s="37" t="s">
        <v>4590</v>
      </c>
      <c r="C6799" s="37" t="s">
        <v>4577</v>
      </c>
      <c r="D6799" s="326">
        <v>2.39</v>
      </c>
    </row>
    <row r="6800" spans="1:4" ht="13.5">
      <c r="A6800" s="37">
        <v>100250</v>
      </c>
      <c r="B6800" s="37" t="s">
        <v>4591</v>
      </c>
      <c r="C6800" s="37" t="s">
        <v>4577</v>
      </c>
      <c r="D6800" s="326">
        <v>3.98</v>
      </c>
    </row>
    <row r="6801" spans="1:4" ht="13.5">
      <c r="A6801" s="37">
        <v>100251</v>
      </c>
      <c r="B6801" s="37" t="s">
        <v>4592</v>
      </c>
      <c r="C6801" s="37" t="s">
        <v>4577</v>
      </c>
      <c r="D6801" s="326">
        <v>11.78</v>
      </c>
    </row>
    <row r="6802" spans="1:4" ht="13.5">
      <c r="A6802" s="37">
        <v>100252</v>
      </c>
      <c r="B6802" s="37" t="s">
        <v>4593</v>
      </c>
      <c r="C6802" s="37" t="s">
        <v>4577</v>
      </c>
      <c r="D6802" s="326">
        <v>17.670000000000002</v>
      </c>
    </row>
    <row r="6803" spans="1:4" ht="13.5">
      <c r="A6803" s="37">
        <v>100253</v>
      </c>
      <c r="B6803" s="37" t="s">
        <v>4594</v>
      </c>
      <c r="C6803" s="37" t="s">
        <v>4577</v>
      </c>
      <c r="D6803" s="326">
        <v>23.56</v>
      </c>
    </row>
    <row r="6804" spans="1:4" ht="13.5">
      <c r="A6804" s="37">
        <v>100254</v>
      </c>
      <c r="B6804" s="37" t="s">
        <v>4595</v>
      </c>
      <c r="C6804" s="37" t="s">
        <v>4577</v>
      </c>
      <c r="D6804" s="326">
        <v>35.340000000000003</v>
      </c>
    </row>
    <row r="6805" spans="1:4" ht="13.5">
      <c r="A6805" s="37">
        <v>100255</v>
      </c>
      <c r="B6805" s="37" t="s">
        <v>4596</v>
      </c>
      <c r="C6805" s="37" t="s">
        <v>4577</v>
      </c>
      <c r="D6805" s="326">
        <v>11.96</v>
      </c>
    </row>
    <row r="6806" spans="1:4" ht="13.5">
      <c r="A6806" s="37">
        <v>100256</v>
      </c>
      <c r="B6806" s="37" t="s">
        <v>4597</v>
      </c>
      <c r="C6806" s="37" t="s">
        <v>4577</v>
      </c>
      <c r="D6806" s="326">
        <v>7.97</v>
      </c>
    </row>
    <row r="6807" spans="1:4" ht="13.5">
      <c r="A6807" s="37">
        <v>100257</v>
      </c>
      <c r="B6807" s="37" t="s">
        <v>4598</v>
      </c>
      <c r="C6807" s="37" t="s">
        <v>4577</v>
      </c>
      <c r="D6807" s="326">
        <v>4.78</v>
      </c>
    </row>
    <row r="6808" spans="1:4" ht="13.5">
      <c r="A6808" s="37">
        <v>100258</v>
      </c>
      <c r="B6808" s="37" t="s">
        <v>4599</v>
      </c>
      <c r="C6808" s="37" t="s">
        <v>4577</v>
      </c>
      <c r="D6808" s="326">
        <v>11.96</v>
      </c>
    </row>
    <row r="6809" spans="1:4" ht="13.5">
      <c r="A6809" s="37">
        <v>100259</v>
      </c>
      <c r="B6809" s="37" t="s">
        <v>4600</v>
      </c>
      <c r="C6809" s="37" t="s">
        <v>4577</v>
      </c>
      <c r="D6809" s="326">
        <v>23.56</v>
      </c>
    </row>
    <row r="6810" spans="1:4" ht="13.5">
      <c r="A6810" s="37">
        <v>100260</v>
      </c>
      <c r="B6810" s="37" t="s">
        <v>4601</v>
      </c>
      <c r="C6810" s="37" t="s">
        <v>4534</v>
      </c>
      <c r="D6810" s="326">
        <v>7.76</v>
      </c>
    </row>
    <row r="6811" spans="1:4" ht="13.5">
      <c r="A6811" s="37">
        <v>100261</v>
      </c>
      <c r="B6811" s="37" t="s">
        <v>4602</v>
      </c>
      <c r="C6811" s="37" t="s">
        <v>4534</v>
      </c>
      <c r="D6811" s="326">
        <v>4.88</v>
      </c>
    </row>
    <row r="6812" spans="1:4" ht="13.5">
      <c r="A6812" s="37">
        <v>100262</v>
      </c>
      <c r="B6812" s="37" t="s">
        <v>4603</v>
      </c>
      <c r="C6812" s="37" t="s">
        <v>4534</v>
      </c>
      <c r="D6812" s="326">
        <v>3.02</v>
      </c>
    </row>
    <row r="6813" spans="1:4" ht="13.5">
      <c r="A6813" s="37">
        <v>100263</v>
      </c>
      <c r="B6813" s="37" t="s">
        <v>4604</v>
      </c>
      <c r="C6813" s="37" t="s">
        <v>4534</v>
      </c>
      <c r="D6813" s="326">
        <v>1.93</v>
      </c>
    </row>
    <row r="6814" spans="1:4" ht="13.5">
      <c r="A6814" s="37">
        <v>100264</v>
      </c>
      <c r="B6814" s="37" t="s">
        <v>4605</v>
      </c>
      <c r="C6814" s="37" t="s">
        <v>16556</v>
      </c>
      <c r="D6814" s="326">
        <v>35.29</v>
      </c>
    </row>
    <row r="6815" spans="1:4" ht="13.5">
      <c r="A6815" s="37">
        <v>100265</v>
      </c>
      <c r="B6815" s="37" t="s">
        <v>4606</v>
      </c>
      <c r="C6815" s="37" t="s">
        <v>9</v>
      </c>
      <c r="D6815" s="326">
        <v>0.74</v>
      </c>
    </row>
    <row r="6816" spans="1:4" ht="13.5">
      <c r="A6816" s="37">
        <v>100266</v>
      </c>
      <c r="B6816" s="37" t="s">
        <v>4607</v>
      </c>
      <c r="C6816" s="37" t="s">
        <v>16555</v>
      </c>
      <c r="D6816" s="326">
        <v>75</v>
      </c>
    </row>
    <row r="6817" spans="1:4" ht="13.5">
      <c r="A6817" s="37">
        <v>100267</v>
      </c>
      <c r="B6817" s="37" t="s">
        <v>4608</v>
      </c>
      <c r="C6817" s="37" t="s">
        <v>7</v>
      </c>
      <c r="D6817" s="326">
        <v>1.48</v>
      </c>
    </row>
    <row r="6818" spans="1:4" ht="13.5">
      <c r="A6818" s="37">
        <v>100268</v>
      </c>
      <c r="B6818" s="37" t="s">
        <v>4609</v>
      </c>
      <c r="C6818" s="37" t="s">
        <v>16555</v>
      </c>
      <c r="D6818" s="326">
        <v>75</v>
      </c>
    </row>
    <row r="6819" spans="1:4" ht="13.5">
      <c r="A6819" s="37">
        <v>100269</v>
      </c>
      <c r="B6819" s="37" t="s">
        <v>4610</v>
      </c>
      <c r="C6819" s="37" t="s">
        <v>7</v>
      </c>
      <c r="D6819" s="326">
        <v>1.48</v>
      </c>
    </row>
    <row r="6820" spans="1:4" ht="13.5">
      <c r="A6820" s="37">
        <v>100270</v>
      </c>
      <c r="B6820" s="37" t="s">
        <v>4611</v>
      </c>
      <c r="C6820" s="37" t="s">
        <v>16555</v>
      </c>
      <c r="D6820" s="326">
        <v>56.22</v>
      </c>
    </row>
    <row r="6821" spans="1:4" ht="13.5">
      <c r="A6821" s="37">
        <v>100271</v>
      </c>
      <c r="B6821" s="37" t="s">
        <v>4612</v>
      </c>
      <c r="C6821" s="37" t="s">
        <v>16556</v>
      </c>
      <c r="D6821" s="326">
        <v>56.25</v>
      </c>
    </row>
    <row r="6822" spans="1:4" ht="13.5">
      <c r="A6822" s="37">
        <v>100272</v>
      </c>
      <c r="B6822" s="37" t="s">
        <v>4613</v>
      </c>
      <c r="C6822" s="37" t="s">
        <v>9</v>
      </c>
      <c r="D6822" s="326">
        <v>1.1100000000000001</v>
      </c>
    </row>
    <row r="6823" spans="1:4" ht="13.5">
      <c r="A6823" s="37">
        <v>100273</v>
      </c>
      <c r="B6823" s="37" t="s">
        <v>4614</v>
      </c>
      <c r="C6823" s="37" t="s">
        <v>4534</v>
      </c>
      <c r="D6823" s="326">
        <v>2.93</v>
      </c>
    </row>
    <row r="6824" spans="1:4" ht="13.5">
      <c r="A6824" s="37">
        <v>100274</v>
      </c>
      <c r="B6824" s="37" t="s">
        <v>4615</v>
      </c>
      <c r="C6824" s="37" t="s">
        <v>16556</v>
      </c>
      <c r="D6824" s="326">
        <v>25.01</v>
      </c>
    </row>
    <row r="6825" spans="1:4" ht="13.5">
      <c r="A6825" s="37">
        <v>100275</v>
      </c>
      <c r="B6825" s="37" t="s">
        <v>4616</v>
      </c>
      <c r="C6825" s="37" t="s">
        <v>16556</v>
      </c>
      <c r="D6825" s="326">
        <v>16.170000000000002</v>
      </c>
    </row>
    <row r="6826" spans="1:4" ht="13.5">
      <c r="A6826" s="37">
        <v>100276</v>
      </c>
      <c r="B6826" s="37" t="s">
        <v>4617</v>
      </c>
      <c r="C6826" s="37" t="s">
        <v>16556</v>
      </c>
      <c r="D6826" s="326">
        <v>29.51</v>
      </c>
    </row>
    <row r="6827" spans="1:4" ht="13.5">
      <c r="A6827" s="37">
        <v>100277</v>
      </c>
      <c r="B6827" s="37" t="s">
        <v>4618</v>
      </c>
      <c r="C6827" s="37" t="s">
        <v>16556</v>
      </c>
      <c r="D6827" s="326">
        <v>1.96</v>
      </c>
    </row>
    <row r="6828" spans="1:4" ht="13.5">
      <c r="A6828" s="37">
        <v>100278</v>
      </c>
      <c r="B6828" s="37" t="s">
        <v>4619</v>
      </c>
      <c r="C6828" s="37" t="s">
        <v>16555</v>
      </c>
      <c r="D6828" s="326">
        <v>35.880000000000003</v>
      </c>
    </row>
    <row r="6829" spans="1:4" ht="13.5">
      <c r="A6829" s="37">
        <v>100279</v>
      </c>
      <c r="B6829" s="37" t="s">
        <v>4620</v>
      </c>
      <c r="C6829" s="37" t="s">
        <v>7</v>
      </c>
      <c r="D6829" s="326">
        <v>0.69</v>
      </c>
    </row>
    <row r="6830" spans="1:4" ht="13.5">
      <c r="A6830" s="37">
        <v>100280</v>
      </c>
      <c r="B6830" s="37" t="s">
        <v>4621</v>
      </c>
      <c r="C6830" s="37" t="s">
        <v>16555</v>
      </c>
      <c r="D6830" s="326">
        <v>16.48</v>
      </c>
    </row>
    <row r="6831" spans="1:4" ht="13.5">
      <c r="A6831" s="37">
        <v>100281</v>
      </c>
      <c r="B6831" s="37" t="s">
        <v>4622</v>
      </c>
      <c r="C6831" s="37" t="s">
        <v>16555</v>
      </c>
      <c r="D6831" s="326">
        <v>3.76</v>
      </c>
    </row>
    <row r="6832" spans="1:4" ht="13.5">
      <c r="A6832" s="37">
        <v>100282</v>
      </c>
      <c r="B6832" s="37" t="s">
        <v>4623</v>
      </c>
      <c r="C6832" s="37" t="s">
        <v>16556</v>
      </c>
      <c r="D6832" s="326">
        <v>140.53</v>
      </c>
    </row>
    <row r="6833" spans="1:4" ht="13.5">
      <c r="A6833" s="37">
        <v>100283</v>
      </c>
      <c r="B6833" s="37" t="s">
        <v>4624</v>
      </c>
      <c r="C6833" s="37" t="s">
        <v>16556</v>
      </c>
      <c r="D6833" s="326">
        <v>22.7</v>
      </c>
    </row>
    <row r="6834" spans="1:4" ht="13.5">
      <c r="A6834" s="37">
        <v>100284</v>
      </c>
      <c r="B6834" s="37" t="s">
        <v>4625</v>
      </c>
      <c r="C6834" s="37" t="s">
        <v>16556</v>
      </c>
      <c r="D6834" s="326">
        <v>11</v>
      </c>
    </row>
    <row r="6835" spans="1:4" ht="13.5">
      <c r="A6835" s="37">
        <v>100285</v>
      </c>
      <c r="B6835" s="37" t="s">
        <v>4626</v>
      </c>
      <c r="C6835" s="37" t="s">
        <v>4577</v>
      </c>
      <c r="D6835" s="326">
        <v>37.75</v>
      </c>
    </row>
    <row r="6836" spans="1:4" ht="13.5">
      <c r="A6836" s="37">
        <v>100286</v>
      </c>
      <c r="B6836" s="37" t="s">
        <v>4627</v>
      </c>
      <c r="C6836" s="37" t="s">
        <v>4577</v>
      </c>
      <c r="D6836" s="326">
        <v>12.3</v>
      </c>
    </row>
    <row r="6837" spans="1:4" ht="13.5">
      <c r="A6837" s="37">
        <v>100287</v>
      </c>
      <c r="B6837" s="37" t="s">
        <v>4628</v>
      </c>
      <c r="C6837" s="37" t="s">
        <v>4577</v>
      </c>
      <c r="D6837" s="326">
        <v>11.78</v>
      </c>
    </row>
    <row r="6838" spans="1:4" ht="13.5">
      <c r="A6838" s="37">
        <v>99802</v>
      </c>
      <c r="B6838" s="37" t="s">
        <v>4629</v>
      </c>
      <c r="C6838" s="37" t="s">
        <v>9</v>
      </c>
      <c r="D6838" s="326">
        <v>0.48</v>
      </c>
    </row>
    <row r="6839" spans="1:4" ht="13.5">
      <c r="A6839" s="37">
        <v>99803</v>
      </c>
      <c r="B6839" s="37" t="s">
        <v>4630</v>
      </c>
      <c r="C6839" s="37" t="s">
        <v>9</v>
      </c>
      <c r="D6839" s="326">
        <v>1.86</v>
      </c>
    </row>
    <row r="6840" spans="1:4" ht="13.5">
      <c r="A6840" s="37">
        <v>99804</v>
      </c>
      <c r="B6840" s="37" t="s">
        <v>12440</v>
      </c>
      <c r="C6840" s="37" t="s">
        <v>9</v>
      </c>
      <c r="D6840" s="326">
        <v>4.84</v>
      </c>
    </row>
    <row r="6841" spans="1:4" ht="13.5">
      <c r="A6841" s="37">
        <v>99805</v>
      </c>
      <c r="B6841" s="37" t="s">
        <v>4631</v>
      </c>
      <c r="C6841" s="37" t="s">
        <v>9</v>
      </c>
      <c r="D6841" s="326">
        <v>10.14</v>
      </c>
    </row>
    <row r="6842" spans="1:4" ht="13.5">
      <c r="A6842" s="37">
        <v>99806</v>
      </c>
      <c r="B6842" s="37" t="s">
        <v>4632</v>
      </c>
      <c r="C6842" s="37" t="s">
        <v>9</v>
      </c>
      <c r="D6842" s="326">
        <v>0.77</v>
      </c>
    </row>
    <row r="6843" spans="1:4" ht="13.5">
      <c r="A6843" s="37">
        <v>99807</v>
      </c>
      <c r="B6843" s="37" t="s">
        <v>12441</v>
      </c>
      <c r="C6843" s="37" t="s">
        <v>9</v>
      </c>
      <c r="D6843" s="326">
        <v>1.47</v>
      </c>
    </row>
    <row r="6844" spans="1:4" ht="13.5">
      <c r="A6844" s="37">
        <v>99808</v>
      </c>
      <c r="B6844" s="37" t="s">
        <v>4633</v>
      </c>
      <c r="C6844" s="37" t="s">
        <v>9</v>
      </c>
      <c r="D6844" s="326">
        <v>3.59</v>
      </c>
    </row>
    <row r="6845" spans="1:4" ht="13.5">
      <c r="A6845" s="37">
        <v>99809</v>
      </c>
      <c r="B6845" s="37" t="s">
        <v>4634</v>
      </c>
      <c r="C6845" s="37" t="s">
        <v>9</v>
      </c>
      <c r="D6845" s="326">
        <v>5.31</v>
      </c>
    </row>
    <row r="6846" spans="1:4" ht="13.5">
      <c r="A6846" s="37">
        <v>99810</v>
      </c>
      <c r="B6846" s="37" t="s">
        <v>12442</v>
      </c>
      <c r="C6846" s="37" t="s">
        <v>9</v>
      </c>
      <c r="D6846" s="326">
        <v>6.61</v>
      </c>
    </row>
    <row r="6847" spans="1:4" ht="13.5">
      <c r="A6847" s="37">
        <v>99811</v>
      </c>
      <c r="B6847" s="37" t="s">
        <v>4635</v>
      </c>
      <c r="C6847" s="37" t="s">
        <v>9</v>
      </c>
      <c r="D6847" s="326">
        <v>3.17</v>
      </c>
    </row>
    <row r="6848" spans="1:4" ht="13.5">
      <c r="A6848" s="37">
        <v>99812</v>
      </c>
      <c r="B6848" s="37" t="s">
        <v>4636</v>
      </c>
      <c r="C6848" s="37" t="s">
        <v>9</v>
      </c>
      <c r="D6848" s="326">
        <v>1.02</v>
      </c>
    </row>
    <row r="6849" spans="1:4" ht="13.5">
      <c r="A6849" s="37">
        <v>99813</v>
      </c>
      <c r="B6849" s="37" t="s">
        <v>12443</v>
      </c>
      <c r="C6849" s="37" t="s">
        <v>9</v>
      </c>
      <c r="D6849" s="326">
        <v>0.87</v>
      </c>
    </row>
    <row r="6850" spans="1:4" ht="13.5">
      <c r="A6850" s="37">
        <v>99814</v>
      </c>
      <c r="B6850" s="37" t="s">
        <v>4637</v>
      </c>
      <c r="C6850" s="37" t="s">
        <v>9</v>
      </c>
      <c r="D6850" s="326">
        <v>1.73</v>
      </c>
    </row>
    <row r="6851" spans="1:4" ht="13.5">
      <c r="A6851" s="37">
        <v>99815</v>
      </c>
      <c r="B6851" s="37" t="s">
        <v>12444</v>
      </c>
      <c r="C6851" s="37" t="s">
        <v>7</v>
      </c>
      <c r="D6851" s="326">
        <v>7.98</v>
      </c>
    </row>
    <row r="6852" spans="1:4" ht="13.5">
      <c r="A6852" s="37">
        <v>99816</v>
      </c>
      <c r="B6852" s="37" t="s">
        <v>12445</v>
      </c>
      <c r="C6852" s="37" t="s">
        <v>7</v>
      </c>
      <c r="D6852" s="326">
        <v>8.4600000000000009</v>
      </c>
    </row>
    <row r="6853" spans="1:4" ht="13.5">
      <c r="A6853" s="37">
        <v>99817</v>
      </c>
      <c r="B6853" s="37" t="s">
        <v>12446</v>
      </c>
      <c r="C6853" s="37" t="s">
        <v>7</v>
      </c>
      <c r="D6853" s="326">
        <v>5.1100000000000003</v>
      </c>
    </row>
    <row r="6854" spans="1:4" ht="13.5">
      <c r="A6854" s="37">
        <v>99818</v>
      </c>
      <c r="B6854" s="37" t="s">
        <v>12447</v>
      </c>
      <c r="C6854" s="37" t="s">
        <v>7</v>
      </c>
      <c r="D6854" s="326">
        <v>5.1100000000000003</v>
      </c>
    </row>
    <row r="6855" spans="1:4" ht="13.5">
      <c r="A6855" s="37">
        <v>99819</v>
      </c>
      <c r="B6855" s="37" t="s">
        <v>12448</v>
      </c>
      <c r="C6855" s="37" t="s">
        <v>9</v>
      </c>
      <c r="D6855" s="326">
        <v>15.14</v>
      </c>
    </row>
    <row r="6856" spans="1:4" ht="13.5">
      <c r="A6856" s="37">
        <v>99820</v>
      </c>
      <c r="B6856" s="37" t="s">
        <v>12449</v>
      </c>
      <c r="C6856" s="37" t="s">
        <v>9</v>
      </c>
      <c r="D6856" s="326">
        <v>1.8</v>
      </c>
    </row>
    <row r="6857" spans="1:4" ht="13.5">
      <c r="A6857" s="37">
        <v>99821</v>
      </c>
      <c r="B6857" s="37" t="s">
        <v>12450</v>
      </c>
      <c r="C6857" s="37" t="s">
        <v>9</v>
      </c>
      <c r="D6857" s="326">
        <v>2.8</v>
      </c>
    </row>
    <row r="6858" spans="1:4" ht="13.5">
      <c r="A6858" s="37">
        <v>99822</v>
      </c>
      <c r="B6858" s="37" t="s">
        <v>4638</v>
      </c>
      <c r="C6858" s="37" t="s">
        <v>9</v>
      </c>
      <c r="D6858" s="326">
        <v>0.9</v>
      </c>
    </row>
    <row r="6859" spans="1:4" ht="13.5">
      <c r="A6859" s="37">
        <v>99823</v>
      </c>
      <c r="B6859" s="37" t="s">
        <v>12451</v>
      </c>
      <c r="C6859" s="37" t="s">
        <v>9</v>
      </c>
      <c r="D6859" s="326">
        <v>2.11</v>
      </c>
    </row>
    <row r="6860" spans="1:4" ht="13.5">
      <c r="A6860" s="37">
        <v>99824</v>
      </c>
      <c r="B6860" s="37" t="s">
        <v>12452</v>
      </c>
      <c r="C6860" s="37" t="s">
        <v>9</v>
      </c>
      <c r="D6860" s="326">
        <v>2.2999999999999998</v>
      </c>
    </row>
    <row r="6861" spans="1:4" ht="13.5">
      <c r="A6861" s="37">
        <v>99825</v>
      </c>
      <c r="B6861" s="37" t="s">
        <v>12453</v>
      </c>
      <c r="C6861" s="37" t="s">
        <v>9</v>
      </c>
      <c r="D6861" s="326">
        <v>3.26</v>
      </c>
    </row>
    <row r="6862" spans="1:4" ht="13.5">
      <c r="A6862" s="37">
        <v>99826</v>
      </c>
      <c r="B6862" s="37" t="s">
        <v>4639</v>
      </c>
      <c r="C6862" s="37" t="s">
        <v>9</v>
      </c>
      <c r="D6862" s="326">
        <v>1.38</v>
      </c>
    </row>
    <row r="6863" spans="1:4" ht="13.5">
      <c r="A6863" s="37">
        <v>97010</v>
      </c>
      <c r="B6863" s="37" t="s">
        <v>4640</v>
      </c>
      <c r="C6863" s="37" t="s">
        <v>6</v>
      </c>
      <c r="D6863" s="326">
        <v>65.709999999999994</v>
      </c>
    </row>
    <row r="6864" spans="1:4" ht="13.5">
      <c r="A6864" s="37">
        <v>97011</v>
      </c>
      <c r="B6864" s="37" t="s">
        <v>4641</v>
      </c>
      <c r="C6864" s="37" t="s">
        <v>6</v>
      </c>
      <c r="D6864" s="326">
        <v>50.55</v>
      </c>
    </row>
    <row r="6865" spans="1:4" ht="13.5">
      <c r="A6865" s="37">
        <v>97012</v>
      </c>
      <c r="B6865" s="37" t="s">
        <v>4642</v>
      </c>
      <c r="C6865" s="37" t="s">
        <v>6</v>
      </c>
      <c r="D6865" s="326">
        <v>42.97</v>
      </c>
    </row>
    <row r="6866" spans="1:4" ht="13.5">
      <c r="A6866" s="37">
        <v>97013</v>
      </c>
      <c r="B6866" s="37" t="s">
        <v>4643</v>
      </c>
      <c r="C6866" s="37" t="s">
        <v>6</v>
      </c>
      <c r="D6866" s="326">
        <v>104.63</v>
      </c>
    </row>
    <row r="6867" spans="1:4" ht="13.5">
      <c r="A6867" s="37">
        <v>97014</v>
      </c>
      <c r="B6867" s="37" t="s">
        <v>4644</v>
      </c>
      <c r="C6867" s="37" t="s">
        <v>6</v>
      </c>
      <c r="D6867" s="326">
        <v>76.739999999999995</v>
      </c>
    </row>
    <row r="6868" spans="1:4" ht="13.5">
      <c r="A6868" s="37">
        <v>97015</v>
      </c>
      <c r="B6868" s="37" t="s">
        <v>4645</v>
      </c>
      <c r="C6868" s="37" t="s">
        <v>6</v>
      </c>
      <c r="D6868" s="326">
        <v>62.68</v>
      </c>
    </row>
    <row r="6869" spans="1:4" ht="13.5">
      <c r="A6869" s="37">
        <v>97016</v>
      </c>
      <c r="B6869" s="37" t="s">
        <v>4646</v>
      </c>
      <c r="C6869" s="37" t="s">
        <v>6</v>
      </c>
      <c r="D6869" s="326">
        <v>58.09</v>
      </c>
    </row>
    <row r="6870" spans="1:4" ht="13.5">
      <c r="A6870" s="37">
        <v>97017</v>
      </c>
      <c r="B6870" s="37" t="s">
        <v>4647</v>
      </c>
      <c r="C6870" s="37" t="s">
        <v>6</v>
      </c>
      <c r="D6870" s="326">
        <v>43.63</v>
      </c>
    </row>
    <row r="6871" spans="1:4" ht="13.5">
      <c r="A6871" s="37">
        <v>97018</v>
      </c>
      <c r="B6871" s="37" t="s">
        <v>4648</v>
      </c>
      <c r="C6871" s="37" t="s">
        <v>6</v>
      </c>
      <c r="D6871" s="326">
        <v>36.130000000000003</v>
      </c>
    </row>
    <row r="6872" spans="1:4" ht="13.5">
      <c r="A6872" s="37">
        <v>97031</v>
      </c>
      <c r="B6872" s="37" t="s">
        <v>4649</v>
      </c>
      <c r="C6872" s="37" t="s">
        <v>6</v>
      </c>
      <c r="D6872" s="326">
        <v>92.4</v>
      </c>
    </row>
    <row r="6873" spans="1:4" ht="13.5">
      <c r="A6873" s="37">
        <v>97032</v>
      </c>
      <c r="B6873" s="37" t="s">
        <v>4651</v>
      </c>
      <c r="C6873" s="37" t="s">
        <v>6</v>
      </c>
      <c r="D6873" s="326">
        <v>56.94</v>
      </c>
    </row>
    <row r="6874" spans="1:4" ht="13.5">
      <c r="A6874" s="37">
        <v>97033</v>
      </c>
      <c r="B6874" s="37" t="s">
        <v>4652</v>
      </c>
      <c r="C6874" s="37" t="s">
        <v>6</v>
      </c>
      <c r="D6874" s="326">
        <v>135.41</v>
      </c>
    </row>
    <row r="6875" spans="1:4" ht="13.5">
      <c r="A6875" s="37">
        <v>97034</v>
      </c>
      <c r="B6875" s="37" t="s">
        <v>4653</v>
      </c>
      <c r="C6875" s="37" t="s">
        <v>6</v>
      </c>
      <c r="D6875" s="326">
        <v>77.25</v>
      </c>
    </row>
    <row r="6876" spans="1:4" ht="13.5">
      <c r="A6876" s="37">
        <v>97039</v>
      </c>
      <c r="B6876" s="37" t="s">
        <v>4654</v>
      </c>
      <c r="C6876" s="37" t="s">
        <v>9</v>
      </c>
      <c r="D6876" s="326">
        <v>51.29</v>
      </c>
    </row>
    <row r="6877" spans="1:4" ht="13.5">
      <c r="A6877" s="37">
        <v>97040</v>
      </c>
      <c r="B6877" s="37" t="s">
        <v>4655</v>
      </c>
      <c r="C6877" s="37" t="s">
        <v>9</v>
      </c>
      <c r="D6877" s="326">
        <v>17.260000000000002</v>
      </c>
    </row>
    <row r="6878" spans="1:4" ht="13.5">
      <c r="A6878" s="37">
        <v>97041</v>
      </c>
      <c r="B6878" s="37" t="s">
        <v>4656</v>
      </c>
      <c r="C6878" s="37" t="s">
        <v>9</v>
      </c>
      <c r="D6878" s="326">
        <v>260.83999999999997</v>
      </c>
    </row>
    <row r="6879" spans="1:4" ht="13.5">
      <c r="A6879" s="37">
        <v>97046</v>
      </c>
      <c r="B6879" s="37" t="s">
        <v>4657</v>
      </c>
      <c r="C6879" s="37" t="s">
        <v>9</v>
      </c>
      <c r="D6879" s="326">
        <v>0.37</v>
      </c>
    </row>
    <row r="6880" spans="1:4" ht="13.5">
      <c r="A6880" s="37">
        <v>97047</v>
      </c>
      <c r="B6880" s="37" t="s">
        <v>4658</v>
      </c>
      <c r="C6880" s="37" t="s">
        <v>9</v>
      </c>
      <c r="D6880" s="326">
        <v>0.14000000000000001</v>
      </c>
    </row>
    <row r="6881" spans="1:4" ht="13.5">
      <c r="A6881" s="37">
        <v>97048</v>
      </c>
      <c r="B6881" s="37" t="s">
        <v>4659</v>
      </c>
      <c r="C6881" s="37" t="s">
        <v>9</v>
      </c>
      <c r="D6881" s="326">
        <v>0.1</v>
      </c>
    </row>
    <row r="6882" spans="1:4" ht="13.5">
      <c r="A6882" s="37">
        <v>97054</v>
      </c>
      <c r="B6882" s="37" t="s">
        <v>8828</v>
      </c>
      <c r="C6882" s="37" t="s">
        <v>7</v>
      </c>
      <c r="D6882" s="326">
        <v>24.02</v>
      </c>
    </row>
    <row r="6883" spans="1:4" ht="13.5">
      <c r="A6883" s="37">
        <v>97062</v>
      </c>
      <c r="B6883" s="37" t="s">
        <v>4660</v>
      </c>
      <c r="C6883" s="37" t="s">
        <v>9</v>
      </c>
      <c r="D6883" s="326">
        <v>6.49</v>
      </c>
    </row>
    <row r="6884" spans="1:4" ht="13.5">
      <c r="A6884" s="37">
        <v>97063</v>
      </c>
      <c r="B6884" s="37" t="s">
        <v>4661</v>
      </c>
      <c r="C6884" s="37" t="s">
        <v>9</v>
      </c>
      <c r="D6884" s="326">
        <v>11.14</v>
      </c>
    </row>
    <row r="6885" spans="1:4" ht="13.5">
      <c r="A6885" s="37">
        <v>97064</v>
      </c>
      <c r="B6885" s="37" t="s">
        <v>4662</v>
      </c>
      <c r="C6885" s="37" t="s">
        <v>6</v>
      </c>
      <c r="D6885" s="326">
        <v>20.27</v>
      </c>
    </row>
    <row r="6886" spans="1:4" ht="13.5">
      <c r="A6886" s="37">
        <v>97065</v>
      </c>
      <c r="B6886" s="37" t="s">
        <v>4664</v>
      </c>
      <c r="C6886" s="37" t="s">
        <v>12</v>
      </c>
      <c r="D6886" s="326">
        <v>6.81</v>
      </c>
    </row>
    <row r="6887" spans="1:4" ht="13.5">
      <c r="A6887" s="37">
        <v>97066</v>
      </c>
      <c r="B6887" s="37" t="s">
        <v>4665</v>
      </c>
      <c r="C6887" s="37" t="s">
        <v>9</v>
      </c>
      <c r="D6887" s="326">
        <v>116.64</v>
      </c>
    </row>
    <row r="6888" spans="1:4" ht="13.5">
      <c r="A6888" s="37">
        <v>97067</v>
      </c>
      <c r="B6888" s="37" t="s">
        <v>4666</v>
      </c>
      <c r="C6888" s="37" t="s">
        <v>6</v>
      </c>
      <c r="D6888" s="326">
        <v>716.62</v>
      </c>
    </row>
    <row r="6889" spans="1:4" ht="13.5">
      <c r="A6889" s="37">
        <v>97621</v>
      </c>
      <c r="B6889" s="37" t="s">
        <v>18093</v>
      </c>
      <c r="C6889" s="37" t="s">
        <v>12</v>
      </c>
      <c r="D6889" s="326">
        <v>105.28</v>
      </c>
    </row>
    <row r="6890" spans="1:4" ht="13.5">
      <c r="A6890" s="37">
        <v>97622</v>
      </c>
      <c r="B6890" s="37" t="s">
        <v>18094</v>
      </c>
      <c r="C6890" s="37" t="s">
        <v>12</v>
      </c>
      <c r="D6890" s="326">
        <v>51.3</v>
      </c>
    </row>
    <row r="6891" spans="1:4" ht="13.5">
      <c r="A6891" s="37">
        <v>97623</v>
      </c>
      <c r="B6891" s="37" t="s">
        <v>18095</v>
      </c>
      <c r="C6891" s="37" t="s">
        <v>12</v>
      </c>
      <c r="D6891" s="326">
        <v>157.18</v>
      </c>
    </row>
    <row r="6892" spans="1:4" ht="13.5">
      <c r="A6892" s="37">
        <v>97624</v>
      </c>
      <c r="B6892" s="37" t="s">
        <v>18096</v>
      </c>
      <c r="C6892" s="37" t="s">
        <v>12</v>
      </c>
      <c r="D6892" s="326">
        <v>96.47</v>
      </c>
    </row>
    <row r="6893" spans="1:4" ht="13.5">
      <c r="A6893" s="37">
        <v>97625</v>
      </c>
      <c r="B6893" s="37" t="s">
        <v>18097</v>
      </c>
      <c r="C6893" s="37" t="s">
        <v>12</v>
      </c>
      <c r="D6893" s="326">
        <v>61.47</v>
      </c>
    </row>
    <row r="6894" spans="1:4" ht="13.5">
      <c r="A6894" s="37">
        <v>97626</v>
      </c>
      <c r="B6894" s="37" t="s">
        <v>18098</v>
      </c>
      <c r="C6894" s="37" t="s">
        <v>12</v>
      </c>
      <c r="D6894" s="326">
        <v>515.67999999999995</v>
      </c>
    </row>
    <row r="6895" spans="1:4" ht="13.5">
      <c r="A6895" s="37">
        <v>97627</v>
      </c>
      <c r="B6895" s="37" t="s">
        <v>18099</v>
      </c>
      <c r="C6895" s="37" t="s">
        <v>12</v>
      </c>
      <c r="D6895" s="326">
        <v>169.72</v>
      </c>
    </row>
    <row r="6896" spans="1:4" ht="13.5">
      <c r="A6896" s="37">
        <v>97628</v>
      </c>
      <c r="B6896" s="37" t="s">
        <v>18100</v>
      </c>
      <c r="C6896" s="37" t="s">
        <v>12</v>
      </c>
      <c r="D6896" s="326">
        <v>240.17</v>
      </c>
    </row>
    <row r="6897" spans="1:4" ht="13.5">
      <c r="A6897" s="37">
        <v>97629</v>
      </c>
      <c r="B6897" s="37" t="s">
        <v>18101</v>
      </c>
      <c r="C6897" s="37" t="s">
        <v>12</v>
      </c>
      <c r="D6897" s="326">
        <v>79.040000000000006</v>
      </c>
    </row>
    <row r="6898" spans="1:4" ht="13.5">
      <c r="A6898" s="37">
        <v>97631</v>
      </c>
      <c r="B6898" s="37" t="s">
        <v>18102</v>
      </c>
      <c r="C6898" s="37" t="s">
        <v>9</v>
      </c>
      <c r="D6898" s="326">
        <v>10.38</v>
      </c>
    </row>
    <row r="6899" spans="1:4" ht="13.5">
      <c r="A6899" s="37">
        <v>97632</v>
      </c>
      <c r="B6899" s="37" t="s">
        <v>18103</v>
      </c>
      <c r="C6899" s="37" t="s">
        <v>6</v>
      </c>
      <c r="D6899" s="326">
        <v>2.37</v>
      </c>
    </row>
    <row r="6900" spans="1:4" ht="13.5">
      <c r="A6900" s="37">
        <v>97633</v>
      </c>
      <c r="B6900" s="37" t="s">
        <v>18104</v>
      </c>
      <c r="C6900" s="37" t="s">
        <v>9</v>
      </c>
      <c r="D6900" s="326">
        <v>20.73</v>
      </c>
    </row>
    <row r="6901" spans="1:4" ht="13.5">
      <c r="A6901" s="37">
        <v>97634</v>
      </c>
      <c r="B6901" s="37" t="s">
        <v>18105</v>
      </c>
      <c r="C6901" s="37" t="s">
        <v>9</v>
      </c>
      <c r="D6901" s="326">
        <v>6.27</v>
      </c>
    </row>
    <row r="6902" spans="1:4" ht="13.5">
      <c r="A6902" s="37">
        <v>97635</v>
      </c>
      <c r="B6902" s="37" t="s">
        <v>18106</v>
      </c>
      <c r="C6902" s="37" t="s">
        <v>9</v>
      </c>
      <c r="D6902" s="326">
        <v>14.72</v>
      </c>
    </row>
    <row r="6903" spans="1:4" ht="13.5">
      <c r="A6903" s="37">
        <v>97636</v>
      </c>
      <c r="B6903" s="37" t="s">
        <v>18107</v>
      </c>
      <c r="C6903" s="37" t="s">
        <v>9</v>
      </c>
      <c r="D6903" s="326">
        <v>21.66</v>
      </c>
    </row>
    <row r="6904" spans="1:4" ht="13.5">
      <c r="A6904" s="37">
        <v>97637</v>
      </c>
      <c r="B6904" s="37" t="s">
        <v>18108</v>
      </c>
      <c r="C6904" s="37" t="s">
        <v>9</v>
      </c>
      <c r="D6904" s="326">
        <v>2.74</v>
      </c>
    </row>
    <row r="6905" spans="1:4" ht="13.5">
      <c r="A6905" s="37">
        <v>97638</v>
      </c>
      <c r="B6905" s="37" t="s">
        <v>18109</v>
      </c>
      <c r="C6905" s="37" t="s">
        <v>9</v>
      </c>
      <c r="D6905" s="326">
        <v>7.98</v>
      </c>
    </row>
    <row r="6906" spans="1:4" ht="13.5">
      <c r="A6906" s="37">
        <v>97639</v>
      </c>
      <c r="B6906" s="37" t="s">
        <v>18110</v>
      </c>
      <c r="C6906" s="37" t="s">
        <v>9</v>
      </c>
      <c r="D6906" s="326">
        <v>18.760000000000002</v>
      </c>
    </row>
    <row r="6907" spans="1:4" ht="13.5">
      <c r="A6907" s="37">
        <v>97640</v>
      </c>
      <c r="B6907" s="37" t="s">
        <v>18111</v>
      </c>
      <c r="C6907" s="37" t="s">
        <v>9</v>
      </c>
      <c r="D6907" s="326">
        <v>1.86</v>
      </c>
    </row>
    <row r="6908" spans="1:4" ht="13.5">
      <c r="A6908" s="37">
        <v>97641</v>
      </c>
      <c r="B6908" s="37" t="s">
        <v>18112</v>
      </c>
      <c r="C6908" s="37" t="s">
        <v>9</v>
      </c>
      <c r="D6908" s="326">
        <v>2.48</v>
      </c>
    </row>
    <row r="6909" spans="1:4" ht="13.5">
      <c r="A6909" s="37">
        <v>97642</v>
      </c>
      <c r="B6909" s="37" t="s">
        <v>18113</v>
      </c>
      <c r="C6909" s="37" t="s">
        <v>9</v>
      </c>
      <c r="D6909" s="326">
        <v>2.67</v>
      </c>
    </row>
    <row r="6910" spans="1:4" ht="13.5">
      <c r="A6910" s="37">
        <v>97643</v>
      </c>
      <c r="B6910" s="37" t="s">
        <v>18114</v>
      </c>
      <c r="C6910" s="37" t="s">
        <v>9</v>
      </c>
      <c r="D6910" s="326">
        <v>23.7</v>
      </c>
    </row>
    <row r="6911" spans="1:4" ht="13.5">
      <c r="A6911" s="37">
        <v>97644</v>
      </c>
      <c r="B6911" s="37" t="s">
        <v>18115</v>
      </c>
      <c r="C6911" s="37" t="s">
        <v>9</v>
      </c>
      <c r="D6911" s="326">
        <v>8.69</v>
      </c>
    </row>
    <row r="6912" spans="1:4" ht="13.5">
      <c r="A6912" s="37">
        <v>97645</v>
      </c>
      <c r="B6912" s="37" t="s">
        <v>18116</v>
      </c>
      <c r="C6912" s="37" t="s">
        <v>9</v>
      </c>
      <c r="D6912" s="326">
        <v>22.43</v>
      </c>
    </row>
    <row r="6913" spans="1:4" ht="13.5">
      <c r="A6913" s="37">
        <v>97647</v>
      </c>
      <c r="B6913" s="37" t="s">
        <v>18117</v>
      </c>
      <c r="C6913" s="37" t="s">
        <v>9</v>
      </c>
      <c r="D6913" s="326">
        <v>3.33</v>
      </c>
    </row>
    <row r="6914" spans="1:4" ht="13.5">
      <c r="A6914" s="37">
        <v>97648</v>
      </c>
      <c r="B6914" s="37" t="s">
        <v>18118</v>
      </c>
      <c r="C6914" s="37" t="s">
        <v>9</v>
      </c>
      <c r="D6914" s="326">
        <v>1.91</v>
      </c>
    </row>
    <row r="6915" spans="1:4" ht="13.5">
      <c r="A6915" s="37">
        <v>97649</v>
      </c>
      <c r="B6915" s="37" t="s">
        <v>18119</v>
      </c>
      <c r="C6915" s="37" t="s">
        <v>9</v>
      </c>
      <c r="D6915" s="326">
        <v>4.3</v>
      </c>
    </row>
    <row r="6916" spans="1:4" ht="13.5">
      <c r="A6916" s="37">
        <v>97650</v>
      </c>
      <c r="B6916" s="37" t="s">
        <v>18120</v>
      </c>
      <c r="C6916" s="37" t="s">
        <v>9</v>
      </c>
      <c r="D6916" s="326">
        <v>7.17</v>
      </c>
    </row>
    <row r="6917" spans="1:4" ht="13.5">
      <c r="A6917" s="37">
        <v>97651</v>
      </c>
      <c r="B6917" s="37" t="s">
        <v>18121</v>
      </c>
      <c r="C6917" s="37" t="s">
        <v>7</v>
      </c>
      <c r="D6917" s="326">
        <v>78.239999999999995</v>
      </c>
    </row>
    <row r="6918" spans="1:4" ht="13.5">
      <c r="A6918" s="37">
        <v>97652</v>
      </c>
      <c r="B6918" s="37" t="s">
        <v>18122</v>
      </c>
      <c r="C6918" s="37" t="s">
        <v>7</v>
      </c>
      <c r="D6918" s="326">
        <v>177.38</v>
      </c>
    </row>
    <row r="6919" spans="1:4" ht="13.5">
      <c r="A6919" s="37">
        <v>97653</v>
      </c>
      <c r="B6919" s="37" t="s">
        <v>18123</v>
      </c>
      <c r="C6919" s="37" t="s">
        <v>7</v>
      </c>
      <c r="D6919" s="326">
        <v>143.96</v>
      </c>
    </row>
    <row r="6920" spans="1:4" ht="13.5">
      <c r="A6920" s="37">
        <v>97654</v>
      </c>
      <c r="B6920" s="37" t="s">
        <v>18124</v>
      </c>
      <c r="C6920" s="37" t="s">
        <v>7</v>
      </c>
      <c r="D6920" s="326">
        <v>176.41</v>
      </c>
    </row>
    <row r="6921" spans="1:4" ht="13.5">
      <c r="A6921" s="37">
        <v>97655</v>
      </c>
      <c r="B6921" s="37" t="s">
        <v>18125</v>
      </c>
      <c r="C6921" s="37" t="s">
        <v>9</v>
      </c>
      <c r="D6921" s="326">
        <v>33.54</v>
      </c>
    </row>
    <row r="6922" spans="1:4" ht="13.5">
      <c r="A6922" s="37">
        <v>97656</v>
      </c>
      <c r="B6922" s="37" t="s">
        <v>18126</v>
      </c>
      <c r="C6922" s="37" t="s">
        <v>7</v>
      </c>
      <c r="D6922" s="326">
        <v>306.64999999999998</v>
      </c>
    </row>
    <row r="6923" spans="1:4" ht="13.5">
      <c r="A6923" s="37">
        <v>97657</v>
      </c>
      <c r="B6923" s="37" t="s">
        <v>18127</v>
      </c>
      <c r="C6923" s="37" t="s">
        <v>7</v>
      </c>
      <c r="D6923" s="326">
        <v>607.79</v>
      </c>
    </row>
    <row r="6924" spans="1:4" ht="13.5">
      <c r="A6924" s="37">
        <v>97658</v>
      </c>
      <c r="B6924" s="37" t="s">
        <v>18128</v>
      </c>
      <c r="C6924" s="37" t="s">
        <v>7</v>
      </c>
      <c r="D6924" s="326">
        <v>216.03</v>
      </c>
    </row>
    <row r="6925" spans="1:4" ht="13.5">
      <c r="A6925" s="37">
        <v>97659</v>
      </c>
      <c r="B6925" s="37" t="s">
        <v>18129</v>
      </c>
      <c r="C6925" s="37" t="s">
        <v>7</v>
      </c>
      <c r="D6925" s="326">
        <v>294.69</v>
      </c>
    </row>
    <row r="6926" spans="1:4" ht="13.5">
      <c r="A6926" s="37">
        <v>97660</v>
      </c>
      <c r="B6926" s="37" t="s">
        <v>18130</v>
      </c>
      <c r="C6926" s="37" t="s">
        <v>7</v>
      </c>
      <c r="D6926" s="326">
        <v>0.63</v>
      </c>
    </row>
    <row r="6927" spans="1:4" ht="13.5">
      <c r="A6927" s="37">
        <v>97661</v>
      </c>
      <c r="B6927" s="37" t="s">
        <v>18131</v>
      </c>
      <c r="C6927" s="37" t="s">
        <v>6</v>
      </c>
      <c r="D6927" s="326">
        <v>0.67</v>
      </c>
    </row>
    <row r="6928" spans="1:4" ht="13.5">
      <c r="A6928" s="37">
        <v>97662</v>
      </c>
      <c r="B6928" s="37" t="s">
        <v>18132</v>
      </c>
      <c r="C6928" s="37" t="s">
        <v>6</v>
      </c>
      <c r="D6928" s="326">
        <v>0.44</v>
      </c>
    </row>
    <row r="6929" spans="1:4" ht="13.5">
      <c r="A6929" s="37">
        <v>97663</v>
      </c>
      <c r="B6929" s="37" t="s">
        <v>18133</v>
      </c>
      <c r="C6929" s="37" t="s">
        <v>7</v>
      </c>
      <c r="D6929" s="326">
        <v>11.31</v>
      </c>
    </row>
    <row r="6930" spans="1:4" ht="13.5">
      <c r="A6930" s="37">
        <v>97664</v>
      </c>
      <c r="B6930" s="37" t="s">
        <v>18134</v>
      </c>
      <c r="C6930" s="37" t="s">
        <v>7</v>
      </c>
      <c r="D6930" s="326">
        <v>1.4</v>
      </c>
    </row>
    <row r="6931" spans="1:4" ht="13.5">
      <c r="A6931" s="37">
        <v>97665</v>
      </c>
      <c r="B6931" s="37" t="s">
        <v>18135</v>
      </c>
      <c r="C6931" s="37" t="s">
        <v>7</v>
      </c>
      <c r="D6931" s="326">
        <v>1.7</v>
      </c>
    </row>
    <row r="6932" spans="1:4" ht="13.5">
      <c r="A6932" s="37">
        <v>97666</v>
      </c>
      <c r="B6932" s="37" t="s">
        <v>18136</v>
      </c>
      <c r="C6932" s="37" t="s">
        <v>7</v>
      </c>
      <c r="D6932" s="326">
        <v>8.25</v>
      </c>
    </row>
    <row r="6933" spans="1:4" ht="13.5">
      <c r="A6933" s="37">
        <v>104789</v>
      </c>
      <c r="B6933" s="37" t="s">
        <v>18137</v>
      </c>
      <c r="C6933" s="37" t="s">
        <v>12</v>
      </c>
      <c r="D6933" s="326">
        <v>180.58</v>
      </c>
    </row>
    <row r="6934" spans="1:4" ht="13.5">
      <c r="A6934" s="37">
        <v>104790</v>
      </c>
      <c r="B6934" s="37" t="s">
        <v>18138</v>
      </c>
      <c r="C6934" s="37" t="s">
        <v>12</v>
      </c>
      <c r="D6934" s="326">
        <v>104.85</v>
      </c>
    </row>
    <row r="6935" spans="1:4" ht="13.5">
      <c r="A6935" s="37">
        <v>104791</v>
      </c>
      <c r="B6935" s="37" t="s">
        <v>18139</v>
      </c>
      <c r="C6935" s="37" t="s">
        <v>9</v>
      </c>
      <c r="D6935" s="326">
        <v>5.63</v>
      </c>
    </row>
    <row r="6936" spans="1:4" ht="13.5">
      <c r="A6936" s="37">
        <v>104792</v>
      </c>
      <c r="B6936" s="37" t="s">
        <v>18140</v>
      </c>
      <c r="C6936" s="37" t="s">
        <v>6</v>
      </c>
      <c r="D6936" s="326">
        <v>0.37</v>
      </c>
    </row>
    <row r="6937" spans="1:4" ht="13.5">
      <c r="A6937" s="37">
        <v>104793</v>
      </c>
      <c r="B6937" s="37" t="s">
        <v>18141</v>
      </c>
      <c r="C6937" s="37" t="s">
        <v>6</v>
      </c>
      <c r="D6937" s="326">
        <v>0.51</v>
      </c>
    </row>
    <row r="6938" spans="1:4" ht="13.5">
      <c r="A6938" s="37">
        <v>104794</v>
      </c>
      <c r="B6938" s="37" t="s">
        <v>18142</v>
      </c>
      <c r="C6938" s="37" t="s">
        <v>6</v>
      </c>
      <c r="D6938" s="326">
        <v>0.92</v>
      </c>
    </row>
    <row r="6939" spans="1:4" ht="13.5">
      <c r="A6939" s="37">
        <v>104795</v>
      </c>
      <c r="B6939" s="37" t="s">
        <v>18143</v>
      </c>
      <c r="C6939" s="37" t="s">
        <v>6</v>
      </c>
      <c r="D6939" s="326">
        <v>1.28</v>
      </c>
    </row>
    <row r="6940" spans="1:4" ht="13.5">
      <c r="A6940" s="37">
        <v>104796</v>
      </c>
      <c r="B6940" s="37" t="s">
        <v>18144</v>
      </c>
      <c r="C6940" s="37" t="s">
        <v>6</v>
      </c>
      <c r="D6940" s="326">
        <v>13.24</v>
      </c>
    </row>
    <row r="6941" spans="1:4" ht="13.5">
      <c r="A6941" s="37">
        <v>104797</v>
      </c>
      <c r="B6941" s="37" t="s">
        <v>18145</v>
      </c>
      <c r="C6941" s="37" t="s">
        <v>6</v>
      </c>
      <c r="D6941" s="326">
        <v>16.55</v>
      </c>
    </row>
    <row r="6942" spans="1:4" ht="13.5">
      <c r="A6942" s="37">
        <v>104798</v>
      </c>
      <c r="B6942" s="37" t="s">
        <v>18146</v>
      </c>
      <c r="C6942" s="37" t="s">
        <v>7</v>
      </c>
      <c r="D6942" s="326">
        <v>13.09</v>
      </c>
    </row>
    <row r="6943" spans="1:4" ht="13.5">
      <c r="A6943" s="37">
        <v>104799</v>
      </c>
      <c r="B6943" s="37" t="s">
        <v>18147</v>
      </c>
      <c r="C6943" s="37" t="s">
        <v>9</v>
      </c>
      <c r="D6943" s="326">
        <v>10.28</v>
      </c>
    </row>
    <row r="6944" spans="1:4" ht="13.5">
      <c r="A6944" s="37">
        <v>104800</v>
      </c>
      <c r="B6944" s="37" t="s">
        <v>18148</v>
      </c>
      <c r="C6944" s="37" t="s">
        <v>6</v>
      </c>
      <c r="D6944" s="326">
        <v>8.57</v>
      </c>
    </row>
    <row r="6945" spans="1:4" ht="13.5">
      <c r="A6945" s="37">
        <v>104801</v>
      </c>
      <c r="B6945" s="37" t="s">
        <v>18149</v>
      </c>
      <c r="C6945" s="37" t="s">
        <v>9</v>
      </c>
      <c r="D6945" s="326">
        <v>14.06</v>
      </c>
    </row>
    <row r="6946" spans="1:4" ht="13.5">
      <c r="A6946" s="37">
        <v>104802</v>
      </c>
      <c r="B6946" s="37" t="s">
        <v>18150</v>
      </c>
      <c r="C6946" s="37" t="s">
        <v>9</v>
      </c>
      <c r="D6946" s="326">
        <v>9.36</v>
      </c>
    </row>
    <row r="6947" spans="1:4" ht="13.5">
      <c r="A6947" s="37">
        <v>104803</v>
      </c>
      <c r="B6947" s="37" t="s">
        <v>18151</v>
      </c>
      <c r="C6947" s="37" t="s">
        <v>6</v>
      </c>
      <c r="D6947" s="326">
        <v>4.3899999999999997</v>
      </c>
    </row>
    <row r="6948" spans="1:4" ht="13.5">
      <c r="A6948" s="37">
        <v>95967</v>
      </c>
      <c r="B6948" s="37" t="s">
        <v>4667</v>
      </c>
      <c r="C6948" s="37" t="s">
        <v>10</v>
      </c>
      <c r="D6948" s="326">
        <v>162.9</v>
      </c>
    </row>
    <row r="6949" spans="1:4" ht="13.5">
      <c r="A6949" s="37">
        <v>99058</v>
      </c>
      <c r="B6949" s="37" t="s">
        <v>4668</v>
      </c>
      <c r="C6949" s="37" t="s">
        <v>7</v>
      </c>
      <c r="D6949" s="326">
        <v>10.38</v>
      </c>
    </row>
    <row r="6950" spans="1:4" ht="13.5">
      <c r="A6950" s="37">
        <v>99059</v>
      </c>
      <c r="B6950" s="37" t="s">
        <v>4669</v>
      </c>
      <c r="C6950" s="37" t="s">
        <v>6</v>
      </c>
      <c r="D6950" s="326">
        <v>57.4</v>
      </c>
    </row>
    <row r="6951" spans="1:4" ht="13.5">
      <c r="A6951" s="37">
        <v>99060</v>
      </c>
      <c r="B6951" s="37" t="s">
        <v>8829</v>
      </c>
      <c r="C6951" s="37" t="s">
        <v>7</v>
      </c>
      <c r="D6951" s="326">
        <v>153.71</v>
      </c>
    </row>
    <row r="6952" spans="1:4" ht="13.5">
      <c r="A6952" s="37">
        <v>99061</v>
      </c>
      <c r="B6952" s="37" t="s">
        <v>8830</v>
      </c>
      <c r="C6952" s="37" t="s">
        <v>7</v>
      </c>
      <c r="D6952" s="326">
        <v>102.84</v>
      </c>
    </row>
    <row r="6953" spans="1:4" ht="13.5">
      <c r="A6953" s="37">
        <v>99062</v>
      </c>
      <c r="B6953" s="37" t="s">
        <v>4670</v>
      </c>
      <c r="C6953" s="37" t="s">
        <v>7</v>
      </c>
      <c r="D6953" s="326">
        <v>2.5099999999999998</v>
      </c>
    </row>
    <row r="6954" spans="1:4" ht="13.5">
      <c r="A6954" s="37">
        <v>99063</v>
      </c>
      <c r="B6954" s="37" t="s">
        <v>4671</v>
      </c>
      <c r="C6954" s="37" t="s">
        <v>6</v>
      </c>
      <c r="D6954" s="326">
        <v>5.14</v>
      </c>
    </row>
    <row r="6955" spans="1:4" ht="13.5">
      <c r="A6955" s="37">
        <v>99064</v>
      </c>
      <c r="B6955" s="37" t="s">
        <v>4672</v>
      </c>
      <c r="C6955" s="37" t="s">
        <v>6</v>
      </c>
      <c r="D6955" s="326">
        <v>0.51</v>
      </c>
    </row>
    <row r="6956" spans="1:4" ht="13.5">
      <c r="A6956" s="37">
        <v>93588</v>
      </c>
      <c r="B6956" s="37" t="s">
        <v>8831</v>
      </c>
      <c r="C6956" s="37" t="s">
        <v>16554</v>
      </c>
      <c r="D6956" s="326">
        <v>3.03</v>
      </c>
    </row>
    <row r="6957" spans="1:4" ht="13.5">
      <c r="A6957" s="37">
        <v>93589</v>
      </c>
      <c r="B6957" s="37" t="s">
        <v>8832</v>
      </c>
      <c r="C6957" s="37" t="s">
        <v>16554</v>
      </c>
      <c r="D6957" s="326">
        <v>2.6</v>
      </c>
    </row>
    <row r="6958" spans="1:4" ht="13.5">
      <c r="A6958" s="37">
        <v>93590</v>
      </c>
      <c r="B6958" s="37" t="s">
        <v>8833</v>
      </c>
      <c r="C6958" s="37" t="s">
        <v>16554</v>
      </c>
      <c r="D6958" s="326">
        <v>0.94</v>
      </c>
    </row>
    <row r="6959" spans="1:4" ht="13.5">
      <c r="A6959" s="37">
        <v>93591</v>
      </c>
      <c r="B6959" s="37" t="s">
        <v>8834</v>
      </c>
      <c r="C6959" s="37" t="s">
        <v>16554</v>
      </c>
      <c r="D6959" s="326">
        <v>2.68</v>
      </c>
    </row>
    <row r="6960" spans="1:4" ht="13.5">
      <c r="A6960" s="37">
        <v>93592</v>
      </c>
      <c r="B6960" s="37" t="s">
        <v>8835</v>
      </c>
      <c r="C6960" s="37" t="s">
        <v>16554</v>
      </c>
      <c r="D6960" s="326">
        <v>2.33</v>
      </c>
    </row>
    <row r="6961" spans="1:4" ht="13.5">
      <c r="A6961" s="37">
        <v>93593</v>
      </c>
      <c r="B6961" s="37" t="s">
        <v>8836</v>
      </c>
      <c r="C6961" s="37" t="s">
        <v>16554</v>
      </c>
      <c r="D6961" s="326">
        <v>0.85</v>
      </c>
    </row>
    <row r="6962" spans="1:4" ht="13.5">
      <c r="A6962" s="37">
        <v>93594</v>
      </c>
      <c r="B6962" s="37" t="s">
        <v>8837</v>
      </c>
      <c r="C6962" s="37" t="s">
        <v>4232</v>
      </c>
      <c r="D6962" s="326">
        <v>2.02</v>
      </c>
    </row>
    <row r="6963" spans="1:4" ht="13.5">
      <c r="A6963" s="37">
        <v>93595</v>
      </c>
      <c r="B6963" s="37" t="s">
        <v>8838</v>
      </c>
      <c r="C6963" s="37" t="s">
        <v>4232</v>
      </c>
      <c r="D6963" s="326">
        <v>1.75</v>
      </c>
    </row>
    <row r="6964" spans="1:4" ht="13.5">
      <c r="A6964" s="37">
        <v>93596</v>
      </c>
      <c r="B6964" s="37" t="s">
        <v>8839</v>
      </c>
      <c r="C6964" s="37" t="s">
        <v>4232</v>
      </c>
      <c r="D6964" s="326">
        <v>0.63</v>
      </c>
    </row>
    <row r="6965" spans="1:4" ht="13.5">
      <c r="A6965" s="37">
        <v>93597</v>
      </c>
      <c r="B6965" s="37" t="s">
        <v>8840</v>
      </c>
      <c r="C6965" s="37" t="s">
        <v>4232</v>
      </c>
      <c r="D6965" s="326">
        <v>1.78</v>
      </c>
    </row>
    <row r="6966" spans="1:4" ht="13.5">
      <c r="A6966" s="37">
        <v>93598</v>
      </c>
      <c r="B6966" s="37" t="s">
        <v>8841</v>
      </c>
      <c r="C6966" s="37" t="s">
        <v>4232</v>
      </c>
      <c r="D6966" s="326">
        <v>1.54</v>
      </c>
    </row>
    <row r="6967" spans="1:4" ht="13.5">
      <c r="A6967" s="37">
        <v>93599</v>
      </c>
      <c r="B6967" s="37" t="s">
        <v>8842</v>
      </c>
      <c r="C6967" s="37" t="s">
        <v>4232</v>
      </c>
      <c r="D6967" s="326">
        <v>0.56000000000000005</v>
      </c>
    </row>
    <row r="6968" spans="1:4" ht="13.5">
      <c r="A6968" s="37">
        <v>95425</v>
      </c>
      <c r="B6968" s="37" t="s">
        <v>8843</v>
      </c>
      <c r="C6968" s="37" t="s">
        <v>16554</v>
      </c>
      <c r="D6968" s="326">
        <v>2.2799999999999998</v>
      </c>
    </row>
    <row r="6969" spans="1:4" ht="13.5">
      <c r="A6969" s="37">
        <v>95426</v>
      </c>
      <c r="B6969" s="37" t="s">
        <v>8844</v>
      </c>
      <c r="C6969" s="37" t="s">
        <v>16554</v>
      </c>
      <c r="D6969" s="326">
        <v>1.96</v>
      </c>
    </row>
    <row r="6970" spans="1:4" ht="13.5">
      <c r="A6970" s="37">
        <v>95427</v>
      </c>
      <c r="B6970" s="37" t="s">
        <v>8845</v>
      </c>
      <c r="C6970" s="37" t="s">
        <v>16554</v>
      </c>
      <c r="D6970" s="326">
        <v>0.74</v>
      </c>
    </row>
    <row r="6971" spans="1:4" ht="13.5">
      <c r="A6971" s="37">
        <v>95428</v>
      </c>
      <c r="B6971" s="37" t="s">
        <v>8846</v>
      </c>
      <c r="C6971" s="37" t="s">
        <v>4232</v>
      </c>
      <c r="D6971" s="326">
        <v>1.53</v>
      </c>
    </row>
    <row r="6972" spans="1:4" ht="13.5">
      <c r="A6972" s="37">
        <v>95429</v>
      </c>
      <c r="B6972" s="37" t="s">
        <v>8847</v>
      </c>
      <c r="C6972" s="37" t="s">
        <v>4232</v>
      </c>
      <c r="D6972" s="326">
        <v>1.33</v>
      </c>
    </row>
    <row r="6973" spans="1:4" ht="13.5">
      <c r="A6973" s="37">
        <v>95430</v>
      </c>
      <c r="B6973" s="37" t="s">
        <v>8848</v>
      </c>
      <c r="C6973" s="37" t="s">
        <v>4232</v>
      </c>
      <c r="D6973" s="326">
        <v>0.46</v>
      </c>
    </row>
    <row r="6974" spans="1:4" ht="13.5">
      <c r="A6974" s="37">
        <v>95875</v>
      </c>
      <c r="B6974" s="37" t="s">
        <v>8849</v>
      </c>
      <c r="C6974" s="37" t="s">
        <v>16554</v>
      </c>
      <c r="D6974" s="326">
        <v>2.39</v>
      </c>
    </row>
    <row r="6975" spans="1:4" ht="13.5">
      <c r="A6975" s="37">
        <v>95876</v>
      </c>
      <c r="B6975" s="37" t="s">
        <v>8850</v>
      </c>
      <c r="C6975" s="37" t="s">
        <v>16554</v>
      </c>
      <c r="D6975" s="326">
        <v>2.11</v>
      </c>
    </row>
    <row r="6976" spans="1:4" ht="13.5">
      <c r="A6976" s="37">
        <v>95877</v>
      </c>
      <c r="B6976" s="37" t="s">
        <v>8851</v>
      </c>
      <c r="C6976" s="37" t="s">
        <v>16554</v>
      </c>
      <c r="D6976" s="326">
        <v>1.81</v>
      </c>
    </row>
    <row r="6977" spans="1:4" ht="13.5">
      <c r="A6977" s="37">
        <v>95878</v>
      </c>
      <c r="B6977" s="37" t="s">
        <v>8852</v>
      </c>
      <c r="C6977" s="37" t="s">
        <v>4232</v>
      </c>
      <c r="D6977" s="326">
        <v>1.61</v>
      </c>
    </row>
    <row r="6978" spans="1:4" ht="13.5">
      <c r="A6978" s="37">
        <v>95879</v>
      </c>
      <c r="B6978" s="37" t="s">
        <v>8853</v>
      </c>
      <c r="C6978" s="37" t="s">
        <v>4232</v>
      </c>
      <c r="D6978" s="326">
        <v>1.43</v>
      </c>
    </row>
    <row r="6979" spans="1:4" ht="13.5">
      <c r="A6979" s="37">
        <v>95880</v>
      </c>
      <c r="B6979" s="37" t="s">
        <v>8854</v>
      </c>
      <c r="C6979" s="37" t="s">
        <v>4232</v>
      </c>
      <c r="D6979" s="326">
        <v>1.21</v>
      </c>
    </row>
    <row r="6980" spans="1:4" ht="13.5">
      <c r="A6980" s="37">
        <v>97912</v>
      </c>
      <c r="B6980" s="37" t="s">
        <v>8855</v>
      </c>
      <c r="C6980" s="37" t="s">
        <v>16554</v>
      </c>
      <c r="D6980" s="326">
        <v>3.59</v>
      </c>
    </row>
    <row r="6981" spans="1:4" ht="13.5">
      <c r="A6981" s="37">
        <v>97913</v>
      </c>
      <c r="B6981" s="37" t="s">
        <v>8856</v>
      </c>
      <c r="C6981" s="37" t="s">
        <v>16554</v>
      </c>
      <c r="D6981" s="326">
        <v>3.11</v>
      </c>
    </row>
    <row r="6982" spans="1:4" ht="13.5">
      <c r="A6982" s="37">
        <v>97914</v>
      </c>
      <c r="B6982" s="37" t="s">
        <v>8857</v>
      </c>
      <c r="C6982" s="37" t="s">
        <v>16554</v>
      </c>
      <c r="D6982" s="326">
        <v>2.85</v>
      </c>
    </row>
    <row r="6983" spans="1:4" ht="13.5">
      <c r="A6983" s="37">
        <v>97915</v>
      </c>
      <c r="B6983" s="37" t="s">
        <v>8858</v>
      </c>
      <c r="C6983" s="37" t="s">
        <v>16554</v>
      </c>
      <c r="D6983" s="326">
        <v>1.1399999999999999</v>
      </c>
    </row>
    <row r="6984" spans="1:4" ht="13.5">
      <c r="A6984" s="37">
        <v>100937</v>
      </c>
      <c r="B6984" s="37" t="s">
        <v>8859</v>
      </c>
      <c r="C6984" s="37" t="s">
        <v>16554</v>
      </c>
      <c r="D6984" s="326">
        <v>8.56</v>
      </c>
    </row>
    <row r="6985" spans="1:4" ht="13.5">
      <c r="A6985" s="37">
        <v>100938</v>
      </c>
      <c r="B6985" s="37" t="s">
        <v>8860</v>
      </c>
      <c r="C6985" s="37" t="s">
        <v>16554</v>
      </c>
      <c r="D6985" s="326">
        <v>7.23</v>
      </c>
    </row>
    <row r="6986" spans="1:4" ht="13.5">
      <c r="A6986" s="37">
        <v>100939</v>
      </c>
      <c r="B6986" s="37" t="s">
        <v>8861</v>
      </c>
      <c r="C6986" s="37" t="s">
        <v>16554</v>
      </c>
      <c r="D6986" s="326">
        <v>6.42</v>
      </c>
    </row>
    <row r="6987" spans="1:4" ht="13.5">
      <c r="A6987" s="37">
        <v>100940</v>
      </c>
      <c r="B6987" s="37" t="s">
        <v>8862</v>
      </c>
      <c r="C6987" s="37" t="s">
        <v>16554</v>
      </c>
      <c r="D6987" s="326">
        <v>5.48</v>
      </c>
    </row>
    <row r="6988" spans="1:4" ht="13.5">
      <c r="A6988" s="37">
        <v>100941</v>
      </c>
      <c r="B6988" s="37" t="s">
        <v>8863</v>
      </c>
      <c r="C6988" s="37" t="s">
        <v>4232</v>
      </c>
      <c r="D6988" s="326">
        <v>5.7</v>
      </c>
    </row>
    <row r="6989" spans="1:4" ht="13.5">
      <c r="A6989" s="37">
        <v>100942</v>
      </c>
      <c r="B6989" s="37" t="s">
        <v>8864</v>
      </c>
      <c r="C6989" s="37" t="s">
        <v>4232</v>
      </c>
      <c r="D6989" s="326">
        <v>4.82</v>
      </c>
    </row>
    <row r="6990" spans="1:4" ht="13.5">
      <c r="A6990" s="37">
        <v>100943</v>
      </c>
      <c r="B6990" s="37" t="s">
        <v>8865</v>
      </c>
      <c r="C6990" s="37" t="s">
        <v>4232</v>
      </c>
      <c r="D6990" s="326">
        <v>4.2699999999999996</v>
      </c>
    </row>
    <row r="6991" spans="1:4" ht="13.5">
      <c r="A6991" s="37">
        <v>100944</v>
      </c>
      <c r="B6991" s="37" t="s">
        <v>8866</v>
      </c>
      <c r="C6991" s="37" t="s">
        <v>4232</v>
      </c>
      <c r="D6991" s="326">
        <v>3.66</v>
      </c>
    </row>
    <row r="6992" spans="1:4" ht="13.5">
      <c r="A6992" s="37">
        <v>100945</v>
      </c>
      <c r="B6992" s="37" t="s">
        <v>8867</v>
      </c>
      <c r="C6992" s="37" t="s">
        <v>4232</v>
      </c>
      <c r="D6992" s="326">
        <v>2.73</v>
      </c>
    </row>
    <row r="6993" spans="1:4" ht="13.5">
      <c r="A6993" s="37">
        <v>100946</v>
      </c>
      <c r="B6993" s="37" t="s">
        <v>8868</v>
      </c>
      <c r="C6993" s="37" t="s">
        <v>4232</v>
      </c>
      <c r="D6993" s="326">
        <v>2.35</v>
      </c>
    </row>
    <row r="6994" spans="1:4" ht="13.5">
      <c r="A6994" s="37">
        <v>100947</v>
      </c>
      <c r="B6994" s="37" t="s">
        <v>8869</v>
      </c>
      <c r="C6994" s="37" t="s">
        <v>4232</v>
      </c>
      <c r="D6994" s="326">
        <v>2.16</v>
      </c>
    </row>
    <row r="6995" spans="1:4" ht="13.5">
      <c r="A6995" s="37">
        <v>100948</v>
      </c>
      <c r="B6995" s="37" t="s">
        <v>8870</v>
      </c>
      <c r="C6995" s="37" t="s">
        <v>4232</v>
      </c>
      <c r="D6995" s="326">
        <v>0.85</v>
      </c>
    </row>
    <row r="6996" spans="1:4" ht="13.5">
      <c r="A6996" s="37">
        <v>100949</v>
      </c>
      <c r="B6996" s="37" t="s">
        <v>8871</v>
      </c>
      <c r="C6996" s="37" t="s">
        <v>4232</v>
      </c>
      <c r="D6996" s="326">
        <v>6.48</v>
      </c>
    </row>
    <row r="6997" spans="1:4" ht="13.5">
      <c r="A6997" s="37">
        <v>100950</v>
      </c>
      <c r="B6997" s="37" t="s">
        <v>8872</v>
      </c>
      <c r="C6997" s="37" t="s">
        <v>4232</v>
      </c>
      <c r="D6997" s="326">
        <v>3.48</v>
      </c>
    </row>
    <row r="6998" spans="1:4" ht="13.5">
      <c r="A6998" s="37">
        <v>100951</v>
      </c>
      <c r="B6998" s="37" t="s">
        <v>8873</v>
      </c>
      <c r="C6998" s="37" t="s">
        <v>4232</v>
      </c>
      <c r="D6998" s="326">
        <v>2.99</v>
      </c>
    </row>
    <row r="6999" spans="1:4" ht="13.5">
      <c r="A6999" s="37">
        <v>100952</v>
      </c>
      <c r="B6999" s="37" t="s">
        <v>8874</v>
      </c>
      <c r="C6999" s="37" t="s">
        <v>4232</v>
      </c>
      <c r="D6999" s="326">
        <v>2.76</v>
      </c>
    </row>
    <row r="7000" spans="1:4" ht="13.5">
      <c r="A7000" s="37">
        <v>100953</v>
      </c>
      <c r="B7000" s="37" t="s">
        <v>8875</v>
      </c>
      <c r="C7000" s="37" t="s">
        <v>4232</v>
      </c>
      <c r="D7000" s="326">
        <v>1.0900000000000001</v>
      </c>
    </row>
    <row r="7001" spans="1:4" ht="13.5">
      <c r="A7001" s="37">
        <v>100954</v>
      </c>
      <c r="B7001" s="37" t="s">
        <v>8876</v>
      </c>
      <c r="C7001" s="37" t="s">
        <v>4232</v>
      </c>
      <c r="D7001" s="326">
        <v>8.27</v>
      </c>
    </row>
    <row r="7002" spans="1:4" ht="13.5">
      <c r="A7002" s="37">
        <v>100955</v>
      </c>
      <c r="B7002" s="37" t="s">
        <v>8877</v>
      </c>
      <c r="C7002" s="37" t="s">
        <v>16554</v>
      </c>
      <c r="D7002" s="326">
        <v>4.7699999999999996</v>
      </c>
    </row>
    <row r="7003" spans="1:4" ht="13.5">
      <c r="A7003" s="37">
        <v>100956</v>
      </c>
      <c r="B7003" s="37" t="s">
        <v>8878</v>
      </c>
      <c r="C7003" s="37" t="s">
        <v>16554</v>
      </c>
      <c r="D7003" s="326">
        <v>4.1500000000000004</v>
      </c>
    </row>
    <row r="7004" spans="1:4" ht="13.5">
      <c r="A7004" s="37">
        <v>100957</v>
      </c>
      <c r="B7004" s="37" t="s">
        <v>8879</v>
      </c>
      <c r="C7004" s="37" t="s">
        <v>16554</v>
      </c>
      <c r="D7004" s="326">
        <v>3.79</v>
      </c>
    </row>
    <row r="7005" spans="1:4" ht="13.5">
      <c r="A7005" s="37">
        <v>100958</v>
      </c>
      <c r="B7005" s="37" t="s">
        <v>8880</v>
      </c>
      <c r="C7005" s="37" t="s">
        <v>16554</v>
      </c>
      <c r="D7005" s="326">
        <v>1.52</v>
      </c>
    </row>
    <row r="7006" spans="1:4" ht="13.5">
      <c r="A7006" s="37">
        <v>100959</v>
      </c>
      <c r="B7006" s="37" t="s">
        <v>8881</v>
      </c>
      <c r="C7006" s="37" t="s">
        <v>16554</v>
      </c>
      <c r="D7006" s="326">
        <v>11.38</v>
      </c>
    </row>
    <row r="7007" spans="1:4" ht="13.5">
      <c r="A7007" s="37">
        <v>100960</v>
      </c>
      <c r="B7007" s="37" t="s">
        <v>8882</v>
      </c>
      <c r="C7007" s="37" t="s">
        <v>16554</v>
      </c>
      <c r="D7007" s="326">
        <v>3.55</v>
      </c>
    </row>
    <row r="7008" spans="1:4" ht="13.5">
      <c r="A7008" s="37">
        <v>100961</v>
      </c>
      <c r="B7008" s="37" t="s">
        <v>8883</v>
      </c>
      <c r="C7008" s="37" t="s">
        <v>16554</v>
      </c>
      <c r="D7008" s="326">
        <v>3.08</v>
      </c>
    </row>
    <row r="7009" spans="1:4" ht="13.5">
      <c r="A7009" s="37">
        <v>100962</v>
      </c>
      <c r="B7009" s="37" t="s">
        <v>8884</v>
      </c>
      <c r="C7009" s="37" t="s">
        <v>16554</v>
      </c>
      <c r="D7009" s="326">
        <v>2.81</v>
      </c>
    </row>
    <row r="7010" spans="1:4" ht="13.5">
      <c r="A7010" s="37">
        <v>100963</v>
      </c>
      <c r="B7010" s="37" t="s">
        <v>8885</v>
      </c>
      <c r="C7010" s="37" t="s">
        <v>16554</v>
      </c>
      <c r="D7010" s="326">
        <v>1.1100000000000001</v>
      </c>
    </row>
    <row r="7011" spans="1:4" ht="13.5">
      <c r="A7011" s="37">
        <v>100964</v>
      </c>
      <c r="B7011" s="37" t="s">
        <v>8886</v>
      </c>
      <c r="C7011" s="37" t="s">
        <v>16554</v>
      </c>
      <c r="D7011" s="326">
        <v>8.5299999999999994</v>
      </c>
    </row>
    <row r="7012" spans="1:4" ht="13.5">
      <c r="A7012" s="37">
        <v>100973</v>
      </c>
      <c r="B7012" s="37" t="s">
        <v>8887</v>
      </c>
      <c r="C7012" s="37" t="s">
        <v>12</v>
      </c>
      <c r="D7012" s="326">
        <v>8.99</v>
      </c>
    </row>
    <row r="7013" spans="1:4" ht="13.5">
      <c r="A7013" s="37">
        <v>100974</v>
      </c>
      <c r="B7013" s="37" t="s">
        <v>8888</v>
      </c>
      <c r="C7013" s="37" t="s">
        <v>12</v>
      </c>
      <c r="D7013" s="326">
        <v>8.68</v>
      </c>
    </row>
    <row r="7014" spans="1:4" ht="13.5">
      <c r="A7014" s="37">
        <v>100975</v>
      </c>
      <c r="B7014" s="37" t="s">
        <v>8889</v>
      </c>
      <c r="C7014" s="37" t="s">
        <v>12</v>
      </c>
      <c r="D7014" s="326">
        <v>8.8000000000000007</v>
      </c>
    </row>
    <row r="7015" spans="1:4" ht="13.5">
      <c r="A7015" s="37">
        <v>100965</v>
      </c>
      <c r="B7015" s="37" t="s">
        <v>8890</v>
      </c>
      <c r="C7015" s="37" t="s">
        <v>4232</v>
      </c>
      <c r="D7015" s="326">
        <v>1.77</v>
      </c>
    </row>
    <row r="7016" spans="1:4" ht="13.5">
      <c r="A7016" s="37">
        <v>100966</v>
      </c>
      <c r="B7016" s="37" t="s">
        <v>8891</v>
      </c>
      <c r="C7016" s="37" t="s">
        <v>4232</v>
      </c>
      <c r="D7016" s="326">
        <v>1.52</v>
      </c>
    </row>
    <row r="7017" spans="1:4" ht="13.5">
      <c r="A7017" s="37">
        <v>100969</v>
      </c>
      <c r="B7017" s="37" t="s">
        <v>8892</v>
      </c>
      <c r="C7017" s="37" t="s">
        <v>4232</v>
      </c>
      <c r="D7017" s="326">
        <v>2.31</v>
      </c>
    </row>
    <row r="7018" spans="1:4" ht="13.5">
      <c r="A7018" s="37">
        <v>100970</v>
      </c>
      <c r="B7018" s="37" t="s">
        <v>8893</v>
      </c>
      <c r="C7018" s="37" t="s">
        <v>4232</v>
      </c>
      <c r="D7018" s="326">
        <v>1.96</v>
      </c>
    </row>
    <row r="7019" spans="1:4" ht="13.5">
      <c r="A7019" s="37">
        <v>102330</v>
      </c>
      <c r="B7019" s="37" t="s">
        <v>8894</v>
      </c>
      <c r="C7019" s="37" t="s">
        <v>4232</v>
      </c>
      <c r="D7019" s="326">
        <v>1.41</v>
      </c>
    </row>
    <row r="7020" spans="1:4" ht="13.5">
      <c r="A7020" s="37">
        <v>102331</v>
      </c>
      <c r="B7020" s="37" t="s">
        <v>8895</v>
      </c>
      <c r="C7020" s="37" t="s">
        <v>4232</v>
      </c>
      <c r="D7020" s="326">
        <v>0.55000000000000004</v>
      </c>
    </row>
    <row r="7021" spans="1:4" ht="13.5">
      <c r="A7021" s="37">
        <v>102332</v>
      </c>
      <c r="B7021" s="37" t="s">
        <v>8896</v>
      </c>
      <c r="C7021" s="37" t="s">
        <v>4232</v>
      </c>
      <c r="D7021" s="326">
        <v>1.83</v>
      </c>
    </row>
    <row r="7022" spans="1:4" ht="13.5">
      <c r="A7022" s="37">
        <v>102333</v>
      </c>
      <c r="B7022" s="37" t="s">
        <v>8897</v>
      </c>
      <c r="C7022" s="37" t="s">
        <v>4232</v>
      </c>
      <c r="D7022" s="326">
        <v>0.73</v>
      </c>
    </row>
    <row r="7023" spans="1:4" ht="13.5">
      <c r="A7023" s="37">
        <v>101019</v>
      </c>
      <c r="B7023" s="37" t="s">
        <v>8898</v>
      </c>
      <c r="C7023" s="37" t="s">
        <v>4233</v>
      </c>
      <c r="D7023" s="326">
        <v>542.70000000000005</v>
      </c>
    </row>
    <row r="7024" spans="1:4" ht="13.5">
      <c r="A7024" s="37">
        <v>101479</v>
      </c>
      <c r="B7024" s="37" t="s">
        <v>8899</v>
      </c>
      <c r="C7024" s="37" t="s">
        <v>4233</v>
      </c>
      <c r="D7024" s="326">
        <v>158.12</v>
      </c>
    </row>
    <row r="7025" spans="1:4" ht="13.5">
      <c r="A7025" s="37">
        <v>102568</v>
      </c>
      <c r="B7025" s="37" t="s">
        <v>8900</v>
      </c>
      <c r="C7025" s="37" t="s">
        <v>4233</v>
      </c>
      <c r="D7025" s="326">
        <v>269.35000000000002</v>
      </c>
    </row>
    <row r="7026" spans="1:4" ht="13.5">
      <c r="A7026" s="37">
        <v>100976</v>
      </c>
      <c r="B7026" s="37" t="s">
        <v>8901</v>
      </c>
      <c r="C7026" s="37" t="s">
        <v>12</v>
      </c>
      <c r="D7026" s="326">
        <v>8.6199999999999992</v>
      </c>
    </row>
    <row r="7027" spans="1:4" ht="13.5">
      <c r="A7027" s="37">
        <v>100977</v>
      </c>
      <c r="B7027" s="37" t="s">
        <v>8902</v>
      </c>
      <c r="C7027" s="37" t="s">
        <v>12</v>
      </c>
      <c r="D7027" s="326">
        <v>7.45</v>
      </c>
    </row>
    <row r="7028" spans="1:4" ht="13.5">
      <c r="A7028" s="37">
        <v>100978</v>
      </c>
      <c r="B7028" s="37" t="s">
        <v>8903</v>
      </c>
      <c r="C7028" s="37" t="s">
        <v>12</v>
      </c>
      <c r="D7028" s="326">
        <v>6.76</v>
      </c>
    </row>
    <row r="7029" spans="1:4" ht="13.5">
      <c r="A7029" s="37">
        <v>100979</v>
      </c>
      <c r="B7029" s="37" t="s">
        <v>8904</v>
      </c>
      <c r="C7029" s="37" t="s">
        <v>12</v>
      </c>
      <c r="D7029" s="326">
        <v>6.55</v>
      </c>
    </row>
    <row r="7030" spans="1:4" ht="13.5">
      <c r="A7030" s="37">
        <v>100980</v>
      </c>
      <c r="B7030" s="37" t="s">
        <v>8905</v>
      </c>
      <c r="C7030" s="37" t="s">
        <v>12</v>
      </c>
      <c r="D7030" s="326">
        <v>6.2</v>
      </c>
    </row>
    <row r="7031" spans="1:4" ht="13.5">
      <c r="A7031" s="37">
        <v>100981</v>
      </c>
      <c r="B7031" s="37" t="s">
        <v>8906</v>
      </c>
      <c r="C7031" s="37" t="s">
        <v>12</v>
      </c>
      <c r="D7031" s="326">
        <v>9.09</v>
      </c>
    </row>
    <row r="7032" spans="1:4" ht="13.5">
      <c r="A7032" s="37">
        <v>100982</v>
      </c>
      <c r="B7032" s="37" t="s">
        <v>8907</v>
      </c>
      <c r="C7032" s="37" t="s">
        <v>12</v>
      </c>
      <c r="D7032" s="326">
        <v>8.75</v>
      </c>
    </row>
    <row r="7033" spans="1:4" ht="13.5">
      <c r="A7033" s="37">
        <v>100983</v>
      </c>
      <c r="B7033" s="37" t="s">
        <v>8908</v>
      </c>
      <c r="C7033" s="37" t="s">
        <v>12</v>
      </c>
      <c r="D7033" s="326">
        <v>8.86</v>
      </c>
    </row>
    <row r="7034" spans="1:4" ht="13.5">
      <c r="A7034" s="37">
        <v>100984</v>
      </c>
      <c r="B7034" s="37" t="s">
        <v>8909</v>
      </c>
      <c r="C7034" s="37" t="s">
        <v>12</v>
      </c>
      <c r="D7034" s="326">
        <v>8.67</v>
      </c>
    </row>
    <row r="7035" spans="1:4" ht="13.5">
      <c r="A7035" s="37">
        <v>100985</v>
      </c>
      <c r="B7035" s="37" t="s">
        <v>8910</v>
      </c>
      <c r="C7035" s="37" t="s">
        <v>12</v>
      </c>
      <c r="D7035" s="326">
        <v>7.19</v>
      </c>
    </row>
    <row r="7036" spans="1:4" ht="13.5">
      <c r="A7036" s="37">
        <v>100986</v>
      </c>
      <c r="B7036" s="37" t="s">
        <v>8911</v>
      </c>
      <c r="C7036" s="37" t="s">
        <v>12</v>
      </c>
      <c r="D7036" s="326">
        <v>8.74</v>
      </c>
    </row>
    <row r="7037" spans="1:4" ht="13.5">
      <c r="A7037" s="37">
        <v>100987</v>
      </c>
      <c r="B7037" s="37" t="s">
        <v>8912</v>
      </c>
      <c r="C7037" s="37" t="s">
        <v>12</v>
      </c>
      <c r="D7037" s="326">
        <v>10.18</v>
      </c>
    </row>
    <row r="7038" spans="1:4" ht="13.5">
      <c r="A7038" s="37">
        <v>100988</v>
      </c>
      <c r="B7038" s="37" t="s">
        <v>8913</v>
      </c>
      <c r="C7038" s="37" t="s">
        <v>12</v>
      </c>
      <c r="D7038" s="326">
        <v>10.78</v>
      </c>
    </row>
    <row r="7039" spans="1:4" ht="13.5">
      <c r="A7039" s="37">
        <v>100989</v>
      </c>
      <c r="B7039" s="37" t="s">
        <v>8914</v>
      </c>
      <c r="C7039" s="37" t="s">
        <v>4233</v>
      </c>
      <c r="D7039" s="326">
        <v>5.98</v>
      </c>
    </row>
    <row r="7040" spans="1:4" ht="13.5">
      <c r="A7040" s="37">
        <v>100990</v>
      </c>
      <c r="B7040" s="37" t="s">
        <v>8915</v>
      </c>
      <c r="C7040" s="37" t="s">
        <v>4233</v>
      </c>
      <c r="D7040" s="326">
        <v>5.79</v>
      </c>
    </row>
    <row r="7041" spans="1:4" ht="13.5">
      <c r="A7041" s="37">
        <v>100991</v>
      </c>
      <c r="B7041" s="37" t="s">
        <v>8916</v>
      </c>
      <c r="C7041" s="37" t="s">
        <v>4233</v>
      </c>
      <c r="D7041" s="326">
        <v>5.88</v>
      </c>
    </row>
    <row r="7042" spans="1:4" ht="13.5">
      <c r="A7042" s="37">
        <v>100992</v>
      </c>
      <c r="B7042" s="37" t="s">
        <v>8917</v>
      </c>
      <c r="C7042" s="37" t="s">
        <v>4233</v>
      </c>
      <c r="D7042" s="326">
        <v>5.76</v>
      </c>
    </row>
    <row r="7043" spans="1:4" ht="13.5">
      <c r="A7043" s="37">
        <v>100993</v>
      </c>
      <c r="B7043" s="37" t="s">
        <v>8918</v>
      </c>
      <c r="C7043" s="37" t="s">
        <v>4233</v>
      </c>
      <c r="D7043" s="326">
        <v>4.96</v>
      </c>
    </row>
    <row r="7044" spans="1:4" ht="13.5">
      <c r="A7044" s="37">
        <v>100994</v>
      </c>
      <c r="B7044" s="37" t="s">
        <v>8919</v>
      </c>
      <c r="C7044" s="37" t="s">
        <v>4233</v>
      </c>
      <c r="D7044" s="326">
        <v>4.4800000000000004</v>
      </c>
    </row>
    <row r="7045" spans="1:4" ht="13.5">
      <c r="A7045" s="37">
        <v>100995</v>
      </c>
      <c r="B7045" s="37" t="s">
        <v>8920</v>
      </c>
      <c r="C7045" s="37" t="s">
        <v>4233</v>
      </c>
      <c r="D7045" s="326">
        <v>4.38</v>
      </c>
    </row>
    <row r="7046" spans="1:4" ht="13.5">
      <c r="A7046" s="37">
        <v>100996</v>
      </c>
      <c r="B7046" s="37" t="s">
        <v>8921</v>
      </c>
      <c r="C7046" s="37" t="s">
        <v>4233</v>
      </c>
      <c r="D7046" s="326">
        <v>4.1100000000000003</v>
      </c>
    </row>
    <row r="7047" spans="1:4" ht="13.5">
      <c r="A7047" s="37">
        <v>100997</v>
      </c>
      <c r="B7047" s="37" t="s">
        <v>8922</v>
      </c>
      <c r="C7047" s="37" t="s">
        <v>4233</v>
      </c>
      <c r="D7047" s="326">
        <v>6.07</v>
      </c>
    </row>
    <row r="7048" spans="1:4" ht="13.5">
      <c r="A7048" s="37">
        <v>100998</v>
      </c>
      <c r="B7048" s="37" t="s">
        <v>8923</v>
      </c>
      <c r="C7048" s="37" t="s">
        <v>4233</v>
      </c>
      <c r="D7048" s="326">
        <v>5.85</v>
      </c>
    </row>
    <row r="7049" spans="1:4" ht="13.5">
      <c r="A7049" s="37">
        <v>100999</v>
      </c>
      <c r="B7049" s="37" t="s">
        <v>8924</v>
      </c>
      <c r="C7049" s="37" t="s">
        <v>4233</v>
      </c>
      <c r="D7049" s="326">
        <v>5.93</v>
      </c>
    </row>
    <row r="7050" spans="1:4" ht="13.5">
      <c r="A7050" s="37">
        <v>101000</v>
      </c>
      <c r="B7050" s="37" t="s">
        <v>8925</v>
      </c>
      <c r="C7050" s="37" t="s">
        <v>4233</v>
      </c>
      <c r="D7050" s="326">
        <v>5.8</v>
      </c>
    </row>
    <row r="7051" spans="1:4" ht="13.5">
      <c r="A7051" s="37">
        <v>101001</v>
      </c>
      <c r="B7051" s="37" t="s">
        <v>8926</v>
      </c>
      <c r="C7051" s="37" t="s">
        <v>4233</v>
      </c>
      <c r="D7051" s="326">
        <v>4.79</v>
      </c>
    </row>
    <row r="7052" spans="1:4" ht="13.5">
      <c r="A7052" s="37">
        <v>101002</v>
      </c>
      <c r="B7052" s="37" t="s">
        <v>8927</v>
      </c>
      <c r="C7052" s="37" t="s">
        <v>4233</v>
      </c>
      <c r="D7052" s="326">
        <v>5.81</v>
      </c>
    </row>
    <row r="7053" spans="1:4" ht="13.5">
      <c r="A7053" s="37">
        <v>101003</v>
      </c>
      <c r="B7053" s="37" t="s">
        <v>8928</v>
      </c>
      <c r="C7053" s="37" t="s">
        <v>4233</v>
      </c>
      <c r="D7053" s="326">
        <v>6.77</v>
      </c>
    </row>
    <row r="7054" spans="1:4" ht="13.5">
      <c r="A7054" s="37">
        <v>101004</v>
      </c>
      <c r="B7054" s="37" t="s">
        <v>8929</v>
      </c>
      <c r="C7054" s="37" t="s">
        <v>4233</v>
      </c>
      <c r="D7054" s="326">
        <v>7.19</v>
      </c>
    </row>
    <row r="7055" spans="1:4" ht="13.5">
      <c r="A7055" s="37">
        <v>101005</v>
      </c>
      <c r="B7055" s="37" t="s">
        <v>8930</v>
      </c>
      <c r="C7055" s="37" t="s">
        <v>12</v>
      </c>
      <c r="D7055" s="326">
        <v>18.170000000000002</v>
      </c>
    </row>
    <row r="7056" spans="1:4" ht="13.5">
      <c r="A7056" s="37">
        <v>101006</v>
      </c>
      <c r="B7056" s="37" t="s">
        <v>8931</v>
      </c>
      <c r="C7056" s="37" t="s">
        <v>12</v>
      </c>
      <c r="D7056" s="326">
        <v>20.25</v>
      </c>
    </row>
    <row r="7057" spans="1:4" ht="13.5">
      <c r="A7057" s="37">
        <v>101007</v>
      </c>
      <c r="B7057" s="37" t="s">
        <v>8932</v>
      </c>
      <c r="C7057" s="37" t="s">
        <v>12</v>
      </c>
      <c r="D7057" s="326">
        <v>5.27</v>
      </c>
    </row>
    <row r="7058" spans="1:4" ht="13.5">
      <c r="A7058" s="37">
        <v>101008</v>
      </c>
      <c r="B7058" s="37" t="s">
        <v>8933</v>
      </c>
      <c r="C7058" s="37" t="s">
        <v>12</v>
      </c>
      <c r="D7058" s="326">
        <v>5.36</v>
      </c>
    </row>
    <row r="7059" spans="1:4" ht="13.5">
      <c r="A7059" s="37">
        <v>101009</v>
      </c>
      <c r="B7059" s="37" t="s">
        <v>8934</v>
      </c>
      <c r="C7059" s="37" t="s">
        <v>4233</v>
      </c>
      <c r="D7059" s="326">
        <v>41.91</v>
      </c>
    </row>
    <row r="7060" spans="1:4" ht="13.5">
      <c r="A7060" s="37">
        <v>101010</v>
      </c>
      <c r="B7060" s="37" t="s">
        <v>8935</v>
      </c>
      <c r="C7060" s="37" t="s">
        <v>4233</v>
      </c>
      <c r="D7060" s="326">
        <v>26.38</v>
      </c>
    </row>
    <row r="7061" spans="1:4" ht="13.5">
      <c r="A7061" s="37">
        <v>101013</v>
      </c>
      <c r="B7061" s="37" t="s">
        <v>8936</v>
      </c>
      <c r="C7061" s="37" t="s">
        <v>4233</v>
      </c>
      <c r="D7061" s="326">
        <v>43.36</v>
      </c>
    </row>
    <row r="7062" spans="1:4" ht="13.5">
      <c r="A7062" s="37">
        <v>101014</v>
      </c>
      <c r="B7062" s="37" t="s">
        <v>8937</v>
      </c>
      <c r="C7062" s="37" t="s">
        <v>4233</v>
      </c>
      <c r="D7062" s="326">
        <v>39.729999999999997</v>
      </c>
    </row>
    <row r="7063" spans="1:4" ht="13.5">
      <c r="A7063" s="37">
        <v>101015</v>
      </c>
      <c r="B7063" s="37" t="s">
        <v>8938</v>
      </c>
      <c r="C7063" s="37" t="s">
        <v>4233</v>
      </c>
      <c r="D7063" s="326">
        <v>32.64</v>
      </c>
    </row>
    <row r="7064" spans="1:4" ht="13.5">
      <c r="A7064" s="37">
        <v>101016</v>
      </c>
      <c r="B7064" s="37" t="s">
        <v>8939</v>
      </c>
      <c r="C7064" s="37" t="s">
        <v>4233</v>
      </c>
      <c r="D7064" s="326">
        <v>37.79</v>
      </c>
    </row>
    <row r="7065" spans="1:4" ht="13.5">
      <c r="A7065" s="37">
        <v>101017</v>
      </c>
      <c r="B7065" s="37" t="s">
        <v>8940</v>
      </c>
      <c r="C7065" s="37" t="s">
        <v>4233</v>
      </c>
      <c r="D7065" s="326">
        <v>28.65</v>
      </c>
    </row>
    <row r="7066" spans="1:4" ht="13.5">
      <c r="A7066" s="37">
        <v>101018</v>
      </c>
      <c r="B7066" s="37" t="s">
        <v>8941</v>
      </c>
      <c r="C7066" s="37" t="s">
        <v>4233</v>
      </c>
      <c r="D7066" s="326">
        <v>23.53</v>
      </c>
    </row>
    <row r="7067" spans="1:4" ht="13.5">
      <c r="A7067" s="37">
        <v>101463</v>
      </c>
      <c r="B7067" s="37" t="s">
        <v>8942</v>
      </c>
      <c r="C7067" s="37" t="s">
        <v>4233</v>
      </c>
      <c r="D7067" s="326">
        <v>43.5</v>
      </c>
    </row>
    <row r="7068" spans="1:4" ht="13.5">
      <c r="A7068" s="37">
        <v>101464</v>
      </c>
      <c r="B7068" s="37" t="s">
        <v>8943</v>
      </c>
      <c r="C7068" s="37" t="s">
        <v>4233</v>
      </c>
      <c r="D7068" s="326">
        <v>33.409999999999997</v>
      </c>
    </row>
    <row r="7069" spans="1:4" ht="13.5">
      <c r="A7069" s="37">
        <v>101465</v>
      </c>
      <c r="B7069" s="37" t="s">
        <v>8944</v>
      </c>
      <c r="C7069" s="37" t="s">
        <v>4233</v>
      </c>
      <c r="D7069" s="326">
        <v>25.53</v>
      </c>
    </row>
    <row r="7070" spans="1:4" ht="13.5">
      <c r="A7070" s="37">
        <v>101466</v>
      </c>
      <c r="B7070" s="37" t="s">
        <v>8945</v>
      </c>
      <c r="C7070" s="37" t="s">
        <v>4233</v>
      </c>
      <c r="D7070" s="326">
        <v>20.78</v>
      </c>
    </row>
    <row r="7071" spans="1:4" ht="13.5">
      <c r="A7071" s="37">
        <v>101467</v>
      </c>
      <c r="B7071" s="37" t="s">
        <v>8946</v>
      </c>
      <c r="C7071" s="37" t="s">
        <v>4233</v>
      </c>
      <c r="D7071" s="326">
        <v>17.38</v>
      </c>
    </row>
    <row r="7072" spans="1:4" ht="13.5">
      <c r="A7072" s="37">
        <v>101468</v>
      </c>
      <c r="B7072" s="37" t="s">
        <v>8947</v>
      </c>
      <c r="C7072" s="37" t="s">
        <v>4233</v>
      </c>
      <c r="D7072" s="326">
        <v>15.9</v>
      </c>
    </row>
    <row r="7073" spans="1:4" ht="13.5">
      <c r="A7073" s="37">
        <v>101469</v>
      </c>
      <c r="B7073" s="37" t="s">
        <v>8948</v>
      </c>
      <c r="C7073" s="37" t="s">
        <v>4233</v>
      </c>
      <c r="D7073" s="326">
        <v>35.6</v>
      </c>
    </row>
    <row r="7074" spans="1:4" ht="13.5">
      <c r="A7074" s="37">
        <v>101470</v>
      </c>
      <c r="B7074" s="37" t="s">
        <v>8949</v>
      </c>
      <c r="C7074" s="37" t="s">
        <v>4233</v>
      </c>
      <c r="D7074" s="326">
        <v>28.25</v>
      </c>
    </row>
    <row r="7075" spans="1:4" ht="13.5">
      <c r="A7075" s="37">
        <v>101471</v>
      </c>
      <c r="B7075" s="37" t="s">
        <v>8950</v>
      </c>
      <c r="C7075" s="37" t="s">
        <v>4233</v>
      </c>
      <c r="D7075" s="326">
        <v>24.24</v>
      </c>
    </row>
    <row r="7076" spans="1:4" ht="13.5">
      <c r="A7076" s="37">
        <v>101472</v>
      </c>
      <c r="B7076" s="37" t="s">
        <v>8951</v>
      </c>
      <c r="C7076" s="37" t="s">
        <v>4233</v>
      </c>
      <c r="D7076" s="326">
        <v>18.86</v>
      </c>
    </row>
    <row r="7077" spans="1:4" ht="13.5">
      <c r="A7077" s="37">
        <v>101473</v>
      </c>
      <c r="B7077" s="37" t="s">
        <v>8952</v>
      </c>
      <c r="C7077" s="37" t="s">
        <v>4233</v>
      </c>
      <c r="D7077" s="326">
        <v>27.16</v>
      </c>
    </row>
    <row r="7078" spans="1:4" ht="13.5">
      <c r="A7078" s="37">
        <v>101474</v>
      </c>
      <c r="B7078" s="37" t="s">
        <v>8953</v>
      </c>
      <c r="C7078" s="37" t="s">
        <v>4233</v>
      </c>
      <c r="D7078" s="326">
        <v>19.43</v>
      </c>
    </row>
    <row r="7079" spans="1:4" ht="13.5">
      <c r="A7079" s="37">
        <v>101475</v>
      </c>
      <c r="B7079" s="37" t="s">
        <v>8954</v>
      </c>
      <c r="C7079" s="37" t="s">
        <v>4233</v>
      </c>
      <c r="D7079" s="326">
        <v>17.23</v>
      </c>
    </row>
    <row r="7080" spans="1:4" ht="13.5">
      <c r="A7080" s="37">
        <v>101476</v>
      </c>
      <c r="B7080" s="37" t="s">
        <v>8955</v>
      </c>
      <c r="C7080" s="37" t="s">
        <v>4233</v>
      </c>
      <c r="D7080" s="326">
        <v>15.37</v>
      </c>
    </row>
    <row r="7081" spans="1:4" ht="13.5">
      <c r="A7081" s="37">
        <v>101477</v>
      </c>
      <c r="B7081" s="37" t="s">
        <v>8956</v>
      </c>
      <c r="C7081" s="37" t="s">
        <v>4233</v>
      </c>
      <c r="D7081" s="326">
        <v>12.59</v>
      </c>
    </row>
    <row r="7082" spans="1:4" ht="13.5">
      <c r="A7082" s="37">
        <v>101478</v>
      </c>
      <c r="B7082" s="37" t="s">
        <v>8957</v>
      </c>
      <c r="C7082" s="37" t="s">
        <v>4233</v>
      </c>
      <c r="D7082" s="326">
        <v>10.71</v>
      </c>
    </row>
    <row r="7083" spans="1:4" ht="13.5">
      <c r="A7083" s="37">
        <v>101480</v>
      </c>
      <c r="B7083" s="37" t="s">
        <v>8958</v>
      </c>
      <c r="C7083" s="37" t="s">
        <v>4233</v>
      </c>
      <c r="D7083" s="326">
        <v>63.66</v>
      </c>
    </row>
    <row r="7084" spans="1:4" ht="13.5">
      <c r="A7084" s="37">
        <v>101481</v>
      </c>
      <c r="B7084" s="37" t="s">
        <v>8959</v>
      </c>
      <c r="C7084" s="37" t="s">
        <v>4233</v>
      </c>
      <c r="D7084" s="326">
        <v>45.97</v>
      </c>
    </row>
    <row r="7085" spans="1:4" ht="13.5">
      <c r="A7085" s="37">
        <v>101482</v>
      </c>
      <c r="B7085" s="37" t="s">
        <v>8960</v>
      </c>
      <c r="C7085" s="37" t="s">
        <v>4233</v>
      </c>
      <c r="D7085" s="326">
        <v>34.36</v>
      </c>
    </row>
    <row r="7086" spans="1:4" ht="13.5">
      <c r="A7086" s="37">
        <v>101483</v>
      </c>
      <c r="B7086" s="37" t="s">
        <v>8961</v>
      </c>
      <c r="C7086" s="37" t="s">
        <v>4233</v>
      </c>
      <c r="D7086" s="326">
        <v>35.659999999999997</v>
      </c>
    </row>
    <row r="7087" spans="1:4" ht="13.5">
      <c r="A7087" s="37">
        <v>101484</v>
      </c>
      <c r="B7087" s="37" t="s">
        <v>8962</v>
      </c>
      <c r="C7087" s="37" t="s">
        <v>4233</v>
      </c>
      <c r="D7087" s="326">
        <v>184.84</v>
      </c>
    </row>
    <row r="7088" spans="1:4" ht="13.5">
      <c r="A7088" s="37">
        <v>101485</v>
      </c>
      <c r="B7088" s="37" t="s">
        <v>8963</v>
      </c>
      <c r="C7088" s="37" t="s">
        <v>4233</v>
      </c>
      <c r="D7088" s="326">
        <v>141.88999999999999</v>
      </c>
    </row>
    <row r="7089" spans="1:4" ht="13.5">
      <c r="A7089" s="37">
        <v>101486</v>
      </c>
      <c r="B7089" s="37" t="s">
        <v>8964</v>
      </c>
      <c r="C7089" s="37" t="s">
        <v>4233</v>
      </c>
      <c r="D7089" s="326">
        <v>127.82</v>
      </c>
    </row>
    <row r="7090" spans="1:4" ht="13.5">
      <c r="A7090" s="37">
        <v>101487</v>
      </c>
      <c r="B7090" s="37" t="s">
        <v>8965</v>
      </c>
      <c r="C7090" s="37" t="s">
        <v>4233</v>
      </c>
      <c r="D7090" s="326">
        <v>93.58</v>
      </c>
    </row>
    <row r="7091" spans="1:4" ht="13.5">
      <c r="A7091" s="37">
        <v>101488</v>
      </c>
      <c r="B7091" s="37" t="s">
        <v>8966</v>
      </c>
      <c r="C7091" s="37" t="s">
        <v>4233</v>
      </c>
      <c r="D7091" s="326">
        <v>80.97</v>
      </c>
    </row>
    <row r="7092" spans="1:4" ht="13.5">
      <c r="A7092" s="37">
        <v>101188</v>
      </c>
      <c r="B7092" s="37" t="s">
        <v>8967</v>
      </c>
      <c r="C7092" s="37" t="s">
        <v>6</v>
      </c>
      <c r="D7092" s="326">
        <v>5.96</v>
      </c>
    </row>
    <row r="7093" spans="1:4" ht="13.5">
      <c r="A7093" s="37">
        <v>101189</v>
      </c>
      <c r="B7093" s="37" t="s">
        <v>8968</v>
      </c>
      <c r="C7093" s="37" t="s">
        <v>6</v>
      </c>
      <c r="D7093" s="326">
        <v>69.400000000000006</v>
      </c>
    </row>
    <row r="7094" spans="1:4" ht="13.5">
      <c r="A7094" s="37">
        <v>101190</v>
      </c>
      <c r="B7094" s="37" t="s">
        <v>8969</v>
      </c>
      <c r="C7094" s="37" t="s">
        <v>6</v>
      </c>
      <c r="D7094" s="326">
        <v>68.58</v>
      </c>
    </row>
    <row r="7095" spans="1:4" ht="13.5">
      <c r="A7095" s="37">
        <v>101191</v>
      </c>
      <c r="B7095" s="37" t="s">
        <v>8970</v>
      </c>
      <c r="C7095" s="37" t="s">
        <v>6</v>
      </c>
      <c r="D7095" s="326">
        <v>68.989999999999995</v>
      </c>
    </row>
    <row r="7096" spans="1:4" ht="13.5">
      <c r="A7096" s="37">
        <v>101192</v>
      </c>
      <c r="B7096" s="37" t="s">
        <v>8971</v>
      </c>
      <c r="C7096" s="37" t="s">
        <v>6</v>
      </c>
      <c r="D7096" s="326">
        <v>69.98</v>
      </c>
    </row>
    <row r="7097" spans="1:4" ht="13.5">
      <c r="A7097" s="37">
        <v>101193</v>
      </c>
      <c r="B7097" s="37" t="s">
        <v>8972</v>
      </c>
      <c r="C7097" s="37" t="s">
        <v>6</v>
      </c>
      <c r="D7097" s="326">
        <v>62.24</v>
      </c>
    </row>
    <row r="7098" spans="1:4" ht="13.5">
      <c r="A7098" s="37">
        <v>101194</v>
      </c>
      <c r="B7098" s="37" t="s">
        <v>8973</v>
      </c>
      <c r="C7098" s="37" t="s">
        <v>6</v>
      </c>
      <c r="D7098" s="326">
        <v>62.65</v>
      </c>
    </row>
    <row r="7099" spans="1:4" ht="13.5">
      <c r="A7099" s="37">
        <v>101197</v>
      </c>
      <c r="B7099" s="37" t="s">
        <v>8974</v>
      </c>
      <c r="C7099" s="37" t="s">
        <v>6</v>
      </c>
      <c r="D7099" s="326">
        <v>126.75</v>
      </c>
    </row>
    <row r="7100" spans="1:4" ht="13.5">
      <c r="A7100" s="37">
        <v>101198</v>
      </c>
      <c r="B7100" s="37" t="s">
        <v>8975</v>
      </c>
      <c r="C7100" s="37" t="s">
        <v>6</v>
      </c>
      <c r="D7100" s="326">
        <v>93.57</v>
      </c>
    </row>
    <row r="7101" spans="1:4" ht="13.5">
      <c r="A7101" s="37">
        <v>101199</v>
      </c>
      <c r="B7101" s="37" t="s">
        <v>8976</v>
      </c>
      <c r="C7101" s="37" t="s">
        <v>6</v>
      </c>
      <c r="D7101" s="326">
        <v>94.58</v>
      </c>
    </row>
    <row r="7102" spans="1:4" ht="13.5">
      <c r="A7102" s="37">
        <v>101200</v>
      </c>
      <c r="B7102" s="37" t="s">
        <v>8977</v>
      </c>
      <c r="C7102" s="37" t="s">
        <v>6</v>
      </c>
      <c r="D7102" s="326">
        <v>56.46</v>
      </c>
    </row>
    <row r="7103" spans="1:4" ht="13.5">
      <c r="A7103" s="37">
        <v>101201</v>
      </c>
      <c r="B7103" s="37" t="s">
        <v>8978</v>
      </c>
      <c r="C7103" s="37" t="s">
        <v>6</v>
      </c>
      <c r="D7103" s="326">
        <v>70.33</v>
      </c>
    </row>
    <row r="7104" spans="1:4" ht="13.5">
      <c r="A7104" s="37">
        <v>101202</v>
      </c>
      <c r="B7104" s="37" t="s">
        <v>8979</v>
      </c>
      <c r="C7104" s="37" t="s">
        <v>6</v>
      </c>
      <c r="D7104" s="326">
        <v>41.98</v>
      </c>
    </row>
    <row r="7105" spans="1:4" ht="13.5">
      <c r="A7105" s="37">
        <v>101203</v>
      </c>
      <c r="B7105" s="37" t="s">
        <v>8980</v>
      </c>
      <c r="C7105" s="37" t="s">
        <v>6</v>
      </c>
      <c r="D7105" s="326">
        <v>40.96</v>
      </c>
    </row>
    <row r="7106" spans="1:4" ht="13.5">
      <c r="A7106" s="37">
        <v>101204</v>
      </c>
      <c r="B7106" s="37" t="s">
        <v>8981</v>
      </c>
      <c r="C7106" s="37" t="s">
        <v>6</v>
      </c>
      <c r="D7106" s="326">
        <v>41.36</v>
      </c>
    </row>
    <row r="7107" spans="1:4" ht="13.5">
      <c r="A7107" s="37">
        <v>101205</v>
      </c>
      <c r="B7107" s="37" t="s">
        <v>8982</v>
      </c>
      <c r="C7107" s="37" t="s">
        <v>6</v>
      </c>
      <c r="D7107" s="326">
        <v>41.98</v>
      </c>
    </row>
    <row r="7108" spans="1:4" ht="13.5">
      <c r="A7108" s="37">
        <v>102362</v>
      </c>
      <c r="B7108" s="37" t="s">
        <v>8983</v>
      </c>
      <c r="C7108" s="37" t="s">
        <v>9</v>
      </c>
      <c r="D7108" s="326">
        <v>220.39</v>
      </c>
    </row>
    <row r="7109" spans="1:4" ht="13.5">
      <c r="A7109" s="37">
        <v>102363</v>
      </c>
      <c r="B7109" s="37" t="s">
        <v>8984</v>
      </c>
      <c r="C7109" s="37" t="s">
        <v>9</v>
      </c>
      <c r="D7109" s="326">
        <v>231.55</v>
      </c>
    </row>
    <row r="7110" spans="1:4" ht="13.5">
      <c r="A7110" s="37">
        <v>102364</v>
      </c>
      <c r="B7110" s="37" t="s">
        <v>8985</v>
      </c>
      <c r="C7110" s="37" t="s">
        <v>9</v>
      </c>
      <c r="D7110" s="326">
        <v>251.94</v>
      </c>
    </row>
    <row r="7111" spans="1:4" ht="13.5">
      <c r="A7111" s="37">
        <v>98509</v>
      </c>
      <c r="B7111" s="37" t="s">
        <v>4674</v>
      </c>
      <c r="C7111" s="37" t="s">
        <v>7</v>
      </c>
      <c r="D7111" s="326">
        <v>52.9</v>
      </c>
    </row>
    <row r="7112" spans="1:4" ht="13.5">
      <c r="A7112" s="37">
        <v>98510</v>
      </c>
      <c r="B7112" s="37" t="s">
        <v>4675</v>
      </c>
      <c r="C7112" s="37" t="s">
        <v>7</v>
      </c>
      <c r="D7112" s="326">
        <v>77.98</v>
      </c>
    </row>
    <row r="7113" spans="1:4" ht="13.5">
      <c r="A7113" s="37">
        <v>98511</v>
      </c>
      <c r="B7113" s="37" t="s">
        <v>4676</v>
      </c>
      <c r="C7113" s="37" t="s">
        <v>7</v>
      </c>
      <c r="D7113" s="326">
        <v>149.09</v>
      </c>
    </row>
    <row r="7114" spans="1:4" ht="13.5">
      <c r="A7114" s="37">
        <v>98516</v>
      </c>
      <c r="B7114" s="37" t="s">
        <v>4677</v>
      </c>
      <c r="C7114" s="37" t="s">
        <v>7</v>
      </c>
      <c r="D7114" s="326">
        <v>368.85</v>
      </c>
    </row>
    <row r="7115" spans="1:4" ht="13.5">
      <c r="A7115" s="37">
        <v>98519</v>
      </c>
      <c r="B7115" s="37" t="s">
        <v>4678</v>
      </c>
      <c r="C7115" s="37" t="s">
        <v>9</v>
      </c>
      <c r="D7115" s="326">
        <v>1.85</v>
      </c>
    </row>
    <row r="7116" spans="1:4" ht="13.5">
      <c r="A7116" s="37">
        <v>98520</v>
      </c>
      <c r="B7116" s="37" t="s">
        <v>4679</v>
      </c>
      <c r="C7116" s="37" t="s">
        <v>9</v>
      </c>
      <c r="D7116" s="326">
        <v>5.23</v>
      </c>
    </row>
    <row r="7117" spans="1:4" ht="13.5">
      <c r="A7117" s="37">
        <v>98521</v>
      </c>
      <c r="B7117" s="37" t="s">
        <v>4680</v>
      </c>
      <c r="C7117" s="37" t="s">
        <v>9</v>
      </c>
      <c r="D7117" s="326">
        <v>0.34</v>
      </c>
    </row>
    <row r="7118" spans="1:4" ht="13.5">
      <c r="A7118" s="37">
        <v>98522</v>
      </c>
      <c r="B7118" s="37" t="s">
        <v>4681</v>
      </c>
      <c r="C7118" s="37" t="s">
        <v>6</v>
      </c>
      <c r="D7118" s="326">
        <v>154.27000000000001</v>
      </c>
    </row>
    <row r="7119" spans="1:4" ht="13.5">
      <c r="A7119" s="37">
        <v>98524</v>
      </c>
      <c r="B7119" s="37" t="s">
        <v>4682</v>
      </c>
      <c r="C7119" s="37" t="s">
        <v>9</v>
      </c>
      <c r="D7119" s="326">
        <v>2.88</v>
      </c>
    </row>
    <row r="7120" spans="1:4" ht="13.5">
      <c r="A7120" s="37">
        <v>98503</v>
      </c>
      <c r="B7120" s="37" t="s">
        <v>4683</v>
      </c>
      <c r="C7120" s="37" t="s">
        <v>9</v>
      </c>
      <c r="D7120" s="326">
        <v>20.5</v>
      </c>
    </row>
    <row r="7121" spans="1:4" ht="13.5">
      <c r="A7121" s="37">
        <v>98504</v>
      </c>
      <c r="B7121" s="37" t="s">
        <v>16557</v>
      </c>
      <c r="C7121" s="37" t="s">
        <v>9</v>
      </c>
      <c r="D7121" s="326">
        <v>12.75</v>
      </c>
    </row>
    <row r="7122" spans="1:4" ht="13.5">
      <c r="A7122" s="37">
        <v>98505</v>
      </c>
      <c r="B7122" s="37" t="s">
        <v>4684</v>
      </c>
      <c r="C7122" s="37" t="s">
        <v>9</v>
      </c>
      <c r="D7122" s="326">
        <v>75.91</v>
      </c>
    </row>
    <row r="7123" spans="1:4" ht="13.5">
      <c r="A7123" s="37">
        <v>103946</v>
      </c>
      <c r="B7123" s="37" t="s">
        <v>16558</v>
      </c>
      <c r="C7123" s="37" t="s">
        <v>9</v>
      </c>
      <c r="D7123" s="326">
        <v>16.329999999999998</v>
      </c>
    </row>
    <row r="7124" spans="1:4" ht="13.5">
      <c r="A7124" s="37">
        <v>103185</v>
      </c>
      <c r="B7124" s="37" t="s">
        <v>12454</v>
      </c>
      <c r="C7124" s="37" t="s">
        <v>7</v>
      </c>
      <c r="D7124" s="38">
        <v>6142.87</v>
      </c>
    </row>
    <row r="7125" spans="1:4" ht="13.5">
      <c r="A7125" s="37">
        <v>103186</v>
      </c>
      <c r="B7125" s="37" t="s">
        <v>12455</v>
      </c>
      <c r="C7125" s="37" t="s">
        <v>7</v>
      </c>
      <c r="D7125" s="38">
        <v>6482.46</v>
      </c>
    </row>
    <row r="7126" spans="1:4" ht="13.5">
      <c r="A7126" s="37">
        <v>103187</v>
      </c>
      <c r="B7126" s="37" t="s">
        <v>12456</v>
      </c>
      <c r="C7126" s="37" t="s">
        <v>7</v>
      </c>
      <c r="D7126" s="38">
        <v>4869.74</v>
      </c>
    </row>
    <row r="7127" spans="1:4" ht="13.5">
      <c r="A7127" s="37">
        <v>103188</v>
      </c>
      <c r="B7127" s="37" t="s">
        <v>12457</v>
      </c>
      <c r="C7127" s="37" t="s">
        <v>7</v>
      </c>
      <c r="D7127" s="38">
        <v>5237.3500000000004</v>
      </c>
    </row>
    <row r="7128" spans="1:4" ht="13.5">
      <c r="A7128" s="37">
        <v>103189</v>
      </c>
      <c r="B7128" s="37" t="s">
        <v>12458</v>
      </c>
      <c r="C7128" s="37" t="s">
        <v>7</v>
      </c>
      <c r="D7128" s="38">
        <v>2624.12</v>
      </c>
    </row>
    <row r="7129" spans="1:4" ht="13.5">
      <c r="A7129" s="37">
        <v>103190</v>
      </c>
      <c r="B7129" s="37" t="s">
        <v>12459</v>
      </c>
      <c r="C7129" s="37" t="s">
        <v>7</v>
      </c>
      <c r="D7129" s="38">
        <v>4078.8</v>
      </c>
    </row>
    <row r="7130" spans="1:4" ht="13.5">
      <c r="A7130" s="37">
        <v>103191</v>
      </c>
      <c r="B7130" s="37" t="s">
        <v>12460</v>
      </c>
      <c r="C7130" s="37" t="s">
        <v>7</v>
      </c>
      <c r="D7130" s="38">
        <v>2377.2399999999998</v>
      </c>
    </row>
    <row r="7131" spans="1:4" ht="13.5">
      <c r="A7131" s="37">
        <v>103192</v>
      </c>
      <c r="B7131" s="37" t="s">
        <v>12461</v>
      </c>
      <c r="C7131" s="37" t="s">
        <v>7</v>
      </c>
      <c r="D7131" s="38">
        <v>2530.88</v>
      </c>
    </row>
    <row r="7132" spans="1:4" ht="13.5">
      <c r="A7132" s="37">
        <v>103193</v>
      </c>
      <c r="B7132" s="37" t="s">
        <v>12462</v>
      </c>
      <c r="C7132" s="37" t="s">
        <v>7</v>
      </c>
      <c r="D7132" s="38">
        <v>1949.61</v>
      </c>
    </row>
    <row r="7133" spans="1:4" ht="13.5">
      <c r="A7133" s="37">
        <v>103194</v>
      </c>
      <c r="B7133" s="37" t="s">
        <v>12463</v>
      </c>
      <c r="C7133" s="37" t="s">
        <v>7</v>
      </c>
      <c r="D7133" s="38">
        <v>2807.58</v>
      </c>
    </row>
    <row r="7134" spans="1:4" ht="13.5">
      <c r="A7134" s="37">
        <v>103195</v>
      </c>
      <c r="B7134" s="37" t="s">
        <v>12464</v>
      </c>
      <c r="C7134" s="37" t="s">
        <v>7</v>
      </c>
      <c r="D7134" s="38">
        <v>2191</v>
      </c>
    </row>
    <row r="7135" spans="1:4" ht="13.5">
      <c r="A7135" s="37">
        <v>103205</v>
      </c>
      <c r="B7135" s="37" t="s">
        <v>12465</v>
      </c>
      <c r="C7135" s="37" t="s">
        <v>7</v>
      </c>
      <c r="D7135" s="38">
        <v>4090.33</v>
      </c>
    </row>
    <row r="7136" spans="1:4" ht="13.5">
      <c r="A7136" s="37">
        <v>103206</v>
      </c>
      <c r="B7136" s="37" t="s">
        <v>12466</v>
      </c>
      <c r="C7136" s="37" t="s">
        <v>7</v>
      </c>
      <c r="D7136" s="38">
        <v>2388.7800000000002</v>
      </c>
    </row>
    <row r="7137" spans="1:4" ht="13.5">
      <c r="A7137" s="37">
        <v>103207</v>
      </c>
      <c r="B7137" s="37" t="s">
        <v>12467</v>
      </c>
      <c r="C7137" s="37" t="s">
        <v>7</v>
      </c>
      <c r="D7137" s="38">
        <v>2542.42</v>
      </c>
    </row>
    <row r="7138" spans="1:4" ht="13.5">
      <c r="A7138" s="37">
        <v>103208</v>
      </c>
      <c r="B7138" s="37" t="s">
        <v>12468</v>
      </c>
      <c r="C7138" s="37" t="s">
        <v>7</v>
      </c>
      <c r="D7138" s="38">
        <v>1961.15</v>
      </c>
    </row>
    <row r="7139" spans="1:4" ht="13.5">
      <c r="A7139" s="37">
        <v>103209</v>
      </c>
      <c r="B7139" s="37" t="s">
        <v>12469</v>
      </c>
      <c r="C7139" s="37" t="s">
        <v>7</v>
      </c>
      <c r="D7139" s="38">
        <v>2819.12</v>
      </c>
    </row>
    <row r="7140" spans="1:4" ht="13.5">
      <c r="A7140" s="37">
        <v>103210</v>
      </c>
      <c r="B7140" s="37" t="s">
        <v>12470</v>
      </c>
      <c r="C7140" s="37" t="s">
        <v>7</v>
      </c>
      <c r="D7140" s="38">
        <v>2287.41</v>
      </c>
    </row>
    <row r="7141" spans="1:4" ht="13.5">
      <c r="A7141" s="37">
        <v>103304</v>
      </c>
      <c r="B7141" s="37" t="s">
        <v>13875</v>
      </c>
      <c r="C7141" s="37" t="s">
        <v>7</v>
      </c>
      <c r="D7141" s="38">
        <v>1245.01</v>
      </c>
    </row>
    <row r="7142" spans="1:4" ht="13.5">
      <c r="A7142" s="37">
        <v>103307</v>
      </c>
      <c r="B7142" s="37" t="s">
        <v>13876</v>
      </c>
      <c r="C7142" s="37" t="s">
        <v>7</v>
      </c>
      <c r="D7142" s="38">
        <v>1330.75</v>
      </c>
    </row>
    <row r="7143" spans="1:4" ht="13.5">
      <c r="A7143" s="37">
        <v>103310</v>
      </c>
      <c r="B7143" s="37" t="s">
        <v>13877</v>
      </c>
      <c r="C7143" s="37" t="s">
        <v>7</v>
      </c>
      <c r="D7143" s="38">
        <v>1284.03</v>
      </c>
    </row>
    <row r="7144" spans="1:4" ht="13.5">
      <c r="A7144" s="37">
        <v>103314</v>
      </c>
      <c r="B7144" s="37" t="s">
        <v>13878</v>
      </c>
      <c r="C7144" s="37" t="s">
        <v>9</v>
      </c>
      <c r="D7144" s="326">
        <v>260.64</v>
      </c>
    </row>
    <row r="7145" spans="1:4" ht="13.5">
      <c r="A7145" s="37">
        <v>103315</v>
      </c>
      <c r="B7145" s="37" t="s">
        <v>13879</v>
      </c>
      <c r="C7145" s="37" t="s">
        <v>9</v>
      </c>
      <c r="D7145" s="326">
        <v>252.49</v>
      </c>
    </row>
    <row r="7146" spans="1:4" ht="13.5">
      <c r="A7146" s="37">
        <v>103769</v>
      </c>
      <c r="B7146" s="37" t="s">
        <v>16559</v>
      </c>
      <c r="C7146" s="37" t="s">
        <v>7</v>
      </c>
      <c r="D7146" s="38">
        <v>3961.18</v>
      </c>
    </row>
    <row r="7147" spans="1:4" ht="13.5">
      <c r="A7147" s="37">
        <v>98525</v>
      </c>
      <c r="B7147" s="37" t="s">
        <v>4685</v>
      </c>
      <c r="C7147" s="37" t="s">
        <v>9</v>
      </c>
      <c r="D7147" s="326">
        <v>0.4</v>
      </c>
    </row>
    <row r="7148" spans="1:4" ht="13.5">
      <c r="A7148" s="37">
        <v>98526</v>
      </c>
      <c r="B7148" s="37" t="s">
        <v>4686</v>
      </c>
      <c r="C7148" s="37" t="s">
        <v>7</v>
      </c>
      <c r="D7148" s="326">
        <v>82.79</v>
      </c>
    </row>
    <row r="7149" spans="1:4" ht="13.5">
      <c r="A7149" s="37">
        <v>98527</v>
      </c>
      <c r="B7149" s="37" t="s">
        <v>4687</v>
      </c>
      <c r="C7149" s="37" t="s">
        <v>7</v>
      </c>
      <c r="D7149" s="326">
        <v>178.25</v>
      </c>
    </row>
    <row r="7150" spans="1:4" ht="13.5">
      <c r="A7150" s="37">
        <v>98528</v>
      </c>
      <c r="B7150" s="37" t="s">
        <v>4688</v>
      </c>
      <c r="C7150" s="37" t="s">
        <v>7</v>
      </c>
      <c r="D7150" s="326">
        <v>260.66000000000003</v>
      </c>
    </row>
    <row r="7151" spans="1:4" ht="13.5">
      <c r="A7151" s="37">
        <v>98529</v>
      </c>
      <c r="B7151" s="37" t="s">
        <v>4689</v>
      </c>
      <c r="C7151" s="37" t="s">
        <v>7</v>
      </c>
      <c r="D7151" s="326">
        <v>62.17</v>
      </c>
    </row>
    <row r="7152" spans="1:4" ht="13.5">
      <c r="A7152" s="37">
        <v>98530</v>
      </c>
      <c r="B7152" s="37" t="s">
        <v>4690</v>
      </c>
      <c r="C7152" s="37" t="s">
        <v>7</v>
      </c>
      <c r="D7152" s="326">
        <v>110.75</v>
      </c>
    </row>
    <row r="7153" spans="1:4" ht="13.5">
      <c r="A7153" s="37">
        <v>98531</v>
      </c>
      <c r="B7153" s="37" t="s">
        <v>4691</v>
      </c>
      <c r="C7153" s="37" t="s">
        <v>7</v>
      </c>
      <c r="D7153" s="326">
        <v>282.77</v>
      </c>
    </row>
    <row r="7154" spans="1:4" ht="13.5">
      <c r="A7154" s="37">
        <v>98532</v>
      </c>
      <c r="B7154" s="37" t="s">
        <v>4692</v>
      </c>
      <c r="C7154" s="37" t="s">
        <v>7</v>
      </c>
      <c r="D7154" s="326">
        <v>115.49</v>
      </c>
    </row>
    <row r="7155" spans="1:4" ht="13.5">
      <c r="A7155" s="37">
        <v>98533</v>
      </c>
      <c r="B7155" s="37" t="s">
        <v>4693</v>
      </c>
      <c r="C7155" s="37" t="s">
        <v>7</v>
      </c>
      <c r="D7155" s="326">
        <v>313.95999999999998</v>
      </c>
    </row>
    <row r="7156" spans="1:4" ht="13.5">
      <c r="A7156" s="37">
        <v>98534</v>
      </c>
      <c r="B7156" s="37" t="s">
        <v>4694</v>
      </c>
      <c r="C7156" s="37" t="s">
        <v>7</v>
      </c>
      <c r="D7156" s="326">
        <v>807.11</v>
      </c>
    </row>
    <row r="7157" spans="1:4" ht="13.5">
      <c r="A7157" s="37">
        <v>98535</v>
      </c>
      <c r="B7157" s="37" t="s">
        <v>4695</v>
      </c>
      <c r="C7157" s="37" t="s">
        <v>7</v>
      </c>
      <c r="D7157" s="38">
        <v>1272.73</v>
      </c>
    </row>
    <row r="7158" spans="1:4" ht="13.5">
      <c r="A7158" s="37">
        <v>88238</v>
      </c>
      <c r="B7158" s="37" t="s">
        <v>4696</v>
      </c>
      <c r="C7158" s="37" t="s">
        <v>10</v>
      </c>
      <c r="D7158" s="326">
        <v>21.19</v>
      </c>
    </row>
    <row r="7159" spans="1:4" ht="13.5">
      <c r="A7159" s="37">
        <v>88239</v>
      </c>
      <c r="B7159" s="37" t="s">
        <v>4697</v>
      </c>
      <c r="C7159" s="37" t="s">
        <v>10</v>
      </c>
      <c r="D7159" s="326">
        <v>21.11</v>
      </c>
    </row>
    <row r="7160" spans="1:4" ht="13.5">
      <c r="A7160" s="37">
        <v>88240</v>
      </c>
      <c r="B7160" s="37" t="s">
        <v>4698</v>
      </c>
      <c r="C7160" s="37" t="s">
        <v>10</v>
      </c>
      <c r="D7160" s="326">
        <v>20</v>
      </c>
    </row>
    <row r="7161" spans="1:4" ht="13.5">
      <c r="A7161" s="37">
        <v>88241</v>
      </c>
      <c r="B7161" s="37" t="s">
        <v>4699</v>
      </c>
      <c r="C7161" s="37" t="s">
        <v>10</v>
      </c>
      <c r="D7161" s="326">
        <v>19.649999999999999</v>
      </c>
    </row>
    <row r="7162" spans="1:4" ht="13.5">
      <c r="A7162" s="37">
        <v>88242</v>
      </c>
      <c r="B7162" s="37" t="s">
        <v>4700</v>
      </c>
      <c r="C7162" s="37" t="s">
        <v>10</v>
      </c>
      <c r="D7162" s="326">
        <v>21.25</v>
      </c>
    </row>
    <row r="7163" spans="1:4" ht="13.5">
      <c r="A7163" s="37">
        <v>88243</v>
      </c>
      <c r="B7163" s="37" t="s">
        <v>4701</v>
      </c>
      <c r="C7163" s="37" t="s">
        <v>10</v>
      </c>
      <c r="D7163" s="326">
        <v>19.53</v>
      </c>
    </row>
    <row r="7164" spans="1:4" ht="13.5">
      <c r="A7164" s="37">
        <v>88245</v>
      </c>
      <c r="B7164" s="37" t="s">
        <v>4702</v>
      </c>
      <c r="C7164" s="37" t="s">
        <v>10</v>
      </c>
      <c r="D7164" s="326">
        <v>25.27</v>
      </c>
    </row>
    <row r="7165" spans="1:4" ht="13.5">
      <c r="A7165" s="37">
        <v>88246</v>
      </c>
      <c r="B7165" s="37" t="s">
        <v>4703</v>
      </c>
      <c r="C7165" s="37" t="s">
        <v>10</v>
      </c>
      <c r="D7165" s="326">
        <v>21.93</v>
      </c>
    </row>
    <row r="7166" spans="1:4" ht="13.5">
      <c r="A7166" s="37">
        <v>88247</v>
      </c>
      <c r="B7166" s="37" t="s">
        <v>4704</v>
      </c>
      <c r="C7166" s="37" t="s">
        <v>10</v>
      </c>
      <c r="D7166" s="326">
        <v>21.66</v>
      </c>
    </row>
    <row r="7167" spans="1:4" ht="13.5">
      <c r="A7167" s="37">
        <v>88248</v>
      </c>
      <c r="B7167" s="37" t="s">
        <v>4705</v>
      </c>
      <c r="C7167" s="37" t="s">
        <v>10</v>
      </c>
      <c r="D7167" s="326">
        <v>20.62</v>
      </c>
    </row>
    <row r="7168" spans="1:4" ht="13.5">
      <c r="A7168" s="37">
        <v>88249</v>
      </c>
      <c r="B7168" s="37" t="s">
        <v>4706</v>
      </c>
      <c r="C7168" s="37" t="s">
        <v>10</v>
      </c>
      <c r="D7168" s="326">
        <v>30.82</v>
      </c>
    </row>
    <row r="7169" spans="1:4" ht="13.5">
      <c r="A7169" s="37">
        <v>88250</v>
      </c>
      <c r="B7169" s="37" t="s">
        <v>4707</v>
      </c>
      <c r="C7169" s="37" t="s">
        <v>10</v>
      </c>
      <c r="D7169" s="326">
        <v>20</v>
      </c>
    </row>
    <row r="7170" spans="1:4" ht="13.5">
      <c r="A7170" s="37">
        <v>88251</v>
      </c>
      <c r="B7170" s="37" t="s">
        <v>4708</v>
      </c>
      <c r="C7170" s="37" t="s">
        <v>10</v>
      </c>
      <c r="D7170" s="326">
        <v>21.19</v>
      </c>
    </row>
    <row r="7171" spans="1:4" ht="13.5">
      <c r="A7171" s="37">
        <v>88252</v>
      </c>
      <c r="B7171" s="37" t="s">
        <v>4709</v>
      </c>
      <c r="C7171" s="37" t="s">
        <v>10</v>
      </c>
      <c r="D7171" s="326">
        <v>19.100000000000001</v>
      </c>
    </row>
    <row r="7172" spans="1:4" ht="13.5">
      <c r="A7172" s="37">
        <v>88253</v>
      </c>
      <c r="B7172" s="37" t="s">
        <v>4710</v>
      </c>
      <c r="C7172" s="37" t="s">
        <v>10</v>
      </c>
      <c r="D7172" s="326">
        <v>15.26</v>
      </c>
    </row>
    <row r="7173" spans="1:4" ht="13.5">
      <c r="A7173" s="37">
        <v>88255</v>
      </c>
      <c r="B7173" s="37" t="s">
        <v>4711</v>
      </c>
      <c r="C7173" s="37" t="s">
        <v>10</v>
      </c>
      <c r="D7173" s="326">
        <v>42.66</v>
      </c>
    </row>
    <row r="7174" spans="1:4" ht="13.5">
      <c r="A7174" s="37">
        <v>88256</v>
      </c>
      <c r="B7174" s="37" t="s">
        <v>4712</v>
      </c>
      <c r="C7174" s="37" t="s">
        <v>10</v>
      </c>
      <c r="D7174" s="326">
        <v>25.35</v>
      </c>
    </row>
    <row r="7175" spans="1:4" ht="13.5">
      <c r="A7175" s="37">
        <v>88257</v>
      </c>
      <c r="B7175" s="37" t="s">
        <v>4713</v>
      </c>
      <c r="C7175" s="37" t="s">
        <v>10</v>
      </c>
      <c r="D7175" s="326">
        <v>25.01</v>
      </c>
    </row>
    <row r="7176" spans="1:4" ht="13.5">
      <c r="A7176" s="37">
        <v>88258</v>
      </c>
      <c r="B7176" s="37" t="s">
        <v>4714</v>
      </c>
      <c r="C7176" s="37" t="s">
        <v>10</v>
      </c>
      <c r="D7176" s="326">
        <v>20.3</v>
      </c>
    </row>
    <row r="7177" spans="1:4" ht="13.5">
      <c r="A7177" s="37">
        <v>88260</v>
      </c>
      <c r="B7177" s="37" t="s">
        <v>4715</v>
      </c>
      <c r="C7177" s="37" t="s">
        <v>10</v>
      </c>
      <c r="D7177" s="326">
        <v>22.15</v>
      </c>
    </row>
    <row r="7178" spans="1:4" ht="13.5">
      <c r="A7178" s="37">
        <v>88261</v>
      </c>
      <c r="B7178" s="37" t="s">
        <v>4716</v>
      </c>
      <c r="C7178" s="37" t="s">
        <v>10</v>
      </c>
      <c r="D7178" s="326">
        <v>27.66</v>
      </c>
    </row>
    <row r="7179" spans="1:4" ht="13.5">
      <c r="A7179" s="37">
        <v>88262</v>
      </c>
      <c r="B7179" s="37" t="s">
        <v>4717</v>
      </c>
      <c r="C7179" s="37" t="s">
        <v>10</v>
      </c>
      <c r="D7179" s="326">
        <v>27.58</v>
      </c>
    </row>
    <row r="7180" spans="1:4" ht="13.5">
      <c r="A7180" s="37">
        <v>88263</v>
      </c>
      <c r="B7180" s="37" t="s">
        <v>4718</v>
      </c>
      <c r="C7180" s="37" t="s">
        <v>10</v>
      </c>
      <c r="D7180" s="326">
        <v>18.03</v>
      </c>
    </row>
    <row r="7181" spans="1:4" ht="13.5">
      <c r="A7181" s="37">
        <v>88264</v>
      </c>
      <c r="B7181" s="37" t="s">
        <v>4719</v>
      </c>
      <c r="C7181" s="37" t="s">
        <v>10</v>
      </c>
      <c r="D7181" s="326">
        <v>29.24</v>
      </c>
    </row>
    <row r="7182" spans="1:4" ht="13.5">
      <c r="A7182" s="37">
        <v>88265</v>
      </c>
      <c r="B7182" s="37" t="s">
        <v>4720</v>
      </c>
      <c r="C7182" s="37" t="s">
        <v>10</v>
      </c>
      <c r="D7182" s="326">
        <v>28.51</v>
      </c>
    </row>
    <row r="7183" spans="1:4" ht="13.5">
      <c r="A7183" s="37">
        <v>88266</v>
      </c>
      <c r="B7183" s="37" t="s">
        <v>4721</v>
      </c>
      <c r="C7183" s="37" t="s">
        <v>10</v>
      </c>
      <c r="D7183" s="326">
        <v>32.68</v>
      </c>
    </row>
    <row r="7184" spans="1:4" ht="13.5">
      <c r="A7184" s="37">
        <v>88267</v>
      </c>
      <c r="B7184" s="37" t="s">
        <v>4722</v>
      </c>
      <c r="C7184" s="37" t="s">
        <v>10</v>
      </c>
      <c r="D7184" s="326">
        <v>23.69</v>
      </c>
    </row>
    <row r="7185" spans="1:4" ht="13.5">
      <c r="A7185" s="37">
        <v>88269</v>
      </c>
      <c r="B7185" s="37" t="s">
        <v>4723</v>
      </c>
      <c r="C7185" s="37" t="s">
        <v>10</v>
      </c>
      <c r="D7185" s="326">
        <v>19.47</v>
      </c>
    </row>
    <row r="7186" spans="1:4" ht="13.5">
      <c r="A7186" s="37">
        <v>88270</v>
      </c>
      <c r="B7186" s="37" t="s">
        <v>4724</v>
      </c>
      <c r="C7186" s="37" t="s">
        <v>10</v>
      </c>
      <c r="D7186" s="326">
        <v>23.77</v>
      </c>
    </row>
    <row r="7187" spans="1:4" ht="13.5">
      <c r="A7187" s="37">
        <v>88272</v>
      </c>
      <c r="B7187" s="37" t="s">
        <v>4725</v>
      </c>
      <c r="C7187" s="37" t="s">
        <v>10</v>
      </c>
      <c r="D7187" s="326">
        <v>28.22</v>
      </c>
    </row>
    <row r="7188" spans="1:4" ht="13.5">
      <c r="A7188" s="37">
        <v>88273</v>
      </c>
      <c r="B7188" s="37" t="s">
        <v>4726</v>
      </c>
      <c r="C7188" s="37" t="s">
        <v>10</v>
      </c>
      <c r="D7188" s="326">
        <v>27.13</v>
      </c>
    </row>
    <row r="7189" spans="1:4" ht="13.5">
      <c r="A7189" s="37">
        <v>88274</v>
      </c>
      <c r="B7189" s="37" t="s">
        <v>4727</v>
      </c>
      <c r="C7189" s="37" t="s">
        <v>10</v>
      </c>
      <c r="D7189" s="326">
        <v>25.51</v>
      </c>
    </row>
    <row r="7190" spans="1:4" ht="13.5">
      <c r="A7190" s="37">
        <v>88275</v>
      </c>
      <c r="B7190" s="37" t="s">
        <v>4728</v>
      </c>
      <c r="C7190" s="37" t="s">
        <v>10</v>
      </c>
      <c r="D7190" s="326">
        <v>35.03</v>
      </c>
    </row>
    <row r="7191" spans="1:4" ht="13.5">
      <c r="A7191" s="37">
        <v>88277</v>
      </c>
      <c r="B7191" s="37" t="s">
        <v>4729</v>
      </c>
      <c r="C7191" s="37" t="s">
        <v>10</v>
      </c>
      <c r="D7191" s="326">
        <v>31.34</v>
      </c>
    </row>
    <row r="7192" spans="1:4" ht="13.5">
      <c r="A7192" s="37">
        <v>88278</v>
      </c>
      <c r="B7192" s="37" t="s">
        <v>4730</v>
      </c>
      <c r="C7192" s="37" t="s">
        <v>10</v>
      </c>
      <c r="D7192" s="326">
        <v>27.25</v>
      </c>
    </row>
    <row r="7193" spans="1:4" ht="13.5">
      <c r="A7193" s="37">
        <v>88279</v>
      </c>
      <c r="B7193" s="37" t="s">
        <v>4731</v>
      </c>
      <c r="C7193" s="37" t="s">
        <v>10</v>
      </c>
      <c r="D7193" s="326">
        <v>37.020000000000003</v>
      </c>
    </row>
    <row r="7194" spans="1:4" ht="13.5">
      <c r="A7194" s="37">
        <v>88281</v>
      </c>
      <c r="B7194" s="37" t="s">
        <v>4732</v>
      </c>
      <c r="C7194" s="37" t="s">
        <v>10</v>
      </c>
      <c r="D7194" s="326">
        <v>25.33</v>
      </c>
    </row>
    <row r="7195" spans="1:4" ht="13.5">
      <c r="A7195" s="37">
        <v>88282</v>
      </c>
      <c r="B7195" s="37" t="s">
        <v>4733</v>
      </c>
      <c r="C7195" s="37" t="s">
        <v>10</v>
      </c>
      <c r="D7195" s="326">
        <v>24.53</v>
      </c>
    </row>
    <row r="7196" spans="1:4" ht="13.5">
      <c r="A7196" s="37">
        <v>88283</v>
      </c>
      <c r="B7196" s="37" t="s">
        <v>4734</v>
      </c>
      <c r="C7196" s="37" t="s">
        <v>10</v>
      </c>
      <c r="D7196" s="326">
        <v>29.62</v>
      </c>
    </row>
    <row r="7197" spans="1:4" ht="13.5">
      <c r="A7197" s="37">
        <v>88284</v>
      </c>
      <c r="B7197" s="37" t="s">
        <v>18152</v>
      </c>
      <c r="C7197" s="37" t="s">
        <v>10</v>
      </c>
      <c r="D7197" s="326">
        <v>21.01</v>
      </c>
    </row>
    <row r="7198" spans="1:4" ht="13.5">
      <c r="A7198" s="37">
        <v>88286</v>
      </c>
      <c r="B7198" s="37" t="s">
        <v>4735</v>
      </c>
      <c r="C7198" s="37" t="s">
        <v>10</v>
      </c>
      <c r="D7198" s="326">
        <v>26.57</v>
      </c>
    </row>
    <row r="7199" spans="1:4" ht="13.5">
      <c r="A7199" s="37">
        <v>88288</v>
      </c>
      <c r="B7199" s="37" t="s">
        <v>4736</v>
      </c>
      <c r="C7199" s="37" t="s">
        <v>10</v>
      </c>
      <c r="D7199" s="326">
        <v>18.48</v>
      </c>
    </row>
    <row r="7200" spans="1:4" ht="13.5">
      <c r="A7200" s="37">
        <v>88291</v>
      </c>
      <c r="B7200" s="37" t="s">
        <v>4737</v>
      </c>
      <c r="C7200" s="37" t="s">
        <v>10</v>
      </c>
      <c r="D7200" s="326">
        <v>28.63</v>
      </c>
    </row>
    <row r="7201" spans="1:4" ht="13.5">
      <c r="A7201" s="37">
        <v>88292</v>
      </c>
      <c r="B7201" s="37" t="s">
        <v>4738</v>
      </c>
      <c r="C7201" s="37" t="s">
        <v>10</v>
      </c>
      <c r="D7201" s="326">
        <v>18.8</v>
      </c>
    </row>
    <row r="7202" spans="1:4" ht="13.5">
      <c r="A7202" s="37">
        <v>88293</v>
      </c>
      <c r="B7202" s="37" t="s">
        <v>4739</v>
      </c>
      <c r="C7202" s="37" t="s">
        <v>10</v>
      </c>
      <c r="D7202" s="326">
        <v>28.63</v>
      </c>
    </row>
    <row r="7203" spans="1:4" ht="13.5">
      <c r="A7203" s="37">
        <v>88294</v>
      </c>
      <c r="B7203" s="37" t="s">
        <v>4740</v>
      </c>
      <c r="C7203" s="37" t="s">
        <v>10</v>
      </c>
      <c r="D7203" s="326">
        <v>31.13</v>
      </c>
    </row>
    <row r="7204" spans="1:4" ht="13.5">
      <c r="A7204" s="37">
        <v>88295</v>
      </c>
      <c r="B7204" s="37" t="s">
        <v>4741</v>
      </c>
      <c r="C7204" s="37" t="s">
        <v>10</v>
      </c>
      <c r="D7204" s="326">
        <v>24.62</v>
      </c>
    </row>
    <row r="7205" spans="1:4" ht="13.5">
      <c r="A7205" s="37">
        <v>88296</v>
      </c>
      <c r="B7205" s="37" t="s">
        <v>4742</v>
      </c>
      <c r="C7205" s="37" t="s">
        <v>10</v>
      </c>
      <c r="D7205" s="326">
        <v>40.520000000000003</v>
      </c>
    </row>
    <row r="7206" spans="1:4" ht="13.5">
      <c r="A7206" s="37">
        <v>88297</v>
      </c>
      <c r="B7206" s="37" t="s">
        <v>4743</v>
      </c>
      <c r="C7206" s="37" t="s">
        <v>10</v>
      </c>
      <c r="D7206" s="326">
        <v>32.29</v>
      </c>
    </row>
    <row r="7207" spans="1:4" ht="13.5">
      <c r="A7207" s="37">
        <v>88298</v>
      </c>
      <c r="B7207" s="37" t="s">
        <v>4744</v>
      </c>
      <c r="C7207" s="37" t="s">
        <v>10</v>
      </c>
      <c r="D7207" s="326">
        <v>22.32</v>
      </c>
    </row>
    <row r="7208" spans="1:4" ht="13.5">
      <c r="A7208" s="37">
        <v>88299</v>
      </c>
      <c r="B7208" s="37" t="s">
        <v>4745</v>
      </c>
      <c r="C7208" s="37" t="s">
        <v>10</v>
      </c>
      <c r="D7208" s="326">
        <v>37.049999999999997</v>
      </c>
    </row>
    <row r="7209" spans="1:4" ht="13.5">
      <c r="A7209" s="37">
        <v>88300</v>
      </c>
      <c r="B7209" s="37" t="s">
        <v>4746</v>
      </c>
      <c r="C7209" s="37" t="s">
        <v>10</v>
      </c>
      <c r="D7209" s="326">
        <v>37.049999999999997</v>
      </c>
    </row>
    <row r="7210" spans="1:4" ht="13.5">
      <c r="A7210" s="37">
        <v>88301</v>
      </c>
      <c r="B7210" s="37" t="s">
        <v>4747</v>
      </c>
      <c r="C7210" s="37" t="s">
        <v>10</v>
      </c>
      <c r="D7210" s="326">
        <v>28.63</v>
      </c>
    </row>
    <row r="7211" spans="1:4" ht="13.5">
      <c r="A7211" s="37">
        <v>88302</v>
      </c>
      <c r="B7211" s="37" t="s">
        <v>4748</v>
      </c>
      <c r="C7211" s="37" t="s">
        <v>10</v>
      </c>
      <c r="D7211" s="326">
        <v>28.63</v>
      </c>
    </row>
    <row r="7212" spans="1:4" ht="13.5">
      <c r="A7212" s="37">
        <v>88303</v>
      </c>
      <c r="B7212" s="37" t="s">
        <v>4749</v>
      </c>
      <c r="C7212" s="37" t="s">
        <v>10</v>
      </c>
      <c r="D7212" s="326">
        <v>24.08</v>
      </c>
    </row>
    <row r="7213" spans="1:4" ht="13.5">
      <c r="A7213" s="37">
        <v>88304</v>
      </c>
      <c r="B7213" s="37" t="s">
        <v>4751</v>
      </c>
      <c r="C7213" s="37" t="s">
        <v>10</v>
      </c>
      <c r="D7213" s="326">
        <v>37.049999999999997</v>
      </c>
    </row>
    <row r="7214" spans="1:4" ht="13.5">
      <c r="A7214" s="37">
        <v>88306</v>
      </c>
      <c r="B7214" s="37" t="s">
        <v>4752</v>
      </c>
      <c r="C7214" s="37" t="s">
        <v>10</v>
      </c>
      <c r="D7214" s="326">
        <v>19.93</v>
      </c>
    </row>
    <row r="7215" spans="1:4" ht="13.5">
      <c r="A7215" s="37">
        <v>88307</v>
      </c>
      <c r="B7215" s="37" t="s">
        <v>4753</v>
      </c>
      <c r="C7215" s="37" t="s">
        <v>10</v>
      </c>
      <c r="D7215" s="326">
        <v>30.41</v>
      </c>
    </row>
    <row r="7216" spans="1:4" ht="13.5">
      <c r="A7216" s="37">
        <v>88308</v>
      </c>
      <c r="B7216" s="37" t="s">
        <v>4754</v>
      </c>
      <c r="C7216" s="37" t="s">
        <v>10</v>
      </c>
      <c r="D7216" s="326">
        <v>25.35</v>
      </c>
    </row>
    <row r="7217" spans="1:4" ht="13.5">
      <c r="A7217" s="37">
        <v>88309</v>
      </c>
      <c r="B7217" s="37" t="s">
        <v>4755</v>
      </c>
      <c r="C7217" s="37" t="s">
        <v>10</v>
      </c>
      <c r="D7217" s="326">
        <v>25.5</v>
      </c>
    </row>
    <row r="7218" spans="1:4" ht="13.5">
      <c r="A7218" s="37">
        <v>88310</v>
      </c>
      <c r="B7218" s="37" t="s">
        <v>4756</v>
      </c>
      <c r="C7218" s="37" t="s">
        <v>10</v>
      </c>
      <c r="D7218" s="326">
        <v>29.2</v>
      </c>
    </row>
    <row r="7219" spans="1:4" ht="13.5">
      <c r="A7219" s="37">
        <v>88311</v>
      </c>
      <c r="B7219" s="37" t="s">
        <v>4757</v>
      </c>
      <c r="C7219" s="37" t="s">
        <v>10</v>
      </c>
      <c r="D7219" s="326">
        <v>27.42</v>
      </c>
    </row>
    <row r="7220" spans="1:4" ht="13.5">
      <c r="A7220" s="37">
        <v>88312</v>
      </c>
      <c r="B7220" s="37" t="s">
        <v>4758</v>
      </c>
      <c r="C7220" s="37" t="s">
        <v>10</v>
      </c>
      <c r="D7220" s="326">
        <v>29.2</v>
      </c>
    </row>
    <row r="7221" spans="1:4" ht="13.5">
      <c r="A7221" s="37">
        <v>88313</v>
      </c>
      <c r="B7221" s="37" t="s">
        <v>4759</v>
      </c>
      <c r="C7221" s="37" t="s">
        <v>10</v>
      </c>
      <c r="D7221" s="326">
        <v>23.6</v>
      </c>
    </row>
    <row r="7222" spans="1:4" ht="13.5">
      <c r="A7222" s="37">
        <v>88314</v>
      </c>
      <c r="B7222" s="37" t="s">
        <v>4761</v>
      </c>
      <c r="C7222" s="37" t="s">
        <v>10</v>
      </c>
      <c r="D7222" s="326">
        <v>20.84</v>
      </c>
    </row>
    <row r="7223" spans="1:4" ht="13.5">
      <c r="A7223" s="37">
        <v>88315</v>
      </c>
      <c r="B7223" s="37" t="s">
        <v>4762</v>
      </c>
      <c r="C7223" s="37" t="s">
        <v>10</v>
      </c>
      <c r="D7223" s="326">
        <v>28.9</v>
      </c>
    </row>
    <row r="7224" spans="1:4" ht="13.5">
      <c r="A7224" s="37">
        <v>88316</v>
      </c>
      <c r="B7224" s="37" t="s">
        <v>4763</v>
      </c>
      <c r="C7224" s="37" t="s">
        <v>10</v>
      </c>
      <c r="D7224" s="326">
        <v>19.260000000000002</v>
      </c>
    </row>
    <row r="7225" spans="1:4" ht="13.5">
      <c r="A7225" s="37">
        <v>88317</v>
      </c>
      <c r="B7225" s="37" t="s">
        <v>4764</v>
      </c>
      <c r="C7225" s="37" t="s">
        <v>10</v>
      </c>
      <c r="D7225" s="326">
        <v>28.65</v>
      </c>
    </row>
    <row r="7226" spans="1:4" ht="13.5">
      <c r="A7226" s="37">
        <v>88318</v>
      </c>
      <c r="B7226" s="37" t="s">
        <v>4765</v>
      </c>
      <c r="C7226" s="37" t="s">
        <v>10</v>
      </c>
      <c r="D7226" s="326">
        <v>32.659999999999997</v>
      </c>
    </row>
    <row r="7227" spans="1:4" ht="13.5">
      <c r="A7227" s="37">
        <v>88320</v>
      </c>
      <c r="B7227" s="37" t="s">
        <v>4766</v>
      </c>
      <c r="C7227" s="37" t="s">
        <v>10</v>
      </c>
      <c r="D7227" s="326">
        <v>27.58</v>
      </c>
    </row>
    <row r="7228" spans="1:4" ht="13.5">
      <c r="A7228" s="37">
        <v>88321</v>
      </c>
      <c r="B7228" s="37" t="s">
        <v>4767</v>
      </c>
      <c r="C7228" s="37" t="s">
        <v>10</v>
      </c>
      <c r="D7228" s="326">
        <v>50.32</v>
      </c>
    </row>
    <row r="7229" spans="1:4" ht="13.5">
      <c r="A7229" s="37">
        <v>88322</v>
      </c>
      <c r="B7229" s="37" t="s">
        <v>4768</v>
      </c>
      <c r="C7229" s="37" t="s">
        <v>10</v>
      </c>
      <c r="D7229" s="326">
        <v>49.92</v>
      </c>
    </row>
    <row r="7230" spans="1:4" ht="13.5">
      <c r="A7230" s="37">
        <v>88323</v>
      </c>
      <c r="B7230" s="37" t="s">
        <v>4769</v>
      </c>
      <c r="C7230" s="37" t="s">
        <v>10</v>
      </c>
      <c r="D7230" s="326">
        <v>27.29</v>
      </c>
    </row>
    <row r="7231" spans="1:4" ht="13.5">
      <c r="A7231" s="37">
        <v>88324</v>
      </c>
      <c r="B7231" s="37" t="s">
        <v>4770</v>
      </c>
      <c r="C7231" s="37" t="s">
        <v>10</v>
      </c>
      <c r="D7231" s="326">
        <v>32.29</v>
      </c>
    </row>
    <row r="7232" spans="1:4" ht="13.5">
      <c r="A7232" s="37">
        <v>88325</v>
      </c>
      <c r="B7232" s="37" t="s">
        <v>4771</v>
      </c>
      <c r="C7232" s="37" t="s">
        <v>10</v>
      </c>
      <c r="D7232" s="326">
        <v>21.86</v>
      </c>
    </row>
    <row r="7233" spans="1:4" ht="13.5">
      <c r="A7233" s="37">
        <v>88377</v>
      </c>
      <c r="B7233" s="37" t="s">
        <v>4772</v>
      </c>
      <c r="C7233" s="37" t="s">
        <v>10</v>
      </c>
      <c r="D7233" s="326">
        <v>25</v>
      </c>
    </row>
    <row r="7234" spans="1:4" ht="13.5">
      <c r="A7234" s="37">
        <v>88441</v>
      </c>
      <c r="B7234" s="37" t="s">
        <v>4773</v>
      </c>
      <c r="C7234" s="37" t="s">
        <v>10</v>
      </c>
      <c r="D7234" s="326">
        <v>21</v>
      </c>
    </row>
    <row r="7235" spans="1:4" ht="13.5">
      <c r="A7235" s="37">
        <v>88597</v>
      </c>
      <c r="B7235" s="37" t="s">
        <v>4774</v>
      </c>
      <c r="C7235" s="37" t="s">
        <v>10</v>
      </c>
      <c r="D7235" s="326">
        <v>30.77</v>
      </c>
    </row>
    <row r="7236" spans="1:4" ht="13.5">
      <c r="A7236" s="37">
        <v>90766</v>
      </c>
      <c r="B7236" s="37" t="s">
        <v>4775</v>
      </c>
      <c r="C7236" s="37" t="s">
        <v>10</v>
      </c>
      <c r="D7236" s="326">
        <v>25.6</v>
      </c>
    </row>
    <row r="7237" spans="1:4" ht="13.5">
      <c r="A7237" s="37">
        <v>90767</v>
      </c>
      <c r="B7237" s="37" t="s">
        <v>4776</v>
      </c>
      <c r="C7237" s="37" t="s">
        <v>10</v>
      </c>
      <c r="D7237" s="326">
        <v>26.45</v>
      </c>
    </row>
    <row r="7238" spans="1:4" ht="13.5">
      <c r="A7238" s="37">
        <v>90768</v>
      </c>
      <c r="B7238" s="37" t="s">
        <v>4777</v>
      </c>
      <c r="C7238" s="37" t="s">
        <v>10</v>
      </c>
      <c r="D7238" s="326">
        <v>102.45</v>
      </c>
    </row>
    <row r="7239" spans="1:4" ht="13.5">
      <c r="A7239" s="37">
        <v>90769</v>
      </c>
      <c r="B7239" s="37" t="s">
        <v>4778</v>
      </c>
      <c r="C7239" s="37" t="s">
        <v>10</v>
      </c>
      <c r="D7239" s="326">
        <v>116.34</v>
      </c>
    </row>
    <row r="7240" spans="1:4" ht="13.5">
      <c r="A7240" s="37">
        <v>90770</v>
      </c>
      <c r="B7240" s="37" t="s">
        <v>4779</v>
      </c>
      <c r="C7240" s="37" t="s">
        <v>10</v>
      </c>
      <c r="D7240" s="326">
        <v>119.95</v>
      </c>
    </row>
    <row r="7241" spans="1:4" ht="13.5">
      <c r="A7241" s="37">
        <v>90771</v>
      </c>
      <c r="B7241" s="37" t="s">
        <v>4780</v>
      </c>
      <c r="C7241" s="37" t="s">
        <v>10</v>
      </c>
      <c r="D7241" s="326">
        <v>15.81</v>
      </c>
    </row>
    <row r="7242" spans="1:4" ht="13.5">
      <c r="A7242" s="37">
        <v>90772</v>
      </c>
      <c r="B7242" s="37" t="s">
        <v>4781</v>
      </c>
      <c r="C7242" s="37" t="s">
        <v>10</v>
      </c>
      <c r="D7242" s="326">
        <v>19.29</v>
      </c>
    </row>
    <row r="7243" spans="1:4" ht="13.5">
      <c r="A7243" s="37">
        <v>90773</v>
      </c>
      <c r="B7243" s="37" t="s">
        <v>4782</v>
      </c>
      <c r="C7243" s="37" t="s">
        <v>10</v>
      </c>
      <c r="D7243" s="326">
        <v>12.48</v>
      </c>
    </row>
    <row r="7244" spans="1:4" ht="13.5">
      <c r="A7244" s="37">
        <v>90775</v>
      </c>
      <c r="B7244" s="37" t="s">
        <v>4783</v>
      </c>
      <c r="C7244" s="37" t="s">
        <v>10</v>
      </c>
      <c r="D7244" s="326">
        <v>20.420000000000002</v>
      </c>
    </row>
    <row r="7245" spans="1:4" ht="13.5">
      <c r="A7245" s="37">
        <v>90776</v>
      </c>
      <c r="B7245" s="37" t="s">
        <v>4784</v>
      </c>
      <c r="C7245" s="37" t="s">
        <v>10</v>
      </c>
      <c r="D7245" s="326">
        <v>39.83</v>
      </c>
    </row>
    <row r="7246" spans="1:4" ht="13.5">
      <c r="A7246" s="37">
        <v>90777</v>
      </c>
      <c r="B7246" s="37" t="s">
        <v>4785</v>
      </c>
      <c r="C7246" s="37" t="s">
        <v>10</v>
      </c>
      <c r="D7246" s="326">
        <v>114.71</v>
      </c>
    </row>
    <row r="7247" spans="1:4" ht="13.5">
      <c r="A7247" s="37">
        <v>90778</v>
      </c>
      <c r="B7247" s="37" t="s">
        <v>4786</v>
      </c>
      <c r="C7247" s="37" t="s">
        <v>10</v>
      </c>
      <c r="D7247" s="326">
        <v>123.07</v>
      </c>
    </row>
    <row r="7248" spans="1:4" ht="13.5">
      <c r="A7248" s="37">
        <v>90779</v>
      </c>
      <c r="B7248" s="37" t="s">
        <v>4787</v>
      </c>
      <c r="C7248" s="37" t="s">
        <v>10</v>
      </c>
      <c r="D7248" s="326">
        <v>143.53</v>
      </c>
    </row>
    <row r="7249" spans="1:4" ht="13.5">
      <c r="A7249" s="37">
        <v>90780</v>
      </c>
      <c r="B7249" s="37" t="s">
        <v>4788</v>
      </c>
      <c r="C7249" s="37" t="s">
        <v>10</v>
      </c>
      <c r="D7249" s="326">
        <v>63.25</v>
      </c>
    </row>
    <row r="7250" spans="1:4" ht="13.5">
      <c r="A7250" s="37">
        <v>90781</v>
      </c>
      <c r="B7250" s="37" t="s">
        <v>4789</v>
      </c>
      <c r="C7250" s="37" t="s">
        <v>10</v>
      </c>
      <c r="D7250" s="326">
        <v>31.32</v>
      </c>
    </row>
    <row r="7251" spans="1:4" ht="13.5">
      <c r="A7251" s="37">
        <v>93558</v>
      </c>
      <c r="B7251" s="37" t="s">
        <v>4790</v>
      </c>
      <c r="C7251" s="37" t="s">
        <v>4791</v>
      </c>
      <c r="D7251" s="38">
        <v>4340.54</v>
      </c>
    </row>
    <row r="7252" spans="1:4" ht="13.5">
      <c r="A7252" s="37">
        <v>93559</v>
      </c>
      <c r="B7252" s="37" t="s">
        <v>4774</v>
      </c>
      <c r="C7252" s="37" t="s">
        <v>4791</v>
      </c>
      <c r="D7252" s="38">
        <v>5417.41</v>
      </c>
    </row>
    <row r="7253" spans="1:4" ht="13.5">
      <c r="A7253" s="37">
        <v>93560</v>
      </c>
      <c r="B7253" s="37" t="s">
        <v>4782</v>
      </c>
      <c r="C7253" s="37" t="s">
        <v>4791</v>
      </c>
      <c r="D7253" s="38">
        <v>2215.12</v>
      </c>
    </row>
    <row r="7254" spans="1:4" ht="13.5">
      <c r="A7254" s="37">
        <v>93561</v>
      </c>
      <c r="B7254" s="37" t="s">
        <v>4783</v>
      </c>
      <c r="C7254" s="37" t="s">
        <v>4791</v>
      </c>
      <c r="D7254" s="38">
        <v>3604.67</v>
      </c>
    </row>
    <row r="7255" spans="1:4" ht="13.5">
      <c r="A7255" s="37">
        <v>93562</v>
      </c>
      <c r="B7255" s="37" t="s">
        <v>4780</v>
      </c>
      <c r="C7255" s="37" t="s">
        <v>4791</v>
      </c>
      <c r="D7255" s="38">
        <v>2799.72</v>
      </c>
    </row>
    <row r="7256" spans="1:4" ht="13.5">
      <c r="A7256" s="37">
        <v>93563</v>
      </c>
      <c r="B7256" s="37" t="s">
        <v>4775</v>
      </c>
      <c r="C7256" s="37" t="s">
        <v>4791</v>
      </c>
      <c r="D7256" s="38">
        <v>4510.7299999999996</v>
      </c>
    </row>
    <row r="7257" spans="1:4" ht="13.5">
      <c r="A7257" s="37">
        <v>93564</v>
      </c>
      <c r="B7257" s="37" t="s">
        <v>4776</v>
      </c>
      <c r="C7257" s="37" t="s">
        <v>4791</v>
      </c>
      <c r="D7257" s="38">
        <v>4640.8999999999996</v>
      </c>
    </row>
    <row r="7258" spans="1:4" ht="13.5">
      <c r="A7258" s="37">
        <v>93565</v>
      </c>
      <c r="B7258" s="37" t="s">
        <v>4785</v>
      </c>
      <c r="C7258" s="37" t="s">
        <v>4791</v>
      </c>
      <c r="D7258" s="38">
        <v>20051.25</v>
      </c>
    </row>
    <row r="7259" spans="1:4" ht="13.5">
      <c r="A7259" s="37">
        <v>93566</v>
      </c>
      <c r="B7259" s="37" t="s">
        <v>4781</v>
      </c>
      <c r="C7259" s="37" t="s">
        <v>4791</v>
      </c>
      <c r="D7259" s="38">
        <v>3410.09</v>
      </c>
    </row>
    <row r="7260" spans="1:4" ht="13.5">
      <c r="A7260" s="37">
        <v>93567</v>
      </c>
      <c r="B7260" s="37" t="s">
        <v>4786</v>
      </c>
      <c r="C7260" s="37" t="s">
        <v>4791</v>
      </c>
      <c r="D7260" s="38">
        <v>21512.29</v>
      </c>
    </row>
    <row r="7261" spans="1:4" ht="13.5">
      <c r="A7261" s="37">
        <v>93568</v>
      </c>
      <c r="B7261" s="37" t="s">
        <v>4787</v>
      </c>
      <c r="C7261" s="37" t="s">
        <v>4791</v>
      </c>
      <c r="D7261" s="38">
        <v>25086.02</v>
      </c>
    </row>
    <row r="7262" spans="1:4" ht="13.5">
      <c r="A7262" s="37">
        <v>93569</v>
      </c>
      <c r="B7262" s="37" t="s">
        <v>4792</v>
      </c>
      <c r="C7262" s="37" t="s">
        <v>4791</v>
      </c>
      <c r="D7262" s="38">
        <v>17945.64</v>
      </c>
    </row>
    <row r="7263" spans="1:4" ht="13.5">
      <c r="A7263" s="37">
        <v>93570</v>
      </c>
      <c r="B7263" s="37" t="s">
        <v>4793</v>
      </c>
      <c r="C7263" s="37" t="s">
        <v>4791</v>
      </c>
      <c r="D7263" s="38">
        <v>20375.560000000001</v>
      </c>
    </row>
    <row r="7264" spans="1:4" ht="13.5">
      <c r="A7264" s="37">
        <v>93571</v>
      </c>
      <c r="B7264" s="37" t="s">
        <v>4794</v>
      </c>
      <c r="C7264" s="37" t="s">
        <v>4791</v>
      </c>
      <c r="D7264" s="38">
        <v>21006.63</v>
      </c>
    </row>
    <row r="7265" spans="1:4" ht="13.5">
      <c r="A7265" s="37">
        <v>93572</v>
      </c>
      <c r="B7265" s="37" t="s">
        <v>4795</v>
      </c>
      <c r="C7265" s="37" t="s">
        <v>4791</v>
      </c>
      <c r="D7265" s="38">
        <v>6979.86</v>
      </c>
    </row>
    <row r="7266" spans="1:4" ht="13.5">
      <c r="A7266" s="37">
        <v>94295</v>
      </c>
      <c r="B7266" s="37" t="s">
        <v>4788</v>
      </c>
      <c r="C7266" s="37" t="s">
        <v>4791</v>
      </c>
      <c r="D7266" s="38">
        <v>11061.2</v>
      </c>
    </row>
    <row r="7267" spans="1:4" ht="13.5">
      <c r="A7267" s="37">
        <v>94296</v>
      </c>
      <c r="B7267" s="37" t="s">
        <v>4789</v>
      </c>
      <c r="C7267" s="37" t="s">
        <v>4791</v>
      </c>
      <c r="D7267" s="38">
        <v>5505.08</v>
      </c>
    </row>
    <row r="7268" spans="1:4" ht="13.5">
      <c r="A7268" s="37">
        <v>95308</v>
      </c>
      <c r="B7268" s="37" t="s">
        <v>4796</v>
      </c>
      <c r="C7268" s="37" t="s">
        <v>10</v>
      </c>
      <c r="D7268" s="326">
        <v>0.21</v>
      </c>
    </row>
    <row r="7269" spans="1:4" ht="13.5">
      <c r="A7269" s="37">
        <v>95309</v>
      </c>
      <c r="B7269" s="37" t="s">
        <v>4797</v>
      </c>
      <c r="C7269" s="37" t="s">
        <v>10</v>
      </c>
      <c r="D7269" s="326">
        <v>0.27</v>
      </c>
    </row>
    <row r="7270" spans="1:4" ht="13.5">
      <c r="A7270" s="37">
        <v>95310</v>
      </c>
      <c r="B7270" s="37" t="s">
        <v>4798</v>
      </c>
      <c r="C7270" s="37" t="s">
        <v>10</v>
      </c>
      <c r="D7270" s="326">
        <v>0.21</v>
      </c>
    </row>
    <row r="7271" spans="1:4" ht="13.5">
      <c r="A7271" s="37">
        <v>95311</v>
      </c>
      <c r="B7271" s="37" t="s">
        <v>4799</v>
      </c>
      <c r="C7271" s="37" t="s">
        <v>10</v>
      </c>
      <c r="D7271" s="326">
        <v>0.19</v>
      </c>
    </row>
    <row r="7272" spans="1:4" ht="13.5">
      <c r="A7272" s="37">
        <v>95312</v>
      </c>
      <c r="B7272" s="37" t="s">
        <v>4800</v>
      </c>
      <c r="C7272" s="37" t="s">
        <v>10</v>
      </c>
      <c r="D7272" s="326">
        <v>0.27</v>
      </c>
    </row>
    <row r="7273" spans="1:4" ht="13.5">
      <c r="A7273" s="37">
        <v>95313</v>
      </c>
      <c r="B7273" s="37" t="s">
        <v>4801</v>
      </c>
      <c r="C7273" s="37" t="s">
        <v>10</v>
      </c>
      <c r="D7273" s="326">
        <v>0.19</v>
      </c>
    </row>
    <row r="7274" spans="1:4" ht="13.5">
      <c r="A7274" s="37">
        <v>95314</v>
      </c>
      <c r="B7274" s="37" t="s">
        <v>4802</v>
      </c>
      <c r="C7274" s="37" t="s">
        <v>10</v>
      </c>
      <c r="D7274" s="326">
        <v>0.26</v>
      </c>
    </row>
    <row r="7275" spans="1:4" ht="13.5">
      <c r="A7275" s="37">
        <v>95315</v>
      </c>
      <c r="B7275" s="37" t="s">
        <v>4803</v>
      </c>
      <c r="C7275" s="37" t="s">
        <v>10</v>
      </c>
      <c r="D7275" s="326">
        <v>0.3</v>
      </c>
    </row>
    <row r="7276" spans="1:4" ht="13.5">
      <c r="A7276" s="37">
        <v>95316</v>
      </c>
      <c r="B7276" s="37" t="s">
        <v>4804</v>
      </c>
      <c r="C7276" s="37" t="s">
        <v>10</v>
      </c>
      <c r="D7276" s="326">
        <v>0.69</v>
      </c>
    </row>
    <row r="7277" spans="1:4" ht="13.5">
      <c r="A7277" s="37">
        <v>95317</v>
      </c>
      <c r="B7277" s="37" t="s">
        <v>4805</v>
      </c>
      <c r="C7277" s="37" t="s">
        <v>10</v>
      </c>
      <c r="D7277" s="326">
        <v>0.33</v>
      </c>
    </row>
    <row r="7278" spans="1:4" ht="13.5">
      <c r="A7278" s="37">
        <v>95318</v>
      </c>
      <c r="B7278" s="37" t="s">
        <v>4806</v>
      </c>
      <c r="C7278" s="37" t="s">
        <v>10</v>
      </c>
      <c r="D7278" s="326">
        <v>0.27</v>
      </c>
    </row>
    <row r="7279" spans="1:4" ht="13.5">
      <c r="A7279" s="37">
        <v>95319</v>
      </c>
      <c r="B7279" s="37" t="s">
        <v>4807</v>
      </c>
      <c r="C7279" s="37" t="s">
        <v>10</v>
      </c>
      <c r="D7279" s="326">
        <v>0.21</v>
      </c>
    </row>
    <row r="7280" spans="1:4" ht="13.5">
      <c r="A7280" s="37">
        <v>95320</v>
      </c>
      <c r="B7280" s="37" t="s">
        <v>4808</v>
      </c>
      <c r="C7280" s="37" t="s">
        <v>10</v>
      </c>
      <c r="D7280" s="326">
        <v>0.21</v>
      </c>
    </row>
    <row r="7281" spans="1:4" ht="13.5">
      <c r="A7281" s="37">
        <v>95321</v>
      </c>
      <c r="B7281" s="37" t="s">
        <v>4809</v>
      </c>
      <c r="C7281" s="37" t="s">
        <v>10</v>
      </c>
      <c r="D7281" s="326">
        <v>0.18</v>
      </c>
    </row>
    <row r="7282" spans="1:4" ht="13.5">
      <c r="A7282" s="37">
        <v>95322</v>
      </c>
      <c r="B7282" s="37" t="s">
        <v>4810</v>
      </c>
      <c r="C7282" s="37" t="s">
        <v>10</v>
      </c>
      <c r="D7282" s="326">
        <v>0.12</v>
      </c>
    </row>
    <row r="7283" spans="1:4" ht="13.5">
      <c r="A7283" s="37">
        <v>95323</v>
      </c>
      <c r="B7283" s="37" t="s">
        <v>4811</v>
      </c>
      <c r="C7283" s="37" t="s">
        <v>10</v>
      </c>
      <c r="D7283" s="326">
        <v>0.38</v>
      </c>
    </row>
    <row r="7284" spans="1:4" ht="13.5">
      <c r="A7284" s="37">
        <v>95324</v>
      </c>
      <c r="B7284" s="37" t="s">
        <v>4812</v>
      </c>
      <c r="C7284" s="37" t="s">
        <v>10</v>
      </c>
      <c r="D7284" s="326">
        <v>0.34</v>
      </c>
    </row>
    <row r="7285" spans="1:4" ht="13.5">
      <c r="A7285" s="37">
        <v>95325</v>
      </c>
      <c r="B7285" s="37" t="s">
        <v>4813</v>
      </c>
      <c r="C7285" s="37" t="s">
        <v>10</v>
      </c>
      <c r="D7285" s="326">
        <v>0.43</v>
      </c>
    </row>
    <row r="7286" spans="1:4" ht="13.5">
      <c r="A7286" s="37">
        <v>95326</v>
      </c>
      <c r="B7286" s="37" t="s">
        <v>4814</v>
      </c>
      <c r="C7286" s="37" t="s">
        <v>10</v>
      </c>
      <c r="D7286" s="326">
        <v>0.1</v>
      </c>
    </row>
    <row r="7287" spans="1:4" ht="13.5">
      <c r="A7287" s="37">
        <v>95328</v>
      </c>
      <c r="B7287" s="37" t="s">
        <v>4815</v>
      </c>
      <c r="C7287" s="37" t="s">
        <v>10</v>
      </c>
      <c r="D7287" s="326">
        <v>0.22</v>
      </c>
    </row>
    <row r="7288" spans="1:4" ht="13.5">
      <c r="A7288" s="37">
        <v>95329</v>
      </c>
      <c r="B7288" s="37" t="s">
        <v>4816</v>
      </c>
      <c r="C7288" s="37" t="s">
        <v>10</v>
      </c>
      <c r="D7288" s="326">
        <v>0.38</v>
      </c>
    </row>
    <row r="7289" spans="1:4" ht="13.5">
      <c r="A7289" s="37">
        <v>95330</v>
      </c>
      <c r="B7289" s="37" t="s">
        <v>4817</v>
      </c>
      <c r="C7289" s="37" t="s">
        <v>10</v>
      </c>
      <c r="D7289" s="326">
        <v>0.3</v>
      </c>
    </row>
    <row r="7290" spans="1:4" ht="13.5">
      <c r="A7290" s="37">
        <v>95331</v>
      </c>
      <c r="B7290" s="37" t="s">
        <v>4818</v>
      </c>
      <c r="C7290" s="37" t="s">
        <v>10</v>
      </c>
      <c r="D7290" s="326">
        <v>0.18</v>
      </c>
    </row>
    <row r="7291" spans="1:4" ht="13.5">
      <c r="A7291" s="37">
        <v>95332</v>
      </c>
      <c r="B7291" s="37" t="s">
        <v>4819</v>
      </c>
      <c r="C7291" s="37" t="s">
        <v>10</v>
      </c>
      <c r="D7291" s="326">
        <v>1</v>
      </c>
    </row>
    <row r="7292" spans="1:4" ht="13.5">
      <c r="A7292" s="37">
        <v>95333</v>
      </c>
      <c r="B7292" s="37" t="s">
        <v>4820</v>
      </c>
      <c r="C7292" s="37" t="s">
        <v>10</v>
      </c>
      <c r="D7292" s="326">
        <v>0.97</v>
      </c>
    </row>
    <row r="7293" spans="1:4" ht="13.5">
      <c r="A7293" s="37">
        <v>95334</v>
      </c>
      <c r="B7293" s="37" t="s">
        <v>4821</v>
      </c>
      <c r="C7293" s="37" t="s">
        <v>10</v>
      </c>
      <c r="D7293" s="326">
        <v>0.95</v>
      </c>
    </row>
    <row r="7294" spans="1:4" ht="13.5">
      <c r="A7294" s="37">
        <v>95335</v>
      </c>
      <c r="B7294" s="37" t="s">
        <v>4822</v>
      </c>
      <c r="C7294" s="37" t="s">
        <v>10</v>
      </c>
      <c r="D7294" s="326">
        <v>0.39</v>
      </c>
    </row>
    <row r="7295" spans="1:4" ht="13.5">
      <c r="A7295" s="37">
        <v>95337</v>
      </c>
      <c r="B7295" s="37" t="s">
        <v>4823</v>
      </c>
      <c r="C7295" s="37" t="s">
        <v>10</v>
      </c>
      <c r="D7295" s="326">
        <v>0.19</v>
      </c>
    </row>
    <row r="7296" spans="1:4" ht="13.5">
      <c r="A7296" s="37">
        <v>95338</v>
      </c>
      <c r="B7296" s="37" t="s">
        <v>4824</v>
      </c>
      <c r="C7296" s="37" t="s">
        <v>10</v>
      </c>
      <c r="D7296" s="326">
        <v>0.45</v>
      </c>
    </row>
    <row r="7297" spans="1:4" ht="13.5">
      <c r="A7297" s="37">
        <v>95339</v>
      </c>
      <c r="B7297" s="37" t="s">
        <v>4825</v>
      </c>
      <c r="C7297" s="37" t="s">
        <v>10</v>
      </c>
      <c r="D7297" s="326">
        <v>0.45</v>
      </c>
    </row>
    <row r="7298" spans="1:4" ht="13.5">
      <c r="A7298" s="37">
        <v>95340</v>
      </c>
      <c r="B7298" s="37" t="s">
        <v>4826</v>
      </c>
      <c r="C7298" s="37" t="s">
        <v>10</v>
      </c>
      <c r="D7298" s="326">
        <v>0.37</v>
      </c>
    </row>
    <row r="7299" spans="1:4" ht="13.5">
      <c r="A7299" s="37">
        <v>95341</v>
      </c>
      <c r="B7299" s="37" t="s">
        <v>4827</v>
      </c>
      <c r="C7299" s="37" t="s">
        <v>10</v>
      </c>
      <c r="D7299" s="326">
        <v>0.34</v>
      </c>
    </row>
    <row r="7300" spans="1:4" ht="13.5">
      <c r="A7300" s="37">
        <v>95342</v>
      </c>
      <c r="B7300" s="37" t="s">
        <v>4828</v>
      </c>
      <c r="C7300" s="37" t="s">
        <v>10</v>
      </c>
      <c r="D7300" s="326">
        <v>0.28999999999999998</v>
      </c>
    </row>
    <row r="7301" spans="1:4" ht="13.5">
      <c r="A7301" s="37">
        <v>95343</v>
      </c>
      <c r="B7301" s="37" t="s">
        <v>4829</v>
      </c>
      <c r="C7301" s="37" t="s">
        <v>10</v>
      </c>
      <c r="D7301" s="326">
        <v>0.46</v>
      </c>
    </row>
    <row r="7302" spans="1:4" ht="13.5">
      <c r="A7302" s="37">
        <v>95344</v>
      </c>
      <c r="B7302" s="37" t="s">
        <v>4830</v>
      </c>
      <c r="C7302" s="37" t="s">
        <v>10</v>
      </c>
      <c r="D7302" s="326">
        <v>0.3</v>
      </c>
    </row>
    <row r="7303" spans="1:4" ht="13.5">
      <c r="A7303" s="37">
        <v>95345</v>
      </c>
      <c r="B7303" s="37" t="s">
        <v>4831</v>
      </c>
      <c r="C7303" s="37" t="s">
        <v>10</v>
      </c>
      <c r="D7303" s="326">
        <v>1.1000000000000001</v>
      </c>
    </row>
    <row r="7304" spans="1:4" ht="13.5">
      <c r="A7304" s="37">
        <v>95346</v>
      </c>
      <c r="B7304" s="37" t="s">
        <v>4832</v>
      </c>
      <c r="C7304" s="37" t="s">
        <v>10</v>
      </c>
      <c r="D7304" s="326">
        <v>0.12</v>
      </c>
    </row>
    <row r="7305" spans="1:4" ht="13.5">
      <c r="A7305" s="37">
        <v>95347</v>
      </c>
      <c r="B7305" s="37" t="s">
        <v>4833</v>
      </c>
      <c r="C7305" s="37" t="s">
        <v>10</v>
      </c>
      <c r="D7305" s="326">
        <v>0.12</v>
      </c>
    </row>
    <row r="7306" spans="1:4" ht="13.5">
      <c r="A7306" s="37">
        <v>95348</v>
      </c>
      <c r="B7306" s="37" t="s">
        <v>4834</v>
      </c>
      <c r="C7306" s="37" t="s">
        <v>10</v>
      </c>
      <c r="D7306" s="326">
        <v>0.15</v>
      </c>
    </row>
    <row r="7307" spans="1:4" ht="13.5">
      <c r="A7307" s="37">
        <v>95349</v>
      </c>
      <c r="B7307" s="37" t="s">
        <v>4835</v>
      </c>
      <c r="C7307" s="37" t="s">
        <v>10</v>
      </c>
      <c r="D7307" s="326">
        <v>0.1</v>
      </c>
    </row>
    <row r="7308" spans="1:4" ht="13.5">
      <c r="A7308" s="37">
        <v>95351</v>
      </c>
      <c r="B7308" s="37" t="s">
        <v>4836</v>
      </c>
      <c r="C7308" s="37" t="s">
        <v>10</v>
      </c>
      <c r="D7308" s="326">
        <v>0.42</v>
      </c>
    </row>
    <row r="7309" spans="1:4" ht="13.5">
      <c r="A7309" s="37">
        <v>95352</v>
      </c>
      <c r="B7309" s="37" t="s">
        <v>4837</v>
      </c>
      <c r="C7309" s="37" t="s">
        <v>10</v>
      </c>
      <c r="D7309" s="326">
        <v>0.15</v>
      </c>
    </row>
    <row r="7310" spans="1:4" ht="13.5">
      <c r="A7310" s="37">
        <v>95354</v>
      </c>
      <c r="B7310" s="37" t="s">
        <v>4838</v>
      </c>
      <c r="C7310" s="37" t="s">
        <v>10</v>
      </c>
      <c r="D7310" s="326">
        <v>0.23</v>
      </c>
    </row>
    <row r="7311" spans="1:4" ht="13.5">
      <c r="A7311" s="37">
        <v>95355</v>
      </c>
      <c r="B7311" s="37" t="s">
        <v>4839</v>
      </c>
      <c r="C7311" s="37" t="s">
        <v>10</v>
      </c>
      <c r="D7311" s="326">
        <v>0.14000000000000001</v>
      </c>
    </row>
    <row r="7312" spans="1:4" ht="13.5">
      <c r="A7312" s="37">
        <v>95356</v>
      </c>
      <c r="B7312" s="37" t="s">
        <v>4840</v>
      </c>
      <c r="C7312" s="37" t="s">
        <v>10</v>
      </c>
      <c r="D7312" s="326">
        <v>0.23</v>
      </c>
    </row>
    <row r="7313" spans="1:4" ht="13.5">
      <c r="A7313" s="37">
        <v>95357</v>
      </c>
      <c r="B7313" s="37" t="s">
        <v>4841</v>
      </c>
      <c r="C7313" s="37" t="s">
        <v>10</v>
      </c>
      <c r="D7313" s="326">
        <v>0.36</v>
      </c>
    </row>
    <row r="7314" spans="1:4" ht="13.5">
      <c r="A7314" s="37">
        <v>95358</v>
      </c>
      <c r="B7314" s="37" t="s">
        <v>4842</v>
      </c>
      <c r="C7314" s="37" t="s">
        <v>10</v>
      </c>
      <c r="D7314" s="326">
        <v>0.38</v>
      </c>
    </row>
    <row r="7315" spans="1:4" ht="13.5">
      <c r="A7315" s="37">
        <v>95359</v>
      </c>
      <c r="B7315" s="37" t="s">
        <v>4843</v>
      </c>
      <c r="C7315" s="37" t="s">
        <v>10</v>
      </c>
      <c r="D7315" s="326">
        <v>0.68</v>
      </c>
    </row>
    <row r="7316" spans="1:4" ht="13.5">
      <c r="A7316" s="37">
        <v>95360</v>
      </c>
      <c r="B7316" s="37" t="s">
        <v>4844</v>
      </c>
      <c r="C7316" s="37" t="s">
        <v>10</v>
      </c>
      <c r="D7316" s="326">
        <v>0.37</v>
      </c>
    </row>
    <row r="7317" spans="1:4" ht="13.5">
      <c r="A7317" s="37">
        <v>95361</v>
      </c>
      <c r="B7317" s="37" t="s">
        <v>4845</v>
      </c>
      <c r="C7317" s="37" t="s">
        <v>10</v>
      </c>
      <c r="D7317" s="326">
        <v>0.17</v>
      </c>
    </row>
    <row r="7318" spans="1:4" ht="13.5">
      <c r="A7318" s="37">
        <v>95362</v>
      </c>
      <c r="B7318" s="37" t="s">
        <v>4846</v>
      </c>
      <c r="C7318" s="37" t="s">
        <v>10</v>
      </c>
      <c r="D7318" s="326">
        <v>0.31</v>
      </c>
    </row>
    <row r="7319" spans="1:4" ht="13.5">
      <c r="A7319" s="37">
        <v>95363</v>
      </c>
      <c r="B7319" s="37" t="s">
        <v>4847</v>
      </c>
      <c r="C7319" s="37" t="s">
        <v>10</v>
      </c>
      <c r="D7319" s="326">
        <v>0.31</v>
      </c>
    </row>
    <row r="7320" spans="1:4" ht="13.5">
      <c r="A7320" s="37">
        <v>95364</v>
      </c>
      <c r="B7320" s="37" t="s">
        <v>4848</v>
      </c>
      <c r="C7320" s="37" t="s">
        <v>10</v>
      </c>
      <c r="D7320" s="326">
        <v>0.23</v>
      </c>
    </row>
    <row r="7321" spans="1:4" ht="13.5">
      <c r="A7321" s="37">
        <v>95365</v>
      </c>
      <c r="B7321" s="37" t="s">
        <v>4849</v>
      </c>
      <c r="C7321" s="37" t="s">
        <v>10</v>
      </c>
      <c r="D7321" s="326">
        <v>0.23</v>
      </c>
    </row>
    <row r="7322" spans="1:4" ht="13.5">
      <c r="A7322" s="37">
        <v>95366</v>
      </c>
      <c r="B7322" s="37" t="s">
        <v>4850</v>
      </c>
      <c r="C7322" s="37" t="s">
        <v>10</v>
      </c>
      <c r="D7322" s="326">
        <v>0.19</v>
      </c>
    </row>
    <row r="7323" spans="1:4" ht="13.5">
      <c r="A7323" s="37">
        <v>95367</v>
      </c>
      <c r="B7323" s="37" t="s">
        <v>4851</v>
      </c>
      <c r="C7323" s="37" t="s">
        <v>10</v>
      </c>
      <c r="D7323" s="326">
        <v>0.31</v>
      </c>
    </row>
    <row r="7324" spans="1:4" ht="13.5">
      <c r="A7324" s="37">
        <v>95368</v>
      </c>
      <c r="B7324" s="37" t="s">
        <v>4852</v>
      </c>
      <c r="C7324" s="37" t="s">
        <v>10</v>
      </c>
      <c r="D7324" s="326">
        <v>0.21</v>
      </c>
    </row>
    <row r="7325" spans="1:4" ht="13.5">
      <c r="A7325" s="37">
        <v>95369</v>
      </c>
      <c r="B7325" s="37" t="s">
        <v>4853</v>
      </c>
      <c r="C7325" s="37" t="s">
        <v>10</v>
      </c>
      <c r="D7325" s="326">
        <v>0.25</v>
      </c>
    </row>
    <row r="7326" spans="1:4" ht="13.5">
      <c r="A7326" s="37">
        <v>95370</v>
      </c>
      <c r="B7326" s="37" t="s">
        <v>4854</v>
      </c>
      <c r="C7326" s="37" t="s">
        <v>10</v>
      </c>
      <c r="D7326" s="326">
        <v>0.34</v>
      </c>
    </row>
    <row r="7327" spans="1:4" ht="13.5">
      <c r="A7327" s="37">
        <v>95371</v>
      </c>
      <c r="B7327" s="37" t="s">
        <v>4855</v>
      </c>
      <c r="C7327" s="37" t="s">
        <v>10</v>
      </c>
      <c r="D7327" s="326">
        <v>0.49</v>
      </c>
    </row>
    <row r="7328" spans="1:4" ht="13.5">
      <c r="A7328" s="37">
        <v>95372</v>
      </c>
      <c r="B7328" s="37" t="s">
        <v>4856</v>
      </c>
      <c r="C7328" s="37" t="s">
        <v>10</v>
      </c>
      <c r="D7328" s="326">
        <v>0.38</v>
      </c>
    </row>
    <row r="7329" spans="1:4" ht="13.5">
      <c r="A7329" s="37">
        <v>95373</v>
      </c>
      <c r="B7329" s="37" t="s">
        <v>4857</v>
      </c>
      <c r="C7329" s="37" t="s">
        <v>10</v>
      </c>
      <c r="D7329" s="326">
        <v>0.35</v>
      </c>
    </row>
    <row r="7330" spans="1:4" ht="13.5">
      <c r="A7330" s="37">
        <v>95374</v>
      </c>
      <c r="B7330" s="37" t="s">
        <v>4858</v>
      </c>
      <c r="C7330" s="37" t="s">
        <v>10</v>
      </c>
      <c r="D7330" s="326">
        <v>0.38</v>
      </c>
    </row>
    <row r="7331" spans="1:4" ht="13.5">
      <c r="A7331" s="37">
        <v>95375</v>
      </c>
      <c r="B7331" s="37" t="s">
        <v>4859</v>
      </c>
      <c r="C7331" s="37" t="s">
        <v>10</v>
      </c>
      <c r="D7331" s="326">
        <v>0.47</v>
      </c>
    </row>
    <row r="7332" spans="1:4" ht="13.5">
      <c r="A7332" s="37">
        <v>95376</v>
      </c>
      <c r="B7332" s="37" t="s">
        <v>4860</v>
      </c>
      <c r="C7332" s="37" t="s">
        <v>10</v>
      </c>
      <c r="D7332" s="326">
        <v>0.1</v>
      </c>
    </row>
    <row r="7333" spans="1:4" ht="13.5">
      <c r="A7333" s="37">
        <v>95377</v>
      </c>
      <c r="B7333" s="37" t="s">
        <v>4861</v>
      </c>
      <c r="C7333" s="37" t="s">
        <v>10</v>
      </c>
      <c r="D7333" s="326">
        <v>0.31</v>
      </c>
    </row>
    <row r="7334" spans="1:4" ht="13.5">
      <c r="A7334" s="37">
        <v>95378</v>
      </c>
      <c r="B7334" s="37" t="s">
        <v>4862</v>
      </c>
      <c r="C7334" s="37" t="s">
        <v>10</v>
      </c>
      <c r="D7334" s="326">
        <v>0.34</v>
      </c>
    </row>
    <row r="7335" spans="1:4" ht="13.5">
      <c r="A7335" s="37">
        <v>95379</v>
      </c>
      <c r="B7335" s="37" t="s">
        <v>4863</v>
      </c>
      <c r="C7335" s="37" t="s">
        <v>10</v>
      </c>
      <c r="D7335" s="326">
        <v>0.28999999999999998</v>
      </c>
    </row>
    <row r="7336" spans="1:4" ht="13.5">
      <c r="A7336" s="37">
        <v>95380</v>
      </c>
      <c r="B7336" s="37" t="s">
        <v>4864</v>
      </c>
      <c r="C7336" s="37" t="s">
        <v>10</v>
      </c>
      <c r="D7336" s="326">
        <v>0.35</v>
      </c>
    </row>
    <row r="7337" spans="1:4" ht="13.5">
      <c r="A7337" s="37">
        <v>95382</v>
      </c>
      <c r="B7337" s="37" t="s">
        <v>4865</v>
      </c>
      <c r="C7337" s="37" t="s">
        <v>10</v>
      </c>
      <c r="D7337" s="326">
        <v>0.3</v>
      </c>
    </row>
    <row r="7338" spans="1:4" ht="13.5">
      <c r="A7338" s="37">
        <v>95383</v>
      </c>
      <c r="B7338" s="37" t="s">
        <v>4866</v>
      </c>
      <c r="C7338" s="37" t="s">
        <v>10</v>
      </c>
      <c r="D7338" s="326">
        <v>0.45</v>
      </c>
    </row>
    <row r="7339" spans="1:4" ht="13.5">
      <c r="A7339" s="37">
        <v>95384</v>
      </c>
      <c r="B7339" s="37" t="s">
        <v>4867</v>
      </c>
      <c r="C7339" s="37" t="s">
        <v>10</v>
      </c>
      <c r="D7339" s="326">
        <v>0.62</v>
      </c>
    </row>
    <row r="7340" spans="1:4" ht="13.5">
      <c r="A7340" s="37">
        <v>95385</v>
      </c>
      <c r="B7340" s="37" t="s">
        <v>4868</v>
      </c>
      <c r="C7340" s="37" t="s">
        <v>10</v>
      </c>
      <c r="D7340" s="326">
        <v>0.28999999999999998</v>
      </c>
    </row>
    <row r="7341" spans="1:4" ht="13.5">
      <c r="A7341" s="37">
        <v>95386</v>
      </c>
      <c r="B7341" s="37" t="s">
        <v>4869</v>
      </c>
      <c r="C7341" s="37" t="s">
        <v>10</v>
      </c>
      <c r="D7341" s="326">
        <v>0.37</v>
      </c>
    </row>
    <row r="7342" spans="1:4" ht="13.5">
      <c r="A7342" s="37">
        <v>95387</v>
      </c>
      <c r="B7342" s="37" t="s">
        <v>4870</v>
      </c>
      <c r="C7342" s="37" t="s">
        <v>10</v>
      </c>
      <c r="D7342" s="326">
        <v>0.28000000000000003</v>
      </c>
    </row>
    <row r="7343" spans="1:4" ht="13.5">
      <c r="A7343" s="37">
        <v>95389</v>
      </c>
      <c r="B7343" s="37" t="s">
        <v>4871</v>
      </c>
      <c r="C7343" s="37" t="s">
        <v>10</v>
      </c>
      <c r="D7343" s="326">
        <v>0.2</v>
      </c>
    </row>
    <row r="7344" spans="1:4" ht="13.5">
      <c r="A7344" s="37">
        <v>95390</v>
      </c>
      <c r="B7344" s="37" t="s">
        <v>4872</v>
      </c>
      <c r="C7344" s="37" t="s">
        <v>10</v>
      </c>
      <c r="D7344" s="326">
        <v>0.09</v>
      </c>
    </row>
    <row r="7345" spans="1:4" ht="13.5">
      <c r="A7345" s="37">
        <v>95391</v>
      </c>
      <c r="B7345" s="37" t="s">
        <v>4873</v>
      </c>
      <c r="C7345" s="37" t="s">
        <v>10</v>
      </c>
      <c r="D7345" s="326">
        <v>0.16</v>
      </c>
    </row>
    <row r="7346" spans="1:4" ht="13.5">
      <c r="A7346" s="37">
        <v>95392</v>
      </c>
      <c r="B7346" s="37" t="s">
        <v>4874</v>
      </c>
      <c r="C7346" s="37" t="s">
        <v>10</v>
      </c>
      <c r="D7346" s="326">
        <v>0.13</v>
      </c>
    </row>
    <row r="7347" spans="1:4" ht="13.5">
      <c r="A7347" s="37">
        <v>95393</v>
      </c>
      <c r="B7347" s="37" t="s">
        <v>4875</v>
      </c>
      <c r="C7347" s="37" t="s">
        <v>10</v>
      </c>
      <c r="D7347" s="326">
        <v>0.56999999999999995</v>
      </c>
    </row>
    <row r="7348" spans="1:4" ht="13.5">
      <c r="A7348" s="37">
        <v>95394</v>
      </c>
      <c r="B7348" s="37" t="s">
        <v>4876</v>
      </c>
      <c r="C7348" s="37" t="s">
        <v>10</v>
      </c>
      <c r="D7348" s="326">
        <v>0.95</v>
      </c>
    </row>
    <row r="7349" spans="1:4" ht="13.5">
      <c r="A7349" s="37">
        <v>95395</v>
      </c>
      <c r="B7349" s="37" t="s">
        <v>4877</v>
      </c>
      <c r="C7349" s="37" t="s">
        <v>10</v>
      </c>
      <c r="D7349" s="326">
        <v>1.08</v>
      </c>
    </row>
    <row r="7350" spans="1:4" ht="13.5">
      <c r="A7350" s="37">
        <v>95396</v>
      </c>
      <c r="B7350" s="37" t="s">
        <v>4878</v>
      </c>
      <c r="C7350" s="37" t="s">
        <v>10</v>
      </c>
      <c r="D7350" s="326">
        <v>1.1100000000000001</v>
      </c>
    </row>
    <row r="7351" spans="1:4" ht="13.5">
      <c r="A7351" s="37">
        <v>95397</v>
      </c>
      <c r="B7351" s="37" t="s">
        <v>4879</v>
      </c>
      <c r="C7351" s="37" t="s">
        <v>10</v>
      </c>
      <c r="D7351" s="326">
        <v>7.0000000000000007E-2</v>
      </c>
    </row>
    <row r="7352" spans="1:4" ht="13.5">
      <c r="A7352" s="37">
        <v>95398</v>
      </c>
      <c r="B7352" s="37" t="s">
        <v>4880</v>
      </c>
      <c r="C7352" s="37" t="s">
        <v>10</v>
      </c>
      <c r="D7352" s="326">
        <v>0.09</v>
      </c>
    </row>
    <row r="7353" spans="1:4" ht="13.5">
      <c r="A7353" s="37">
        <v>95399</v>
      </c>
      <c r="B7353" s="37" t="s">
        <v>4881</v>
      </c>
      <c r="C7353" s="37" t="s">
        <v>10</v>
      </c>
      <c r="D7353" s="326">
        <v>0.06</v>
      </c>
    </row>
    <row r="7354" spans="1:4" ht="13.5">
      <c r="A7354" s="37">
        <v>95400</v>
      </c>
      <c r="B7354" s="37" t="s">
        <v>4882</v>
      </c>
      <c r="C7354" s="37" t="s">
        <v>10</v>
      </c>
      <c r="D7354" s="326">
        <v>0.1</v>
      </c>
    </row>
    <row r="7355" spans="1:4" ht="13.5">
      <c r="A7355" s="37">
        <v>95401</v>
      </c>
      <c r="B7355" s="37" t="s">
        <v>4883</v>
      </c>
      <c r="C7355" s="37" t="s">
        <v>10</v>
      </c>
      <c r="D7355" s="326">
        <v>0.88</v>
      </c>
    </row>
    <row r="7356" spans="1:4" ht="13.5">
      <c r="A7356" s="37">
        <v>95402</v>
      </c>
      <c r="B7356" s="37" t="s">
        <v>4884</v>
      </c>
      <c r="C7356" s="37" t="s">
        <v>10</v>
      </c>
      <c r="D7356" s="326">
        <v>1.88</v>
      </c>
    </row>
    <row r="7357" spans="1:4" ht="13.5">
      <c r="A7357" s="37">
        <v>95403</v>
      </c>
      <c r="B7357" s="37" t="s">
        <v>4885</v>
      </c>
      <c r="C7357" s="37" t="s">
        <v>10</v>
      </c>
      <c r="D7357" s="326">
        <v>2.02</v>
      </c>
    </row>
    <row r="7358" spans="1:4" ht="13.5">
      <c r="A7358" s="37">
        <v>95404</v>
      </c>
      <c r="B7358" s="37" t="s">
        <v>4886</v>
      </c>
      <c r="C7358" s="37" t="s">
        <v>10</v>
      </c>
      <c r="D7358" s="326">
        <v>2.36</v>
      </c>
    </row>
    <row r="7359" spans="1:4" ht="13.5">
      <c r="A7359" s="37">
        <v>95405</v>
      </c>
      <c r="B7359" s="37" t="s">
        <v>4887</v>
      </c>
      <c r="C7359" s="37" t="s">
        <v>10</v>
      </c>
      <c r="D7359" s="326">
        <v>1.44</v>
      </c>
    </row>
    <row r="7360" spans="1:4" ht="13.5">
      <c r="A7360" s="37">
        <v>95406</v>
      </c>
      <c r="B7360" s="37" t="s">
        <v>4888</v>
      </c>
      <c r="C7360" s="37" t="s">
        <v>10</v>
      </c>
      <c r="D7360" s="326">
        <v>0.27</v>
      </c>
    </row>
    <row r="7361" spans="1:4" ht="13.5">
      <c r="A7361" s="37">
        <v>95408</v>
      </c>
      <c r="B7361" s="37" t="s">
        <v>4889</v>
      </c>
      <c r="C7361" s="37" t="s">
        <v>4791</v>
      </c>
      <c r="D7361" s="326">
        <v>15.96</v>
      </c>
    </row>
    <row r="7362" spans="1:4" ht="13.5">
      <c r="A7362" s="37">
        <v>95409</v>
      </c>
      <c r="B7362" s="37" t="s">
        <v>4890</v>
      </c>
      <c r="C7362" s="37" t="s">
        <v>4791</v>
      </c>
      <c r="D7362" s="326">
        <v>21.85</v>
      </c>
    </row>
    <row r="7363" spans="1:4" ht="13.5">
      <c r="A7363" s="37">
        <v>95410</v>
      </c>
      <c r="B7363" s="37" t="s">
        <v>4891</v>
      </c>
      <c r="C7363" s="37" t="s">
        <v>4791</v>
      </c>
      <c r="D7363" s="326">
        <v>7.89</v>
      </c>
    </row>
    <row r="7364" spans="1:4" ht="13.5">
      <c r="A7364" s="37">
        <v>95411</v>
      </c>
      <c r="B7364" s="37" t="s">
        <v>4892</v>
      </c>
      <c r="C7364" s="37" t="s">
        <v>4791</v>
      </c>
      <c r="D7364" s="326">
        <v>13.95</v>
      </c>
    </row>
    <row r="7365" spans="1:4" ht="13.5">
      <c r="A7365" s="37">
        <v>95412</v>
      </c>
      <c r="B7365" s="37" t="s">
        <v>4893</v>
      </c>
      <c r="C7365" s="37" t="s">
        <v>4791</v>
      </c>
      <c r="D7365" s="326">
        <v>10.44</v>
      </c>
    </row>
    <row r="7366" spans="1:4" ht="13.5">
      <c r="A7366" s="37">
        <v>95413</v>
      </c>
      <c r="B7366" s="37" t="s">
        <v>4894</v>
      </c>
      <c r="C7366" s="37" t="s">
        <v>4791</v>
      </c>
      <c r="D7366" s="326">
        <v>17.84</v>
      </c>
    </row>
    <row r="7367" spans="1:4" ht="13.5">
      <c r="A7367" s="37">
        <v>95414</v>
      </c>
      <c r="B7367" s="37" t="s">
        <v>4895</v>
      </c>
      <c r="C7367" s="37" t="s">
        <v>4791</v>
      </c>
      <c r="D7367" s="326">
        <v>75.72</v>
      </c>
    </row>
    <row r="7368" spans="1:4" ht="13.5">
      <c r="A7368" s="37">
        <v>95415</v>
      </c>
      <c r="B7368" s="37" t="s">
        <v>4896</v>
      </c>
      <c r="C7368" s="37" t="s">
        <v>4791</v>
      </c>
      <c r="D7368" s="326">
        <v>246.6</v>
      </c>
    </row>
    <row r="7369" spans="1:4" ht="13.5">
      <c r="A7369" s="37">
        <v>95416</v>
      </c>
      <c r="B7369" s="37" t="s">
        <v>4897</v>
      </c>
      <c r="C7369" s="37" t="s">
        <v>4791</v>
      </c>
      <c r="D7369" s="326">
        <v>13.04</v>
      </c>
    </row>
    <row r="7370" spans="1:4" ht="13.5">
      <c r="A7370" s="37">
        <v>95417</v>
      </c>
      <c r="B7370" s="37" t="s">
        <v>4899</v>
      </c>
      <c r="C7370" s="37" t="s">
        <v>4791</v>
      </c>
      <c r="D7370" s="326">
        <v>264.94</v>
      </c>
    </row>
    <row r="7371" spans="1:4" ht="13.5">
      <c r="A7371" s="37">
        <v>95418</v>
      </c>
      <c r="B7371" s="37" t="s">
        <v>4900</v>
      </c>
      <c r="C7371" s="37" t="s">
        <v>4791</v>
      </c>
      <c r="D7371" s="326">
        <v>309.79000000000002</v>
      </c>
    </row>
    <row r="7372" spans="1:4" ht="13.5">
      <c r="A7372" s="37">
        <v>95419</v>
      </c>
      <c r="B7372" s="37" t="s">
        <v>4901</v>
      </c>
      <c r="C7372" s="37" t="s">
        <v>4791</v>
      </c>
      <c r="D7372" s="326">
        <v>124.72</v>
      </c>
    </row>
    <row r="7373" spans="1:4" ht="13.5">
      <c r="A7373" s="37">
        <v>95420</v>
      </c>
      <c r="B7373" s="37" t="s">
        <v>4902</v>
      </c>
      <c r="C7373" s="37" t="s">
        <v>4791</v>
      </c>
      <c r="D7373" s="326">
        <v>141.99</v>
      </c>
    </row>
    <row r="7374" spans="1:4" ht="13.5">
      <c r="A7374" s="37">
        <v>95421</v>
      </c>
      <c r="B7374" s="37" t="s">
        <v>4903</v>
      </c>
      <c r="C7374" s="37" t="s">
        <v>4791</v>
      </c>
      <c r="D7374" s="326">
        <v>146.47999999999999</v>
      </c>
    </row>
    <row r="7375" spans="1:4" ht="13.5">
      <c r="A7375" s="37">
        <v>95422</v>
      </c>
      <c r="B7375" s="37" t="s">
        <v>4904</v>
      </c>
      <c r="C7375" s="37" t="s">
        <v>4791</v>
      </c>
      <c r="D7375" s="326">
        <v>115.94</v>
      </c>
    </row>
    <row r="7376" spans="1:4" ht="13.5">
      <c r="A7376" s="37">
        <v>95423</v>
      </c>
      <c r="B7376" s="37" t="s">
        <v>4905</v>
      </c>
      <c r="C7376" s="37" t="s">
        <v>4791</v>
      </c>
      <c r="D7376" s="326">
        <v>189.13</v>
      </c>
    </row>
    <row r="7377" spans="1:4" ht="13.5">
      <c r="A7377" s="37">
        <v>95424</v>
      </c>
      <c r="B7377" s="37" t="s">
        <v>4906</v>
      </c>
      <c r="C7377" s="37" t="s">
        <v>4791</v>
      </c>
      <c r="D7377" s="326">
        <v>36.25</v>
      </c>
    </row>
    <row r="7378" spans="1:4" ht="13.5">
      <c r="A7378" s="37">
        <v>100288</v>
      </c>
      <c r="B7378" s="37" t="s">
        <v>4908</v>
      </c>
      <c r="C7378" s="37" t="s">
        <v>10</v>
      </c>
      <c r="D7378" s="326">
        <v>0.08</v>
      </c>
    </row>
    <row r="7379" spans="1:4" ht="13.5">
      <c r="A7379" s="37">
        <v>100289</v>
      </c>
      <c r="B7379" s="37" t="s">
        <v>4909</v>
      </c>
      <c r="C7379" s="37" t="s">
        <v>10</v>
      </c>
      <c r="D7379" s="326">
        <v>18.98</v>
      </c>
    </row>
    <row r="7380" spans="1:4" ht="13.5">
      <c r="A7380" s="37">
        <v>100290</v>
      </c>
      <c r="B7380" s="37" t="s">
        <v>4910</v>
      </c>
      <c r="C7380" s="37" t="s">
        <v>10</v>
      </c>
      <c r="D7380" s="326">
        <v>0.11</v>
      </c>
    </row>
    <row r="7381" spans="1:4" ht="13.5">
      <c r="A7381" s="37">
        <v>100291</v>
      </c>
      <c r="B7381" s="37" t="s">
        <v>4911</v>
      </c>
      <c r="C7381" s="37" t="s">
        <v>10</v>
      </c>
      <c r="D7381" s="326">
        <v>0.27</v>
      </c>
    </row>
    <row r="7382" spans="1:4" ht="13.5">
      <c r="A7382" s="37">
        <v>100293</v>
      </c>
      <c r="B7382" s="37" t="s">
        <v>4912</v>
      </c>
      <c r="C7382" s="37" t="s">
        <v>10</v>
      </c>
      <c r="D7382" s="326">
        <v>0.21</v>
      </c>
    </row>
    <row r="7383" spans="1:4" ht="13.5">
      <c r="A7383" s="37">
        <v>100295</v>
      </c>
      <c r="B7383" s="37" t="s">
        <v>4913</v>
      </c>
      <c r="C7383" s="37" t="s">
        <v>10</v>
      </c>
      <c r="D7383" s="326">
        <v>0.78</v>
      </c>
    </row>
    <row r="7384" spans="1:4" ht="13.5">
      <c r="A7384" s="37">
        <v>100298</v>
      </c>
      <c r="B7384" s="37" t="s">
        <v>4914</v>
      </c>
      <c r="C7384" s="37" t="s">
        <v>10</v>
      </c>
      <c r="D7384" s="326">
        <v>0.63</v>
      </c>
    </row>
    <row r="7385" spans="1:4" ht="13.5">
      <c r="A7385" s="37">
        <v>100299</v>
      </c>
      <c r="B7385" s="37" t="s">
        <v>4915</v>
      </c>
      <c r="C7385" s="37" t="s">
        <v>10</v>
      </c>
      <c r="D7385" s="326">
        <v>0.69</v>
      </c>
    </row>
    <row r="7386" spans="1:4" ht="13.5">
      <c r="A7386" s="37">
        <v>100300</v>
      </c>
      <c r="B7386" s="37" t="s">
        <v>4916</v>
      </c>
      <c r="C7386" s="37" t="s">
        <v>10</v>
      </c>
      <c r="D7386" s="326">
        <v>21.68</v>
      </c>
    </row>
    <row r="7387" spans="1:4" ht="13.5">
      <c r="A7387" s="37">
        <v>100301</v>
      </c>
      <c r="B7387" s="37" t="s">
        <v>4917</v>
      </c>
      <c r="C7387" s="37" t="s">
        <v>10</v>
      </c>
      <c r="D7387" s="326">
        <v>22.89</v>
      </c>
    </row>
    <row r="7388" spans="1:4" ht="13.5">
      <c r="A7388" s="37">
        <v>100303</v>
      </c>
      <c r="B7388" s="37" t="s">
        <v>4918</v>
      </c>
      <c r="C7388" s="37" t="s">
        <v>10</v>
      </c>
      <c r="D7388" s="326">
        <v>17.600000000000001</v>
      </c>
    </row>
    <row r="7389" spans="1:4" ht="13.5">
      <c r="A7389" s="37">
        <v>100307</v>
      </c>
      <c r="B7389" s="37" t="s">
        <v>4919</v>
      </c>
      <c r="C7389" s="37" t="s">
        <v>10</v>
      </c>
      <c r="D7389" s="326">
        <v>27.67</v>
      </c>
    </row>
    <row r="7390" spans="1:4" ht="13.5">
      <c r="A7390" s="37">
        <v>100308</v>
      </c>
      <c r="B7390" s="37" t="s">
        <v>4920</v>
      </c>
      <c r="C7390" s="37" t="s">
        <v>10</v>
      </c>
      <c r="D7390" s="326">
        <v>25.37</v>
      </c>
    </row>
    <row r="7391" spans="1:4" ht="13.5">
      <c r="A7391" s="37">
        <v>100309</v>
      </c>
      <c r="B7391" s="37" t="s">
        <v>4923</v>
      </c>
      <c r="C7391" s="37" t="s">
        <v>10</v>
      </c>
      <c r="D7391" s="326">
        <v>36.729999999999997</v>
      </c>
    </row>
    <row r="7392" spans="1:4" ht="13.5">
      <c r="A7392" s="37">
        <v>100310</v>
      </c>
      <c r="B7392" s="37" t="s">
        <v>4921</v>
      </c>
      <c r="C7392" s="37" t="s">
        <v>4791</v>
      </c>
      <c r="D7392" s="326">
        <v>14.85</v>
      </c>
    </row>
    <row r="7393" spans="1:4" ht="13.5">
      <c r="A7393" s="37">
        <v>100315</v>
      </c>
      <c r="B7393" s="37" t="s">
        <v>4922</v>
      </c>
      <c r="C7393" s="37" t="s">
        <v>4791</v>
      </c>
      <c r="D7393" s="326">
        <v>91.84</v>
      </c>
    </row>
    <row r="7394" spans="1:4" ht="13.5">
      <c r="A7394" s="37">
        <v>100316</v>
      </c>
      <c r="B7394" s="37" t="s">
        <v>4916</v>
      </c>
      <c r="C7394" s="37" t="s">
        <v>4791</v>
      </c>
      <c r="D7394" s="38">
        <v>3825.19</v>
      </c>
    </row>
    <row r="7395" spans="1:4" ht="13.5">
      <c r="A7395" s="37">
        <v>100321</v>
      </c>
      <c r="B7395" s="37" t="s">
        <v>4923</v>
      </c>
      <c r="C7395" s="37" t="s">
        <v>4791</v>
      </c>
      <c r="D7395" s="38">
        <v>6439.3</v>
      </c>
    </row>
    <row r="7396" spans="1:4" ht="13.5">
      <c r="A7396" s="37">
        <v>100533</v>
      </c>
      <c r="B7396" s="37" t="s">
        <v>4924</v>
      </c>
      <c r="C7396" s="37" t="s">
        <v>10</v>
      </c>
      <c r="D7396" s="326">
        <v>25.44</v>
      </c>
    </row>
    <row r="7397" spans="1:4" ht="13.5">
      <c r="A7397" s="37">
        <v>100534</v>
      </c>
      <c r="B7397" s="37" t="s">
        <v>4924</v>
      </c>
      <c r="C7397" s="37" t="s">
        <v>4791</v>
      </c>
      <c r="D7397" s="38">
        <v>4481.28</v>
      </c>
    </row>
    <row r="7398" spans="1:4" ht="13.5">
      <c r="A7398" s="37">
        <v>100535</v>
      </c>
      <c r="B7398" s="37" t="s">
        <v>4925</v>
      </c>
      <c r="C7398" s="37" t="s">
        <v>10</v>
      </c>
      <c r="D7398" s="326">
        <v>0.47</v>
      </c>
    </row>
    <row r="7399" spans="1:4" ht="13.5">
      <c r="A7399" s="37">
        <v>100536</v>
      </c>
      <c r="B7399" s="37" t="s">
        <v>4926</v>
      </c>
      <c r="C7399" s="37" t="s">
        <v>4791</v>
      </c>
      <c r="D7399" s="326">
        <v>61.97</v>
      </c>
    </row>
    <row r="7400" spans="1:4" ht="13.5">
      <c r="A7400" s="37">
        <v>101286</v>
      </c>
      <c r="B7400" s="37" t="s">
        <v>8986</v>
      </c>
      <c r="C7400" s="37" t="s">
        <v>4791</v>
      </c>
      <c r="D7400" s="326">
        <v>28.17</v>
      </c>
    </row>
    <row r="7401" spans="1:4" ht="13.5">
      <c r="A7401" s="37">
        <v>101287</v>
      </c>
      <c r="B7401" s="37" t="s">
        <v>8987</v>
      </c>
      <c r="C7401" s="37" t="s">
        <v>4791</v>
      </c>
      <c r="D7401" s="326">
        <v>91.1</v>
      </c>
    </row>
    <row r="7402" spans="1:4" ht="13.5">
      <c r="A7402" s="37">
        <v>101288</v>
      </c>
      <c r="B7402" s="37" t="s">
        <v>8988</v>
      </c>
      <c r="C7402" s="37" t="s">
        <v>4791</v>
      </c>
      <c r="D7402" s="326">
        <v>28.17</v>
      </c>
    </row>
    <row r="7403" spans="1:4" ht="13.5">
      <c r="A7403" s="37">
        <v>101289</v>
      </c>
      <c r="B7403" s="37" t="s">
        <v>8989</v>
      </c>
      <c r="C7403" s="37" t="s">
        <v>4791</v>
      </c>
      <c r="D7403" s="326">
        <v>25.54</v>
      </c>
    </row>
    <row r="7404" spans="1:4" ht="13.5">
      <c r="A7404" s="37">
        <v>101290</v>
      </c>
      <c r="B7404" s="37" t="s">
        <v>8990</v>
      </c>
      <c r="C7404" s="37" t="s">
        <v>4791</v>
      </c>
      <c r="D7404" s="326">
        <v>36.020000000000003</v>
      </c>
    </row>
    <row r="7405" spans="1:4" ht="13.5">
      <c r="A7405" s="37">
        <v>101291</v>
      </c>
      <c r="B7405" s="37" t="s">
        <v>8991</v>
      </c>
      <c r="C7405" s="37" t="s">
        <v>4791</v>
      </c>
      <c r="D7405" s="326">
        <v>28.17</v>
      </c>
    </row>
    <row r="7406" spans="1:4" ht="13.5">
      <c r="A7406" s="37">
        <v>101292</v>
      </c>
      <c r="B7406" s="37" t="s">
        <v>8992</v>
      </c>
      <c r="C7406" s="37" t="s">
        <v>4791</v>
      </c>
      <c r="D7406" s="326">
        <v>25.54</v>
      </c>
    </row>
    <row r="7407" spans="1:4" ht="13.5">
      <c r="A7407" s="37">
        <v>101293</v>
      </c>
      <c r="B7407" s="37" t="s">
        <v>8993</v>
      </c>
      <c r="C7407" s="37" t="s">
        <v>4791</v>
      </c>
      <c r="D7407" s="326">
        <v>35.200000000000003</v>
      </c>
    </row>
    <row r="7408" spans="1:4" ht="13.5">
      <c r="A7408" s="37">
        <v>101294</v>
      </c>
      <c r="B7408" s="37" t="s">
        <v>8994</v>
      </c>
      <c r="C7408" s="37" t="s">
        <v>4791</v>
      </c>
      <c r="D7408" s="326">
        <v>40.14</v>
      </c>
    </row>
    <row r="7409" spans="1:4" ht="13.5">
      <c r="A7409" s="37">
        <v>101295</v>
      </c>
      <c r="B7409" s="37" t="s">
        <v>8995</v>
      </c>
      <c r="C7409" s="37" t="s">
        <v>4791</v>
      </c>
      <c r="D7409" s="326">
        <v>28.07</v>
      </c>
    </row>
    <row r="7410" spans="1:4" ht="13.5">
      <c r="A7410" s="37">
        <v>101296</v>
      </c>
      <c r="B7410" s="37" t="s">
        <v>8996</v>
      </c>
      <c r="C7410" s="37" t="s">
        <v>4791</v>
      </c>
      <c r="D7410" s="326">
        <v>43.9</v>
      </c>
    </row>
    <row r="7411" spans="1:4" ht="13.5">
      <c r="A7411" s="37">
        <v>101297</v>
      </c>
      <c r="B7411" s="37" t="s">
        <v>8997</v>
      </c>
      <c r="C7411" s="37" t="s">
        <v>4791</v>
      </c>
      <c r="D7411" s="326">
        <v>35.57</v>
      </c>
    </row>
    <row r="7412" spans="1:4" ht="13.5">
      <c r="A7412" s="37">
        <v>101298</v>
      </c>
      <c r="B7412" s="37" t="s">
        <v>8998</v>
      </c>
      <c r="C7412" s="37" t="s">
        <v>4791</v>
      </c>
      <c r="D7412" s="326">
        <v>28.17</v>
      </c>
    </row>
    <row r="7413" spans="1:4" ht="13.5">
      <c r="A7413" s="37">
        <v>101299</v>
      </c>
      <c r="B7413" s="37" t="s">
        <v>8999</v>
      </c>
      <c r="C7413" s="37" t="s">
        <v>4791</v>
      </c>
      <c r="D7413" s="326">
        <v>36.020000000000003</v>
      </c>
    </row>
    <row r="7414" spans="1:4" ht="13.5">
      <c r="A7414" s="37">
        <v>101300</v>
      </c>
      <c r="B7414" s="37" t="s">
        <v>9000</v>
      </c>
      <c r="C7414" s="37" t="s">
        <v>4791</v>
      </c>
      <c r="D7414" s="326">
        <v>24.8</v>
      </c>
    </row>
    <row r="7415" spans="1:4" ht="13.5">
      <c r="A7415" s="37">
        <v>101301</v>
      </c>
      <c r="B7415" s="37" t="s">
        <v>9001</v>
      </c>
      <c r="C7415" s="37" t="s">
        <v>4791</v>
      </c>
      <c r="D7415" s="326">
        <v>16.309999999999999</v>
      </c>
    </row>
    <row r="7416" spans="1:4" ht="13.5">
      <c r="A7416" s="37">
        <v>101302</v>
      </c>
      <c r="B7416" s="37" t="s">
        <v>9002</v>
      </c>
      <c r="C7416" s="37" t="s">
        <v>4791</v>
      </c>
      <c r="D7416" s="326">
        <v>50.41</v>
      </c>
    </row>
    <row r="7417" spans="1:4" ht="13.5">
      <c r="A7417" s="37">
        <v>101303</v>
      </c>
      <c r="B7417" s="37" t="s">
        <v>9003</v>
      </c>
      <c r="C7417" s="37" t="s">
        <v>4791</v>
      </c>
      <c r="D7417" s="326">
        <v>103.04</v>
      </c>
    </row>
    <row r="7418" spans="1:4" ht="13.5">
      <c r="A7418" s="37">
        <v>101304</v>
      </c>
      <c r="B7418" s="37" t="s">
        <v>9004</v>
      </c>
      <c r="C7418" s="37" t="s">
        <v>4791</v>
      </c>
      <c r="D7418" s="326">
        <v>45.02</v>
      </c>
    </row>
    <row r="7419" spans="1:4" ht="13.5">
      <c r="A7419" s="37">
        <v>101305</v>
      </c>
      <c r="B7419" s="37" t="s">
        <v>9005</v>
      </c>
      <c r="C7419" s="37" t="s">
        <v>4791</v>
      </c>
      <c r="D7419" s="326">
        <v>56.97</v>
      </c>
    </row>
    <row r="7420" spans="1:4" ht="13.5">
      <c r="A7420" s="37">
        <v>101307</v>
      </c>
      <c r="B7420" s="37" t="s">
        <v>9006</v>
      </c>
      <c r="C7420" s="37" t="s">
        <v>4791</v>
      </c>
      <c r="D7420" s="326">
        <v>29.87</v>
      </c>
    </row>
    <row r="7421" spans="1:4" ht="13.5">
      <c r="A7421" s="37">
        <v>101308</v>
      </c>
      <c r="B7421" s="37" t="s">
        <v>9007</v>
      </c>
      <c r="C7421" s="37" t="s">
        <v>4791</v>
      </c>
      <c r="D7421" s="326">
        <v>40.67</v>
      </c>
    </row>
    <row r="7422" spans="1:4" ht="13.5">
      <c r="A7422" s="37">
        <v>101309</v>
      </c>
      <c r="B7422" s="37" t="s">
        <v>9008</v>
      </c>
      <c r="C7422" s="37" t="s">
        <v>4791</v>
      </c>
      <c r="D7422" s="326">
        <v>36.020000000000003</v>
      </c>
    </row>
    <row r="7423" spans="1:4" ht="13.5">
      <c r="A7423" s="37">
        <v>101310</v>
      </c>
      <c r="B7423" s="37" t="s">
        <v>9009</v>
      </c>
      <c r="C7423" s="37" t="s">
        <v>4791</v>
      </c>
      <c r="D7423" s="326">
        <v>50.38</v>
      </c>
    </row>
    <row r="7424" spans="1:4" ht="13.5">
      <c r="A7424" s="37">
        <v>101311</v>
      </c>
      <c r="B7424" s="37" t="s">
        <v>9010</v>
      </c>
      <c r="C7424" s="37" t="s">
        <v>4791</v>
      </c>
      <c r="D7424" s="326">
        <v>39.4</v>
      </c>
    </row>
    <row r="7425" spans="1:4" ht="13.5">
      <c r="A7425" s="37">
        <v>101312</v>
      </c>
      <c r="B7425" s="37" t="s">
        <v>9011</v>
      </c>
      <c r="C7425" s="37" t="s">
        <v>4791</v>
      </c>
      <c r="D7425" s="326">
        <v>24.8</v>
      </c>
    </row>
    <row r="7426" spans="1:4" ht="13.5">
      <c r="A7426" s="37">
        <v>101313</v>
      </c>
      <c r="B7426" s="37" t="s">
        <v>9012</v>
      </c>
      <c r="C7426" s="37" t="s">
        <v>4791</v>
      </c>
      <c r="D7426" s="326">
        <v>132.05000000000001</v>
      </c>
    </row>
    <row r="7427" spans="1:4" ht="13.5">
      <c r="A7427" s="37">
        <v>101314</v>
      </c>
      <c r="B7427" s="37" t="s">
        <v>9013</v>
      </c>
      <c r="C7427" s="37" t="s">
        <v>4791</v>
      </c>
      <c r="D7427" s="326">
        <v>128.25</v>
      </c>
    </row>
    <row r="7428" spans="1:4" ht="13.5">
      <c r="A7428" s="37">
        <v>101315</v>
      </c>
      <c r="B7428" s="37" t="s">
        <v>9014</v>
      </c>
      <c r="C7428" s="37" t="s">
        <v>4791</v>
      </c>
      <c r="D7428" s="326">
        <v>125.62</v>
      </c>
    </row>
    <row r="7429" spans="1:4" ht="13.5">
      <c r="A7429" s="37">
        <v>101316</v>
      </c>
      <c r="B7429" s="37" t="s">
        <v>9015</v>
      </c>
      <c r="C7429" s="37" t="s">
        <v>4791</v>
      </c>
      <c r="D7429" s="326">
        <v>52.09</v>
      </c>
    </row>
    <row r="7430" spans="1:4" ht="13.5">
      <c r="A7430" s="37">
        <v>101320</v>
      </c>
      <c r="B7430" s="37" t="s">
        <v>9016</v>
      </c>
      <c r="C7430" s="37" t="s">
        <v>4791</v>
      </c>
      <c r="D7430" s="326">
        <v>39.07</v>
      </c>
    </row>
    <row r="7431" spans="1:4" ht="13.5">
      <c r="A7431" s="37">
        <v>101322</v>
      </c>
      <c r="B7431" s="37" t="s">
        <v>9017</v>
      </c>
      <c r="C7431" s="37" t="s">
        <v>4791</v>
      </c>
      <c r="D7431" s="326">
        <v>25.23</v>
      </c>
    </row>
    <row r="7432" spans="1:4" ht="13.5">
      <c r="A7432" s="37">
        <v>101323</v>
      </c>
      <c r="B7432" s="37" t="s">
        <v>9018</v>
      </c>
      <c r="C7432" s="37" t="s">
        <v>4791</v>
      </c>
      <c r="D7432" s="326">
        <v>59.3</v>
      </c>
    </row>
    <row r="7433" spans="1:4" ht="13.5">
      <c r="A7433" s="37">
        <v>101324</v>
      </c>
      <c r="B7433" s="37" t="s">
        <v>9019</v>
      </c>
      <c r="C7433" s="37" t="s">
        <v>4791</v>
      </c>
      <c r="D7433" s="326">
        <v>16.579999999999998</v>
      </c>
    </row>
    <row r="7434" spans="1:4" ht="13.5">
      <c r="A7434" s="37">
        <v>101325</v>
      </c>
      <c r="B7434" s="37" t="s">
        <v>9020</v>
      </c>
      <c r="C7434" s="37" t="s">
        <v>4791</v>
      </c>
      <c r="D7434" s="326">
        <v>60.78</v>
      </c>
    </row>
    <row r="7435" spans="1:4" ht="13.5">
      <c r="A7435" s="37">
        <v>101326</v>
      </c>
      <c r="B7435" s="37" t="s">
        <v>9021</v>
      </c>
      <c r="C7435" s="37" t="s">
        <v>4791</v>
      </c>
      <c r="D7435" s="326">
        <v>12.37</v>
      </c>
    </row>
    <row r="7436" spans="1:4" ht="13.5">
      <c r="A7436" s="37">
        <v>101327</v>
      </c>
      <c r="B7436" s="37" t="s">
        <v>9022</v>
      </c>
      <c r="C7436" s="37" t="s">
        <v>4791</v>
      </c>
      <c r="D7436" s="326">
        <v>13.8</v>
      </c>
    </row>
    <row r="7437" spans="1:4" ht="13.5">
      <c r="A7437" s="37">
        <v>101328</v>
      </c>
      <c r="B7437" s="37" t="s">
        <v>9023</v>
      </c>
      <c r="C7437" s="37" t="s">
        <v>4791</v>
      </c>
      <c r="D7437" s="326">
        <v>19.850000000000001</v>
      </c>
    </row>
    <row r="7438" spans="1:4" ht="13.5">
      <c r="A7438" s="37">
        <v>101329</v>
      </c>
      <c r="B7438" s="37" t="s">
        <v>9024</v>
      </c>
      <c r="C7438" s="37" t="s">
        <v>4791</v>
      </c>
      <c r="D7438" s="326">
        <v>59.8</v>
      </c>
    </row>
    <row r="7439" spans="1:4" ht="13.5">
      <c r="A7439" s="37">
        <v>101330</v>
      </c>
      <c r="B7439" s="37" t="s">
        <v>9025</v>
      </c>
      <c r="C7439" s="37" t="s">
        <v>4791</v>
      </c>
      <c r="D7439" s="326">
        <v>49.24</v>
      </c>
    </row>
    <row r="7440" spans="1:4" ht="13.5">
      <c r="A7440" s="37">
        <v>101331</v>
      </c>
      <c r="B7440" s="37" t="s">
        <v>9026</v>
      </c>
      <c r="C7440" s="37" t="s">
        <v>4791</v>
      </c>
      <c r="D7440" s="326">
        <v>45.35</v>
      </c>
    </row>
    <row r="7441" spans="1:4" ht="13.5">
      <c r="A7441" s="37">
        <v>101332</v>
      </c>
      <c r="B7441" s="37" t="s">
        <v>9027</v>
      </c>
      <c r="C7441" s="37" t="s">
        <v>4791</v>
      </c>
      <c r="D7441" s="326">
        <v>13.29</v>
      </c>
    </row>
    <row r="7442" spans="1:4" ht="13.5">
      <c r="A7442" s="37">
        <v>101333</v>
      </c>
      <c r="B7442" s="37" t="s">
        <v>9028</v>
      </c>
      <c r="C7442" s="37" t="s">
        <v>4791</v>
      </c>
      <c r="D7442" s="326">
        <v>39.07</v>
      </c>
    </row>
    <row r="7443" spans="1:4" ht="13.5">
      <c r="A7443" s="37">
        <v>101334</v>
      </c>
      <c r="B7443" s="37" t="s">
        <v>9029</v>
      </c>
      <c r="C7443" s="37" t="s">
        <v>4791</v>
      </c>
      <c r="D7443" s="326">
        <v>83.29</v>
      </c>
    </row>
    <row r="7444" spans="1:4" ht="13.5">
      <c r="A7444" s="37">
        <v>101336</v>
      </c>
      <c r="B7444" s="37" t="s">
        <v>9030</v>
      </c>
      <c r="C7444" s="37" t="s">
        <v>4791</v>
      </c>
      <c r="D7444" s="326">
        <v>55.73</v>
      </c>
    </row>
    <row r="7445" spans="1:4" ht="13.5">
      <c r="A7445" s="37">
        <v>101337</v>
      </c>
      <c r="B7445" s="37" t="s">
        <v>9031</v>
      </c>
      <c r="C7445" s="37" t="s">
        <v>4791</v>
      </c>
      <c r="D7445" s="326">
        <v>20.29</v>
      </c>
    </row>
    <row r="7446" spans="1:4" ht="13.5">
      <c r="A7446" s="37">
        <v>101338</v>
      </c>
      <c r="B7446" s="37" t="s">
        <v>9032</v>
      </c>
      <c r="C7446" s="37" t="s">
        <v>4791</v>
      </c>
      <c r="D7446" s="326">
        <v>33.33</v>
      </c>
    </row>
    <row r="7447" spans="1:4" ht="13.5">
      <c r="A7447" s="37">
        <v>101339</v>
      </c>
      <c r="B7447" s="37" t="s">
        <v>9033</v>
      </c>
      <c r="C7447" s="37" t="s">
        <v>4791</v>
      </c>
      <c r="D7447" s="326">
        <v>31.1</v>
      </c>
    </row>
    <row r="7448" spans="1:4" ht="13.5">
      <c r="A7448" s="37">
        <v>101340</v>
      </c>
      <c r="B7448" s="37" t="s">
        <v>9034</v>
      </c>
      <c r="C7448" s="37" t="s">
        <v>4791</v>
      </c>
      <c r="D7448" s="326">
        <v>26.58</v>
      </c>
    </row>
    <row r="7449" spans="1:4" ht="13.5">
      <c r="A7449" s="37">
        <v>101341</v>
      </c>
      <c r="B7449" s="37" t="s">
        <v>9035</v>
      </c>
      <c r="C7449" s="37" t="s">
        <v>4791</v>
      </c>
      <c r="D7449" s="326">
        <v>18.899999999999999</v>
      </c>
    </row>
    <row r="7450" spans="1:4" ht="13.5">
      <c r="A7450" s="37">
        <v>101342</v>
      </c>
      <c r="B7450" s="37" t="s">
        <v>9036</v>
      </c>
      <c r="C7450" s="37" t="s">
        <v>4791</v>
      </c>
      <c r="D7450" s="326">
        <v>31.1</v>
      </c>
    </row>
    <row r="7451" spans="1:4" ht="13.5">
      <c r="A7451" s="37">
        <v>101343</v>
      </c>
      <c r="B7451" s="37" t="s">
        <v>9037</v>
      </c>
      <c r="C7451" s="37" t="s">
        <v>4791</v>
      </c>
      <c r="D7451" s="326">
        <v>47.3</v>
      </c>
    </row>
    <row r="7452" spans="1:4" ht="13.5">
      <c r="A7452" s="37">
        <v>101344</v>
      </c>
      <c r="B7452" s="37" t="s">
        <v>9038</v>
      </c>
      <c r="C7452" s="37" t="s">
        <v>4791</v>
      </c>
      <c r="D7452" s="326">
        <v>50.99</v>
      </c>
    </row>
    <row r="7453" spans="1:4" ht="13.5">
      <c r="A7453" s="37">
        <v>101345</v>
      </c>
      <c r="B7453" s="37" t="s">
        <v>9039</v>
      </c>
      <c r="C7453" s="37" t="s">
        <v>4791</v>
      </c>
      <c r="D7453" s="326">
        <v>89.55</v>
      </c>
    </row>
    <row r="7454" spans="1:4" ht="13.5">
      <c r="A7454" s="37">
        <v>101346</v>
      </c>
      <c r="B7454" s="37" t="s">
        <v>9040</v>
      </c>
      <c r="C7454" s="37" t="s">
        <v>4791</v>
      </c>
      <c r="D7454" s="326">
        <v>28.09</v>
      </c>
    </row>
    <row r="7455" spans="1:4" ht="13.5">
      <c r="A7455" s="37">
        <v>101347</v>
      </c>
      <c r="B7455" s="37" t="s">
        <v>9041</v>
      </c>
      <c r="C7455" s="37" t="s">
        <v>4791</v>
      </c>
      <c r="D7455" s="326">
        <v>49.33</v>
      </c>
    </row>
    <row r="7456" spans="1:4" ht="13.5">
      <c r="A7456" s="37">
        <v>101348</v>
      </c>
      <c r="B7456" s="37" t="s">
        <v>9042</v>
      </c>
      <c r="C7456" s="37" t="s">
        <v>4791</v>
      </c>
      <c r="D7456" s="326">
        <v>23.26</v>
      </c>
    </row>
    <row r="7457" spans="1:4" ht="13.5">
      <c r="A7457" s="37">
        <v>101349</v>
      </c>
      <c r="B7457" s="37" t="s">
        <v>9043</v>
      </c>
      <c r="C7457" s="37" t="s">
        <v>4791</v>
      </c>
      <c r="D7457" s="326">
        <v>41.58</v>
      </c>
    </row>
    <row r="7458" spans="1:4" ht="13.5">
      <c r="A7458" s="37">
        <v>101350</v>
      </c>
      <c r="B7458" s="37" t="s">
        <v>9044</v>
      </c>
      <c r="C7458" s="37" t="s">
        <v>4791</v>
      </c>
      <c r="D7458" s="326">
        <v>41.58</v>
      </c>
    </row>
    <row r="7459" spans="1:4" ht="13.5">
      <c r="A7459" s="37">
        <v>101351</v>
      </c>
      <c r="B7459" s="37" t="s">
        <v>9045</v>
      </c>
      <c r="C7459" s="37" t="s">
        <v>4791</v>
      </c>
      <c r="D7459" s="326">
        <v>31.1</v>
      </c>
    </row>
    <row r="7460" spans="1:4" ht="13.5">
      <c r="A7460" s="37">
        <v>101352</v>
      </c>
      <c r="B7460" s="37" t="s">
        <v>9046</v>
      </c>
      <c r="C7460" s="37" t="s">
        <v>4791</v>
      </c>
      <c r="D7460" s="326">
        <v>31.1</v>
      </c>
    </row>
    <row r="7461" spans="1:4" ht="13.5">
      <c r="A7461" s="37">
        <v>101353</v>
      </c>
      <c r="B7461" s="37" t="s">
        <v>9047</v>
      </c>
      <c r="C7461" s="37" t="s">
        <v>4791</v>
      </c>
      <c r="D7461" s="326">
        <v>25.46</v>
      </c>
    </row>
    <row r="7462" spans="1:4" ht="13.5">
      <c r="A7462" s="37">
        <v>101355</v>
      </c>
      <c r="B7462" s="37" t="s">
        <v>9048</v>
      </c>
      <c r="C7462" s="37" t="s">
        <v>4791</v>
      </c>
      <c r="D7462" s="326">
        <v>41.58</v>
      </c>
    </row>
    <row r="7463" spans="1:4" ht="13.5">
      <c r="A7463" s="37">
        <v>101356</v>
      </c>
      <c r="B7463" s="37" t="s">
        <v>9049</v>
      </c>
      <c r="C7463" s="37" t="s">
        <v>4791</v>
      </c>
      <c r="D7463" s="326">
        <v>45.02</v>
      </c>
    </row>
    <row r="7464" spans="1:4" ht="13.5">
      <c r="A7464" s="37">
        <v>101357</v>
      </c>
      <c r="B7464" s="37" t="s">
        <v>9050</v>
      </c>
      <c r="C7464" s="37" t="s">
        <v>4791</v>
      </c>
      <c r="D7464" s="326">
        <v>64.67</v>
      </c>
    </row>
    <row r="7465" spans="1:4" ht="13.5">
      <c r="A7465" s="37">
        <v>101358</v>
      </c>
      <c r="B7465" s="37" t="s">
        <v>9051</v>
      </c>
      <c r="C7465" s="37" t="s">
        <v>4791</v>
      </c>
      <c r="D7465" s="326">
        <v>49.85</v>
      </c>
    </row>
    <row r="7466" spans="1:4" ht="13.5">
      <c r="A7466" s="37">
        <v>101359</v>
      </c>
      <c r="B7466" s="37" t="s">
        <v>9052</v>
      </c>
      <c r="C7466" s="37" t="s">
        <v>4791</v>
      </c>
      <c r="D7466" s="326">
        <v>45.97</v>
      </c>
    </row>
    <row r="7467" spans="1:4" ht="13.5">
      <c r="A7467" s="37">
        <v>101360</v>
      </c>
      <c r="B7467" s="37" t="s">
        <v>9053</v>
      </c>
      <c r="C7467" s="37" t="s">
        <v>4791</v>
      </c>
      <c r="D7467" s="326">
        <v>49.85</v>
      </c>
    </row>
    <row r="7468" spans="1:4" ht="13.5">
      <c r="A7468" s="37">
        <v>101361</v>
      </c>
      <c r="B7468" s="37" t="s">
        <v>9054</v>
      </c>
      <c r="C7468" s="37" t="s">
        <v>4791</v>
      </c>
      <c r="D7468" s="326">
        <v>62.47</v>
      </c>
    </row>
    <row r="7469" spans="1:4" ht="13.5">
      <c r="A7469" s="37">
        <v>101363</v>
      </c>
      <c r="B7469" s="37" t="s">
        <v>9055</v>
      </c>
      <c r="C7469" s="37" t="s">
        <v>4791</v>
      </c>
      <c r="D7469" s="326">
        <v>41.46</v>
      </c>
    </row>
    <row r="7470" spans="1:4" ht="13.5">
      <c r="A7470" s="37">
        <v>101364</v>
      </c>
      <c r="B7470" s="37" t="s">
        <v>9056</v>
      </c>
      <c r="C7470" s="37" t="s">
        <v>4791</v>
      </c>
      <c r="D7470" s="326">
        <v>45.57</v>
      </c>
    </row>
    <row r="7471" spans="1:4" ht="13.5">
      <c r="A7471" s="37">
        <v>101365</v>
      </c>
      <c r="B7471" s="37" t="s">
        <v>9057</v>
      </c>
      <c r="C7471" s="37" t="s">
        <v>4791</v>
      </c>
      <c r="D7471" s="326">
        <v>39.36</v>
      </c>
    </row>
    <row r="7472" spans="1:4" ht="13.5">
      <c r="A7472" s="37">
        <v>101366</v>
      </c>
      <c r="B7472" s="37" t="s">
        <v>9058</v>
      </c>
      <c r="C7472" s="37" t="s">
        <v>4791</v>
      </c>
      <c r="D7472" s="326">
        <v>46.26</v>
      </c>
    </row>
    <row r="7473" spans="1:4" ht="13.5">
      <c r="A7473" s="37">
        <v>101367</v>
      </c>
      <c r="B7473" s="37" t="s">
        <v>9059</v>
      </c>
      <c r="C7473" s="37" t="s">
        <v>4791</v>
      </c>
      <c r="D7473" s="326">
        <v>39.4</v>
      </c>
    </row>
    <row r="7474" spans="1:4" ht="13.5">
      <c r="A7474" s="37">
        <v>101368</v>
      </c>
      <c r="B7474" s="37" t="s">
        <v>9060</v>
      </c>
      <c r="C7474" s="37" t="s">
        <v>4791</v>
      </c>
      <c r="D7474" s="326">
        <v>59.79</v>
      </c>
    </row>
    <row r="7475" spans="1:4" ht="13.5">
      <c r="A7475" s="37">
        <v>101369</v>
      </c>
      <c r="B7475" s="37" t="s">
        <v>9061</v>
      </c>
      <c r="C7475" s="37" t="s">
        <v>4791</v>
      </c>
      <c r="D7475" s="326">
        <v>82.02</v>
      </c>
    </row>
    <row r="7476" spans="1:4" ht="13.5">
      <c r="A7476" s="37">
        <v>101370</v>
      </c>
      <c r="B7476" s="37" t="s">
        <v>9062</v>
      </c>
      <c r="C7476" s="37" t="s">
        <v>4791</v>
      </c>
      <c r="D7476" s="326">
        <v>38.93</v>
      </c>
    </row>
    <row r="7477" spans="1:4" ht="13.5">
      <c r="A7477" s="37">
        <v>101371</v>
      </c>
      <c r="B7477" s="37" t="s">
        <v>9063</v>
      </c>
      <c r="C7477" s="37" t="s">
        <v>4791</v>
      </c>
      <c r="D7477" s="326">
        <v>37.4</v>
      </c>
    </row>
    <row r="7478" spans="1:4" ht="13.5">
      <c r="A7478" s="37">
        <v>101372</v>
      </c>
      <c r="B7478" s="37" t="s">
        <v>9064</v>
      </c>
      <c r="C7478" s="37" t="s">
        <v>4791</v>
      </c>
      <c r="D7478" s="326">
        <v>10.92</v>
      </c>
    </row>
    <row r="7479" spans="1:4" ht="13.5">
      <c r="A7479" s="37">
        <v>101374</v>
      </c>
      <c r="B7479" s="37" t="s">
        <v>4696</v>
      </c>
      <c r="C7479" s="37" t="s">
        <v>4791</v>
      </c>
      <c r="D7479" s="38">
        <v>3768.29</v>
      </c>
    </row>
    <row r="7480" spans="1:4" ht="13.5">
      <c r="A7480" s="37">
        <v>101375</v>
      </c>
      <c r="B7480" s="37" t="s">
        <v>9065</v>
      </c>
      <c r="C7480" s="37" t="s">
        <v>4791</v>
      </c>
      <c r="D7480" s="38">
        <v>3828.8</v>
      </c>
    </row>
    <row r="7481" spans="1:4" ht="13.5">
      <c r="A7481" s="37">
        <v>101376</v>
      </c>
      <c r="B7481" s="37" t="s">
        <v>9066</v>
      </c>
      <c r="C7481" s="37" t="s">
        <v>4791</v>
      </c>
      <c r="D7481" s="38">
        <v>3542.71</v>
      </c>
    </row>
    <row r="7482" spans="1:4" ht="13.5">
      <c r="A7482" s="37">
        <v>101377</v>
      </c>
      <c r="B7482" s="37" t="s">
        <v>4699</v>
      </c>
      <c r="C7482" s="37" t="s">
        <v>4791</v>
      </c>
      <c r="D7482" s="38">
        <v>3501.28</v>
      </c>
    </row>
    <row r="7483" spans="1:4" ht="13.5">
      <c r="A7483" s="37">
        <v>101378</v>
      </c>
      <c r="B7483" s="37" t="s">
        <v>4917</v>
      </c>
      <c r="C7483" s="37" t="s">
        <v>4791</v>
      </c>
      <c r="D7483" s="38">
        <v>4084.3</v>
      </c>
    </row>
    <row r="7484" spans="1:4" ht="13.5">
      <c r="A7484" s="37">
        <v>101379</v>
      </c>
      <c r="B7484" s="37" t="s">
        <v>9067</v>
      </c>
      <c r="C7484" s="37" t="s">
        <v>4791</v>
      </c>
      <c r="D7484" s="38">
        <v>3768.29</v>
      </c>
    </row>
    <row r="7485" spans="1:4" ht="13.5">
      <c r="A7485" s="37">
        <v>101380</v>
      </c>
      <c r="B7485" s="37" t="s">
        <v>4701</v>
      </c>
      <c r="C7485" s="37" t="s">
        <v>4791</v>
      </c>
      <c r="D7485" s="38">
        <v>3477.68</v>
      </c>
    </row>
    <row r="7486" spans="1:4" ht="13.5">
      <c r="A7486" s="37">
        <v>101381</v>
      </c>
      <c r="B7486" s="37" t="s">
        <v>4702</v>
      </c>
      <c r="C7486" s="37" t="s">
        <v>4791</v>
      </c>
      <c r="D7486" s="38">
        <v>4482.6400000000003</v>
      </c>
    </row>
    <row r="7487" spans="1:4" ht="13.5">
      <c r="A7487" s="37">
        <v>101382</v>
      </c>
      <c r="B7487" s="37" t="s">
        <v>9068</v>
      </c>
      <c r="C7487" s="37" t="s">
        <v>4791</v>
      </c>
      <c r="D7487" s="38">
        <v>3878.46</v>
      </c>
    </row>
    <row r="7488" spans="1:4" ht="13.5">
      <c r="A7488" s="37">
        <v>101383</v>
      </c>
      <c r="B7488" s="37" t="s">
        <v>4918</v>
      </c>
      <c r="C7488" s="37" t="s">
        <v>4791</v>
      </c>
      <c r="D7488" s="38">
        <v>3142.79</v>
      </c>
    </row>
    <row r="7489" spans="1:4" ht="13.5">
      <c r="A7489" s="37">
        <v>101384</v>
      </c>
      <c r="B7489" s="37" t="s">
        <v>4705</v>
      </c>
      <c r="C7489" s="37" t="s">
        <v>4791</v>
      </c>
      <c r="D7489" s="38">
        <v>3653.94</v>
      </c>
    </row>
    <row r="7490" spans="1:4" ht="13.5">
      <c r="A7490" s="37">
        <v>101385</v>
      </c>
      <c r="B7490" s="37" t="s">
        <v>9069</v>
      </c>
      <c r="C7490" s="37" t="s">
        <v>4791</v>
      </c>
      <c r="D7490" s="38">
        <v>5421.96</v>
      </c>
    </row>
    <row r="7491" spans="1:4" ht="13.5">
      <c r="A7491" s="37">
        <v>101386</v>
      </c>
      <c r="B7491" s="37" t="s">
        <v>4707</v>
      </c>
      <c r="C7491" s="37" t="s">
        <v>4791</v>
      </c>
      <c r="D7491" s="38">
        <v>3542.71</v>
      </c>
    </row>
    <row r="7492" spans="1:4" ht="13.5">
      <c r="A7492" s="37">
        <v>101387</v>
      </c>
      <c r="B7492" s="37" t="s">
        <v>9070</v>
      </c>
      <c r="C7492" s="37" t="s">
        <v>4791</v>
      </c>
      <c r="D7492" s="38">
        <v>3776.14</v>
      </c>
    </row>
    <row r="7493" spans="1:4" ht="13.5">
      <c r="A7493" s="37">
        <v>101388</v>
      </c>
      <c r="B7493" s="37" t="s">
        <v>4709</v>
      </c>
      <c r="C7493" s="37" t="s">
        <v>4791</v>
      </c>
      <c r="D7493" s="38">
        <v>3402.41</v>
      </c>
    </row>
    <row r="7494" spans="1:4" ht="13.5">
      <c r="A7494" s="37">
        <v>101389</v>
      </c>
      <c r="B7494" s="37" t="s">
        <v>4710</v>
      </c>
      <c r="C7494" s="37" t="s">
        <v>4791</v>
      </c>
      <c r="D7494" s="38">
        <v>2700.22</v>
      </c>
    </row>
    <row r="7495" spans="1:4" ht="13.5">
      <c r="A7495" s="37">
        <v>101390</v>
      </c>
      <c r="B7495" s="37" t="s">
        <v>9071</v>
      </c>
      <c r="C7495" s="37" t="s">
        <v>4791</v>
      </c>
      <c r="D7495" s="38">
        <v>7493.7</v>
      </c>
    </row>
    <row r="7496" spans="1:4" ht="13.5">
      <c r="A7496" s="37">
        <v>101391</v>
      </c>
      <c r="B7496" s="37" t="s">
        <v>9072</v>
      </c>
      <c r="C7496" s="37" t="s">
        <v>4791</v>
      </c>
      <c r="D7496" s="38">
        <v>4492.9799999999996</v>
      </c>
    </row>
    <row r="7497" spans="1:4" ht="13.5">
      <c r="A7497" s="37">
        <v>101392</v>
      </c>
      <c r="B7497" s="37" t="s">
        <v>9073</v>
      </c>
      <c r="C7497" s="37" t="s">
        <v>4791</v>
      </c>
      <c r="D7497" s="38">
        <v>4415.17</v>
      </c>
    </row>
    <row r="7498" spans="1:4" ht="13.5">
      <c r="A7498" s="37">
        <v>101394</v>
      </c>
      <c r="B7498" s="37" t="s">
        <v>4715</v>
      </c>
      <c r="C7498" s="37" t="s">
        <v>4791</v>
      </c>
      <c r="D7498" s="38">
        <v>3940.64</v>
      </c>
    </row>
    <row r="7499" spans="1:4" ht="13.5">
      <c r="A7499" s="37">
        <v>101395</v>
      </c>
      <c r="B7499" s="37" t="s">
        <v>9074</v>
      </c>
      <c r="C7499" s="37" t="s">
        <v>4791</v>
      </c>
      <c r="D7499" s="38">
        <v>3749.81</v>
      </c>
    </row>
    <row r="7500" spans="1:4" ht="13.5">
      <c r="A7500" s="37">
        <v>101396</v>
      </c>
      <c r="B7500" s="37" t="s">
        <v>9075</v>
      </c>
      <c r="C7500" s="37" t="s">
        <v>4791</v>
      </c>
      <c r="D7500" s="38">
        <v>4893.78</v>
      </c>
    </row>
    <row r="7501" spans="1:4" ht="13.5">
      <c r="A7501" s="37">
        <v>101397</v>
      </c>
      <c r="B7501" s="37" t="s">
        <v>4717</v>
      </c>
      <c r="C7501" s="37" t="s">
        <v>4791</v>
      </c>
      <c r="D7501" s="38">
        <v>4882.8</v>
      </c>
    </row>
    <row r="7502" spans="1:4" ht="13.5">
      <c r="A7502" s="37">
        <v>101398</v>
      </c>
      <c r="B7502" s="37" t="s">
        <v>9076</v>
      </c>
      <c r="C7502" s="37" t="s">
        <v>4791</v>
      </c>
      <c r="D7502" s="38">
        <v>3200.43</v>
      </c>
    </row>
    <row r="7503" spans="1:4" ht="13.5">
      <c r="A7503" s="37">
        <v>101399</v>
      </c>
      <c r="B7503" s="37" t="s">
        <v>4719</v>
      </c>
      <c r="C7503" s="37" t="s">
        <v>4791</v>
      </c>
      <c r="D7503" s="38">
        <v>5143.93</v>
      </c>
    </row>
    <row r="7504" spans="1:4" ht="13.5">
      <c r="A7504" s="37">
        <v>101400</v>
      </c>
      <c r="B7504" s="37" t="s">
        <v>9077</v>
      </c>
      <c r="C7504" s="37" t="s">
        <v>4791</v>
      </c>
      <c r="D7504" s="38">
        <v>5021.7299999999996</v>
      </c>
    </row>
    <row r="7505" spans="1:4" ht="13.5">
      <c r="A7505" s="37">
        <v>101401</v>
      </c>
      <c r="B7505" s="37" t="s">
        <v>4721</v>
      </c>
      <c r="C7505" s="37" t="s">
        <v>4791</v>
      </c>
      <c r="D7505" s="38">
        <v>5753.32</v>
      </c>
    </row>
    <row r="7506" spans="1:4" ht="13.5">
      <c r="A7506" s="37">
        <v>101402</v>
      </c>
      <c r="B7506" s="37" t="s">
        <v>4722</v>
      </c>
      <c r="C7506" s="37" t="s">
        <v>4791</v>
      </c>
      <c r="D7506" s="38">
        <v>4190.6400000000003</v>
      </c>
    </row>
    <row r="7507" spans="1:4" ht="13.5">
      <c r="A7507" s="37">
        <v>101407</v>
      </c>
      <c r="B7507" s="37" t="s">
        <v>4723</v>
      </c>
      <c r="C7507" s="37" t="s">
        <v>4791</v>
      </c>
      <c r="D7507" s="38">
        <v>3469.4</v>
      </c>
    </row>
    <row r="7508" spans="1:4" ht="13.5">
      <c r="A7508" s="37">
        <v>101408</v>
      </c>
      <c r="B7508" s="37" t="s">
        <v>4724</v>
      </c>
      <c r="C7508" s="37" t="s">
        <v>4791</v>
      </c>
      <c r="D7508" s="38">
        <v>4212.3599999999997</v>
      </c>
    </row>
    <row r="7509" spans="1:4" ht="13.5">
      <c r="A7509" s="37">
        <v>101409</v>
      </c>
      <c r="B7509" s="37" t="s">
        <v>9078</v>
      </c>
      <c r="C7509" s="37" t="s">
        <v>4791</v>
      </c>
      <c r="D7509" s="38">
        <v>5522.86</v>
      </c>
    </row>
    <row r="7510" spans="1:4" ht="13.5">
      <c r="A7510" s="37">
        <v>101410</v>
      </c>
      <c r="B7510" s="37" t="s">
        <v>4773</v>
      </c>
      <c r="C7510" s="37" t="s">
        <v>4791</v>
      </c>
      <c r="D7510" s="38">
        <v>3742.34</v>
      </c>
    </row>
    <row r="7511" spans="1:4" ht="13.5">
      <c r="A7511" s="37">
        <v>101411</v>
      </c>
      <c r="B7511" s="37" t="s">
        <v>9079</v>
      </c>
      <c r="C7511" s="37" t="s">
        <v>4791</v>
      </c>
      <c r="D7511" s="38">
        <v>3584.47</v>
      </c>
    </row>
    <row r="7512" spans="1:4" ht="13.5">
      <c r="A7512" s="37">
        <v>101412</v>
      </c>
      <c r="B7512" s="37" t="s">
        <v>9080</v>
      </c>
      <c r="C7512" s="37" t="s">
        <v>4791</v>
      </c>
      <c r="D7512" s="38">
        <v>5007.6899999999996</v>
      </c>
    </row>
    <row r="7513" spans="1:4" ht="13.5">
      <c r="A7513" s="37">
        <v>101413</v>
      </c>
      <c r="B7513" s="37" t="s">
        <v>4726</v>
      </c>
      <c r="C7513" s="37" t="s">
        <v>4791</v>
      </c>
      <c r="D7513" s="38">
        <v>4802.9399999999996</v>
      </c>
    </row>
    <row r="7514" spans="1:4" ht="13.5">
      <c r="A7514" s="37">
        <v>101414</v>
      </c>
      <c r="B7514" s="37" t="s">
        <v>9081</v>
      </c>
      <c r="C7514" s="37" t="s">
        <v>4791</v>
      </c>
      <c r="D7514" s="38">
        <v>4519.59</v>
      </c>
    </row>
    <row r="7515" spans="1:4" ht="13.5">
      <c r="A7515" s="37">
        <v>101415</v>
      </c>
      <c r="B7515" s="37" t="s">
        <v>9082</v>
      </c>
      <c r="C7515" s="37" t="s">
        <v>4791</v>
      </c>
      <c r="D7515" s="38">
        <v>6176.89</v>
      </c>
    </row>
    <row r="7516" spans="1:4" ht="13.5">
      <c r="A7516" s="37">
        <v>101416</v>
      </c>
      <c r="B7516" s="37" t="s">
        <v>4920</v>
      </c>
      <c r="C7516" s="37" t="s">
        <v>4791</v>
      </c>
      <c r="D7516" s="38">
        <v>4483.3999999999996</v>
      </c>
    </row>
    <row r="7517" spans="1:4" ht="13.5">
      <c r="A7517" s="37">
        <v>101417</v>
      </c>
      <c r="B7517" s="37" t="s">
        <v>9083</v>
      </c>
      <c r="C7517" s="37" t="s">
        <v>4791</v>
      </c>
      <c r="D7517" s="38">
        <v>4881.59</v>
      </c>
    </row>
    <row r="7518" spans="1:4" ht="13.5">
      <c r="A7518" s="37">
        <v>101418</v>
      </c>
      <c r="B7518" s="37" t="s">
        <v>9084</v>
      </c>
      <c r="C7518" s="37" t="s">
        <v>4791</v>
      </c>
      <c r="D7518" s="38">
        <v>4813.08</v>
      </c>
    </row>
    <row r="7519" spans="1:4" ht="13.5">
      <c r="A7519" s="37">
        <v>101419</v>
      </c>
      <c r="B7519" s="37" t="s">
        <v>9085</v>
      </c>
      <c r="C7519" s="37" t="s">
        <v>4791</v>
      </c>
      <c r="D7519" s="38">
        <v>6399.49</v>
      </c>
    </row>
    <row r="7520" spans="1:4" ht="13.5">
      <c r="A7520" s="37">
        <v>101420</v>
      </c>
      <c r="B7520" s="37" t="s">
        <v>9086</v>
      </c>
      <c r="C7520" s="37" t="s">
        <v>4791</v>
      </c>
      <c r="D7520" s="38">
        <v>4484.03</v>
      </c>
    </row>
    <row r="7521" spans="1:4" ht="13.5">
      <c r="A7521" s="37">
        <v>101421</v>
      </c>
      <c r="B7521" s="37" t="s">
        <v>9087</v>
      </c>
      <c r="C7521" s="37" t="s">
        <v>4791</v>
      </c>
      <c r="D7521" s="38">
        <v>5233.08</v>
      </c>
    </row>
    <row r="7522" spans="1:4" ht="13.5">
      <c r="A7522" s="37">
        <v>101422</v>
      </c>
      <c r="B7522" s="37" t="s">
        <v>9088</v>
      </c>
      <c r="C7522" s="37" t="s">
        <v>4791</v>
      </c>
      <c r="D7522" s="38">
        <v>3729.1</v>
      </c>
    </row>
    <row r="7523" spans="1:4" ht="13.5">
      <c r="A7523" s="37">
        <v>101424</v>
      </c>
      <c r="B7523" s="37" t="s">
        <v>9089</v>
      </c>
      <c r="C7523" s="37" t="s">
        <v>4791</v>
      </c>
      <c r="D7523" s="38">
        <v>4688.3100000000004</v>
      </c>
    </row>
    <row r="7524" spans="1:4" ht="13.5">
      <c r="A7524" s="37">
        <v>101425</v>
      </c>
      <c r="B7524" s="37" t="s">
        <v>9090</v>
      </c>
      <c r="C7524" s="37" t="s">
        <v>4791</v>
      </c>
      <c r="D7524" s="38">
        <v>3260.02</v>
      </c>
    </row>
    <row r="7525" spans="1:4" ht="13.5">
      <c r="A7525" s="37">
        <v>101426</v>
      </c>
      <c r="B7525" s="37" t="s">
        <v>9091</v>
      </c>
      <c r="C7525" s="37" t="s">
        <v>4791</v>
      </c>
      <c r="D7525" s="38">
        <v>5368.75</v>
      </c>
    </row>
    <row r="7526" spans="1:4" ht="13.5">
      <c r="A7526" s="37">
        <v>101427</v>
      </c>
      <c r="B7526" s="37" t="s">
        <v>4737</v>
      </c>
      <c r="C7526" s="37" t="s">
        <v>4791</v>
      </c>
      <c r="D7526" s="38">
        <v>5055.7299999999996</v>
      </c>
    </row>
    <row r="7527" spans="1:4" ht="13.5">
      <c r="A7527" s="37">
        <v>101428</v>
      </c>
      <c r="B7527" s="37" t="s">
        <v>9092</v>
      </c>
      <c r="C7527" s="37" t="s">
        <v>4791</v>
      </c>
      <c r="D7527" s="38">
        <v>4419.6400000000003</v>
      </c>
    </row>
    <row r="7528" spans="1:4" ht="13.5">
      <c r="A7528" s="37">
        <v>101429</v>
      </c>
      <c r="B7528" s="37" t="s">
        <v>9093</v>
      </c>
      <c r="C7528" s="37" t="s">
        <v>4791</v>
      </c>
      <c r="D7528" s="38">
        <v>3338.6</v>
      </c>
    </row>
    <row r="7529" spans="1:4" ht="13.5">
      <c r="A7529" s="37">
        <v>101430</v>
      </c>
      <c r="B7529" s="37" t="s">
        <v>9094</v>
      </c>
      <c r="C7529" s="37" t="s">
        <v>4791</v>
      </c>
      <c r="D7529" s="38">
        <v>5055.7299999999996</v>
      </c>
    </row>
    <row r="7530" spans="1:4" ht="13.5">
      <c r="A7530" s="37">
        <v>101431</v>
      </c>
      <c r="B7530" s="37" t="s">
        <v>4740</v>
      </c>
      <c r="C7530" s="37" t="s">
        <v>4791</v>
      </c>
      <c r="D7530" s="38">
        <v>5486.58</v>
      </c>
    </row>
    <row r="7531" spans="1:4" ht="13.5">
      <c r="A7531" s="37">
        <v>101432</v>
      </c>
      <c r="B7531" s="37" t="s">
        <v>9095</v>
      </c>
      <c r="C7531" s="37" t="s">
        <v>4791</v>
      </c>
      <c r="D7531" s="38">
        <v>4347.33</v>
      </c>
    </row>
    <row r="7532" spans="1:4" ht="13.5">
      <c r="A7532" s="37">
        <v>101433</v>
      </c>
      <c r="B7532" s="37" t="s">
        <v>4742</v>
      </c>
      <c r="C7532" s="37" t="s">
        <v>4791</v>
      </c>
      <c r="D7532" s="38">
        <v>7120.95</v>
      </c>
    </row>
    <row r="7533" spans="1:4" ht="13.5">
      <c r="A7533" s="37">
        <v>101434</v>
      </c>
      <c r="B7533" s="37" t="s">
        <v>9096</v>
      </c>
      <c r="C7533" s="37" t="s">
        <v>4791</v>
      </c>
      <c r="D7533" s="38">
        <v>3534.1</v>
      </c>
    </row>
    <row r="7534" spans="1:4" ht="13.5">
      <c r="A7534" s="37">
        <v>101435</v>
      </c>
      <c r="B7534" s="37" t="s">
        <v>9097</v>
      </c>
      <c r="C7534" s="37" t="s">
        <v>4791</v>
      </c>
      <c r="D7534" s="38">
        <v>5692.93</v>
      </c>
    </row>
    <row r="7535" spans="1:4" ht="13.5">
      <c r="A7535" s="37">
        <v>101436</v>
      </c>
      <c r="B7535" s="37" t="s">
        <v>4744</v>
      </c>
      <c r="C7535" s="37" t="s">
        <v>4791</v>
      </c>
      <c r="D7535" s="38">
        <v>3952.42</v>
      </c>
    </row>
    <row r="7536" spans="1:4" ht="13.5">
      <c r="A7536" s="37">
        <v>101437</v>
      </c>
      <c r="B7536" s="37" t="s">
        <v>9098</v>
      </c>
      <c r="C7536" s="37" t="s">
        <v>4791</v>
      </c>
      <c r="D7536" s="38">
        <v>6529.56</v>
      </c>
    </row>
    <row r="7537" spans="1:4" ht="13.5">
      <c r="A7537" s="37">
        <v>101438</v>
      </c>
      <c r="B7537" s="37" t="s">
        <v>4746</v>
      </c>
      <c r="C7537" s="37" t="s">
        <v>4791</v>
      </c>
      <c r="D7537" s="38">
        <v>6529.56</v>
      </c>
    </row>
    <row r="7538" spans="1:4" ht="13.5">
      <c r="A7538" s="37">
        <v>101439</v>
      </c>
      <c r="B7538" s="37" t="s">
        <v>4747</v>
      </c>
      <c r="C7538" s="37" t="s">
        <v>4791</v>
      </c>
      <c r="D7538" s="38">
        <v>5055.7299999999996</v>
      </c>
    </row>
    <row r="7539" spans="1:4" ht="13.5">
      <c r="A7539" s="37">
        <v>101440</v>
      </c>
      <c r="B7539" s="37" t="s">
        <v>9099</v>
      </c>
      <c r="C7539" s="37" t="s">
        <v>4791</v>
      </c>
      <c r="D7539" s="38">
        <v>5055.7299999999996</v>
      </c>
    </row>
    <row r="7540" spans="1:4" ht="13.5">
      <c r="A7540" s="37">
        <v>101441</v>
      </c>
      <c r="B7540" s="37" t="s">
        <v>4749</v>
      </c>
      <c r="C7540" s="37" t="s">
        <v>4791</v>
      </c>
      <c r="D7540" s="38">
        <v>4261.32</v>
      </c>
    </row>
    <row r="7541" spans="1:4" ht="13.5">
      <c r="A7541" s="37">
        <v>101443</v>
      </c>
      <c r="B7541" s="37" t="s">
        <v>4751</v>
      </c>
      <c r="C7541" s="37" t="s">
        <v>4791</v>
      </c>
      <c r="D7541" s="38">
        <v>6529.56</v>
      </c>
    </row>
    <row r="7542" spans="1:4" ht="13.5">
      <c r="A7542" s="37">
        <v>101444</v>
      </c>
      <c r="B7542" s="37" t="s">
        <v>4754</v>
      </c>
      <c r="C7542" s="37" t="s">
        <v>4791</v>
      </c>
      <c r="D7542" s="38">
        <v>4492.9799999999996</v>
      </c>
    </row>
    <row r="7543" spans="1:4" ht="13.5">
      <c r="A7543" s="37">
        <v>101445</v>
      </c>
      <c r="B7543" s="37" t="s">
        <v>4755</v>
      </c>
      <c r="C7543" s="37" t="s">
        <v>4791</v>
      </c>
      <c r="D7543" s="38">
        <v>4512.1099999999997</v>
      </c>
    </row>
    <row r="7544" spans="1:4" ht="13.5">
      <c r="A7544" s="37">
        <v>101446</v>
      </c>
      <c r="B7544" s="37" t="s">
        <v>4756</v>
      </c>
      <c r="C7544" s="37" t="s">
        <v>4791</v>
      </c>
      <c r="D7544" s="38">
        <v>5185.8900000000003</v>
      </c>
    </row>
    <row r="7545" spans="1:4" ht="13.5">
      <c r="A7545" s="37">
        <v>101447</v>
      </c>
      <c r="B7545" s="37" t="s">
        <v>4757</v>
      </c>
      <c r="C7545" s="37" t="s">
        <v>4791</v>
      </c>
      <c r="D7545" s="38">
        <v>4876.8599999999997</v>
      </c>
    </row>
    <row r="7546" spans="1:4" ht="13.5">
      <c r="A7546" s="37">
        <v>101448</v>
      </c>
      <c r="B7546" s="37" t="s">
        <v>4758</v>
      </c>
      <c r="C7546" s="37" t="s">
        <v>4791</v>
      </c>
      <c r="D7546" s="38">
        <v>5185.8900000000003</v>
      </c>
    </row>
    <row r="7547" spans="1:4" ht="13.5">
      <c r="A7547" s="37">
        <v>101449</v>
      </c>
      <c r="B7547" s="37" t="s">
        <v>9100</v>
      </c>
      <c r="C7547" s="37" t="s">
        <v>4791</v>
      </c>
      <c r="D7547" s="38">
        <v>4163.92</v>
      </c>
    </row>
    <row r="7548" spans="1:4" ht="13.5">
      <c r="A7548" s="37">
        <v>101451</v>
      </c>
      <c r="B7548" s="37" t="s">
        <v>4762</v>
      </c>
      <c r="C7548" s="37" t="s">
        <v>4791</v>
      </c>
      <c r="D7548" s="38">
        <v>5118.1400000000003</v>
      </c>
    </row>
    <row r="7549" spans="1:4" ht="13.5">
      <c r="A7549" s="37">
        <v>101452</v>
      </c>
      <c r="B7549" s="37" t="s">
        <v>9101</v>
      </c>
      <c r="C7549" s="37" t="s">
        <v>4791</v>
      </c>
      <c r="D7549" s="38">
        <v>3423.18</v>
      </c>
    </row>
    <row r="7550" spans="1:4" ht="13.5">
      <c r="A7550" s="37">
        <v>101453</v>
      </c>
      <c r="B7550" s="37" t="s">
        <v>4764</v>
      </c>
      <c r="C7550" s="37" t="s">
        <v>4791</v>
      </c>
      <c r="D7550" s="38">
        <v>5086.91</v>
      </c>
    </row>
    <row r="7551" spans="1:4" ht="13.5">
      <c r="A7551" s="37">
        <v>101454</v>
      </c>
      <c r="B7551" s="37" t="s">
        <v>9102</v>
      </c>
      <c r="C7551" s="37" t="s">
        <v>4791</v>
      </c>
      <c r="D7551" s="38">
        <v>5787.38</v>
      </c>
    </row>
    <row r="7552" spans="1:4" ht="13.5">
      <c r="A7552" s="37">
        <v>101455</v>
      </c>
      <c r="B7552" s="37" t="s">
        <v>4766</v>
      </c>
      <c r="C7552" s="37" t="s">
        <v>4791</v>
      </c>
      <c r="D7552" s="38">
        <v>4882.8</v>
      </c>
    </row>
    <row r="7553" spans="1:4" ht="13.5">
      <c r="A7553" s="37">
        <v>101456</v>
      </c>
      <c r="B7553" s="37" t="s">
        <v>9103</v>
      </c>
      <c r="C7553" s="37" t="s">
        <v>4791</v>
      </c>
      <c r="D7553" s="38">
        <v>8829.7099999999991</v>
      </c>
    </row>
    <row r="7554" spans="1:4" ht="13.5">
      <c r="A7554" s="37">
        <v>101457</v>
      </c>
      <c r="B7554" s="37" t="s">
        <v>9104</v>
      </c>
      <c r="C7554" s="37" t="s">
        <v>4791</v>
      </c>
      <c r="D7554" s="38">
        <v>9013.44</v>
      </c>
    </row>
    <row r="7555" spans="1:4" ht="13.5">
      <c r="A7555" s="37">
        <v>101458</v>
      </c>
      <c r="B7555" s="37" t="s">
        <v>9105</v>
      </c>
      <c r="C7555" s="37" t="s">
        <v>4791</v>
      </c>
      <c r="D7555" s="38">
        <v>4835.21</v>
      </c>
    </row>
    <row r="7556" spans="1:4" ht="13.5">
      <c r="A7556" s="37">
        <v>101459</v>
      </c>
      <c r="B7556" s="37" t="s">
        <v>4771</v>
      </c>
      <c r="C7556" s="37" t="s">
        <v>4791</v>
      </c>
      <c r="D7556" s="38">
        <v>3885.84</v>
      </c>
    </row>
    <row r="7557" spans="1:4" ht="13.5">
      <c r="A7557" s="37">
        <v>101460</v>
      </c>
      <c r="B7557" s="37" t="s">
        <v>4909</v>
      </c>
      <c r="C7557" s="37" t="s">
        <v>4791</v>
      </c>
      <c r="D7557" s="38">
        <v>3386.02</v>
      </c>
    </row>
  </sheetData>
  <autoFilter ref="C1:C7203" xr:uid="{00000000-0009-0000-0000-00000000000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249977111117893"/>
    <pageSetUpPr fitToPage="1"/>
  </sheetPr>
  <dimension ref="A1:M359"/>
  <sheetViews>
    <sheetView tabSelected="1" view="pageBreakPreview" topLeftCell="A338" zoomScaleNormal="100" zoomScaleSheetLayoutView="100" workbookViewId="0">
      <selection activeCell="I352" sqref="I352"/>
    </sheetView>
  </sheetViews>
  <sheetFormatPr defaultRowHeight="12.75"/>
  <cols>
    <col min="1" max="1" width="5.625" style="60" customWidth="1"/>
    <col min="2" max="2" width="7.625" style="61" customWidth="1"/>
    <col min="3" max="3" width="8.625" style="61" customWidth="1"/>
    <col min="4" max="4" width="37.625" style="62" customWidth="1"/>
    <col min="5" max="5" width="5.625" style="61" customWidth="1"/>
    <col min="6" max="6" width="8.625" style="61" customWidth="1"/>
    <col min="7" max="8" width="8.625" style="63" customWidth="1"/>
    <col min="9" max="9" width="10.625" style="186" customWidth="1"/>
    <col min="10" max="10" width="7.625" style="157" customWidth="1"/>
    <col min="11" max="12" width="9" style="64"/>
    <col min="13" max="13" width="10.25" style="64" bestFit="1" customWidth="1"/>
    <col min="14" max="16384" width="9" style="64"/>
  </cols>
  <sheetData>
    <row r="1" spans="1:13" s="39" customFormat="1" ht="30" customHeight="1">
      <c r="A1" s="355" t="s">
        <v>7317</v>
      </c>
      <c r="B1" s="355"/>
      <c r="C1" s="355"/>
      <c r="D1" s="355"/>
      <c r="E1" s="355"/>
      <c r="F1" s="355"/>
      <c r="G1" s="355"/>
      <c r="H1" s="355"/>
      <c r="I1" s="355"/>
      <c r="J1" s="355"/>
    </row>
    <row r="2" spans="1:13" s="39" customFormat="1" ht="30" customHeight="1">
      <c r="A2" s="361" t="s">
        <v>891</v>
      </c>
      <c r="B2" s="361"/>
      <c r="C2" s="363" t="str">
        <f>OBRA</f>
        <v>QUADRA POLIESPORTIVA DE MASCARENHAS</v>
      </c>
      <c r="D2" s="363"/>
      <c r="E2" s="363"/>
      <c r="F2" s="363"/>
      <c r="G2" s="185" t="s">
        <v>921</v>
      </c>
      <c r="H2" s="192" t="s">
        <v>19121</v>
      </c>
      <c r="I2" s="159" t="s">
        <v>16615</v>
      </c>
      <c r="J2" s="160">
        <v>0.33250000000000002</v>
      </c>
    </row>
    <row r="3" spans="1:13" s="39" customFormat="1" ht="30" customHeight="1">
      <c r="A3" s="361" t="s">
        <v>7242</v>
      </c>
      <c r="B3" s="361"/>
      <c r="C3" s="362" t="str">
        <f>BDI!B4</f>
        <v>Distrito de Macarenhas - Baixo Guandu/ ES</v>
      </c>
      <c r="D3" s="362"/>
      <c r="E3" s="362"/>
      <c r="F3" s="362"/>
      <c r="G3" s="359" t="s">
        <v>7247</v>
      </c>
      <c r="H3" s="360"/>
      <c r="I3" s="308" t="s">
        <v>16605</v>
      </c>
      <c r="J3" s="309"/>
    </row>
    <row r="4" spans="1:13" ht="15" customHeight="1">
      <c r="F4" s="64"/>
      <c r="H4" s="161"/>
      <c r="I4" s="162"/>
      <c r="M4" s="39"/>
    </row>
    <row r="5" spans="1:13" ht="45" customHeight="1">
      <c r="A5" s="163" t="s">
        <v>922</v>
      </c>
      <c r="B5" s="163" t="s">
        <v>923</v>
      </c>
      <c r="C5" s="163" t="s">
        <v>28</v>
      </c>
      <c r="D5" s="164" t="s">
        <v>924</v>
      </c>
      <c r="E5" s="163" t="s">
        <v>29</v>
      </c>
      <c r="F5" s="163" t="s">
        <v>925</v>
      </c>
      <c r="G5" s="166" t="s">
        <v>7244</v>
      </c>
      <c r="H5" s="165" t="s">
        <v>7263</v>
      </c>
      <c r="I5" s="166" t="s">
        <v>7249</v>
      </c>
      <c r="J5" s="164" t="s">
        <v>7315</v>
      </c>
    </row>
    <row r="6" spans="1:13">
      <c r="A6" s="167" t="s">
        <v>7229</v>
      </c>
      <c r="B6" s="168"/>
      <c r="C6" s="169"/>
      <c r="D6" s="170" t="s">
        <v>926</v>
      </c>
      <c r="E6" s="171"/>
      <c r="F6" s="172"/>
      <c r="G6" s="173"/>
      <c r="H6" s="173"/>
      <c r="I6" s="174">
        <f>SUBTOTAL(9,I7:I19)</f>
        <v>132023.78</v>
      </c>
      <c r="J6" s="193">
        <f>SUBTOTAL(9,J7:J19)</f>
        <v>1.0000000000000002</v>
      </c>
    </row>
    <row r="7" spans="1:13" ht="25.5">
      <c r="A7" s="175" t="s">
        <v>7230</v>
      </c>
      <c r="B7" s="176" t="s">
        <v>12617</v>
      </c>
      <c r="C7" s="177">
        <v>20305</v>
      </c>
      <c r="D7" s="178" t="str">
        <f>IFERROR(PROPER(
IF($B7="DER-ES",INDEX('CDER-ES'!$B:$B,MATCH($C7,'CDER-ES'!$A:$A,0)),
IF($B7="SINAPI",INDEX(CSINAPI!$B:$B,MATCH($C7,CSINAPI!$A:$A,0)),
IF($B7="CESAN",INDEX(CCESAN!$B:$B,MATCH($C7,CCESAN!$A:$A,0)),
IF($B7="SCORIO",INDEX(CSCORIO!$B:$B,MATCH($C7,CSCORIO!$A:$A,0)),
IF($B7="MERC",INDEX(MERCADO!$B:$B,MATCH($C7,MERCADO!$A:$A,0)),
IF($B7="COMP",INDEX(COMPOSICAO!$B:$B,MATCH($C7,COMPOSICAO!$A:$A,0)),
""))))))),"*Verificar código*")</f>
        <v>Placa De Obra Nas Dimensões De 2.0 X 4.0 M, Padrão Der</v>
      </c>
      <c r="E7" s="171" t="str">
        <f>IFERROR(LOWER(
IF($B7="DER-ES",INDEX('CDER-ES'!$C:$C,MATCH($C7,'CDER-ES'!$A:$A,0)),
IF($B7="SINAPI",INDEX(CSINAPI!$C:$C,MATCH($C7,CSINAPI!$A:$A,0)),
IF($B7="CESAN",INDEX(CCESAN!$C:$C,MATCH($C7,CCESAN!$A:$A,0)),
IF($B7="SCORIO",INDEX(CSCORIO!$A:$A,MATCH($C7,CSCORIO!#REF!,0)),
IF($B7="MERC",INDEX(MERCADO!$D:$D,MATCH($C7,MERCADO!$A:$A,0)),
IF($B7="COMP",INDEX(COMPOSICAO!$G:$G,MATCH($C7,COMPOSICAO!$A:$A,0)),
""))))))),"")</f>
        <v>m2</v>
      </c>
      <c r="F7" s="179">
        <f>VLOOKUP(A7,'MEMÓRIA DE CÁLCULO'!A:H,8,0)</f>
        <v>8</v>
      </c>
      <c r="G7" s="173">
        <f>IFERROR(
IF($B7="DER-ES",INDEX('CDER-ES'!$D:$D,MATCH($C7,'CDER-ES'!$A:$A,0)),
IF($B7="SINAPI",INDEX(CSINAPI!$D:$D,MATCH($C7,CSINAPI!$A:$A,0)),
IF($B7="CESAN",INDEX(CCESAN!$D:$D,MATCH($C7,CCESAN!$A:$A,0)),
IF($B7="SCORIO",INDEX(CSCORIO!$B:$B,MATCH($C7,CSCORIO!#REF!,0)),
IF($B7="MERC",INDEX(MERCADO!$E:$E,MATCH($C7,MERCADO!$A:$A,0)),
IF($B7="COMP",INDEX(COMPOSICAO!$H:$H,MATCH($C7,COMPOSICAO!$A:$A,0)),
0)))))),0)</f>
        <v>329.94</v>
      </c>
      <c r="H7" s="173">
        <f t="shared" ref="H7:H13" si="0">ROUND(G7*(1+$J$2),2)</f>
        <v>439.65</v>
      </c>
      <c r="I7" s="180">
        <f t="shared" ref="I7:I13" si="1">ROUND($H7*F7,2)</f>
        <v>3517.2</v>
      </c>
      <c r="J7" s="194">
        <f>I7/I$6</f>
        <v>2.6640655191057246E-2</v>
      </c>
    </row>
    <row r="8" spans="1:13">
      <c r="A8" s="175" t="s">
        <v>7231</v>
      </c>
      <c r="B8" s="176" t="s">
        <v>928</v>
      </c>
      <c r="C8" s="176">
        <v>98459</v>
      </c>
      <c r="D8" s="178" t="str">
        <f>IFERROR(PROPER(
IF($B8="DER-ES",INDEX('CDER-ES'!$B:$B,MATCH($C8,'CDER-ES'!$A:$A,0)),
IF($B8="SINAPI",INDEX(CSINAPI!$B:$B,MATCH($C8,CSINAPI!$A:$A,0)),
IF($B8="CESAN",INDEX(CCESAN!$B:$B,MATCH($C8,CCESAN!$A:$A,0)),
IF($B8="SCORIO",INDEX(CSCORIO!$B:$B,MATCH($C8,CSCORIO!$A:$A,0)),
IF($B8="MERC",INDEX(MERCADO!$B:$B,MATCH($C8,MERCADO!$A:$A,0)),
IF($B8="COMP",INDEX(COMPOSICAO!$B:$B,MATCH($C8,COMPOSICAO!$A:$A,0)),
""))))))),"*Verificar código*")</f>
        <v>Tapume Com Telha Metálica. Af_05/2018</v>
      </c>
      <c r="E8" s="171" t="str">
        <f>IFERROR(LOWER(
IF($B8="DER-ES",INDEX('CDER-ES'!$C:$C,MATCH($C8,'CDER-ES'!$A:$A,0)),
IF($B8="SINAPI",INDEX(CSINAPI!$C:$C,MATCH($C8,CSINAPI!$A:$A,0)),
IF($B8="CESAN",INDEX(CCESAN!$C:$C,MATCH($C8,CCESAN!$A:$A,0)),
IF($B8="SCORIO",INDEX(CSCORIO!$A:$A,MATCH($C8,CSCORIO!#REF!,0)),
IF($B8="MERC",INDEX(MERCADO!$D:$D,MATCH($C8,MERCADO!$A:$A,0)),
IF($B8="COMP",INDEX(COMPOSICAO!$G:$G,MATCH($C8,COMPOSICAO!$A:$A,0)),
""))))))),"")</f>
        <v>m2</v>
      </c>
      <c r="F8" s="179">
        <f>VLOOKUP(A8,'MEMÓRIA DE CÁLCULO'!A:H,8,0)</f>
        <v>240</v>
      </c>
      <c r="G8" s="173">
        <f>IFERROR(
IF($B8="DER-ES",INDEX('CDER-ES'!$D:$D,MATCH($C8,'CDER-ES'!$A:$A,0)),
IF($B8="SINAPI",INDEX(CSINAPI!$D:$D,MATCH($C8,CSINAPI!$A:$A,0)),
IF($B8="CESAN",INDEX(CCESAN!$D:$D,MATCH($C8,CCESAN!$A:$A,0)),
IF($B8="SCORIO",INDEX(CSCORIO!$B:$B,MATCH($C8,CSCORIO!#REF!,0)),
IF($B8="MERC",INDEX(MERCADO!$E:$E,MATCH($C8,MERCADO!$A:$A,0)),
IF($B8="COMP",INDEX(COMPOSICAO!$H:$H,MATCH($C8,COMPOSICAO!$A:$A,0)),
0)))))),0)</f>
        <v>111.57</v>
      </c>
      <c r="H8" s="173">
        <f t="shared" si="0"/>
        <v>148.66999999999999</v>
      </c>
      <c r="I8" s="180">
        <f t="shared" si="1"/>
        <v>35680.800000000003</v>
      </c>
      <c r="J8" s="194">
        <f t="shared" ref="J8" si="2">I8/I$6</f>
        <v>0.27026040308798915</v>
      </c>
    </row>
    <row r="9" spans="1:13" ht="63.75">
      <c r="A9" s="175" t="s">
        <v>7314</v>
      </c>
      <c r="B9" s="176" t="s">
        <v>12617</v>
      </c>
      <c r="C9" s="176">
        <v>20712</v>
      </c>
      <c r="D9" s="178" t="str">
        <f>IFERROR(PROPER(
IF($B9="DER-ES",INDEX('CDER-ES'!$B:$B,MATCH($C9,'CDER-ES'!$A:$A,0)),
IF($B9="SINAPI",INDEX(CSINAPI!$B:$B,MATCH($C9,CSINAPI!$A:$A,0)),
IF($B9="CESAN",INDEX(CCESAN!$B:$B,MATCH($C9,CCESAN!$A:$A,0)),
IF($B9="SCORIO",INDEX(CSCORIO!$B:$B,MATCH($C9,CSCORIO!$A:$A,0)),
IF($B9="MERC",INDEX(MERCADO!$B:$B,MATCH($C9,MERCADO!$A:$A,0)),
IF($B9="COMP",INDEX(COMPOSICAO!$B:$B,MATCH($C9,COMPOSICAO!$A:$A,0)),
""))))))),"*Verificar código*")</f>
        <v>Rede De Água Com Padrão De Entrada D Água Diâm. 3/4", Conf. Espec. Cesan, Incl. Tubos E Conexões Para Alimentação, Distribuição, Extravasor E Limpeza, Cons. O Padrão A 25M, Conf. Projeto (1 Utilização)</v>
      </c>
      <c r="E9" s="171" t="str">
        <f>IFERROR(LOWER(
IF($B9="DER-ES",INDEX('CDER-ES'!$C:$C,MATCH($C9,'CDER-ES'!$A:$A,0)),
IF($B9="SINAPI",INDEX(CSINAPI!$C:$C,MATCH($C9,CSINAPI!$A:$A,0)),
IF($B9="CESAN",INDEX(CCESAN!$C:$C,MATCH($C9,CCESAN!$A:$A,0)),
IF($B9="SCORIO",INDEX(CSCORIO!$A:$A,MATCH($C9,CSCORIO!#REF!,0)),
IF($B9="MERC",INDEX(MERCADO!$D:$D,MATCH($C9,MERCADO!$A:$A,0)),
IF($B9="COMP",INDEX(COMPOSICAO!$G:$G,MATCH($C9,COMPOSICAO!$A:$A,0)),
""))))))),"")</f>
        <v>m</v>
      </c>
      <c r="F9" s="179">
        <f>VLOOKUP(A9,'MEMÓRIA DE CÁLCULO'!A:H,8,0)</f>
        <v>10</v>
      </c>
      <c r="G9" s="173">
        <f>IFERROR(
IF($B9="DER-ES",INDEX('CDER-ES'!$D:$D,MATCH($C9,'CDER-ES'!$A:$A,0)),
IF($B9="SINAPI",INDEX(CSINAPI!$D:$D,MATCH($C9,CSINAPI!$A:$A,0)),
IF($B9="CESAN",INDEX(CCESAN!$D:$D,MATCH($C9,CCESAN!$A:$A,0)),
IF($B9="SCORIO",INDEX(CSCORIO!$B:$B,MATCH($C9,CSCORIO!#REF!,0)),
IF($B9="MERC",INDEX(MERCADO!$E:$E,MATCH($C9,MERCADO!$A:$A,0)),
IF($B9="COMP",INDEX(COMPOSICAO!$H:$H,MATCH($C9,COMPOSICAO!$A:$A,0)),
0)))))),0)</f>
        <v>53.55</v>
      </c>
      <c r="H9" s="173">
        <f t="shared" si="0"/>
        <v>71.36</v>
      </c>
      <c r="I9" s="180">
        <f t="shared" si="1"/>
        <v>713.6</v>
      </c>
      <c r="J9" s="194">
        <f t="shared" ref="J9:J18" si="3">I9/I$6</f>
        <v>5.4050868714711851E-3</v>
      </c>
    </row>
    <row r="10" spans="1:13" ht="63.75">
      <c r="A10" s="175" t="s">
        <v>12234</v>
      </c>
      <c r="B10" s="176" t="s">
        <v>12617</v>
      </c>
      <c r="C10" s="176">
        <v>20713</v>
      </c>
      <c r="D10" s="178" t="str">
        <f>IFERROR(PROPER(
IF($B10="DER-ES",INDEX('CDER-ES'!$B:$B,MATCH($C10,'CDER-ES'!$A:$A,0)),
IF($B10="SINAPI",INDEX(CSINAPI!$B:$B,MATCH($C10,CSINAPI!$A:$A,0)),
IF($B10="CESAN",INDEX(CCESAN!$B:$B,MATCH($C10,CCESAN!$A:$A,0)),
IF($B10="SCORIO",INDEX(CSCORIO!$B:$B,MATCH($C10,CSCORIO!$A:$A,0)),
IF($B10="MERC",INDEX(MERCADO!$B:$B,MATCH($C10,MERCADO!$A:$A,0)),
IF($B10="COMP",INDEX(COMPOSICAO!$B:$B,MATCH($C10,COMPOSICAO!$A:$A,0)),
""))))))),"*Verificar código*")</f>
        <v>Rede De Luz, Incl. Padrão Entrada De Energia Trifás., Cabo De Ligação Até Barracões, Quadro De Distrib., Disj. E Chave De Força (Quando Necessário), Cons. 20M Entre Padrão Entrada E Qdg, Conf. Projeto (1 Utilização)</v>
      </c>
      <c r="E10" s="171" t="str">
        <f>IFERROR(LOWER(
IF($B10="DER-ES",INDEX('CDER-ES'!$C:$C,MATCH($C10,'CDER-ES'!$A:$A,0)),
IF($B10="SINAPI",INDEX(CSINAPI!$C:$C,MATCH($C10,CSINAPI!$A:$A,0)),
IF($B10="CESAN",INDEX(CCESAN!$C:$C,MATCH($C10,CCESAN!$A:$A,0)),
IF($B10="SCORIO",INDEX(CSCORIO!$A:$A,MATCH($C10,CSCORIO!#REF!,0)),
IF($B10="MERC",INDEX(MERCADO!$D:$D,MATCH($C10,MERCADO!$A:$A,0)),
IF($B10="COMP",INDEX(COMPOSICAO!$G:$G,MATCH($C10,COMPOSICAO!$A:$A,0)),
""))))))),"")</f>
        <v>m</v>
      </c>
      <c r="F10" s="179">
        <f>VLOOKUP(A10,'MEMÓRIA DE CÁLCULO'!A:H,8,0)</f>
        <v>10</v>
      </c>
      <c r="G10" s="173">
        <f>IFERROR(
IF($B10="DER-ES",INDEX('CDER-ES'!$D:$D,MATCH($C10,'CDER-ES'!$A:$A,0)),
IF($B10="SINAPI",INDEX(CSINAPI!$D:$D,MATCH($C10,CSINAPI!$A:$A,0)),
IF($B10="CESAN",INDEX(CCESAN!$D:$D,MATCH($C10,CCESAN!$A:$A,0)),
IF($B10="SCORIO",INDEX(CSCORIO!$B:$B,MATCH($C10,CSCORIO!#REF!,0)),
IF($B10="MERC",INDEX(MERCADO!$E:$E,MATCH($C10,MERCADO!$A:$A,0)),
IF($B10="COMP",INDEX(COMPOSICAO!$H:$H,MATCH($C10,COMPOSICAO!$A:$A,0)),
0)))))),0)</f>
        <v>495.22</v>
      </c>
      <c r="H10" s="173">
        <f t="shared" si="0"/>
        <v>659.88</v>
      </c>
      <c r="I10" s="180">
        <f t="shared" si="1"/>
        <v>6598.8</v>
      </c>
      <c r="J10" s="194">
        <f t="shared" si="3"/>
        <v>4.9981904775033711E-2</v>
      </c>
    </row>
    <row r="11" spans="1:13" ht="51">
      <c r="A11" s="175" t="s">
        <v>12235</v>
      </c>
      <c r="B11" s="176" t="s">
        <v>12617</v>
      </c>
      <c r="C11" s="176">
        <v>20714</v>
      </c>
      <c r="D11" s="178" t="str">
        <f>IFERROR(PROPER(
IF($B11="DER-ES",INDEX('CDER-ES'!$B:$B,MATCH($C11,'CDER-ES'!$A:$A,0)),
IF($B11="SINAPI",INDEX(CSINAPI!$B:$B,MATCH($C11,CSINAPI!$A:$A,0)),
IF($B11="CESAN",INDEX(CCESAN!$B:$B,MATCH($C11,CCESAN!$A:$A,0)),
IF($B11="SCORIO",INDEX(CSCORIO!$B:$B,MATCH($C11,CSCORIO!$A:$A,0)),
IF($B11="MERC",INDEX(MERCADO!$B:$B,MATCH($C11,MERCADO!$A:$A,0)),
IF($B11="COMP",INDEX(COMPOSICAO!$B:$B,MATCH($C11,COMPOSICAO!$A:$A,0)),
""))))))),"*Verificar código*")</f>
        <v>Rede De Esgoto, Contendo Fossa E Filtro, Inclusive Tubos E Conexões De Ligação Entre Caixas, Considerando Distância De 25M, Conforme Projeto (1 Utilização)</v>
      </c>
      <c r="E11" s="171" t="str">
        <f>IFERROR(LOWER(
IF($B11="DER-ES",INDEX('CDER-ES'!$C:$C,MATCH($C11,'CDER-ES'!$A:$A,0)),
IF($B11="SINAPI",INDEX(CSINAPI!$C:$C,MATCH($C11,CSINAPI!$A:$A,0)),
IF($B11="CESAN",INDEX(CCESAN!$C:$C,MATCH($C11,CCESAN!$A:$A,0)),
IF($B11="SCORIO",INDEX(CSCORIO!$A:$A,MATCH($C11,CSCORIO!#REF!,0)),
IF($B11="MERC",INDEX(MERCADO!$D:$D,MATCH($C11,MERCADO!$A:$A,0)),
IF($B11="COMP",INDEX(COMPOSICAO!$G:$G,MATCH($C11,COMPOSICAO!$A:$A,0)),
""))))))),"")</f>
        <v>m</v>
      </c>
      <c r="F11" s="179">
        <f>VLOOKUP(A11,'MEMÓRIA DE CÁLCULO'!A:H,8,0)</f>
        <v>10</v>
      </c>
      <c r="G11" s="173">
        <f>IFERROR(
IF($B11="DER-ES",INDEX('CDER-ES'!$D:$D,MATCH($C11,'CDER-ES'!$A:$A,0)),
IF($B11="SINAPI",INDEX(CSINAPI!$D:$D,MATCH($C11,CSINAPI!$A:$A,0)),
IF($B11="CESAN",INDEX(CCESAN!$D:$D,MATCH($C11,CCESAN!$A:$A,0)),
IF($B11="SCORIO",INDEX(CSCORIO!$B:$B,MATCH($C11,CSCORIO!#REF!,0)),
IF($B11="MERC",INDEX(MERCADO!$E:$E,MATCH($C11,MERCADO!$A:$A,0)),
IF($B11="COMP",INDEX(COMPOSICAO!$H:$H,MATCH($C11,COMPOSICAO!$A:$A,0)),
0)))))),0)</f>
        <v>416.26</v>
      </c>
      <c r="H11" s="173">
        <f t="shared" ref="H11" si="4">ROUND(G11*(1+$J$2),2)</f>
        <v>554.66999999999996</v>
      </c>
      <c r="I11" s="180">
        <f t="shared" ref="I11" si="5">ROUND($H11*F11,2)</f>
        <v>5546.7</v>
      </c>
      <c r="J11" s="194">
        <f t="shared" ref="J11" si="6">I11/I$6</f>
        <v>4.2012885860410902E-2</v>
      </c>
    </row>
    <row r="12" spans="1:13" ht="25.5">
      <c r="A12" s="175" t="s">
        <v>12236</v>
      </c>
      <c r="B12" s="176" t="s">
        <v>12617</v>
      </c>
      <c r="C12" s="176">
        <v>20344</v>
      </c>
      <c r="D12" s="178" t="str">
        <f>IFERROR(PROPER(
IF($B12="DER-ES",INDEX('CDER-ES'!$B:$B,MATCH($C12,'CDER-ES'!$A:$A,0)),
IF($B12="SINAPI",INDEX(CSINAPI!$B:$B,MATCH($C12,CSINAPI!$A:$A,0)),
IF($B12="CESAN",INDEX(CCESAN!$B:$B,MATCH($C12,CCESAN!$A:$A,0)),
IF($B12="SCORIO",INDEX(CSCORIO!$B:$B,MATCH($C12,CSCORIO!$A:$A,0)),
IF($B12="MERC",INDEX(MERCADO!$B:$B,MATCH($C12,MERCADO!$A:$A,0)),
IF($B12="COMP",INDEX(COMPOSICAO!$B:$B,MATCH($C12,COMPOSICAO!$A:$A,0)),
""))))))),"*Verificar código*")</f>
        <v>Mobilização E Desmobilização De Conteiner Locado Para Barracão De Obra</v>
      </c>
      <c r="E12" s="171" t="str">
        <f>IFERROR(LOWER(
IF($B12="DER-ES",INDEX('CDER-ES'!$C:$C,MATCH($C12,'CDER-ES'!$A:$A,0)),
IF($B12="SINAPI",INDEX(CSINAPI!$C:$C,MATCH($C12,CSINAPI!$A:$A,0)),
IF($B12="CESAN",INDEX(CCESAN!$C:$C,MATCH($C12,CCESAN!$A:$A,0)),
IF($B12="SCORIO",INDEX(CSCORIO!$A:$A,MATCH($C12,CSCORIO!#REF!,0)),
IF($B12="MERC",INDEX(MERCADO!$D:$D,MATCH($C12,MERCADO!$A:$A,0)),
IF($B12="COMP",INDEX(COMPOSICAO!$G:$G,MATCH($C12,COMPOSICAO!$A:$A,0)),
""))))))),"")</f>
        <v>und</v>
      </c>
      <c r="F12" s="179">
        <f>VLOOKUP(A12,'MEMÓRIA DE CÁLCULO'!A:H,8,0)</f>
        <v>4</v>
      </c>
      <c r="G12" s="173">
        <f>IFERROR(
IF($B12="DER-ES",INDEX('CDER-ES'!$D:$D,MATCH($C12,'CDER-ES'!$A:$A,0)),
IF($B12="SINAPI",INDEX(CSINAPI!$D:$D,MATCH($C12,CSINAPI!$A:$A,0)),
IF($B12="CESAN",INDEX(CCESAN!$D:$D,MATCH($C12,CCESAN!$A:$A,0)),
IF($B12="SCORIO",INDEX(CSCORIO!$B:$B,MATCH($C12,CSCORIO!#REF!,0)),
IF($B12="MERC",INDEX(MERCADO!$E:$E,MATCH($C12,MERCADO!$A:$A,0)),
IF($B12="COMP",INDEX(COMPOSICAO!$H:$H,MATCH($C12,COMPOSICAO!$A:$A,0)),
0)))))),0)</f>
        <v>1833.5</v>
      </c>
      <c r="H12" s="173">
        <f>ROUND(G12*(1+$J$2),2)</f>
        <v>2443.14</v>
      </c>
      <c r="I12" s="180">
        <f>ROUND($H12*F12,2)</f>
        <v>9772.56</v>
      </c>
      <c r="J12" s="194">
        <f>I12/I$6</f>
        <v>7.4021210421334693E-2</v>
      </c>
    </row>
    <row r="13" spans="1:13" ht="89.25">
      <c r="A13" s="175" t="s">
        <v>12592</v>
      </c>
      <c r="B13" s="176" t="s">
        <v>12617</v>
      </c>
      <c r="C13" s="176">
        <v>20352</v>
      </c>
      <c r="D13" s="178" t="str">
        <f>IFERROR(PROPER(
IF($B13="DER-ES",INDEX('CDER-ES'!$B:$B,MATCH($C13,'CDER-ES'!$A:$A,0)),
IF($B13="SINAPI",INDEX(CSINAPI!$B:$B,MATCH($C13,CSINAPI!$A:$A,0)),
IF($B13="CESAN",INDEX(CCESAN!$B:$B,MATCH($C13,CCESAN!$A:$A,0)),
IF($B13="SCORIO",INDEX(CSCORIO!$B:$B,MATCH($C13,CSCORIO!$A:$A,0)),
IF($B13="MERC",INDEX(MERCADO!$B:$B,MATCH($C13,MERCADO!$A:$A,0)),
IF($B13="COMP",INDEX(COMPOSICAO!$B:$B,MATCH($C13,COMPOSICAO!$A:$A,0)),
""))))))),"*Verificar código*")</f>
        <v>Aluguel Mensal Container Para Escritório, Dim. 6.00X2.40M, C/ Banheiro (Vaso+Lavat+Chuveiro E Básc), Incl. Porta, 2 Janelas, Abert P/ Ar Cond., 2 Pt Iluminação, 2 Tom. Elét. E 1 Tom.Telef. Isolam.Térmico(Teto E Paredes), Piso Em Comp. Naval, Cert. Nr18, Incl. Laudo Descontaminação.</v>
      </c>
      <c r="E13" s="171" t="str">
        <f>IFERROR(LOWER(
IF($B13="DER-ES",INDEX('CDER-ES'!$C:$C,MATCH($C13,'CDER-ES'!$A:$A,0)),
IF($B13="SINAPI",INDEX(CSINAPI!$C:$C,MATCH($C13,CSINAPI!$A:$A,0)),
IF($B13="CESAN",INDEX(CCESAN!$C:$C,MATCH($C13,CCESAN!$A:$A,0)),
IF($B13="SCORIO",INDEX(CSCORIO!$A:$A,MATCH($C13,CSCORIO!#REF!,0)),
IF($B13="MERC",INDEX(MERCADO!$D:$D,MATCH($C13,MERCADO!$A:$A,0)),
IF($B13="COMP",INDEX(COMPOSICAO!$G:$G,MATCH($C13,COMPOSICAO!$A:$A,0)),
""))))))),"")</f>
        <v>ms</v>
      </c>
      <c r="F13" s="179">
        <f>VLOOKUP(A13,'MEMÓRIA DE CÁLCULO'!A:H,8,0)</f>
        <v>8</v>
      </c>
      <c r="G13" s="173">
        <f>IFERROR(
IF($B13="DER-ES",INDEX('CDER-ES'!$D:$D,MATCH($C13,'CDER-ES'!$A:$A,0)),
IF($B13="SINAPI",INDEX(CSINAPI!$D:$D,MATCH($C13,CSINAPI!$A:$A,0)),
IF($B13="CESAN",INDEX(CCESAN!$D:$D,MATCH($C13,CCESAN!$A:$A,0)),
IF($B13="SCORIO",INDEX(CSCORIO!$B:$B,MATCH($C13,CSCORIO!#REF!,0)),
IF($B13="MERC",INDEX(MERCADO!$E:$E,MATCH($C13,MERCADO!$A:$A,0)),
IF($B13="COMP",INDEX(COMPOSICAO!$H:$H,MATCH($C13,COMPOSICAO!$A:$A,0)),
0)))))),0)</f>
        <v>1156.75</v>
      </c>
      <c r="H13" s="173">
        <f t="shared" si="0"/>
        <v>1541.37</v>
      </c>
      <c r="I13" s="180">
        <f t="shared" si="1"/>
        <v>12330.96</v>
      </c>
      <c r="J13" s="194">
        <f t="shared" si="3"/>
        <v>9.3399537568156277E-2</v>
      </c>
    </row>
    <row r="14" spans="1:13" ht="76.5">
      <c r="A14" s="175" t="s">
        <v>12593</v>
      </c>
      <c r="B14" s="176" t="s">
        <v>12617</v>
      </c>
      <c r="C14" s="176">
        <v>20353</v>
      </c>
      <c r="D14" s="178" t="str">
        <f>IFERROR(PROPER(
IF($B14="DER-ES",INDEX('CDER-ES'!$B:$B,MATCH($C14,'CDER-ES'!$A:$A,0)),
IF($B14="SINAPI",INDEX(CSINAPI!$B:$B,MATCH($C14,CSINAPI!$A:$A,0)),
IF($B14="CESAN",INDEX(CCESAN!$B:$B,MATCH($C14,CCESAN!$A:$A,0)),
IF($B14="SCORIO",INDEX(CSCORIO!$B:$B,MATCH($C14,CSCORIO!$A:$A,0)),
IF($B14="MERC",INDEX(MERCADO!$B:$B,MATCH($C14,MERCADO!$A:$A,0)),
IF($B14="COMP",INDEX(COMPOSICAO!$B:$B,MATCH($C14,COMPOSICAO!$A:$A,0)),
""))))))),"*Verificar código*")</f>
        <v>Aluguel Mensal Container Para Refeitorio, Incl. Porta, 2 Janelas, Abert P/ Ar Cond., 2 Pt Iluminação, 2 Tomadas Elét. E 1 Tomada Telef. Isolamento Térmico (Paredes E Teto), Piso Em Comp. Naval Pintado, Cert. Nr18, Incl. Laudo Descontaminação.</v>
      </c>
      <c r="E14" s="171" t="str">
        <f>IFERROR(LOWER(
IF($B14="DER-ES",INDEX('CDER-ES'!$C:$C,MATCH($C14,'CDER-ES'!$A:$A,0)),
IF($B14="SINAPI",INDEX(CSINAPI!$C:$C,MATCH($C14,CSINAPI!$A:$A,0)),
IF($B14="CESAN",INDEX(CCESAN!$C:$C,MATCH($C14,CCESAN!$A:$A,0)),
IF($B14="SCORIO",INDEX(CSCORIO!$A:$A,MATCH($C14,CSCORIO!#REF!,0)),
IF($B14="MERC",INDEX(MERCADO!$D:$D,MATCH($C14,MERCADO!$A:$A,0)),
IF($B14="COMP",INDEX(COMPOSICAO!$G:$G,MATCH($C14,COMPOSICAO!$A:$A,0)),
""))))))),"")</f>
        <v>ms</v>
      </c>
      <c r="F14" s="179">
        <f>VLOOKUP(A14,'MEMÓRIA DE CÁLCULO'!A:H,8,0)</f>
        <v>8</v>
      </c>
      <c r="G14" s="173">
        <f>IFERROR(
IF($B14="DER-ES",INDEX('CDER-ES'!$D:$D,MATCH($C14,'CDER-ES'!$A:$A,0)),
IF($B14="SINAPI",INDEX(CSINAPI!$D:$D,MATCH($C14,CSINAPI!$A:$A,0)),
IF($B14="CESAN",INDEX(CCESAN!$D:$D,MATCH($C14,CCESAN!$A:$A,0)),
IF($B14="SCORIO",INDEX(CSCORIO!$B:$B,MATCH($C14,CSCORIO!#REF!,0)),
IF($B14="MERC",INDEX(MERCADO!$E:$E,MATCH($C14,MERCADO!$A:$A,0)),
IF($B14="COMP",INDEX(COMPOSICAO!$H:$H,MATCH($C14,COMPOSICAO!$A:$A,0)),
0)))))),0)</f>
        <v>1156.75</v>
      </c>
      <c r="H14" s="173">
        <f t="shared" ref="H14:H18" si="7">ROUND(G14*(1+$J$2),2)</f>
        <v>1541.37</v>
      </c>
      <c r="I14" s="180">
        <f t="shared" ref="I14:I18" si="8">ROUND($H14*F14,2)</f>
        <v>12330.96</v>
      </c>
      <c r="J14" s="194">
        <f t="shared" si="3"/>
        <v>9.3399537568156277E-2</v>
      </c>
    </row>
    <row r="15" spans="1:13" ht="63.75">
      <c r="A15" s="175" t="s">
        <v>13892</v>
      </c>
      <c r="B15" s="176" t="s">
        <v>12617</v>
      </c>
      <c r="C15" s="176">
        <v>20355</v>
      </c>
      <c r="D15" s="178" t="str">
        <f>IFERROR(PROPER(
IF($B15="DER-ES",INDEX('CDER-ES'!$B:$B,MATCH($C15,'CDER-ES'!$A:$A,0)),
IF($B15="SINAPI",INDEX(CSINAPI!$B:$B,MATCH($C15,CSINAPI!$A:$A,0)),
IF($B15="CESAN",INDEX(CCESAN!$B:$B,MATCH($C15,CCESAN!$A:$A,0)),
IF($B15="SCORIO",INDEX(CSCORIO!$B:$B,MATCH($C15,CSCORIO!$A:$A,0)),
IF($B15="MERC",INDEX(MERCADO!$B:$B,MATCH($C15,MERCADO!$A:$A,0)),
IF($B15="COMP",INDEX(COMPOSICAO!$B:$B,MATCH($C15,COMPOSICAO!$A:$A,0)),
""))))))),"*Verificar código*")</f>
        <v>Aluguel Mensal Container Sanitário, Incl Porta, Básc, 2 Ptos Luz, 1 Pto Aterram., 3Vasos, 3Lavatórios, Calha Mictório, 6 Chuveiros (1 Eletrico), Torn.,Registros, Piso Comp. Naval Pintado, Cert Nr18 E Laudo Descontaminação</v>
      </c>
      <c r="E15" s="171" t="str">
        <f>IFERROR(LOWER(
IF($B15="DER-ES",INDEX('CDER-ES'!$C:$C,MATCH($C15,'CDER-ES'!$A:$A,0)),
IF($B15="SINAPI",INDEX(CSINAPI!$C:$C,MATCH($C15,CSINAPI!$A:$A,0)),
IF($B15="CESAN",INDEX(CCESAN!$C:$C,MATCH($C15,CCESAN!$A:$A,0)),
IF($B15="SCORIO",INDEX(CSCORIO!$A:$A,MATCH($C15,CSCORIO!#REF!,0)),
IF($B15="MERC",INDEX(MERCADO!$D:$D,MATCH($C15,MERCADO!$A:$A,0)),
IF($B15="COMP",INDEX(COMPOSICAO!$G:$G,MATCH($C15,COMPOSICAO!$A:$A,0)),
""))))))),"")</f>
        <v>ms</v>
      </c>
      <c r="F15" s="179">
        <f>VLOOKUP(A15,'MEMÓRIA DE CÁLCULO'!A:H,8,0)</f>
        <v>8</v>
      </c>
      <c r="G15" s="173">
        <f>IFERROR(
IF($B15="DER-ES",INDEX('CDER-ES'!$D:$D,MATCH($C15,'CDER-ES'!$A:$A,0)),
IF($B15="SINAPI",INDEX(CSINAPI!$D:$D,MATCH($C15,CSINAPI!$A:$A,0)),
IF($B15="CESAN",INDEX(CCESAN!$D:$D,MATCH($C15,CCESAN!$A:$A,0)),
IF($B15="SCORIO",INDEX(CSCORIO!$B:$B,MATCH($C15,CSCORIO!#REF!,0)),
IF($B15="MERC",INDEX(MERCADO!$E:$E,MATCH($C15,MERCADO!$A:$A,0)),
IF($B15="COMP",INDEX(COMPOSICAO!$H:$H,MATCH($C15,COMPOSICAO!$A:$A,0)),
0)))))),0)</f>
        <v>1181.75</v>
      </c>
      <c r="H15" s="173">
        <f t="shared" si="7"/>
        <v>1574.68</v>
      </c>
      <c r="I15" s="180">
        <f t="shared" si="8"/>
        <v>12597.44</v>
      </c>
      <c r="J15" s="194">
        <f t="shared" si="3"/>
        <v>9.541796182475612E-2</v>
      </c>
    </row>
    <row r="16" spans="1:13" ht="63.75">
      <c r="A16" s="175" t="s">
        <v>13897</v>
      </c>
      <c r="B16" s="176" t="s">
        <v>12617</v>
      </c>
      <c r="C16" s="176">
        <v>20356</v>
      </c>
      <c r="D16" s="178" t="str">
        <f>IFERROR(PROPER(
IF($B16="DER-ES",INDEX('CDER-ES'!$B:$B,MATCH($C16,'CDER-ES'!$A:$A,0)),
IF($B16="SINAPI",INDEX(CSINAPI!$B:$B,MATCH($C16,CSINAPI!$A:$A,0)),
IF($B16="CESAN",INDEX(CCESAN!$B:$B,MATCH($C16,CCESAN!$A:$A,0)),
IF($B16="SCORIO",INDEX(CSCORIO!$B:$B,MATCH($C16,CSCORIO!$A:$A,0)),
IF($B16="MERC",INDEX(MERCADO!$B:$B,MATCH($C16,MERCADO!$A:$A,0)),
IF($B16="COMP",INDEX(COMPOSICAO!$B:$B,MATCH($C16,COMPOSICAO!$A:$A,0)),
""))))))),"*Verificar código*")</f>
        <v>Aluguel Mensal Container Para Almoxarifado, Incl. Porta, 2 Janelas, 1 Pt Iluminação, Isolamento Térmico (Teto), Piso Em Comp. Naval Pintado, Cert. Nr18, Incl. Laudo Descontaminação.</v>
      </c>
      <c r="E16" s="171" t="str">
        <f>IFERROR(LOWER(
IF($B16="DER-ES",INDEX('CDER-ES'!$C:$C,MATCH($C16,'CDER-ES'!$A:$A,0)),
IF($B16="SINAPI",INDEX(CSINAPI!$C:$C,MATCH($C16,CSINAPI!$A:$A,0)),
IF($B16="CESAN",INDEX(CCESAN!$C:$C,MATCH($C16,CCESAN!$A:$A,0)),
IF($B16="SCORIO",INDEX(CSCORIO!$A:$A,MATCH($C16,CSCORIO!#REF!,0)),
IF($B16="MERC",INDEX(MERCADO!$D:$D,MATCH($C16,MERCADO!$A:$A,0)),
IF($B16="COMP",INDEX(COMPOSICAO!$G:$G,MATCH($C16,COMPOSICAO!$A:$A,0)),
""))))))),"")</f>
        <v>ms</v>
      </c>
      <c r="F16" s="179">
        <f>VLOOKUP(A16,'MEMÓRIA DE CÁLCULO'!A:H,8,0)</f>
        <v>8</v>
      </c>
      <c r="G16" s="173">
        <f>IFERROR(
IF($B16="DER-ES",INDEX('CDER-ES'!$D:$D,MATCH($C16,'CDER-ES'!$A:$A,0)),
IF($B16="SINAPI",INDEX(CSINAPI!$D:$D,MATCH($C16,CSINAPI!$A:$A,0)),
IF($B16="CESAN",INDEX(CCESAN!$D:$D,MATCH($C16,CCESAN!$A:$A,0)),
IF($B16="SCORIO",INDEX(CSCORIO!$B:$B,MATCH($C16,CSCORIO!#REF!,0)),
IF($B16="MERC",INDEX(MERCADO!$E:$E,MATCH($C16,MERCADO!$A:$A,0)),
IF($B16="COMP",INDEX(COMPOSICAO!$H:$H,MATCH($C16,COMPOSICAO!$A:$A,0)),
0)))))),0)</f>
        <v>759</v>
      </c>
      <c r="H16" s="173">
        <f t="shared" ref="H16" si="9">ROUND(G16*(1+$J$2),2)</f>
        <v>1011.37</v>
      </c>
      <c r="I16" s="180">
        <f t="shared" ref="I16" si="10">ROUND($H16*F16,2)</f>
        <v>8090.96</v>
      </c>
      <c r="J16" s="194">
        <f t="shared" ref="J16" si="11">I16/I$6</f>
        <v>6.1284111089683999E-2</v>
      </c>
    </row>
    <row r="17" spans="1:10" ht="38.25">
      <c r="A17" s="175" t="s">
        <v>13900</v>
      </c>
      <c r="B17" s="176" t="s">
        <v>12617</v>
      </c>
      <c r="C17" s="176">
        <v>20711</v>
      </c>
      <c r="D17" s="178" t="str">
        <f>IFERROR(PROPER(
IF($B17="DER-ES",INDEX('CDER-ES'!$B:$B,MATCH($C17,'CDER-ES'!$A:$A,0)),
IF($B17="SINAPI",INDEX(CSINAPI!$B:$B,MATCH($C17,CSINAPI!$A:$A,0)),
IF($B17="CESAN",INDEX(CCESAN!$B:$B,MATCH($C17,CCESAN!$A:$A,0)),
IF($B17="SCORIO",INDEX(CSCORIO!$B:$B,MATCH($C17,CSCORIO!$A:$A,0)),
IF($B17="MERC",INDEX(MERCADO!$B:$B,MATCH($C17,MERCADO!$A:$A,0)),
IF($B17="COMP",INDEX(COMPOSICAO!$B:$B,MATCH($C17,COMPOSICAO!$A:$A,0)),
""))))))),"*Verificar código*")</f>
        <v>Reservatório De Poliestileno De 1000 L, Incl. Suporte Em Madeira De 7X12Cm E 8X7Cm, Elevado De 4M, Conf. Projeto (1 Utilização)</v>
      </c>
      <c r="E17" s="171" t="str">
        <f>IFERROR(LOWER(
IF($B17="DER-ES",INDEX('CDER-ES'!$C:$C,MATCH($C17,'CDER-ES'!$A:$A,0)),
IF($B17="SINAPI",INDEX(CSINAPI!$C:$C,MATCH($C17,CSINAPI!$A:$A,0)),
IF($B17="CESAN",INDEX(CCESAN!$C:$C,MATCH($C17,CCESAN!$A:$A,0)),
IF($B17="SCORIO",INDEX(CSCORIO!$A:$A,MATCH($C17,CSCORIO!#REF!,0)),
IF($B17="MERC",INDEX(MERCADO!$D:$D,MATCH($C17,MERCADO!$A:$A,0)),
IF($B17="COMP",INDEX(COMPOSICAO!$G:$G,MATCH($C17,COMPOSICAO!$A:$A,0)),
""))))))),"")</f>
        <v>und</v>
      </c>
      <c r="F17" s="179">
        <f>VLOOKUP(A17,'MEMÓRIA DE CÁLCULO'!A:H,8,0)</f>
        <v>1</v>
      </c>
      <c r="G17" s="173">
        <f>IFERROR(
IF($B17="DER-ES",INDEX('CDER-ES'!$D:$D,MATCH($C17,'CDER-ES'!$A:$A,0)),
IF($B17="SINAPI",INDEX(CSINAPI!$D:$D,MATCH($C17,CSINAPI!$A:$A,0)),
IF($B17="CESAN",INDEX(CCESAN!$D:$D,MATCH($C17,CCESAN!$A:$A,0)),
IF($B17="SCORIO",INDEX(CSCORIO!$B:$B,MATCH($C17,CSCORIO!#REF!,0)),
IF($B17="MERC",INDEX(MERCADO!$E:$E,MATCH($C17,MERCADO!$A:$A,0)),
IF($B17="COMP",INDEX(COMPOSICAO!$H:$H,MATCH($C17,COMPOSICAO!$A:$A,0)),
0)))))),0)</f>
        <v>2403.33</v>
      </c>
      <c r="H17" s="173">
        <f t="shared" ref="H17" si="12">ROUND(G17*(1+$J$2),2)</f>
        <v>3202.44</v>
      </c>
      <c r="I17" s="180">
        <f t="shared" ref="I17" si="13">ROUND($H17*F17,2)</f>
        <v>3202.44</v>
      </c>
      <c r="J17" s="194">
        <f t="shared" ref="J17" si="14">I17/I$6</f>
        <v>2.4256539238612922E-2</v>
      </c>
    </row>
    <row r="18" spans="1:10">
      <c r="A18" s="175" t="s">
        <v>13901</v>
      </c>
      <c r="B18" s="176" t="s">
        <v>12617</v>
      </c>
      <c r="C18" s="176">
        <v>10501</v>
      </c>
      <c r="D18" s="178" t="str">
        <f>IFERROR(PROPER(
IF($B18="DER-ES",INDEX('CDER-ES'!$B:$B,MATCH($C18,'CDER-ES'!$A:$A,0)),
IF($B18="SINAPI",INDEX(CSINAPI!$B:$B,MATCH($C18,CSINAPI!$A:$A,0)),
IF($B18="CESAN",INDEX(CCESAN!$B:$B,MATCH($C18,CCESAN!$A:$A,0)),
IF($B18="SCORIO",INDEX(CSCORIO!$B:$B,MATCH($C18,CSCORIO!$A:$A,0)),
IF($B18="MERC",INDEX(MERCADO!$B:$B,MATCH($C18,MERCADO!$A:$A,0)),
IF($B18="COMP",INDEX(COMPOSICAO!$B:$B,MATCH($C18,COMPOSICAO!$A:$A,0)),
""))))))),"*Verificar código*")</f>
        <v>Locação De Obra Com Gabarito De Madeira</v>
      </c>
      <c r="E18" s="171" t="str">
        <f>IFERROR(LOWER(
IF($B18="DER-ES",INDEX('CDER-ES'!$C:$C,MATCH($C18,'CDER-ES'!$A:$A,0)),
IF($B18="SINAPI",INDEX(CSINAPI!$C:$C,MATCH($C18,CSINAPI!$A:$A,0)),
IF($B18="CESAN",INDEX(CCESAN!$C:$C,MATCH($C18,CCESAN!$A:$A,0)),
IF($B18="SCORIO",INDEX(CSCORIO!$A:$A,MATCH($C18,CSCORIO!#REF!,0)),
IF($B18="MERC",INDEX(MERCADO!$D:$D,MATCH($C18,MERCADO!$A:$A,0)),
IF($B18="COMP",INDEX(COMPOSICAO!$G:$G,MATCH($C18,COMPOSICAO!$A:$A,0)),
""))))))),"")</f>
        <v>m2</v>
      </c>
      <c r="F18" s="179">
        <f>VLOOKUP(A18,'MEMÓRIA DE CÁLCULO'!A:H,8,0)</f>
        <v>1200</v>
      </c>
      <c r="G18" s="173">
        <f>IFERROR(
IF($B18="DER-ES",INDEX('CDER-ES'!$D:$D,MATCH($C18,'CDER-ES'!$A:$A,0)),
IF($B18="SINAPI",INDEX(CSINAPI!$D:$D,MATCH($C18,CSINAPI!$A:$A,0)),
IF($B18="CESAN",INDEX(CCESAN!$D:$D,MATCH($C18,CCESAN!$A:$A,0)),
IF($B18="SCORIO",INDEX(CSCORIO!$B:$B,MATCH($C18,CSCORIO!#REF!,0)),
IF($B18="MERC",INDEX(MERCADO!$E:$E,MATCH($C18,MERCADO!$A:$A,0)),
IF($B18="COMP",INDEX(COMPOSICAO!$H:$H,MATCH($C18,COMPOSICAO!$A:$A,0)),
0)))))),0)</f>
        <v>10.53</v>
      </c>
      <c r="H18" s="173">
        <f t="shared" si="7"/>
        <v>14.03</v>
      </c>
      <c r="I18" s="180">
        <f t="shared" si="8"/>
        <v>16836</v>
      </c>
      <c r="J18" s="194">
        <f t="shared" si="3"/>
        <v>0.12752248117725459</v>
      </c>
    </row>
    <row r="19" spans="1:10" ht="38.25">
      <c r="A19" s="175" t="s">
        <v>14322</v>
      </c>
      <c r="B19" s="176" t="s">
        <v>12617</v>
      </c>
      <c r="C19" s="176">
        <v>10512</v>
      </c>
      <c r="D19" s="178" t="str">
        <f>IFERROR(PROPER(
IF($B19="DER-ES",INDEX('CDER-ES'!$B:$B,MATCH($C19,'CDER-ES'!$A:$A,0)),
IF($B19="SINAPI",INDEX(CSINAPI!$B:$B,MATCH($C19,CSINAPI!$A:$A,0)),
IF($B19="CESAN",INDEX(CCESAN!$B:$B,MATCH($C19,CCESAN!$A:$A,0)),
IF($B19="SCORIO",INDEX(CSCORIO!$B:$B,MATCH($C19,CSCORIO!$A:$A,0)),
IF($B19="MERC",INDEX(MERCADO!$B:$B,MATCH($C19,MERCADO!$A:$A,0)),
IF($B19="COMP",INDEX(COMPOSICAO!$B:$B,MATCH($C19,COMPOSICAO!$A:$A,0)),
""))))))),"*Verificar código*")</f>
        <v>Equipe Topográfica Para Serviços Simples De Locação E Nivelamento (Incluindo Equipamento, Transporte E Profissionais Nivel Médio)</v>
      </c>
      <c r="E19" s="171" t="str">
        <f>IFERROR(LOWER(
IF($B19="DER-ES",INDEX('CDER-ES'!$C:$C,MATCH($C19,'CDER-ES'!$A:$A,0)),
IF($B19="SINAPI",INDEX(CSINAPI!$C:$C,MATCH($C19,CSINAPI!$A:$A,0)),
IF($B19="CESAN",INDEX(CCESAN!$C:$C,MATCH($C19,CCESAN!$A:$A,0)),
IF($B19="SCORIO",INDEX(CSCORIO!$A:$A,MATCH($C19,CSCORIO!#REF!,0)),
IF($B19="MERC",INDEX(MERCADO!$D:$D,MATCH($C19,MERCADO!$A:$A,0)),
IF($B19="COMP",INDEX(COMPOSICAO!$G:$G,MATCH($C19,COMPOSICAO!$A:$A,0)),
""))))))),"")</f>
        <v>mês</v>
      </c>
      <c r="F19" s="179">
        <f>VLOOKUP(A19,'MEMÓRIA DE CÁLCULO'!A:H,8,0)</f>
        <v>0.17</v>
      </c>
      <c r="G19" s="173">
        <f>IFERROR(
IF($B19="DER-ES",INDEX('CDER-ES'!$D:$D,MATCH($C19,'CDER-ES'!$A:$A,0)),
IF($B19="SINAPI",INDEX(CSINAPI!$D:$D,MATCH($C19,CSINAPI!$A:$A,0)),
IF($B19="CESAN",INDEX(CCESAN!$D:$D,MATCH($C19,CCESAN!$A:$A,0)),
IF($B19="SCORIO",INDEX(CSCORIO!$B:$B,MATCH($C19,CSCORIO!#REF!,0)),
IF($B19="MERC",INDEX(MERCADO!$E:$E,MATCH($C19,MERCADO!$A:$A,0)),
IF($B19="COMP",INDEX(COMPOSICAO!$H:$H,MATCH($C19,COMPOSICAO!$A:$A,0)),
0)))))),0)</f>
        <v>21213.37</v>
      </c>
      <c r="H19" s="173">
        <f t="shared" ref="H19" si="15">ROUND(G19*(1+$J$2),2)</f>
        <v>28266.82</v>
      </c>
      <c r="I19" s="180">
        <f t="shared" ref="I19" si="16">ROUND($H19*F19,2)</f>
        <v>4805.3599999999997</v>
      </c>
      <c r="J19" s="194">
        <f t="shared" ref="J19" si="17">I19/I$6</f>
        <v>3.6397685326082924E-2</v>
      </c>
    </row>
    <row r="20" spans="1:10">
      <c r="A20" s="167" t="s">
        <v>7232</v>
      </c>
      <c r="B20" s="168"/>
      <c r="C20" s="169"/>
      <c r="D20" s="170" t="s">
        <v>1945</v>
      </c>
      <c r="E20" s="171"/>
      <c r="F20" s="172"/>
      <c r="G20" s="173"/>
      <c r="H20" s="173"/>
      <c r="I20" s="174">
        <f>SUBTOTAL(9,I21:I30)</f>
        <v>81810.459999999992</v>
      </c>
      <c r="J20" s="193">
        <f>SUBTOTAL(9,J21:J30)</f>
        <v>1.0000000000000002</v>
      </c>
    </row>
    <row r="21" spans="1:10" ht="25.5">
      <c r="A21" s="175" t="s">
        <v>9106</v>
      </c>
      <c r="B21" s="176" t="s">
        <v>12617</v>
      </c>
      <c r="C21" s="176">
        <v>10201</v>
      </c>
      <c r="D21" s="178" t="str">
        <f>IFERROR(PROPER(
IF($B21="DER-ES",INDEX('CDER-ES'!$B:$B,MATCH($C21,'CDER-ES'!$A:$A,0)),
IF($B21="SINAPI",INDEX(CSINAPI!$B:$B,MATCH($C21,CSINAPI!$A:$A,0)),
IF($B21="CESAN",INDEX(CCESAN!$B:$B,MATCH($C21,CCESAN!$A:$A,0)),
IF($B21="SCORIO",INDEX(CSCORIO!$B:$B,MATCH($C21,CSCORIO!$A:$A,0)),
IF($B21="MERC",INDEX(MERCADO!$B:$B,MATCH($C21,MERCADO!$A:$A,0)),
IF($B21="COMP",INDEX(COMPOSICAO!$B:$B,MATCH($C21,COMPOSICAO!$A:$A,0)),
""))))))),"*Verificar código*")</f>
        <v>Demolição De Piso Cimentado Inclusive Lastro De Concreto</v>
      </c>
      <c r="E21" s="171" t="str">
        <f>IFERROR(LOWER(
IF($B21="DER-ES",INDEX('CDER-ES'!$C:$C,MATCH($C21,'CDER-ES'!$A:$A,0)),
IF($B21="SINAPI",INDEX(CSINAPI!$C:$C,MATCH($C21,CSINAPI!$A:$A,0)),
IF($B21="CESAN",INDEX(CCESAN!$C:$C,MATCH($C21,CCESAN!$A:$A,0)),
IF($B21="SCORIO",INDEX(CSCORIO!$A:$A,MATCH($C21,CSCORIO!#REF!,0)),
IF($B21="MERC",INDEX(MERCADO!$D:$D,MATCH($C21,MERCADO!$A:$A,0)),
IF($B21="COMP",INDEX(COMPOSICAO!$G:$G,MATCH($C21,COMPOSICAO!$A:$A,0)),
""))))))),"")</f>
        <v>m2</v>
      </c>
      <c r="F21" s="179">
        <f>VLOOKUP(A21,'MEMÓRIA DE CÁLCULO'!A:H,8,0)</f>
        <v>668.91</v>
      </c>
      <c r="G21" s="173">
        <f>IFERROR(
IF($B21="DER-ES",INDEX('CDER-ES'!$D:$D,MATCH($C21,'CDER-ES'!$A:$A,0)),
IF($B21="SINAPI",INDEX(CSINAPI!$D:$D,MATCH($C21,CSINAPI!$A:$A,0)),
IF($B21="CESAN",INDEX(CCESAN!$D:$D,MATCH($C21,CCESAN!$A:$A,0)),
IF($B21="SCORIO",INDEX(CSCORIO!$B:$B,MATCH($C21,CSCORIO!#REF!,0)),
IF($B21="MERC",INDEX(MERCADO!$E:$E,MATCH($C21,MERCADO!$A:$A,0)),
IF($B21="COMP",INDEX(COMPOSICAO!$H:$H,MATCH($C21,COMPOSICAO!$A:$A,0)),
0)))))),0)</f>
        <v>24.9</v>
      </c>
      <c r="H21" s="173">
        <f t="shared" ref="H21" si="18">ROUND(G21*(1+$J$2),2)</f>
        <v>33.18</v>
      </c>
      <c r="I21" s="180">
        <f t="shared" ref="I21" si="19">ROUND($H21*F21,2)</f>
        <v>22194.43</v>
      </c>
      <c r="J21" s="194">
        <f>I21/I$20</f>
        <v>0.27129085938399566</v>
      </c>
    </row>
    <row r="22" spans="1:10">
      <c r="A22" s="175" t="s">
        <v>12233</v>
      </c>
      <c r="B22" s="176" t="s">
        <v>12617</v>
      </c>
      <c r="C22" s="176">
        <v>10209</v>
      </c>
      <c r="D22" s="178" t="str">
        <f>IFERROR(PROPER(
IF($B22="DER-ES",INDEX('CDER-ES'!$B:$B,MATCH($C22,'CDER-ES'!$A:$A,0)),
IF($B22="SINAPI",INDEX(CSINAPI!$B:$B,MATCH($C22,CSINAPI!$A:$A,0)),
IF($B22="CESAN",INDEX(CCESAN!$B:$B,MATCH($C22,CCESAN!$A:$A,0)),
IF($B22="SCORIO",INDEX(CSCORIO!$B:$B,MATCH($C22,CSCORIO!$A:$A,0)),
IF($B22="MERC",INDEX(MERCADO!$B:$B,MATCH($C22,MERCADO!$A:$A,0)),
IF($B22="COMP",INDEX(COMPOSICAO!$B:$B,MATCH($C22,COMPOSICAO!$A:$A,0)),
""))))))),"*Verificar código*")</f>
        <v>Demolição De Alvenaria</v>
      </c>
      <c r="E22" s="171" t="str">
        <f>IFERROR(LOWER(
IF($B22="DER-ES",INDEX('CDER-ES'!$C:$C,MATCH($C22,'CDER-ES'!$A:$A,0)),
IF($B22="SINAPI",INDEX(CSINAPI!$C:$C,MATCH($C22,CSINAPI!$A:$A,0)),
IF($B22="CESAN",INDEX(CCESAN!$C:$C,MATCH($C22,CCESAN!$A:$A,0)),
IF($B22="SCORIO",INDEX(CSCORIO!$A:$A,MATCH($C22,CSCORIO!#REF!,0)),
IF($B22="MERC",INDEX(MERCADO!$D:$D,MATCH($C22,MERCADO!$A:$A,0)),
IF($B22="COMP",INDEX(COMPOSICAO!$G:$G,MATCH($C22,COMPOSICAO!$A:$A,0)),
""))))))),"")</f>
        <v>m3</v>
      </c>
      <c r="F22" s="179">
        <f>VLOOKUP(A22,'MEMÓRIA DE CÁLCULO'!A:H,8,0)</f>
        <v>90.13</v>
      </c>
      <c r="G22" s="173">
        <f>IFERROR(
IF($B22="DER-ES",INDEX('CDER-ES'!$D:$D,MATCH($C22,'CDER-ES'!$A:$A,0)),
IF($B22="SINAPI",INDEX(CSINAPI!$D:$D,MATCH($C22,CSINAPI!$A:$A,0)),
IF($B22="CESAN",INDEX(CCESAN!$D:$D,MATCH($C22,CCESAN!$A:$A,0)),
IF($B22="SCORIO",INDEX(CSCORIO!$B:$B,MATCH($C22,CSCORIO!#REF!,0)),
IF($B22="MERC",INDEX(MERCADO!$E:$E,MATCH($C22,MERCADO!$A:$A,0)),
IF($B22="COMP",INDEX(COMPOSICAO!$H:$H,MATCH($C22,COMPOSICAO!$A:$A,0)),
0)))))),0)</f>
        <v>57.46</v>
      </c>
      <c r="H22" s="173">
        <f>ROUND(G22*(1+$J$2),2)</f>
        <v>76.569999999999993</v>
      </c>
      <c r="I22" s="180">
        <f>ROUND($H22*F22,2)</f>
        <v>6901.25</v>
      </c>
      <c r="J22" s="194">
        <f t="shared" ref="J22:J30" si="20">I22/I$20</f>
        <v>8.4356572496964335E-2</v>
      </c>
    </row>
    <row r="23" spans="1:10" ht="38.25">
      <c r="A23" s="175" t="s">
        <v>14199</v>
      </c>
      <c r="B23" s="176" t="s">
        <v>12617</v>
      </c>
      <c r="C23" s="176">
        <v>10212</v>
      </c>
      <c r="D23" s="178" t="str">
        <f>IFERROR(PROPER(
IF($B23="DER-ES",INDEX('CDER-ES'!$B:$B,MATCH($C23,'CDER-ES'!$A:$A,0)),
IF($B23="SINAPI",INDEX(CSINAPI!$B:$B,MATCH($C23,CSINAPI!$A:$A,0)),
IF($B23="CESAN",INDEX(CCESAN!$B:$B,MATCH($C23,CCESAN!$A:$A,0)),
IF($B23="SCORIO",INDEX(CSCORIO!$B:$B,MATCH($C23,CSCORIO!$A:$A,0)),
IF($B23="MERC",INDEX(MERCADO!$B:$B,MATCH($C23,MERCADO!$A:$A,0)),
IF($B23="COMP",INDEX(COMPOSICAO!$B:$B,MATCH($C23,COMPOSICAO!$A:$A,0)),
""))))))),"*Verificar código*")</f>
        <v>Retirada Manual De Pavimento Em Paralelepípedos, Incluindo Empilhamento Para Reaproveitamento</v>
      </c>
      <c r="E23" s="171" t="str">
        <f>IFERROR(LOWER(
IF($B23="DER-ES",INDEX('CDER-ES'!$C:$C,MATCH($C23,'CDER-ES'!$A:$A,0)),
IF($B23="SINAPI",INDEX(CSINAPI!$C:$C,MATCH($C23,CSINAPI!$A:$A,0)),
IF($B23="CESAN",INDEX(CCESAN!$C:$C,MATCH($C23,CCESAN!$A:$A,0)),
IF($B23="SCORIO",INDEX(CSCORIO!$A:$A,MATCH($C23,CSCORIO!#REF!,0)),
IF($B23="MERC",INDEX(MERCADO!$D:$D,MATCH($C23,MERCADO!$A:$A,0)),
IF($B23="COMP",INDEX(COMPOSICAO!$G:$G,MATCH($C23,COMPOSICAO!$A:$A,0)),
""))))))),"")</f>
        <v>m2</v>
      </c>
      <c r="F23" s="179">
        <f>VLOOKUP(A23,'MEMÓRIA DE CÁLCULO'!A:H,8,0)</f>
        <v>300</v>
      </c>
      <c r="G23" s="173">
        <f>IFERROR(
IF($B23="DER-ES",INDEX('CDER-ES'!$D:$D,MATCH($C23,'CDER-ES'!$A:$A,0)),
IF($B23="SINAPI",INDEX(CSINAPI!$D:$D,MATCH($C23,CSINAPI!$A:$A,0)),
IF($B23="CESAN",INDEX(CCESAN!$D:$D,MATCH($C23,CCESAN!$A:$A,0)),
IF($B23="SCORIO",INDEX(CSCORIO!$B:$B,MATCH($C23,CSCORIO!#REF!,0)),
IF($B23="MERC",INDEX(MERCADO!$E:$E,MATCH($C23,MERCADO!$A:$A,0)),
IF($B23="COMP",INDEX(COMPOSICAO!$H:$H,MATCH($C23,COMPOSICAO!$A:$A,0)),
0)))))),0)</f>
        <v>11.49</v>
      </c>
      <c r="H23" s="173">
        <f t="shared" ref="H23:H24" si="21">ROUND(G23*(1+$J$2),2)</f>
        <v>15.31</v>
      </c>
      <c r="I23" s="180">
        <f t="shared" ref="I23:I24" si="22">ROUND($H23*F23,2)</f>
        <v>4593</v>
      </c>
      <c r="J23" s="194">
        <f t="shared" si="20"/>
        <v>5.6141965220584268E-2</v>
      </c>
    </row>
    <row r="24" spans="1:10" ht="25.5">
      <c r="A24" s="175" t="s">
        <v>14200</v>
      </c>
      <c r="B24" s="176" t="s">
        <v>12617</v>
      </c>
      <c r="C24" s="176">
        <v>10214</v>
      </c>
      <c r="D24" s="178" t="str">
        <f>IFERROR(PROPER(
IF($B24="DER-ES",INDEX('CDER-ES'!$B:$B,MATCH($C24,'CDER-ES'!$A:$A,0)),
IF($B24="SINAPI",INDEX(CSINAPI!$B:$B,MATCH($C24,CSINAPI!$A:$A,0)),
IF($B24="CESAN",INDEX(CCESAN!$B:$B,MATCH($C24,CCESAN!$A:$A,0)),
IF($B24="SCORIO",INDEX(CSCORIO!$B:$B,MATCH($C24,CSCORIO!$A:$A,0)),
IF($B24="MERC",INDEX(MERCADO!$B:$B,MATCH($C24,MERCADO!$A:$A,0)),
IF($B24="COMP",INDEX(COMPOSICAO!$B:$B,MATCH($C24,COMPOSICAO!$A:$A,0)),
""))))))),"*Verificar código*")</f>
        <v>Retirada De Portas E Janelas De Madeira, Inclusive Batentes</v>
      </c>
      <c r="E24" s="171" t="str">
        <f>IFERROR(LOWER(
IF($B24="DER-ES",INDEX('CDER-ES'!$C:$C,MATCH($C24,'CDER-ES'!$A:$A,0)),
IF($B24="SINAPI",INDEX(CSINAPI!$C:$C,MATCH($C24,CSINAPI!$A:$A,0)),
IF($B24="CESAN",INDEX(CCESAN!$C:$C,MATCH($C24,CCESAN!$A:$A,0)),
IF($B24="SCORIO",INDEX(CSCORIO!$A:$A,MATCH($C24,CSCORIO!#REF!,0)),
IF($B24="MERC",INDEX(MERCADO!$D:$D,MATCH($C24,MERCADO!$A:$A,0)),
IF($B24="COMP",INDEX(COMPOSICAO!$G:$G,MATCH($C24,COMPOSICAO!$A:$A,0)),
""))))))),"")</f>
        <v>m2</v>
      </c>
      <c r="F24" s="179">
        <f>VLOOKUP(A24,'MEMÓRIA DE CÁLCULO'!A:H,8,0)</f>
        <v>10.08</v>
      </c>
      <c r="G24" s="173">
        <f>IFERROR(
IF($B24="DER-ES",INDEX('CDER-ES'!$D:$D,MATCH($C24,'CDER-ES'!$A:$A,0)),
IF($B24="SINAPI",INDEX(CSINAPI!$D:$D,MATCH($C24,CSINAPI!$A:$A,0)),
IF($B24="CESAN",INDEX(CCESAN!$D:$D,MATCH($C24,CCESAN!$A:$A,0)),
IF($B24="SCORIO",INDEX(CSCORIO!$B:$B,MATCH($C24,CSCORIO!#REF!,0)),
IF($B24="MERC",INDEX(MERCADO!$E:$E,MATCH($C24,MERCADO!$A:$A,0)),
IF($B24="COMP",INDEX(COMPOSICAO!$H:$H,MATCH($C24,COMPOSICAO!$A:$A,0)),
0)))))),0)</f>
        <v>15.32</v>
      </c>
      <c r="H24" s="173">
        <f t="shared" si="21"/>
        <v>20.41</v>
      </c>
      <c r="I24" s="180">
        <f t="shared" si="22"/>
        <v>205.73</v>
      </c>
      <c r="J24" s="194">
        <f t="shared" si="20"/>
        <v>2.5147151110016986E-3</v>
      </c>
    </row>
    <row r="25" spans="1:10" ht="25.5">
      <c r="A25" s="175" t="s">
        <v>14393</v>
      </c>
      <c r="B25" s="176" t="s">
        <v>12617</v>
      </c>
      <c r="C25" s="176">
        <v>10224</v>
      </c>
      <c r="D25" s="178" t="str">
        <f>IFERROR(PROPER(
IF($B25="DER-ES",INDEX('CDER-ES'!$B:$B,MATCH($C25,'CDER-ES'!$A:$A,0)),
IF($B25="SINAPI",INDEX(CSINAPI!$B:$B,MATCH($C25,CSINAPI!$A:$A,0)),
IF($B25="CESAN",INDEX(CCESAN!$B:$B,MATCH($C25,CCESAN!$A:$A,0)),
IF($B25="SCORIO",INDEX(CSCORIO!$B:$B,MATCH($C25,CSCORIO!$A:$A,0)),
IF($B25="MERC",INDEX(MERCADO!$B:$B,MATCH($C25,MERCADO!$A:$A,0)),
IF($B25="COMP",INDEX(COMPOSICAO!$B:$B,MATCH($C25,COMPOSICAO!$A:$A,0)),
""))))))),"*Verificar código*")</f>
        <v>Retirada De Grades, Gradis, Alambrados, Cercas E Portões</v>
      </c>
      <c r="E25" s="171" t="str">
        <f>IFERROR(LOWER(
IF($B25="DER-ES",INDEX('CDER-ES'!$C:$C,MATCH($C25,'CDER-ES'!$A:$A,0)),
IF($B25="SINAPI",INDEX(CSINAPI!$C:$C,MATCH($C25,CSINAPI!$A:$A,0)),
IF($B25="CESAN",INDEX(CCESAN!$C:$C,MATCH($C25,CCESAN!$A:$A,0)),
IF($B25="SCORIO",INDEX(CSCORIO!$A:$A,MATCH($C25,CSCORIO!#REF!,0)),
IF($B25="MERC",INDEX(MERCADO!$D:$D,MATCH($C25,MERCADO!$A:$A,0)),
IF($B25="COMP",INDEX(COMPOSICAO!$G:$G,MATCH($C25,COMPOSICAO!$A:$A,0)),
""))))))),"")</f>
        <v>m2</v>
      </c>
      <c r="F25" s="179">
        <f>VLOOKUP(A25,'MEMÓRIA DE CÁLCULO'!A:H,8,0)</f>
        <v>389</v>
      </c>
      <c r="G25" s="173">
        <f>IFERROR(
IF($B25="DER-ES",INDEX('CDER-ES'!$D:$D,MATCH($C25,'CDER-ES'!$A:$A,0)),
IF($B25="SINAPI",INDEX(CSINAPI!$D:$D,MATCH($C25,CSINAPI!$A:$A,0)),
IF($B25="CESAN",INDEX(CCESAN!$D:$D,MATCH($C25,CCESAN!$A:$A,0)),
IF($B25="SCORIO",INDEX(CSCORIO!$B:$B,MATCH($C25,CSCORIO!#REF!,0)),
IF($B25="MERC",INDEX(MERCADO!$E:$E,MATCH($C25,MERCADO!$A:$A,0)),
IF($B25="COMP",INDEX(COMPOSICAO!$H:$H,MATCH($C25,COMPOSICAO!$A:$A,0)),
0)))))),0)</f>
        <v>16.88</v>
      </c>
      <c r="H25" s="173">
        <f>ROUND(G25*(1+$J$2),2)</f>
        <v>22.49</v>
      </c>
      <c r="I25" s="180">
        <f>ROUND($H25*F25,2)</f>
        <v>8748.61</v>
      </c>
      <c r="J25" s="194">
        <f t="shared" si="20"/>
        <v>0.10693754808370472</v>
      </c>
    </row>
    <row r="26" spans="1:10">
      <c r="A26" s="175" t="s">
        <v>14394</v>
      </c>
      <c r="B26" s="176" t="s">
        <v>12617</v>
      </c>
      <c r="C26" s="176">
        <v>10229</v>
      </c>
      <c r="D26" s="178" t="str">
        <f>IFERROR(PROPER(
IF($B26="DER-ES",INDEX('CDER-ES'!$B:$B,MATCH($C26,'CDER-ES'!$A:$A,0)),
IF($B26="SINAPI",INDEX(CSINAPI!$B:$B,MATCH($C26,CSINAPI!$A:$A,0)),
IF($B26="CESAN",INDEX(CCESAN!$B:$B,MATCH($C26,CCESAN!$A:$A,0)),
IF($B26="SCORIO",INDEX(CSCORIO!$B:$B,MATCH($C26,CSCORIO!$A:$A,0)),
IF($B26="MERC",INDEX(MERCADO!$B:$B,MATCH($C26,MERCADO!$A:$A,0)),
IF($B26="COMP",INDEX(COMPOSICAO!$B:$B,MATCH($C26,COMPOSICAO!$A:$A,0)),
""))))))),"*Verificar código*")</f>
        <v>Retirada De Poste De Aço De 4 A 6 M</v>
      </c>
      <c r="E26" s="171" t="str">
        <f>IFERROR(LOWER(
IF($B26="DER-ES",INDEX('CDER-ES'!$C:$C,MATCH($C26,'CDER-ES'!$A:$A,0)),
IF($B26="SINAPI",INDEX(CSINAPI!$C:$C,MATCH($C26,CSINAPI!$A:$A,0)),
IF($B26="CESAN",INDEX(CCESAN!$C:$C,MATCH($C26,CCESAN!$A:$A,0)),
IF($B26="SCORIO",INDEX(CSCORIO!$A:$A,MATCH($C26,CSCORIO!#REF!,0)),
IF($B26="MERC",INDEX(MERCADO!$D:$D,MATCH($C26,MERCADO!$A:$A,0)),
IF($B26="COMP",INDEX(COMPOSICAO!$G:$G,MATCH($C26,COMPOSICAO!$A:$A,0)),
""))))))),"")</f>
        <v>und</v>
      </c>
      <c r="F26" s="179">
        <f>VLOOKUP(A26,'MEMÓRIA DE CÁLCULO'!A:H,8,0)</f>
        <v>4</v>
      </c>
      <c r="G26" s="173">
        <f>IFERROR(
IF($B26="DER-ES",INDEX('CDER-ES'!$D:$D,MATCH($C26,'CDER-ES'!$A:$A,0)),
IF($B26="SINAPI",INDEX(CSINAPI!$D:$D,MATCH($C26,CSINAPI!$A:$A,0)),
IF($B26="CESAN",INDEX(CCESAN!$D:$D,MATCH($C26,CCESAN!$A:$A,0)),
IF($B26="SCORIO",INDEX(CSCORIO!$B:$B,MATCH($C26,CSCORIO!#REF!,0)),
IF($B26="MERC",INDEX(MERCADO!$E:$E,MATCH($C26,MERCADO!$A:$A,0)),
IF($B26="COMP",INDEX(COMPOSICAO!$H:$H,MATCH($C26,COMPOSICAO!$A:$A,0)),
0)))))),0)</f>
        <v>38.31</v>
      </c>
      <c r="H26" s="173">
        <f>ROUND(G26*(1+$J$2),2)</f>
        <v>51.05</v>
      </c>
      <c r="I26" s="180">
        <f>ROUND($H26*F26,2)</f>
        <v>204.2</v>
      </c>
      <c r="J26" s="194">
        <f t="shared" ref="J26" si="23">I26/I$20</f>
        <v>2.4960133459706745E-3</v>
      </c>
    </row>
    <row r="27" spans="1:10" ht="25.5">
      <c r="A27" s="175" t="s">
        <v>14395</v>
      </c>
      <c r="B27" s="176" t="s">
        <v>12617</v>
      </c>
      <c r="C27" s="176">
        <v>10240</v>
      </c>
      <c r="D27" s="178" t="str">
        <f>IFERROR(PROPER(
IF($B27="DER-ES",INDEX('CDER-ES'!$B:$B,MATCH($C27,'CDER-ES'!$A:$A,0)),
IF($B27="SINAPI",INDEX(CSINAPI!$B:$B,MATCH($C27,CSINAPI!$A:$A,0)),
IF($B27="CESAN",INDEX(CCESAN!$B:$B,MATCH($C27,CCESAN!$A:$A,0)),
IF($B27="SCORIO",INDEX(CSCORIO!$B:$B,MATCH($C27,CSCORIO!$A:$A,0)),
IF($B27="MERC",INDEX(MERCADO!$B:$B,MATCH($C27,MERCADO!$A:$A,0)),
IF($B27="COMP",INDEX(COMPOSICAO!$B:$B,MATCH($C27,COMPOSICAO!$A:$A,0)),
""))))))),"*Verificar código*")</f>
        <v>Retirada De Pontos Elétricos (Luminárias, Interruptores E Tomadas)</v>
      </c>
      <c r="E27" s="171" t="str">
        <f>IFERROR(LOWER(
IF($B27="DER-ES",INDEX('CDER-ES'!$C:$C,MATCH($C27,'CDER-ES'!$A:$A,0)),
IF($B27="SINAPI",INDEX(CSINAPI!$C:$C,MATCH($C27,CSINAPI!$A:$A,0)),
IF($B27="CESAN",INDEX(CCESAN!$C:$C,MATCH($C27,CCESAN!$A:$A,0)),
IF($B27="SCORIO",INDEX(CSCORIO!$A:$A,MATCH($C27,CSCORIO!#REF!,0)),
IF($B27="MERC",INDEX(MERCADO!$D:$D,MATCH($C27,MERCADO!$A:$A,0)),
IF($B27="COMP",INDEX(COMPOSICAO!$G:$G,MATCH($C27,COMPOSICAO!$A:$A,0)),
""))))))),"")</f>
        <v>und</v>
      </c>
      <c r="F27" s="179">
        <f>VLOOKUP(A27,'MEMÓRIA DE CÁLCULO'!A:H,8,0)</f>
        <v>8</v>
      </c>
      <c r="G27" s="173">
        <f>IFERROR(
IF($B27="DER-ES",INDEX('CDER-ES'!$D:$D,MATCH($C27,'CDER-ES'!$A:$A,0)),
IF($B27="SINAPI",INDEX(CSINAPI!$D:$D,MATCH($C27,CSINAPI!$A:$A,0)),
IF($B27="CESAN",INDEX(CCESAN!$D:$D,MATCH($C27,CCESAN!$A:$A,0)),
IF($B27="SCORIO",INDEX(CSCORIO!$B:$B,MATCH($C27,CSCORIO!#REF!,0)),
IF($B27="MERC",INDEX(MERCADO!$E:$E,MATCH($C27,MERCADO!$A:$A,0)),
IF($B27="COMP",INDEX(COMPOSICAO!$H:$H,MATCH($C27,COMPOSICAO!$A:$A,0)),
0)))))),0)</f>
        <v>10.48</v>
      </c>
      <c r="H27" s="173">
        <f>ROUND(G27*(1+$J$2),2)</f>
        <v>13.96</v>
      </c>
      <c r="I27" s="180">
        <f>ROUND($H27*F27,2)</f>
        <v>111.68</v>
      </c>
      <c r="J27" s="194">
        <f t="shared" ref="J27" si="24">I27/I$20</f>
        <v>1.3651066135063905E-3</v>
      </c>
    </row>
    <row r="28" spans="1:10" ht="25.5">
      <c r="A28" s="175" t="s">
        <v>14400</v>
      </c>
      <c r="B28" s="176" t="s">
        <v>12617</v>
      </c>
      <c r="C28" s="176">
        <v>10256</v>
      </c>
      <c r="D28" s="178" t="str">
        <f>IFERROR(PROPER(
IF($B28="DER-ES",INDEX('CDER-ES'!$B:$B,MATCH($C28,'CDER-ES'!$A:$A,0)),
IF($B28="SINAPI",INDEX(CSINAPI!$B:$B,MATCH($C28,CSINAPI!$A:$A,0)),
IF($B28="CESAN",INDEX(CCESAN!$B:$B,MATCH($C28,CCESAN!$A:$A,0)),
IF($B28="SCORIO",INDEX(CSCORIO!$B:$B,MATCH($C28,CSCORIO!$A:$A,0)),
IF($B28="MERC",INDEX(MERCADO!$B:$B,MATCH($C28,MERCADO!$A:$A,0)),
IF($B28="COMP",INDEX(COMPOSICAO!$B:$B,MATCH($C28,COMPOSICAO!$A:$A,0)),
""))))))),"*Verificar código*")</f>
        <v>Remoção De Telha Ondulada De Fibrocimento, Inclusive Cumeeira</v>
      </c>
      <c r="E28" s="171" t="str">
        <f>IFERROR(LOWER(
IF($B28="DER-ES",INDEX('CDER-ES'!$C:$C,MATCH($C28,'CDER-ES'!$A:$A,0)),
IF($B28="SINAPI",INDEX(CSINAPI!$C:$C,MATCH($C28,CSINAPI!$A:$A,0)),
IF($B28="CESAN",INDEX(CCESAN!$C:$C,MATCH($C28,CCESAN!$A:$A,0)),
IF($B28="SCORIO",INDEX(CSCORIO!$A:$A,MATCH($C28,CSCORIO!#REF!,0)),
IF($B28="MERC",INDEX(MERCADO!$D:$D,MATCH($C28,MERCADO!$A:$A,0)),
IF($B28="COMP",INDEX(COMPOSICAO!$G:$G,MATCH($C28,COMPOSICAO!$A:$A,0)),
""))))))),"")</f>
        <v>m2</v>
      </c>
      <c r="F28" s="179">
        <f>VLOOKUP(A28,'MEMÓRIA DE CÁLCULO'!A:H,8,0)</f>
        <v>90.61</v>
      </c>
      <c r="G28" s="173">
        <f>IFERROR(
IF($B28="DER-ES",INDEX('CDER-ES'!$D:$D,MATCH($C28,'CDER-ES'!$A:$A,0)),
IF($B28="SINAPI",INDEX(CSINAPI!$D:$D,MATCH($C28,CSINAPI!$A:$A,0)),
IF($B28="CESAN",INDEX(CCESAN!$D:$D,MATCH($C28,CCESAN!$A:$A,0)),
IF($B28="SCORIO",INDEX(CSCORIO!$B:$B,MATCH($C28,CSCORIO!#REF!,0)),
IF($B28="MERC",INDEX(MERCADO!$E:$E,MATCH($C28,MERCADO!$A:$A,0)),
IF($B28="COMP",INDEX(COMPOSICAO!$H:$H,MATCH($C28,COMPOSICAO!$A:$A,0)),
0)))))),0)</f>
        <v>7.3</v>
      </c>
      <c r="H28" s="173">
        <f t="shared" ref="H28:H30" si="25">ROUND(G28*(1+$J$2),2)</f>
        <v>9.73</v>
      </c>
      <c r="I28" s="180">
        <f t="shared" ref="I28:I30" si="26">ROUND($H28*F28,2)</f>
        <v>881.64</v>
      </c>
      <c r="J28" s="194">
        <f t="shared" si="20"/>
        <v>1.0776617073171329E-2</v>
      </c>
    </row>
    <row r="29" spans="1:10">
      <c r="A29" s="175" t="s">
        <v>14570</v>
      </c>
      <c r="B29" s="176" t="s">
        <v>12617</v>
      </c>
      <c r="C29" s="176">
        <v>10326</v>
      </c>
      <c r="D29" s="178" t="str">
        <f>IFERROR(PROPER(
IF($B29="DER-ES",INDEX('CDER-ES'!$B:$B,MATCH($C29,'CDER-ES'!$A:$A,0)),
IF($B29="SINAPI",INDEX(CSINAPI!$B:$B,MATCH($C29,CSINAPI!$A:$A,0)),
IF($B29="CESAN",INDEX(CCESAN!$B:$B,MATCH($C29,CCESAN!$A:$A,0)),
IF($B29="SCORIO",INDEX(CSCORIO!$B:$B,MATCH($C29,CSCORIO!$A:$A,0)),
IF($B29="MERC",INDEX(MERCADO!$B:$B,MATCH($C29,MERCADO!$A:$A,0)),
IF($B29="COMP",INDEX(COMPOSICAO!$B:$B,MATCH($C29,COMPOSICAO!$A:$A,0)),
""))))))),"*Verificar código*")</f>
        <v>Retirada De Estrutura Em Madeira Do Telhado</v>
      </c>
      <c r="E29" s="171" t="str">
        <f>IFERROR(LOWER(
IF($B29="DER-ES",INDEX('CDER-ES'!$C:$C,MATCH($C29,'CDER-ES'!$A:$A,0)),
IF($B29="SINAPI",INDEX(CSINAPI!$C:$C,MATCH($C29,CSINAPI!$A:$A,0)),
IF($B29="CESAN",INDEX(CCESAN!$C:$C,MATCH($C29,CCESAN!$A:$A,0)),
IF($B29="SCORIO",INDEX(CSCORIO!$A:$A,MATCH($C29,CSCORIO!#REF!,0)),
IF($B29="MERC",INDEX(MERCADO!$D:$D,MATCH($C29,MERCADO!$A:$A,0)),
IF($B29="COMP",INDEX(COMPOSICAO!$G:$G,MATCH($C29,COMPOSICAO!$A:$A,0)),
""))))))),"")</f>
        <v>m2</v>
      </c>
      <c r="F29" s="179">
        <f>VLOOKUP(A29,'MEMÓRIA DE CÁLCULO'!A:H,8,0)</f>
        <v>90.61</v>
      </c>
      <c r="G29" s="173">
        <f>IFERROR(
IF($B29="DER-ES",INDEX('CDER-ES'!$D:$D,MATCH($C29,'CDER-ES'!$A:$A,0)),
IF($B29="SINAPI",INDEX(CSINAPI!$D:$D,MATCH($C29,CSINAPI!$A:$A,0)),
IF($B29="CESAN",INDEX(CCESAN!$D:$D,MATCH($C29,CCESAN!$A:$A,0)),
IF($B29="SCORIO",INDEX(CSCORIO!$B:$B,MATCH($C29,CSCORIO!#REF!,0)),
IF($B29="MERC",INDEX(MERCADO!$E:$E,MATCH($C29,MERCADO!$A:$A,0)),
IF($B29="COMP",INDEX(COMPOSICAO!$H:$H,MATCH($C29,COMPOSICAO!$A:$A,0)),
0)))))),0)</f>
        <v>27.9</v>
      </c>
      <c r="H29" s="173">
        <f t="shared" ref="H29" si="27">ROUND(G29*(1+$J$2),2)</f>
        <v>37.18</v>
      </c>
      <c r="I29" s="180">
        <f t="shared" ref="I29" si="28">ROUND($H29*F29,2)</f>
        <v>3368.88</v>
      </c>
      <c r="J29" s="194">
        <f t="shared" si="20"/>
        <v>4.1179086390664477E-2</v>
      </c>
    </row>
    <row r="30" spans="1:10" ht="63.75">
      <c r="A30" s="175" t="s">
        <v>14571</v>
      </c>
      <c r="B30" s="176" t="s">
        <v>12617</v>
      </c>
      <c r="C30" s="176">
        <v>30304</v>
      </c>
      <c r="D30" s="178" t="str">
        <f>IFERROR(PROPER(
IF($B30="DER-ES",INDEX('CDER-ES'!$B:$B,MATCH($C30,'CDER-ES'!$A:$A,0)),
IF($B30="SINAPI",INDEX(CSINAPI!$B:$B,MATCH($C30,CSINAPI!$A:$A,0)),
IF($B30="CESAN",INDEX(CCESAN!$B:$B,MATCH($C30,CCESAN!$A:$A,0)),
IF($B30="SCORIO",INDEX(CSCORIO!$B:$B,MATCH($C30,CSCORIO!$A:$A,0)),
IF($B30="MERC",INDEX(MERCADO!$B:$B,MATCH($C30,MERCADO!$A:$A,0)),
IF($B30="COMP",INDEX(COMPOSICAO!$B:$B,MATCH($C30,COMPOSICAO!$A:$A,0)),
""))))))),"*Verificar código*")</f>
        <v>Índice De Preço Para Remoção De Entulho Decorrente Da Execução De Obras (Classe A Conama - Nbr 10.004 - Classe Ii-B), Incluindo Aluguel Da Caçamba, Carga, Transporte E Descarga Em Área Licenciada</v>
      </c>
      <c r="E30" s="171" t="str">
        <f>IFERROR(LOWER(
IF($B30="DER-ES",INDEX('CDER-ES'!$C:$C,MATCH($C30,'CDER-ES'!$A:$A,0)),
IF($B30="SINAPI",INDEX(CSINAPI!$C:$C,MATCH($C30,CSINAPI!$A:$A,0)),
IF($B30="CESAN",INDEX(CCESAN!$C:$C,MATCH($C30,CCESAN!$A:$A,0)),
IF($B30="SCORIO",INDEX(CSCORIO!$A:$A,MATCH($C30,CSCORIO!#REF!,0)),
IF($B30="MERC",INDEX(MERCADO!$D:$D,MATCH($C30,MERCADO!$A:$A,0)),
IF($B30="COMP",INDEX(COMPOSICAO!$G:$G,MATCH($C30,COMPOSICAO!$A:$A,0)),
""))))))),"")</f>
        <v>m3</v>
      </c>
      <c r="F30" s="179">
        <f>VLOOKUP(A30,'MEMÓRIA DE CÁLCULO'!A:H,8,0)</f>
        <v>341.84</v>
      </c>
      <c r="G30" s="173">
        <f>IFERROR(
IF($B30="DER-ES",INDEX('CDER-ES'!$D:$D,MATCH($C30,'CDER-ES'!$A:$A,0)),
IF($B30="SINAPI",INDEX(CSINAPI!$D:$D,MATCH($C30,CSINAPI!$A:$A,0)),
IF($B30="CESAN",INDEX(CCESAN!$D:$D,MATCH($C30,CCESAN!$A:$A,0)),
IF($B30="SCORIO",INDEX(CSCORIO!$B:$B,MATCH($C30,CSCORIO!#REF!,0)),
IF($B30="MERC",INDEX(MERCADO!$E:$E,MATCH($C30,MERCADO!$A:$A,0)),
IF($B30="COMP",INDEX(COMPOSICAO!$H:$H,MATCH($C30,COMPOSICAO!$A:$A,0)),
0)))))),0)</f>
        <v>75.959999999999994</v>
      </c>
      <c r="H30" s="173">
        <f t="shared" si="25"/>
        <v>101.22</v>
      </c>
      <c r="I30" s="180">
        <f t="shared" si="26"/>
        <v>34601.040000000001</v>
      </c>
      <c r="J30" s="194">
        <f t="shared" si="20"/>
        <v>0.42294151628043658</v>
      </c>
    </row>
    <row r="31" spans="1:10">
      <c r="A31" s="167" t="s">
        <v>7233</v>
      </c>
      <c r="B31" s="168"/>
      <c r="C31" s="169"/>
      <c r="D31" s="235" t="s">
        <v>13902</v>
      </c>
      <c r="E31" s="171"/>
      <c r="F31" s="172"/>
      <c r="G31" s="173"/>
      <c r="H31" s="173"/>
      <c r="I31" s="174">
        <f>SUBTOTAL(9,I32:I36)</f>
        <v>79835.98</v>
      </c>
      <c r="J31" s="193">
        <f>SUBTOTAL(9,J32:J36)</f>
        <v>1</v>
      </c>
    </row>
    <row r="32" spans="1:10" ht="63.75">
      <c r="A32" s="175" t="s">
        <v>12230</v>
      </c>
      <c r="B32" s="176" t="s">
        <v>928</v>
      </c>
      <c r="C32" s="176">
        <v>94318</v>
      </c>
      <c r="D32" s="178" t="str">
        <f>IFERROR(PROPER(
IF($B32="DER-ES",INDEX('CDER-ES'!$B:$B,MATCH($C32,'CDER-ES'!$A:$A,0)),
IF($B32="SINAPI",INDEX(CSINAPI!$B:$B,MATCH($C32,CSINAPI!$A:$A,0)),
IF($B32="CESAN",INDEX(CCESAN!$B:$B,MATCH($C32,CCESAN!$A:$A,0)),
IF($B32="SCORIO",INDEX(CSCORIO!$B:$B,MATCH($C32,CSCORIO!$A:$A,0)),
IF($B32="MERC",INDEX(MERCADO!$B:$B,MATCH($C32,MERCADO!$A:$A,0)),
IF($B32="COMP",INDEX(COMPOSICAO!$B:$B,MATCH($C32,COMPOSICAO!$A:$A,0)),
""))))))),"*Verificar código*")</f>
        <v>Aterro Mecanizado De Vala Com Retroescavadeira (Capacidade Da Caçamba Da Retro: 0,26 M³ / Potência: 88 Hp), Largura Até 1,5 M, Profundidade De 1,5 A 3,0 M, Com Solo Argilo-Arenoso. Af_08/2023</v>
      </c>
      <c r="E32" s="171" t="str">
        <f>IFERROR(LOWER(
IF($B32="DER-ES",INDEX('CDER-ES'!$C:$C,MATCH($C32,'CDER-ES'!$A:$A,0)),
IF($B32="SINAPI",INDEX(CSINAPI!$C:$C,MATCH($C32,CSINAPI!$A:$A,0)),
IF($B32="CESAN",INDEX(CCESAN!$C:$C,MATCH($C32,CCESAN!$A:$A,0)),
IF($B32="SCORIO",INDEX(CSCORIO!$A:$A,MATCH($C32,CSCORIO!#REF!,0)),
IF($B32="MERC",INDEX(MERCADO!$D:$D,MATCH($C32,MERCADO!$A:$A,0)),
IF($B32="COMP",INDEX(COMPOSICAO!$G:$G,MATCH($C32,COMPOSICAO!$A:$A,0)),
""))))))),"")</f>
        <v>m3</v>
      </c>
      <c r="F32" s="179">
        <f>VLOOKUP(A32,'MEMÓRIA DE CÁLCULO'!A:H,8,0)</f>
        <v>360</v>
      </c>
      <c r="G32" s="173">
        <f>IFERROR(
IF($B32="DER-ES",INDEX('CDER-ES'!$D:$D,MATCH($C32,'CDER-ES'!$A:$A,0)),
IF($B32="SINAPI",INDEX(CSINAPI!$D:$D,MATCH($C32,CSINAPI!$A:$A,0)),
IF($B32="CESAN",INDEX(CCESAN!$D:$D,MATCH($C32,CCESAN!$A:$A,0)),
IF($B32="SCORIO",INDEX(CSCORIO!$B:$B,MATCH($C32,CSCORIO!#REF!,0)),
IF($B32="MERC",INDEX(MERCADO!$E:$E,MATCH($C32,MERCADO!$A:$A,0)),
IF($B32="COMP",INDEX(COMPOSICAO!$H:$H,MATCH($C32,COMPOSICAO!$A:$A,0)),
0)))))),0)</f>
        <v>63.53</v>
      </c>
      <c r="H32" s="173">
        <f t="shared" ref="H32:H36" si="29">ROUND(G32*(1+$J$2),2)</f>
        <v>84.65</v>
      </c>
      <c r="I32" s="180">
        <f t="shared" ref="I32:I36" si="30">ROUND($H32*F32,2)</f>
        <v>30474</v>
      </c>
      <c r="J32" s="194">
        <f t="shared" ref="J32" si="31">I32/I$31</f>
        <v>0.38170759599869636</v>
      </c>
    </row>
    <row r="33" spans="1:10" ht="38.25">
      <c r="A33" s="175" t="s">
        <v>12231</v>
      </c>
      <c r="B33" s="176" t="s">
        <v>928</v>
      </c>
      <c r="C33" s="176">
        <v>96385</v>
      </c>
      <c r="D33" s="178" t="str">
        <f>IFERROR(PROPER(
IF($B33="DER-ES",INDEX('CDER-ES'!$B:$B,MATCH($C33,'CDER-ES'!$A:$A,0)),
IF($B33="SINAPI",INDEX(CSINAPI!$B:$B,MATCH($C33,CSINAPI!$A:$A,0)),
IF($B33="CESAN",INDEX(CCESAN!$B:$B,MATCH($C33,CCESAN!$A:$A,0)),
IF($B33="SCORIO",INDEX(CSCORIO!$B:$B,MATCH($C33,CSCORIO!$A:$A,0)),
IF($B33="MERC",INDEX(MERCADO!$B:$B,MATCH($C33,MERCADO!$A:$A,0)),
IF($B33="COMP",INDEX(COMPOSICAO!$B:$B,MATCH($C33,COMPOSICAO!$A:$A,0)),
""))))))),"*Verificar código*")</f>
        <v>Execução E Compactação De Aterro Com Solo Predominantemente Argiloso - Exclusive Solo, Escavação, Carga E Transporte. Af_11/2019</v>
      </c>
      <c r="E33" s="171" t="str">
        <f>IFERROR(LOWER(
IF($B33="DER-ES",INDEX('CDER-ES'!$C:$C,MATCH($C33,'CDER-ES'!$A:$A,0)),
IF($B33="SINAPI",INDEX(CSINAPI!$C:$C,MATCH($C33,CSINAPI!$A:$A,0)),
IF($B33="CESAN",INDEX(CCESAN!$C:$C,MATCH($C33,CCESAN!$A:$A,0)),
IF($B33="SCORIO",INDEX(CSCORIO!$A:$A,MATCH($C33,CSCORIO!#REF!,0)),
IF($B33="MERC",INDEX(MERCADO!$D:$D,MATCH($C33,MERCADO!$A:$A,0)),
IF($B33="COMP",INDEX(COMPOSICAO!$G:$G,MATCH($C33,COMPOSICAO!$A:$A,0)),
""))))))),"")</f>
        <v>m3</v>
      </c>
      <c r="F33" s="179">
        <f>VLOOKUP(A33,'MEMÓRIA DE CÁLCULO'!A:H,8,0)</f>
        <v>360</v>
      </c>
      <c r="G33" s="173">
        <f>IFERROR(
IF($B33="DER-ES",INDEX('CDER-ES'!$D:$D,MATCH($C33,'CDER-ES'!$A:$A,0)),
IF($B33="SINAPI",INDEX(CSINAPI!$D:$D,MATCH($C33,CSINAPI!$A:$A,0)),
IF($B33="CESAN",INDEX(CCESAN!$D:$D,MATCH($C33,CCESAN!$A:$A,0)),
IF($B33="SCORIO",INDEX(CSCORIO!$B:$B,MATCH($C33,CSCORIO!#REF!,0)),
IF($B33="MERC",INDEX(MERCADO!$E:$E,MATCH($C33,MERCADO!$A:$A,0)),
IF($B33="COMP",INDEX(COMPOSICAO!$H:$H,MATCH($C33,COMPOSICAO!$A:$A,0)),
0)))))),0)</f>
        <v>11.31</v>
      </c>
      <c r="H33" s="173">
        <f>ROUND(G33*(1+$J$2),2)</f>
        <v>15.07</v>
      </c>
      <c r="I33" s="180">
        <f>ROUND($H33*F33,2)</f>
        <v>5425.2</v>
      </c>
      <c r="J33" s="194">
        <f>I33/I$31</f>
        <v>6.795432335145131E-2</v>
      </c>
    </row>
    <row r="34" spans="1:10" ht="51">
      <c r="A34" s="175" t="s">
        <v>12232</v>
      </c>
      <c r="B34" s="176" t="s">
        <v>928</v>
      </c>
      <c r="C34" s="176">
        <v>96521</v>
      </c>
      <c r="D34" s="178" t="str">
        <f>IFERROR(PROPER(
IF($B34="DER-ES",INDEX('CDER-ES'!$B:$B,MATCH($C34,'CDER-ES'!$A:$A,0)),
IF($B34="SINAPI",INDEX(CSINAPI!$B:$B,MATCH($C34,CSINAPI!$A:$A,0)),
IF($B34="CESAN",INDEX(CCESAN!$B:$B,MATCH($C34,CCESAN!$A:$A,0)),
IF($B34="SCORIO",INDEX(CSCORIO!$B:$B,MATCH($C34,CSCORIO!$A:$A,0)),
IF($B34="MERC",INDEX(MERCADO!$B:$B,MATCH($C34,MERCADO!$A:$A,0)),
IF($B34="COMP",INDEX(COMPOSICAO!$B:$B,MATCH($C34,COMPOSICAO!$A:$A,0)),
""))))))),"*Verificar código*")</f>
        <v>Escavação Mecanizada Para Bloco De Coroamento Ou Sapata Com Retroescavadeira (Incluindo Escavação Para Colocação De Fôrmas). Af_06/2017</v>
      </c>
      <c r="E34" s="171" t="str">
        <f>IFERROR(LOWER(
IF($B34="DER-ES",INDEX('CDER-ES'!$C:$C,MATCH($C34,'CDER-ES'!$A:$A,0)),
IF($B34="SINAPI",INDEX(CSINAPI!$C:$C,MATCH($C34,CSINAPI!$A:$A,0)),
IF($B34="CESAN",INDEX(CCESAN!$C:$C,MATCH($C34,CCESAN!$A:$A,0)),
IF($B34="SCORIO",INDEX(CSCORIO!$A:$A,MATCH($C34,CSCORIO!#REF!,0)),
IF($B34="MERC",INDEX(MERCADO!$D:$D,MATCH($C34,MERCADO!$A:$A,0)),
IF($B34="COMP",INDEX(COMPOSICAO!$G:$G,MATCH($C34,COMPOSICAO!$A:$A,0)),
""))))))),"")</f>
        <v>m3</v>
      </c>
      <c r="F34" s="179">
        <f>VLOOKUP(A34,'MEMÓRIA DE CÁLCULO'!A:H,8,0)</f>
        <v>271.12</v>
      </c>
      <c r="G34" s="173">
        <f>IFERROR(
IF($B34="DER-ES",INDEX('CDER-ES'!$D:$D,MATCH($C34,'CDER-ES'!$A:$A,0)),
IF($B34="SINAPI",INDEX(CSINAPI!$D:$D,MATCH($C34,CSINAPI!$A:$A,0)),
IF($B34="CESAN",INDEX(CCESAN!$D:$D,MATCH($C34,CCESAN!$A:$A,0)),
IF($B34="SCORIO",INDEX(CSCORIO!$B:$B,MATCH($C34,CSCORIO!#REF!,0)),
IF($B34="MERC",INDEX(MERCADO!$E:$E,MATCH($C34,MERCADO!$A:$A,0)),
IF($B34="COMP",INDEX(COMPOSICAO!$H:$H,MATCH($C34,COMPOSICAO!$A:$A,0)),
0)))))),0)</f>
        <v>45.55</v>
      </c>
      <c r="H34" s="173">
        <f>ROUND(G34*(1+$J$2),2)</f>
        <v>60.7</v>
      </c>
      <c r="I34" s="180">
        <f>ROUND($H34*F34,2)</f>
        <v>16456.98</v>
      </c>
      <c r="J34" s="194">
        <f>I34/I$31</f>
        <v>0.20613487803368857</v>
      </c>
    </row>
    <row r="35" spans="1:10" ht="25.5">
      <c r="A35" s="175" t="s">
        <v>14211</v>
      </c>
      <c r="B35" s="176" t="s">
        <v>12617</v>
      </c>
      <c r="C35" s="176">
        <v>30119</v>
      </c>
      <c r="D35" s="178" t="str">
        <f>IFERROR(PROPER(
IF($B35="DER-ES",INDEX('CDER-ES'!$B:$B,MATCH($C35,'CDER-ES'!$A:$A,0)),
IF($B35="SINAPI",INDEX(CSINAPI!$B:$B,MATCH($C35,CSINAPI!$A:$A,0)),
IF($B35="CESAN",INDEX(CCESAN!$B:$B,MATCH($C35,CCESAN!$A:$A,0)),
IF($B35="SCORIO",INDEX(CSCORIO!$B:$B,MATCH($C35,CSCORIO!$A:$A,0)),
IF($B35="MERC",INDEX(MERCADO!$B:$B,MATCH($C35,MERCADO!$A:$A,0)),
IF($B35="COMP",INDEX(COMPOSICAO!$B:$B,MATCH($C35,COMPOSICAO!$A:$A,0)),
""))))))),"*Verificar código*")</f>
        <v>Apiloamento Do Fundo De Vala Com Maço De 30 A 60Kg</v>
      </c>
      <c r="E35" s="171" t="str">
        <f>IFERROR(LOWER(
IF($B35="DER-ES",INDEX('CDER-ES'!$C:$C,MATCH($C35,'CDER-ES'!$A:$A,0)),
IF($B35="SINAPI",INDEX(CSINAPI!$C:$C,MATCH($C35,CSINAPI!$A:$A,0)),
IF($B35="CESAN",INDEX(CCESAN!$C:$C,MATCH($C35,CCESAN!$A:$A,0)),
IF($B35="SCORIO",INDEX(CSCORIO!$A:$A,MATCH($C35,CSCORIO!#REF!,0)),
IF($B35="MERC",INDEX(MERCADO!$D:$D,MATCH($C35,MERCADO!$A:$A,0)),
IF($B35="COMP",INDEX(COMPOSICAO!$G:$G,MATCH($C35,COMPOSICAO!$A:$A,0)),
""))))))),"")</f>
        <v>m2</v>
      </c>
      <c r="F35" s="179">
        <f>VLOOKUP(A35,'MEMÓRIA DE CÁLCULO'!A:H,8,0)</f>
        <v>280.58999999999997</v>
      </c>
      <c r="G35" s="173">
        <f>IFERROR(
IF($B35="DER-ES",INDEX('CDER-ES'!$D:$D,MATCH($C35,'CDER-ES'!$A:$A,0)),
IF($B35="SINAPI",INDEX(CSINAPI!$D:$D,MATCH($C35,CSINAPI!$A:$A,0)),
IF($B35="CESAN",INDEX(CCESAN!$D:$D,MATCH($C35,CCESAN!$A:$A,0)),
IF($B35="SCORIO",INDEX(CSCORIO!$B:$B,MATCH($C35,CSCORIO!#REF!,0)),
IF($B35="MERC",INDEX(MERCADO!$E:$E,MATCH($C35,MERCADO!$A:$A,0)),
IF($B35="COMP",INDEX(COMPOSICAO!$H:$H,MATCH($C35,COMPOSICAO!$A:$A,0)),
0)))))),0)</f>
        <v>28.7</v>
      </c>
      <c r="H35" s="173">
        <f t="shared" ref="H35" si="32">ROUND(G35*(1+$J$2),2)</f>
        <v>38.24</v>
      </c>
      <c r="I35" s="180">
        <f t="shared" ref="I35" si="33">ROUND($H35*F35,2)</f>
        <v>10729.76</v>
      </c>
      <c r="J35" s="194">
        <f t="shared" ref="J35:J36" si="34">I35/I$31</f>
        <v>0.13439754857396377</v>
      </c>
    </row>
    <row r="36" spans="1:10" ht="25.5">
      <c r="A36" s="175" t="s">
        <v>14414</v>
      </c>
      <c r="B36" s="176" t="s">
        <v>12617</v>
      </c>
      <c r="C36" s="176">
        <v>30201</v>
      </c>
      <c r="D36" s="178" t="str">
        <f>IFERROR(PROPER(
IF($B36="DER-ES",INDEX('CDER-ES'!$B:$B,MATCH($C36,'CDER-ES'!$A:$A,0)),
IF($B36="SINAPI",INDEX(CSINAPI!$B:$B,MATCH($C36,CSINAPI!$A:$A,0)),
IF($B36="CESAN",INDEX(CCESAN!$B:$B,MATCH($C36,CCESAN!$A:$A,0)),
IF($B36="SCORIO",INDEX(CSCORIO!$B:$B,MATCH($C36,CSCORIO!$A:$A,0)),
IF($B36="MERC",INDEX(MERCADO!$B:$B,MATCH($C36,MERCADO!$A:$A,0)),
IF($B36="COMP",INDEX(COMPOSICAO!$B:$B,MATCH($C36,COMPOSICAO!$A:$A,0)),
""))))))),"*Verificar código*")</f>
        <v>Reaterro Apiloado De Cavas De Fundação, Em Camadas De 20 Cm</v>
      </c>
      <c r="E36" s="171" t="str">
        <f>IFERROR(LOWER(
IF($B36="DER-ES",INDEX('CDER-ES'!$C:$C,MATCH($C36,'CDER-ES'!$A:$A,0)),
IF($B36="SINAPI",INDEX(CSINAPI!$C:$C,MATCH($C36,CSINAPI!$A:$A,0)),
IF($B36="CESAN",INDEX(CCESAN!$C:$C,MATCH($C36,CCESAN!$A:$A,0)),
IF($B36="SCORIO",INDEX(CSCORIO!$A:$A,MATCH($C36,CSCORIO!#REF!,0)),
IF($B36="MERC",INDEX(MERCADO!$D:$D,MATCH($C36,MERCADO!$A:$A,0)),
IF($B36="COMP",INDEX(COMPOSICAO!$G:$G,MATCH($C36,COMPOSICAO!$A:$A,0)),
""))))))),"")</f>
        <v>m3</v>
      </c>
      <c r="F36" s="179">
        <f>VLOOKUP(A36,'MEMÓRIA DE CÁLCULO'!A:H,8,0)</f>
        <v>212.78</v>
      </c>
      <c r="G36" s="173">
        <f>IFERROR(
IF($B36="DER-ES",INDEX('CDER-ES'!$D:$D,MATCH($C36,'CDER-ES'!$A:$A,0)),
IF($B36="SINAPI",INDEX(CSINAPI!$D:$D,MATCH($C36,CSINAPI!$A:$A,0)),
IF($B36="CESAN",INDEX(CCESAN!$D:$D,MATCH($C36,CCESAN!$A:$A,0)),
IF($B36="SCORIO",INDEX(CSCORIO!$B:$B,MATCH($C36,CSCORIO!#REF!,0)),
IF($B36="MERC",INDEX(MERCADO!$E:$E,MATCH($C36,MERCADO!$A:$A,0)),
IF($B36="COMP",INDEX(COMPOSICAO!$H:$H,MATCH($C36,COMPOSICAO!$A:$A,0)),
0)))))),0)</f>
        <v>59.08</v>
      </c>
      <c r="H36" s="173">
        <f t="shared" si="29"/>
        <v>78.72</v>
      </c>
      <c r="I36" s="180">
        <f t="shared" si="30"/>
        <v>16750.04</v>
      </c>
      <c r="J36" s="194">
        <f t="shared" si="34"/>
        <v>0.20980565404220003</v>
      </c>
    </row>
    <row r="37" spans="1:10">
      <c r="A37" s="167" t="s">
        <v>7234</v>
      </c>
      <c r="B37" s="168"/>
      <c r="C37" s="169"/>
      <c r="D37" s="170" t="s">
        <v>14486</v>
      </c>
      <c r="E37" s="171"/>
      <c r="F37" s="172"/>
      <c r="G37" s="173"/>
      <c r="H37" s="173"/>
      <c r="I37" s="174">
        <f>SUBTOTAL(9,I38:I62)</f>
        <v>171285.83000000002</v>
      </c>
      <c r="J37" s="193">
        <f>SUBTOTAL(9,J38:J62)</f>
        <v>1</v>
      </c>
    </row>
    <row r="38" spans="1:10">
      <c r="A38" s="167" t="s">
        <v>12227</v>
      </c>
      <c r="B38" s="168"/>
      <c r="C38" s="169"/>
      <c r="D38" s="170" t="s">
        <v>14223</v>
      </c>
      <c r="E38" s="171"/>
      <c r="F38" s="172"/>
      <c r="G38" s="173"/>
      <c r="H38" s="173"/>
      <c r="I38" s="174"/>
      <c r="J38" s="193"/>
    </row>
    <row r="39" spans="1:10" ht="51">
      <c r="A39" s="175" t="s">
        <v>13905</v>
      </c>
      <c r="B39" s="176" t="s">
        <v>12617</v>
      </c>
      <c r="C39" s="177">
        <v>40231</v>
      </c>
      <c r="D39" s="178" t="str">
        <f>IFERROR(PROPER(
IF($B39="DER-ES",INDEX('CDER-ES'!$B:$B,MATCH($C39,'CDER-ES'!$A:$A,0)),
IF($B39="SINAPI",INDEX(CSINAPI!$B:$B,MATCH($C39,CSINAPI!$A:$A,0)),
IF($B39="CESAN",INDEX(CCESAN!$B:$B,MATCH($C39,CCESAN!$A:$A,0)),
IF($B39="SCORIO",INDEX(CSCORIO!$B:$B,MATCH($C39,CSCORIO!$A:$A,0)),
IF($B39="MERC",INDEX(MERCADO!$B:$B,MATCH($C39,MERCADO!$A:$A,0)),
IF($B39="COMP",INDEX(COMPOSICAO!$B:$B,MATCH($C39,COMPOSICAO!$A:$A,0)),
""))))))),"*Verificar código*")</f>
        <v>Fornecimento, Preparo E Aplicação De Concreto Magro Com Consumo Mínimo De Cimento De 250 Kg/M3 (Brita 1 E 2) - (5% De Perdas Já Incluído No Custo)</v>
      </c>
      <c r="E39" s="171" t="str">
        <f>IFERROR(LOWER(
IF($B39="DER-ES",INDEX('CDER-ES'!$C:$C,MATCH($C39,'CDER-ES'!$A:$A,0)),
IF($B39="SINAPI",INDEX(CSINAPI!$C:$C,MATCH($C39,CSINAPI!$A:$A,0)),
IF($B39="CESAN",INDEX(CCESAN!$C:$C,MATCH($C39,CCESAN!$A:$A,0)),
IF($B39="SCORIO",INDEX(CSCORIO!$A:$A,MATCH($C39,CSCORIO!#REF!,0)),
IF($B39="MERC",INDEX(MERCADO!$D:$D,MATCH($C39,MERCADO!$A:$A,0)),
IF($B39="COMP",INDEX(COMPOSICAO!$G:$G,MATCH($C39,COMPOSICAO!$A:$A,0)),
""))))))),"")</f>
        <v>m3</v>
      </c>
      <c r="F39" s="179">
        <f>VLOOKUP(A39,'MEMÓRIA DE CÁLCULO'!A:H,8,0)</f>
        <v>5.24</v>
      </c>
      <c r="G39" s="173">
        <f>IFERROR(
IF($B39="DER-ES",INDEX('CDER-ES'!$D:$D,MATCH($C39,'CDER-ES'!$A:$A,0)),
IF($B39="SINAPI",INDEX(CSINAPI!$D:$D,MATCH($C39,CSINAPI!$A:$A,0)),
IF($B39="CESAN",INDEX(CCESAN!$D:$D,MATCH($C39,CCESAN!$A:$A,0)),
IF($B39="SCORIO",INDEX(CSCORIO!$B:$B,MATCH($C39,CSCORIO!#REF!,0)),
IF($B39="MERC",INDEX(MERCADO!$E:$E,MATCH($C39,MERCADO!$A:$A,0)),
IF($B39="COMP",INDEX(COMPOSICAO!$H:$H,MATCH($C39,COMPOSICAO!$A:$A,0)),
0)))))),0)</f>
        <v>656.8</v>
      </c>
      <c r="H39" s="173">
        <f t="shared" ref="H39:H44" si="35">ROUND(G39*(1+$J$2),2)</f>
        <v>875.19</v>
      </c>
      <c r="I39" s="180">
        <f t="shared" ref="I39:I44" si="36">ROUND($H39*F39,2)</f>
        <v>4586</v>
      </c>
      <c r="J39" s="194">
        <f t="shared" ref="J39:J44" si="37">I39/I$37</f>
        <v>2.6773960227766649E-2</v>
      </c>
    </row>
    <row r="40" spans="1:10" ht="51">
      <c r="A40" s="175" t="s">
        <v>13906</v>
      </c>
      <c r="B40" s="176" t="s">
        <v>12617</v>
      </c>
      <c r="C40" s="176">
        <v>40249</v>
      </c>
      <c r="D40" s="178" t="str">
        <f>IFERROR(PROPER(
IF($B40="DER-ES",INDEX('CDER-ES'!$B:$B,MATCH($C40,'CDER-ES'!$A:$A,0)),
IF($B40="SINAPI",INDEX(CSINAPI!$B:$B,MATCH($C40,CSINAPI!$A:$A,0)),
IF($B40="CESAN",INDEX(CCESAN!$B:$B,MATCH($C40,CCESAN!$A:$A,0)),
IF($B40="SCORIO",INDEX(CSCORIO!$B:$B,MATCH($C40,CSCORIO!$A:$A,0)),
IF($B40="MERC",INDEX(MERCADO!$B:$B,MATCH($C40,MERCADO!$A:$A,0)),
IF($B40="COMP",INDEX(COMPOSICAO!$B:$B,MATCH($C40,COMPOSICAO!$A:$A,0)),
""))))))),"*Verificar código*")</f>
        <v>Fôrma De Tábua De Madeira De 2.5X30.0Cm, Levando-Se Em Conta Utilização 1 Vez (Incluindo O Material, Corte, Montagem, Escoramento E Desforma)</v>
      </c>
      <c r="E40" s="171" t="str">
        <f>IFERROR(LOWER(
IF($B40="DER-ES",INDEX('CDER-ES'!$C:$C,MATCH($C40,'CDER-ES'!$A:$A,0)),
IF($B40="SINAPI",INDEX(CSINAPI!$C:$C,MATCH($C40,CSINAPI!$A:$A,0)),
IF($B40="CESAN",INDEX(CCESAN!$C:$C,MATCH($C40,CCESAN!$A:$A,0)),
IF($B40="SCORIO",INDEX(CSCORIO!$A:$A,MATCH($C40,CSCORIO!#REF!,0)),
IF($B40="MERC",INDEX(MERCADO!$D:$D,MATCH($C40,MERCADO!$A:$A,0)),
IF($B40="COMP",INDEX(COMPOSICAO!$G:$G,MATCH($C40,COMPOSICAO!$A:$A,0)),
""))))))),"")</f>
        <v>m2</v>
      </c>
      <c r="F40" s="179">
        <f>VLOOKUP(A40,'MEMÓRIA DE CÁLCULO'!A:H,8,0)</f>
        <v>87.43</v>
      </c>
      <c r="G40" s="173">
        <f>IFERROR(
IF($B40="DER-ES",INDEX('CDER-ES'!$D:$D,MATCH($C40,'CDER-ES'!$A:$A,0)),
IF($B40="SINAPI",INDEX(CSINAPI!$D:$D,MATCH($C40,CSINAPI!$A:$A,0)),
IF($B40="CESAN",INDEX(CCESAN!$D:$D,MATCH($C40,CCESAN!$A:$A,0)),
IF($B40="SCORIO",INDEX(CSCORIO!$B:$B,MATCH($C40,CSCORIO!#REF!,0)),
IF($B40="MERC",INDEX(MERCADO!$E:$E,MATCH($C40,MERCADO!$A:$A,0)),
IF($B40="COMP",INDEX(COMPOSICAO!$H:$H,MATCH($C40,COMPOSICAO!$A:$A,0)),
0)))))),0)</f>
        <v>123.29</v>
      </c>
      <c r="H40" s="173">
        <f t="shared" si="35"/>
        <v>164.28</v>
      </c>
      <c r="I40" s="180">
        <f t="shared" si="36"/>
        <v>14363</v>
      </c>
      <c r="J40" s="194">
        <f t="shared" si="37"/>
        <v>8.3853988388881903E-2</v>
      </c>
    </row>
    <row r="41" spans="1:10" ht="38.25">
      <c r="A41" s="175" t="s">
        <v>13907</v>
      </c>
      <c r="B41" s="176" t="s">
        <v>12617</v>
      </c>
      <c r="C41" s="176">
        <v>40243</v>
      </c>
      <c r="D41" s="178" t="str">
        <f>IFERROR(PROPER(
IF($B41="DER-ES",INDEX('CDER-ES'!$B:$B,MATCH($C41,'CDER-ES'!$A:$A,0)),
IF($B41="SINAPI",INDEX(CSINAPI!$B:$B,MATCH($C41,CSINAPI!$A:$A,0)),
IF($B41="CESAN",INDEX(CCESAN!$B:$B,MATCH($C41,CCESAN!$A:$A,0)),
IF($B41="SCORIO",INDEX(CSCORIO!$B:$B,MATCH($C41,CSCORIO!$A:$A,0)),
IF($B41="MERC",INDEX(MERCADO!$B:$B,MATCH($C41,MERCADO!$A:$A,0)),
IF($B41="COMP",INDEX(COMPOSICAO!$B:$B,MATCH($C41,COMPOSICAO!$A:$A,0)),
""))))))),"*Verificar código*")</f>
        <v>Fornecimento, Dobragem E Colocação Em Fôrma, De Armadura Ca-50 A Média, Diâmetro De 6.3 A 10.0 Mm</v>
      </c>
      <c r="E41" s="171" t="str">
        <f>IFERROR(LOWER(
IF($B41="DER-ES",INDEX('CDER-ES'!$C:$C,MATCH($C41,'CDER-ES'!$A:$A,0)),
IF($B41="SINAPI",INDEX(CSINAPI!$C:$C,MATCH($C41,CSINAPI!$A:$A,0)),
IF($B41="CESAN",INDEX(CCESAN!$C:$C,MATCH($C41,CCESAN!$A:$A,0)),
IF($B41="SCORIO",INDEX(CSCORIO!$A:$A,MATCH($C41,CSCORIO!#REF!,0)),
IF($B41="MERC",INDEX(MERCADO!$D:$D,MATCH($C41,MERCADO!$A:$A,0)),
IF($B41="COMP",INDEX(COMPOSICAO!$G:$G,MATCH($C41,COMPOSICAO!$A:$A,0)),
""))))))),"")</f>
        <v>kg</v>
      </c>
      <c r="F41" s="179">
        <f>VLOOKUP(A41,'MEMÓRIA DE CÁLCULO'!A:H,8,0)</f>
        <v>635.46</v>
      </c>
      <c r="G41" s="173">
        <f>IFERROR(
IF($B41="DER-ES",INDEX('CDER-ES'!$D:$D,MATCH($C41,'CDER-ES'!$A:$A,0)),
IF($B41="SINAPI",INDEX(CSINAPI!$D:$D,MATCH($C41,CSINAPI!$A:$A,0)),
IF($B41="CESAN",INDEX(CCESAN!$D:$D,MATCH($C41,CCESAN!$A:$A,0)),
IF($B41="SCORIO",INDEX(CSCORIO!$B:$B,MATCH($C41,CSCORIO!#REF!,0)),
IF($B41="MERC",INDEX(MERCADO!$E:$E,MATCH($C41,MERCADO!$A:$A,0)),
IF($B41="COMP",INDEX(COMPOSICAO!$H:$H,MATCH($C41,COMPOSICAO!$A:$A,0)),
0)))))),0)</f>
        <v>11.13</v>
      </c>
      <c r="H41" s="173">
        <f t="shared" ref="H41" si="38">ROUND(G41*(1+$J$2),2)</f>
        <v>14.83</v>
      </c>
      <c r="I41" s="180">
        <f t="shared" ref="I41" si="39">ROUND($H41*F41,2)</f>
        <v>9423.8700000000008</v>
      </c>
      <c r="J41" s="194">
        <f t="shared" ref="J41" si="40">I41/I$37</f>
        <v>5.5018386518020782E-2</v>
      </c>
    </row>
    <row r="42" spans="1:10" ht="38.25">
      <c r="A42" s="175" t="s">
        <v>13908</v>
      </c>
      <c r="B42" s="176" t="s">
        <v>12617</v>
      </c>
      <c r="C42" s="176">
        <v>40246</v>
      </c>
      <c r="D42" s="178" t="str">
        <f>IFERROR(PROPER(
IF($B42="DER-ES",INDEX('CDER-ES'!$B:$B,MATCH($C42,'CDER-ES'!$A:$A,0)),
IF($B42="SINAPI",INDEX(CSINAPI!$B:$B,MATCH($C42,CSINAPI!$A:$A,0)),
IF($B42="CESAN",INDEX(CCESAN!$B:$B,MATCH($C42,CCESAN!$A:$A,0)),
IF($B42="SCORIO",INDEX(CSCORIO!$B:$B,MATCH($C42,CSCORIO!$A:$A,0)),
IF($B42="MERC",INDEX(MERCADO!$B:$B,MATCH($C42,MERCADO!$A:$A,0)),
IF($B42="COMP",INDEX(COMPOSICAO!$B:$B,MATCH($C42,COMPOSICAO!$A:$A,0)),
""))))))),"*Verificar código*")</f>
        <v>Fornecimento, Dobragem E Colocação Em Fôrma, De Armadura Ca-60 B Fina, Diâmetro De 4.0 A 7.0Mm</v>
      </c>
      <c r="E42" s="171" t="str">
        <f>IFERROR(LOWER(
IF($B42="DER-ES",INDEX('CDER-ES'!$C:$C,MATCH($C42,'CDER-ES'!$A:$A,0)),
IF($B42="SINAPI",INDEX(CSINAPI!$C:$C,MATCH($C42,CSINAPI!$A:$A,0)),
IF($B42="CESAN",INDEX(CCESAN!$C:$C,MATCH($C42,CCESAN!$A:$A,0)),
IF($B42="SCORIO",INDEX(CSCORIO!$A:$A,MATCH($C42,CSCORIO!#REF!,0)),
IF($B42="MERC",INDEX(MERCADO!$D:$D,MATCH($C42,MERCADO!$A:$A,0)),
IF($B42="COMP",INDEX(COMPOSICAO!$G:$G,MATCH($C42,COMPOSICAO!$A:$A,0)),
""))))))),"")</f>
        <v>kg</v>
      </c>
      <c r="F42" s="179">
        <f>VLOOKUP(A42,'MEMÓRIA DE CÁLCULO'!A:H,8,0)</f>
        <v>75.930000000000007</v>
      </c>
      <c r="G42" s="173">
        <f>IFERROR(
IF($B42="DER-ES",INDEX('CDER-ES'!$D:$D,MATCH($C42,'CDER-ES'!$A:$A,0)),
IF($B42="SINAPI",INDEX(CSINAPI!$D:$D,MATCH($C42,CSINAPI!$A:$A,0)),
IF($B42="CESAN",INDEX(CCESAN!$D:$D,MATCH($C42,CCESAN!$A:$A,0)),
IF($B42="SCORIO",INDEX(CSCORIO!$B:$B,MATCH($C42,CSCORIO!#REF!,0)),
IF($B42="MERC",INDEX(MERCADO!$E:$E,MATCH($C42,MERCADO!$A:$A,0)),
IF($B42="COMP",INDEX(COMPOSICAO!$H:$H,MATCH($C42,COMPOSICAO!$A:$A,0)),
0)))))),0)</f>
        <v>11.72</v>
      </c>
      <c r="H42" s="173">
        <f t="shared" ref="H42:H43" si="41">ROUND(G42*(1+$J$2),2)</f>
        <v>15.62</v>
      </c>
      <c r="I42" s="180">
        <f t="shared" ref="I42:I43" si="42">ROUND($H42*F42,2)</f>
        <v>1186.03</v>
      </c>
      <c r="J42" s="194">
        <f t="shared" ref="J42:J43" si="43">I42/I$37</f>
        <v>6.9242738876881989E-3</v>
      </c>
    </row>
    <row r="43" spans="1:10" ht="51">
      <c r="A43" s="175" t="s">
        <v>14938</v>
      </c>
      <c r="B43" s="176" t="s">
        <v>12617</v>
      </c>
      <c r="C43" s="176">
        <v>40240</v>
      </c>
      <c r="D43" s="178" t="str">
        <f>IFERROR(PROPER(
IF($B43="DER-ES",INDEX('CDER-ES'!$B:$B,MATCH($C43,'CDER-ES'!$A:$A,0)),
IF($B43="SINAPI",INDEX(CSINAPI!$B:$B,MATCH($C43,CSINAPI!$A:$A,0)),
IF($B43="CESAN",INDEX(CCESAN!$B:$B,MATCH($C43,CCESAN!$A:$A,0)),
IF($B43="SCORIO",INDEX(CSCORIO!$B:$B,MATCH($C43,CSCORIO!$A:$A,0)),
IF($B43="MERC",INDEX(MERCADO!$B:$B,MATCH($C43,MERCADO!$A:$A,0)),
IF($B43="COMP",INDEX(COMPOSICAO!$B:$B,MATCH($C43,COMPOSICAO!$A:$A,0)),
""))))))),"*Verificar código*")</f>
        <v>Fornecimento E Aplicação De Concreto Usinado Fck=25 Mpa - Considerando Lançamento Manual Para Infra-Estrutura (5% De Perdas Já Incluído No Custo)</v>
      </c>
      <c r="E43" s="171" t="str">
        <f>IFERROR(LOWER(
IF($B43="DER-ES",INDEX('CDER-ES'!$C:$C,MATCH($C43,'CDER-ES'!$A:$A,0)),
IF($B43="SINAPI",INDEX(CSINAPI!$C:$C,MATCH($C43,CSINAPI!$A:$A,0)),
IF($B43="CESAN",INDEX(CCESAN!$C:$C,MATCH($C43,CCESAN!$A:$A,0)),
IF($B43="SCORIO",INDEX(CSCORIO!$A:$A,MATCH($C43,CSCORIO!#REF!,0)),
IF($B43="MERC",INDEX(MERCADO!$D:$D,MATCH($C43,MERCADO!$A:$A,0)),
IF($B43="COMP",INDEX(COMPOSICAO!$G:$G,MATCH($C43,COMPOSICAO!$A:$A,0)),
""))))))),"")</f>
        <v>m3</v>
      </c>
      <c r="F43" s="179">
        <f>VLOOKUP(A43,'MEMÓRIA DE CÁLCULO'!A:H,8,0)</f>
        <v>30.94</v>
      </c>
      <c r="G43" s="173">
        <f>IFERROR(
IF($B43="DER-ES",INDEX('CDER-ES'!$D:$D,MATCH($C43,'CDER-ES'!$A:$A,0)),
IF($B43="SINAPI",INDEX(CSINAPI!$D:$D,MATCH($C43,CSINAPI!$A:$A,0)),
IF($B43="CESAN",INDEX(CCESAN!$D:$D,MATCH($C43,CCESAN!$A:$A,0)),
IF($B43="SCORIO",INDEX(CSCORIO!$B:$B,MATCH($C43,CSCORIO!#REF!,0)),
IF($B43="MERC",INDEX(MERCADO!$E:$E,MATCH($C43,MERCADO!$A:$A,0)),
IF($B43="COMP",INDEX(COMPOSICAO!$H:$H,MATCH($C43,COMPOSICAO!$A:$A,0)),
0)))))),0)</f>
        <v>672.18</v>
      </c>
      <c r="H43" s="173">
        <f t="shared" si="41"/>
        <v>895.68</v>
      </c>
      <c r="I43" s="180">
        <f t="shared" si="42"/>
        <v>27712.34</v>
      </c>
      <c r="J43" s="194">
        <f t="shared" si="43"/>
        <v>0.16179003248546595</v>
      </c>
    </row>
    <row r="44" spans="1:10" ht="51">
      <c r="A44" s="175" t="s">
        <v>14939</v>
      </c>
      <c r="B44" s="176" t="s">
        <v>928</v>
      </c>
      <c r="C44" s="176">
        <v>94994</v>
      </c>
      <c r="D44" s="178" t="str">
        <f>IFERROR(PROPER(
IF($B44="DER-ES",INDEX('CDER-ES'!$B:$B,MATCH($C44,'CDER-ES'!$A:$A,0)),
IF($B44="SINAPI",INDEX(CSINAPI!$B:$B,MATCH($C44,CSINAPI!$A:$A,0)),
IF($B44="CESAN",INDEX(CCESAN!$B:$B,MATCH($C44,CCESAN!$A:$A,0)),
IF($B44="SCORIO",INDEX(CSCORIO!$B:$B,MATCH($C44,CSCORIO!$A:$A,0)),
IF($B44="MERC",INDEX(MERCADO!$B:$B,MATCH($C44,MERCADO!$A:$A,0)),
IF($B44="COMP",INDEX(COMPOSICAO!$B:$B,MATCH($C44,COMPOSICAO!$A:$A,0)),
""))))))),"*Verificar código*")</f>
        <v>Execução De Passeio (Calçada) Ou Piso De Concreto Com Concreto Moldado In Loco, Feito Em Obra, Acabamento Convencional, Espessura 8 Cm, Armado. Af_08/2022</v>
      </c>
      <c r="E44" s="171" t="str">
        <f>IFERROR(LOWER(
IF($B44="DER-ES",INDEX('CDER-ES'!$C:$C,MATCH($C44,'CDER-ES'!$A:$A,0)),
IF($B44="SINAPI",INDEX(CSINAPI!$C:$C,MATCH($C44,CSINAPI!$A:$A,0)),
IF($B44="CESAN",INDEX(CCESAN!$C:$C,MATCH($C44,CCESAN!$A:$A,0)),
IF($B44="SCORIO",INDEX(CSCORIO!$A:$A,MATCH($C44,CSCORIO!#REF!,0)),
IF($B44="MERC",INDEX(MERCADO!$D:$D,MATCH($C44,MERCADO!$A:$A,0)),
IF($B44="COMP",INDEX(COMPOSICAO!$G:$G,MATCH($C44,COMPOSICAO!$A:$A,0)),
""))))))),"")</f>
        <v>m2</v>
      </c>
      <c r="F44" s="179">
        <f>VLOOKUP(A44,'MEMÓRIA DE CÁLCULO'!A:H,8,0)</f>
        <v>31.22</v>
      </c>
      <c r="G44" s="173">
        <f>IFERROR(
IF($B44="DER-ES",INDEX('CDER-ES'!$D:$D,MATCH($C44,'CDER-ES'!$A:$A,0)),
IF($B44="SINAPI",INDEX(CSINAPI!$D:$D,MATCH($C44,CSINAPI!$A:$A,0)),
IF($B44="CESAN",INDEX(CCESAN!$D:$D,MATCH($C44,CCESAN!$A:$A,0)),
IF($B44="SCORIO",INDEX(CSCORIO!$B:$B,MATCH($C44,CSCORIO!#REF!,0)),
IF($B44="MERC",INDEX(MERCADO!$E:$E,MATCH($C44,MERCADO!$A:$A,0)),
IF($B44="COMP",INDEX(COMPOSICAO!$H:$H,MATCH($C44,COMPOSICAO!$A:$A,0)),
0)))))),0)</f>
        <v>97.98</v>
      </c>
      <c r="H44" s="173">
        <f t="shared" si="35"/>
        <v>130.56</v>
      </c>
      <c r="I44" s="180">
        <f t="shared" si="36"/>
        <v>4076.08</v>
      </c>
      <c r="J44" s="194">
        <f t="shared" si="37"/>
        <v>2.3796948060443759E-2</v>
      </c>
    </row>
    <row r="45" spans="1:10">
      <c r="A45" s="167" t="s">
        <v>12228</v>
      </c>
      <c r="B45" s="168"/>
      <c r="C45" s="169"/>
      <c r="D45" s="170" t="s">
        <v>14666</v>
      </c>
      <c r="E45" s="171"/>
      <c r="F45" s="172"/>
      <c r="G45" s="173"/>
      <c r="H45" s="173"/>
      <c r="I45" s="174"/>
      <c r="J45" s="193"/>
    </row>
    <row r="46" spans="1:10" ht="51">
      <c r="A46" s="175" t="s">
        <v>13909</v>
      </c>
      <c r="B46" s="176" t="s">
        <v>12617</v>
      </c>
      <c r="C46" s="176">
        <v>40249</v>
      </c>
      <c r="D46" s="178" t="str">
        <f>IFERROR(PROPER(
IF($B46="DER-ES",INDEX('CDER-ES'!$B:$B,MATCH($C46,'CDER-ES'!$A:$A,0)),
IF($B46="SINAPI",INDEX(CSINAPI!$B:$B,MATCH($C46,CSINAPI!$A:$A,0)),
IF($B46="CESAN",INDEX(CCESAN!$B:$B,MATCH($C46,CCESAN!$A:$A,0)),
IF($B46="SCORIO",INDEX(CSCORIO!$B:$B,MATCH($C46,CSCORIO!$A:$A,0)),
IF($B46="MERC",INDEX(MERCADO!$B:$B,MATCH($C46,MERCADO!$A:$A,0)),
IF($B46="COMP",INDEX(COMPOSICAO!$B:$B,MATCH($C46,COMPOSICAO!$A:$A,0)),
""))))))),"*Verificar código*")</f>
        <v>Fôrma De Tábua De Madeira De 2.5X30.0Cm, Levando-Se Em Conta Utilização 1 Vez (Incluindo O Material, Corte, Montagem, Escoramento E Desforma)</v>
      </c>
      <c r="E46" s="171" t="str">
        <f>IFERROR(LOWER(
IF($B46="DER-ES",INDEX('CDER-ES'!$C:$C,MATCH($C46,'CDER-ES'!$A:$A,0)),
IF($B46="SINAPI",INDEX(CSINAPI!$C:$C,MATCH($C46,CSINAPI!$A:$A,0)),
IF($B46="CESAN",INDEX(CCESAN!$C:$C,MATCH($C46,CCESAN!$A:$A,0)),
IF($B46="SCORIO",INDEX(CSCORIO!$A:$A,MATCH($C46,CSCORIO!#REF!,0)),
IF($B46="MERC",INDEX(MERCADO!$D:$D,MATCH($C46,MERCADO!$A:$A,0)),
IF($B46="COMP",INDEX(COMPOSICAO!$G:$G,MATCH($C46,COMPOSICAO!$A:$A,0)),
""))))))),"")</f>
        <v>m2</v>
      </c>
      <c r="F46" s="179">
        <f>VLOOKUP(A46,'MEMÓRIA DE CÁLCULO'!A:H,8,0)</f>
        <v>60.06</v>
      </c>
      <c r="G46" s="173">
        <f>IFERROR(
IF($B46="DER-ES",INDEX('CDER-ES'!$D:$D,MATCH($C46,'CDER-ES'!$A:$A,0)),
IF($B46="SINAPI",INDEX(CSINAPI!$D:$D,MATCH($C46,CSINAPI!$A:$A,0)),
IF($B46="CESAN",INDEX(CCESAN!$D:$D,MATCH($C46,CCESAN!$A:$A,0)),
IF($B46="SCORIO",INDEX(CSCORIO!$B:$B,MATCH($C46,CSCORIO!#REF!,0)),
IF($B46="MERC",INDEX(MERCADO!$E:$E,MATCH($C46,MERCADO!$A:$A,0)),
IF($B46="COMP",INDEX(COMPOSICAO!$H:$H,MATCH($C46,COMPOSICAO!$A:$A,0)),
0)))))),0)</f>
        <v>123.29</v>
      </c>
      <c r="H46" s="173">
        <f t="shared" ref="H46" si="44">ROUND(G46*(1+$J$2),2)</f>
        <v>164.28</v>
      </c>
      <c r="I46" s="180">
        <f t="shared" ref="I46" si="45">ROUND($H46*F46,2)</f>
        <v>9866.66</v>
      </c>
      <c r="J46" s="194">
        <f t="shared" ref="J46" si="46">I46/I$37</f>
        <v>5.7603480684887937E-2</v>
      </c>
    </row>
    <row r="47" spans="1:10" ht="38.25">
      <c r="A47" s="175" t="s">
        <v>13910</v>
      </c>
      <c r="B47" s="176" t="s">
        <v>12617</v>
      </c>
      <c r="C47" s="176">
        <v>40246</v>
      </c>
      <c r="D47" s="178" t="str">
        <f>IFERROR(PROPER(
IF($B47="DER-ES",INDEX('CDER-ES'!$B:$B,MATCH($C47,'CDER-ES'!$A:$A,0)),
IF($B47="SINAPI",INDEX(CSINAPI!$B:$B,MATCH($C47,CSINAPI!$A:$A,0)),
IF($B47="CESAN",INDEX(CCESAN!$B:$B,MATCH($C47,CCESAN!$A:$A,0)),
IF($B47="SCORIO",INDEX(CSCORIO!$B:$B,MATCH($C47,CSCORIO!$A:$A,0)),
IF($B47="MERC",INDEX(MERCADO!$B:$B,MATCH($C47,MERCADO!$A:$A,0)),
IF($B47="COMP",INDEX(COMPOSICAO!$B:$B,MATCH($C47,COMPOSICAO!$A:$A,0)),
""))))))),"*Verificar código*")</f>
        <v>Fornecimento, Dobragem E Colocação Em Fôrma, De Armadura Ca-60 B Fina, Diâmetro De 4.0 A 7.0Mm</v>
      </c>
      <c r="E47" s="171" t="str">
        <f>IFERROR(LOWER(
IF($B47="DER-ES",INDEX('CDER-ES'!$C:$C,MATCH($C47,'CDER-ES'!$A:$A,0)),
IF($B47="SINAPI",INDEX(CSINAPI!$C:$C,MATCH($C47,CSINAPI!$A:$A,0)),
IF($B47="CESAN",INDEX(CCESAN!$C:$C,MATCH($C47,CCESAN!$A:$A,0)),
IF($B47="SCORIO",INDEX(CSCORIO!$A:$A,MATCH($C47,CSCORIO!#REF!,0)),
IF($B47="MERC",INDEX(MERCADO!$D:$D,MATCH($C47,MERCADO!$A:$A,0)),
IF($B47="COMP",INDEX(COMPOSICAO!$G:$G,MATCH($C47,COMPOSICAO!$A:$A,0)),
""))))))),"")</f>
        <v>kg</v>
      </c>
      <c r="F47" s="179">
        <f>VLOOKUP(A47,'MEMÓRIA DE CÁLCULO'!A:H,8,0)</f>
        <v>80.05</v>
      </c>
      <c r="G47" s="173">
        <f>IFERROR(
IF($B47="DER-ES",INDEX('CDER-ES'!$D:$D,MATCH($C47,'CDER-ES'!$A:$A,0)),
IF($B47="SINAPI",INDEX(CSINAPI!$D:$D,MATCH($C47,CSINAPI!$A:$A,0)),
IF($B47="CESAN",INDEX(CCESAN!$D:$D,MATCH($C47,CCESAN!$A:$A,0)),
IF($B47="SCORIO",INDEX(CSCORIO!$B:$B,MATCH($C47,CSCORIO!#REF!,0)),
IF($B47="MERC",INDEX(MERCADO!$E:$E,MATCH($C47,MERCADO!$A:$A,0)),
IF($B47="COMP",INDEX(COMPOSICAO!$H:$H,MATCH($C47,COMPOSICAO!$A:$A,0)),
0)))))),0)</f>
        <v>11.72</v>
      </c>
      <c r="H47" s="173">
        <f>ROUND(G47*(1+$J$2),2)</f>
        <v>15.62</v>
      </c>
      <c r="I47" s="180">
        <f>ROUND($H47*F47,2)</f>
        <v>1250.3800000000001</v>
      </c>
      <c r="J47" s="194">
        <f>I47/I$37</f>
        <v>7.299961707281916E-3</v>
      </c>
    </row>
    <row r="48" spans="1:10" ht="38.25">
      <c r="A48" s="175" t="s">
        <v>13911</v>
      </c>
      <c r="B48" s="176" t="s">
        <v>12617</v>
      </c>
      <c r="C48" s="176">
        <v>40243</v>
      </c>
      <c r="D48" s="178" t="str">
        <f>IFERROR(PROPER(
IF($B48="DER-ES",INDEX('CDER-ES'!$B:$B,MATCH($C48,'CDER-ES'!$A:$A,0)),
IF($B48="SINAPI",INDEX(CSINAPI!$B:$B,MATCH($C48,CSINAPI!$A:$A,0)),
IF($B48="CESAN",INDEX(CCESAN!$B:$B,MATCH($C48,CCESAN!$A:$A,0)),
IF($B48="SCORIO",INDEX(CSCORIO!$B:$B,MATCH($C48,CSCORIO!$A:$A,0)),
IF($B48="MERC",INDEX(MERCADO!$B:$B,MATCH($C48,MERCADO!$A:$A,0)),
IF($B48="COMP",INDEX(COMPOSICAO!$B:$B,MATCH($C48,COMPOSICAO!$A:$A,0)),
""))))))),"*Verificar código*")</f>
        <v>Fornecimento, Dobragem E Colocação Em Fôrma, De Armadura Ca-50 A Média, Diâmetro De 6.3 A 10.0 Mm</v>
      </c>
      <c r="E48" s="171" t="str">
        <f>IFERROR(LOWER(
IF($B48="DER-ES",INDEX('CDER-ES'!$C:$C,MATCH($C48,'CDER-ES'!$A:$A,0)),
IF($B48="SINAPI",INDEX(CSINAPI!$C:$C,MATCH($C48,CSINAPI!$A:$A,0)),
IF($B48="CESAN",INDEX(CCESAN!$C:$C,MATCH($C48,CCESAN!$A:$A,0)),
IF($B48="SCORIO",INDEX(CSCORIO!$A:$A,MATCH($C48,CSCORIO!#REF!,0)),
IF($B48="MERC",INDEX(MERCADO!$D:$D,MATCH($C48,MERCADO!$A:$A,0)),
IF($B48="COMP",INDEX(COMPOSICAO!$G:$G,MATCH($C48,COMPOSICAO!$A:$A,0)),
""))))))),"")</f>
        <v>kg</v>
      </c>
      <c r="F48" s="179">
        <f>VLOOKUP(A48,'MEMÓRIA DE CÁLCULO'!A:H,8,0)</f>
        <v>61.22</v>
      </c>
      <c r="G48" s="173">
        <f>IFERROR(
IF($B48="DER-ES",INDEX('CDER-ES'!$D:$D,MATCH($C48,'CDER-ES'!$A:$A,0)),
IF($B48="SINAPI",INDEX(CSINAPI!$D:$D,MATCH($C48,CSINAPI!$A:$A,0)),
IF($B48="CESAN",INDEX(CCESAN!$D:$D,MATCH($C48,CCESAN!$A:$A,0)),
IF($B48="SCORIO",INDEX(CSCORIO!$B:$B,MATCH($C48,CSCORIO!#REF!,0)),
IF($B48="MERC",INDEX(MERCADO!$E:$E,MATCH($C48,MERCADO!$A:$A,0)),
IF($B48="COMP",INDEX(COMPOSICAO!$H:$H,MATCH($C48,COMPOSICAO!$A:$A,0)),
0)))))),0)</f>
        <v>11.13</v>
      </c>
      <c r="H48" s="173">
        <f t="shared" ref="H48:H50" si="47">ROUND(G48*(1+$J$2),2)</f>
        <v>14.83</v>
      </c>
      <c r="I48" s="180">
        <f t="shared" ref="I48:I50" si="48">ROUND($H48*F48,2)</f>
        <v>907.89</v>
      </c>
      <c r="J48" s="194">
        <f t="shared" ref="J48:J50" si="49">I48/I$37</f>
        <v>5.3004384542492504E-3</v>
      </c>
    </row>
    <row r="49" spans="1:10" ht="38.25">
      <c r="A49" s="175" t="s">
        <v>13912</v>
      </c>
      <c r="B49" s="176" t="s">
        <v>12617</v>
      </c>
      <c r="C49" s="176">
        <v>40245</v>
      </c>
      <c r="D49" s="178" t="str">
        <f>IFERROR(PROPER(
IF($B49="DER-ES",INDEX('CDER-ES'!$B:$B,MATCH($C49,'CDER-ES'!$A:$A,0)),
IF($B49="SINAPI",INDEX(CSINAPI!$B:$B,MATCH($C49,CSINAPI!$A:$A,0)),
IF($B49="CESAN",INDEX(CCESAN!$B:$B,MATCH($C49,CCESAN!$A:$A,0)),
IF($B49="SCORIO",INDEX(CSCORIO!$B:$B,MATCH($C49,CSCORIO!$A:$A,0)),
IF($B49="MERC",INDEX(MERCADO!$B:$B,MATCH($C49,MERCADO!$A:$A,0)),
IF($B49="COMP",INDEX(COMPOSICAO!$B:$B,MATCH($C49,COMPOSICAO!$A:$A,0)),
""))))))),"*Verificar código*")</f>
        <v>Fornecimento, Dobragem E Colocação Em Fôrma, De Armadura Ca-50 A Grossa Diâmetro De 12.5 A 25.0 Mm (1/2 A 1")</v>
      </c>
      <c r="E49" s="171" t="str">
        <f>IFERROR(LOWER(
IF($B49="DER-ES",INDEX('CDER-ES'!$C:$C,MATCH($C49,'CDER-ES'!$A:$A,0)),
IF($B49="SINAPI",INDEX(CSINAPI!$C:$C,MATCH($C49,CSINAPI!$A:$A,0)),
IF($B49="CESAN",INDEX(CCESAN!$C:$C,MATCH($C49,CCESAN!$A:$A,0)),
IF($B49="SCORIO",INDEX(CSCORIO!$A:$A,MATCH($C49,CSCORIO!#REF!,0)),
IF($B49="MERC",INDEX(MERCADO!$D:$D,MATCH($C49,MERCADO!$A:$A,0)),
IF($B49="COMP",INDEX(COMPOSICAO!$G:$G,MATCH($C49,COMPOSICAO!$A:$A,0)),
""))))))),"")</f>
        <v>kg</v>
      </c>
      <c r="F49" s="179">
        <f>VLOOKUP(A49,'MEMÓRIA DE CÁLCULO'!A:H,8,0)</f>
        <v>821.31</v>
      </c>
      <c r="G49" s="173">
        <f>IFERROR(
IF($B49="DER-ES",INDEX('CDER-ES'!$D:$D,MATCH($C49,'CDER-ES'!$A:$A,0)),
IF($B49="SINAPI",INDEX(CSINAPI!$D:$D,MATCH($C49,CSINAPI!$A:$A,0)),
IF($B49="CESAN",INDEX(CCESAN!$D:$D,MATCH($C49,CCESAN!$A:$A,0)),
IF($B49="SCORIO",INDEX(CSCORIO!$B:$B,MATCH($C49,CSCORIO!#REF!,0)),
IF($B49="MERC",INDEX(MERCADO!$E:$E,MATCH($C49,MERCADO!$A:$A,0)),
IF($B49="COMP",INDEX(COMPOSICAO!$H:$H,MATCH($C49,COMPOSICAO!$A:$A,0)),
0)))))),0)</f>
        <v>11.59</v>
      </c>
      <c r="H49" s="173">
        <f t="shared" si="47"/>
        <v>15.44</v>
      </c>
      <c r="I49" s="180">
        <f t="shared" si="48"/>
        <v>12681.03</v>
      </c>
      <c r="J49" s="194">
        <f t="shared" si="49"/>
        <v>7.4034320293745251E-2</v>
      </c>
    </row>
    <row r="50" spans="1:10" ht="51">
      <c r="A50" s="175" t="s">
        <v>14204</v>
      </c>
      <c r="B50" s="176" t="s">
        <v>12617</v>
      </c>
      <c r="C50" s="176">
        <v>40240</v>
      </c>
      <c r="D50" s="178" t="str">
        <f>IFERROR(PROPER(
IF($B50="DER-ES",INDEX('CDER-ES'!$B:$B,MATCH($C50,'CDER-ES'!$A:$A,0)),
IF($B50="SINAPI",INDEX(CSINAPI!$B:$B,MATCH($C50,CSINAPI!$A:$A,0)),
IF($B50="CESAN",INDEX(CCESAN!$B:$B,MATCH($C50,CCESAN!$A:$A,0)),
IF($B50="SCORIO",INDEX(CSCORIO!$B:$B,MATCH($C50,CSCORIO!$A:$A,0)),
IF($B50="MERC",INDEX(MERCADO!$B:$B,MATCH($C50,MERCADO!$A:$A,0)),
IF($B50="COMP",INDEX(COMPOSICAO!$B:$B,MATCH($C50,COMPOSICAO!$A:$A,0)),
""))))))),"*Verificar código*")</f>
        <v>Fornecimento E Aplicação De Concreto Usinado Fck=25 Mpa - Considerando Lançamento Manual Para Infra-Estrutura (5% De Perdas Já Incluído No Custo)</v>
      </c>
      <c r="E50" s="171" t="str">
        <f>IFERROR(LOWER(
IF($B50="DER-ES",INDEX('CDER-ES'!$C:$C,MATCH($C50,'CDER-ES'!$A:$A,0)),
IF($B50="SINAPI",INDEX(CSINAPI!$C:$C,MATCH($C50,CSINAPI!$A:$A,0)),
IF($B50="CESAN",INDEX(CCESAN!$C:$C,MATCH($C50,CCESAN!$A:$A,0)),
IF($B50="SCORIO",INDEX(CSCORIO!$A:$A,MATCH($C50,CSCORIO!#REF!,0)),
IF($B50="MERC",INDEX(MERCADO!$D:$D,MATCH($C50,MERCADO!$A:$A,0)),
IF($B50="COMP",INDEX(COMPOSICAO!$G:$G,MATCH($C50,COMPOSICAO!$A:$A,0)),
""))))))),"")</f>
        <v>m3</v>
      </c>
      <c r="F50" s="179">
        <f>VLOOKUP(A50,'MEMÓRIA DE CÁLCULO'!A:H,8,0)</f>
        <v>5.17</v>
      </c>
      <c r="G50" s="173">
        <f>IFERROR(
IF($B50="DER-ES",INDEX('CDER-ES'!$D:$D,MATCH($C50,'CDER-ES'!$A:$A,0)),
IF($B50="SINAPI",INDEX(CSINAPI!$D:$D,MATCH($C50,CSINAPI!$A:$A,0)),
IF($B50="CESAN",INDEX(CCESAN!$D:$D,MATCH($C50,CCESAN!$A:$A,0)),
IF($B50="SCORIO",INDEX(CSCORIO!$B:$B,MATCH($C50,CSCORIO!#REF!,0)),
IF($B50="MERC",INDEX(MERCADO!$E:$E,MATCH($C50,MERCADO!$A:$A,0)),
IF($B50="COMP",INDEX(COMPOSICAO!$H:$H,MATCH($C50,COMPOSICAO!$A:$A,0)),
0)))))),0)</f>
        <v>672.18</v>
      </c>
      <c r="H50" s="173">
        <f t="shared" si="47"/>
        <v>895.68</v>
      </c>
      <c r="I50" s="180">
        <f t="shared" si="48"/>
        <v>4630.67</v>
      </c>
      <c r="J50" s="194">
        <f t="shared" si="49"/>
        <v>2.7034752378524245E-2</v>
      </c>
    </row>
    <row r="51" spans="1:10">
      <c r="A51" s="167" t="s">
        <v>14487</v>
      </c>
      <c r="B51" s="168"/>
      <c r="C51" s="169"/>
      <c r="D51" s="170" t="s">
        <v>14202</v>
      </c>
      <c r="E51" s="171"/>
      <c r="F51" s="172"/>
      <c r="G51" s="173"/>
      <c r="H51" s="173"/>
      <c r="I51" s="174"/>
      <c r="J51" s="193"/>
    </row>
    <row r="52" spans="1:10" ht="51">
      <c r="A52" s="175" t="s">
        <v>14489</v>
      </c>
      <c r="B52" s="176" t="s">
        <v>12617</v>
      </c>
      <c r="C52" s="177">
        <v>40231</v>
      </c>
      <c r="D52" s="178" t="str">
        <f>IFERROR(PROPER(
IF($B52="DER-ES",INDEX('CDER-ES'!$B:$B,MATCH($C52,'CDER-ES'!$A:$A,0)),
IF($B52="SINAPI",INDEX(CSINAPI!$B:$B,MATCH($C52,CSINAPI!$A:$A,0)),
IF($B52="CESAN",INDEX(CCESAN!$B:$B,MATCH($C52,CCESAN!$A:$A,0)),
IF($B52="SCORIO",INDEX(CSCORIO!$B:$B,MATCH($C52,CSCORIO!$A:$A,0)),
IF($B52="MERC",INDEX(MERCADO!$B:$B,MATCH($C52,MERCADO!$A:$A,0)),
IF($B52="COMP",INDEX(COMPOSICAO!$B:$B,MATCH($C52,COMPOSICAO!$A:$A,0)),
""))))))),"*Verificar código*")</f>
        <v>Fornecimento, Preparo E Aplicação De Concreto Magro Com Consumo Mínimo De Cimento De 250 Kg/M3 (Brita 1 E 2) - (5% De Perdas Já Incluído No Custo)</v>
      </c>
      <c r="E52" s="171" t="str">
        <f>IFERROR(LOWER(
IF($B52="DER-ES",INDEX('CDER-ES'!$C:$C,MATCH($C52,'CDER-ES'!$A:$A,0)),
IF($B52="SINAPI",INDEX(CSINAPI!$C:$C,MATCH($C52,CSINAPI!$A:$A,0)),
IF($B52="CESAN",INDEX(CCESAN!$C:$C,MATCH($C52,CCESAN!$A:$A,0)),
IF($B52="SCORIO",INDEX(CSCORIO!$A:$A,MATCH($C52,CSCORIO!#REF!,0)),
IF($B52="MERC",INDEX(MERCADO!$D:$D,MATCH($C52,MERCADO!$A:$A,0)),
IF($B52="COMP",INDEX(COMPOSICAO!$G:$G,MATCH($C52,COMPOSICAO!$A:$A,0)),
""))))))),"")</f>
        <v>m3</v>
      </c>
      <c r="F52" s="179">
        <f>VLOOKUP(A52,'MEMÓRIA DE CÁLCULO'!A:H,8,0)</f>
        <v>1.43</v>
      </c>
      <c r="G52" s="173">
        <f>IFERROR(
IF($B52="DER-ES",INDEX('CDER-ES'!$D:$D,MATCH($C52,'CDER-ES'!$A:$A,0)),
IF($B52="SINAPI",INDEX(CSINAPI!$D:$D,MATCH($C52,CSINAPI!$A:$A,0)),
IF($B52="CESAN",INDEX(CCESAN!$D:$D,MATCH($C52,CCESAN!$A:$A,0)),
IF($B52="SCORIO",INDEX(CSCORIO!$B:$B,MATCH($C52,CSCORIO!#REF!,0)),
IF($B52="MERC",INDEX(MERCADO!$E:$E,MATCH($C52,MERCADO!$A:$A,0)),
IF($B52="COMP",INDEX(COMPOSICAO!$H:$H,MATCH($C52,COMPOSICAO!$A:$A,0)),
0)))))),0)</f>
        <v>656.8</v>
      </c>
      <c r="H52" s="173">
        <f t="shared" ref="H52:H53" si="50">ROUND(G52*(1+$J$2),2)</f>
        <v>875.19</v>
      </c>
      <c r="I52" s="180">
        <f t="shared" ref="I52:I53" si="51">ROUND($H52*F52,2)</f>
        <v>1251.52</v>
      </c>
      <c r="J52" s="194">
        <f t="shared" ref="J52:J53" si="52">I52/I$37</f>
        <v>7.3066172490742513E-3</v>
      </c>
    </row>
    <row r="53" spans="1:10" ht="51">
      <c r="A53" s="175" t="s">
        <v>14490</v>
      </c>
      <c r="B53" s="176" t="s">
        <v>12617</v>
      </c>
      <c r="C53" s="176">
        <v>40249</v>
      </c>
      <c r="D53" s="178" t="str">
        <f>IFERROR(PROPER(
IF($B53="DER-ES",INDEX('CDER-ES'!$B:$B,MATCH($C53,'CDER-ES'!$A:$A,0)),
IF($B53="SINAPI",INDEX(CSINAPI!$B:$B,MATCH($C53,CSINAPI!$A:$A,0)),
IF($B53="CESAN",INDEX(CCESAN!$B:$B,MATCH($C53,CCESAN!$A:$A,0)),
IF($B53="SCORIO",INDEX(CSCORIO!$B:$B,MATCH($C53,CSCORIO!$A:$A,0)),
IF($B53="MERC",INDEX(MERCADO!$B:$B,MATCH($C53,MERCADO!$A:$A,0)),
IF($B53="COMP",INDEX(COMPOSICAO!$B:$B,MATCH($C53,COMPOSICAO!$A:$A,0)),
""))))))),"*Verificar código*")</f>
        <v>Fôrma De Tábua De Madeira De 2.5X30.0Cm, Levando-Se Em Conta Utilização 1 Vez (Incluindo O Material, Corte, Montagem, Escoramento E Desforma)</v>
      </c>
      <c r="E53" s="171" t="str">
        <f>IFERROR(LOWER(
IF($B53="DER-ES",INDEX('CDER-ES'!$C:$C,MATCH($C53,'CDER-ES'!$A:$A,0)),
IF($B53="SINAPI",INDEX(CSINAPI!$C:$C,MATCH($C53,CSINAPI!$A:$A,0)),
IF($B53="CESAN",INDEX(CCESAN!$C:$C,MATCH($C53,CCESAN!$A:$A,0)),
IF($B53="SCORIO",INDEX(CSCORIO!$A:$A,MATCH($C53,CSCORIO!#REF!,0)),
IF($B53="MERC",INDEX(MERCADO!$D:$D,MATCH($C53,MERCADO!$A:$A,0)),
IF($B53="COMP",INDEX(COMPOSICAO!$G:$G,MATCH($C53,COMPOSICAO!$A:$A,0)),
""))))))),"")</f>
        <v>m2</v>
      </c>
      <c r="F53" s="179">
        <f>VLOOKUP(A53,'MEMÓRIA DE CÁLCULO'!A:H,8,0)</f>
        <v>217.63</v>
      </c>
      <c r="G53" s="173">
        <f>IFERROR(
IF($B53="DER-ES",INDEX('CDER-ES'!$D:$D,MATCH($C53,'CDER-ES'!$A:$A,0)),
IF($B53="SINAPI",INDEX(CSINAPI!$D:$D,MATCH($C53,CSINAPI!$A:$A,0)),
IF($B53="CESAN",INDEX(CCESAN!$D:$D,MATCH($C53,CCESAN!$A:$A,0)),
IF($B53="SCORIO",INDEX(CSCORIO!$B:$B,MATCH($C53,CSCORIO!#REF!,0)),
IF($B53="MERC",INDEX(MERCADO!$E:$E,MATCH($C53,MERCADO!$A:$A,0)),
IF($B53="COMP",INDEX(COMPOSICAO!$H:$H,MATCH($C53,COMPOSICAO!$A:$A,0)),
0)))))),0)</f>
        <v>123.29</v>
      </c>
      <c r="H53" s="173">
        <f t="shared" si="50"/>
        <v>164.28</v>
      </c>
      <c r="I53" s="180">
        <f t="shared" si="51"/>
        <v>35752.26</v>
      </c>
      <c r="J53" s="194">
        <f t="shared" si="52"/>
        <v>0.20872864964953608</v>
      </c>
    </row>
    <row r="54" spans="1:10" ht="38.25">
      <c r="A54" s="175" t="s">
        <v>14491</v>
      </c>
      <c r="B54" s="176" t="s">
        <v>12617</v>
      </c>
      <c r="C54" s="176">
        <v>40246</v>
      </c>
      <c r="D54" s="178" t="str">
        <f>IFERROR(PROPER(
IF($B54="DER-ES",INDEX('CDER-ES'!$B:$B,MATCH($C54,'CDER-ES'!$A:$A,0)),
IF($B54="SINAPI",INDEX(CSINAPI!$B:$B,MATCH($C54,CSINAPI!$A:$A,0)),
IF($B54="CESAN",INDEX(CCESAN!$B:$B,MATCH($C54,CCESAN!$A:$A,0)),
IF($B54="SCORIO",INDEX(CSCORIO!$B:$B,MATCH($C54,CSCORIO!$A:$A,0)),
IF($B54="MERC",INDEX(MERCADO!$B:$B,MATCH($C54,MERCADO!$A:$A,0)),
IF($B54="COMP",INDEX(COMPOSICAO!$B:$B,MATCH($C54,COMPOSICAO!$A:$A,0)),
""))))))),"*Verificar código*")</f>
        <v>Fornecimento, Dobragem E Colocação Em Fôrma, De Armadura Ca-60 B Fina, Diâmetro De 4.0 A 7.0Mm</v>
      </c>
      <c r="E54" s="171" t="str">
        <f>IFERROR(LOWER(
IF($B54="DER-ES",INDEX('CDER-ES'!$C:$C,MATCH($C54,'CDER-ES'!$A:$A,0)),
IF($B54="SINAPI",INDEX(CSINAPI!$C:$C,MATCH($C54,CSINAPI!$A:$A,0)),
IF($B54="CESAN",INDEX(CCESAN!$C:$C,MATCH($C54,CCESAN!$A:$A,0)),
IF($B54="SCORIO",INDEX(CSCORIO!$A:$A,MATCH($C54,CSCORIO!#REF!,0)),
IF($B54="MERC",INDEX(MERCADO!$D:$D,MATCH($C54,MERCADO!$A:$A,0)),
IF($B54="COMP",INDEX(COMPOSICAO!$G:$G,MATCH($C54,COMPOSICAO!$A:$A,0)),
""))))))),"")</f>
        <v>kg</v>
      </c>
      <c r="F54" s="179">
        <f>VLOOKUP(A54,'MEMÓRIA DE CÁLCULO'!A:H,8,0)</f>
        <v>286.48</v>
      </c>
      <c r="G54" s="173">
        <f>IFERROR(
IF($B54="DER-ES",INDEX('CDER-ES'!$D:$D,MATCH($C54,'CDER-ES'!$A:$A,0)),
IF($B54="SINAPI",INDEX(CSINAPI!$D:$D,MATCH($C54,CSINAPI!$A:$A,0)),
IF($B54="CESAN",INDEX(CCESAN!$D:$D,MATCH($C54,CCESAN!$A:$A,0)),
IF($B54="SCORIO",INDEX(CSCORIO!$B:$B,MATCH($C54,CSCORIO!#REF!,0)),
IF($B54="MERC",INDEX(MERCADO!$E:$E,MATCH($C54,MERCADO!$A:$A,0)),
IF($B54="COMP",INDEX(COMPOSICAO!$H:$H,MATCH($C54,COMPOSICAO!$A:$A,0)),
0)))))),0)</f>
        <v>11.72</v>
      </c>
      <c r="H54" s="173">
        <f>ROUND(G54*(1+$J$2),2)</f>
        <v>15.62</v>
      </c>
      <c r="I54" s="180">
        <f>ROUND($H54*F54,2)</f>
        <v>4474.82</v>
      </c>
      <c r="J54" s="194">
        <f>I54/I$37</f>
        <v>2.6124869757177226E-2</v>
      </c>
    </row>
    <row r="55" spans="1:10" ht="38.25">
      <c r="A55" s="175" t="s">
        <v>14492</v>
      </c>
      <c r="B55" s="176" t="s">
        <v>12617</v>
      </c>
      <c r="C55" s="176">
        <v>40243</v>
      </c>
      <c r="D55" s="178" t="str">
        <f>IFERROR(PROPER(
IF($B55="DER-ES",INDEX('CDER-ES'!$B:$B,MATCH($C55,'CDER-ES'!$A:$A,0)),
IF($B55="SINAPI",INDEX(CSINAPI!$B:$B,MATCH($C55,CSINAPI!$A:$A,0)),
IF($B55="CESAN",INDEX(CCESAN!$B:$B,MATCH($C55,CCESAN!$A:$A,0)),
IF($B55="SCORIO",INDEX(CSCORIO!$B:$B,MATCH($C55,CSCORIO!$A:$A,0)),
IF($B55="MERC",INDEX(MERCADO!$B:$B,MATCH($C55,MERCADO!$A:$A,0)),
IF($B55="COMP",INDEX(COMPOSICAO!$B:$B,MATCH($C55,COMPOSICAO!$A:$A,0)),
""))))))),"*Verificar código*")</f>
        <v>Fornecimento, Dobragem E Colocação Em Fôrma, De Armadura Ca-50 A Média, Diâmetro De 6.3 A 10.0 Mm</v>
      </c>
      <c r="E55" s="171" t="str">
        <f>IFERROR(LOWER(
IF($B55="DER-ES",INDEX('CDER-ES'!$C:$C,MATCH($C55,'CDER-ES'!$A:$A,0)),
IF($B55="SINAPI",INDEX(CSINAPI!$C:$C,MATCH($C55,CSINAPI!$A:$A,0)),
IF($B55="CESAN",INDEX(CCESAN!$C:$C,MATCH($C55,CCESAN!$A:$A,0)),
IF($B55="SCORIO",INDEX(CSCORIO!$A:$A,MATCH($C55,CSCORIO!#REF!,0)),
IF($B55="MERC",INDEX(MERCADO!$D:$D,MATCH($C55,MERCADO!$A:$A,0)),
IF($B55="COMP",INDEX(COMPOSICAO!$G:$G,MATCH($C55,COMPOSICAO!$A:$A,0)),
""))))))),"")</f>
        <v>kg</v>
      </c>
      <c r="F55" s="179">
        <f>VLOOKUP(A55,'MEMÓRIA DE CÁLCULO'!A:H,8,0)</f>
        <v>484.21</v>
      </c>
      <c r="G55" s="173">
        <f>IFERROR(
IF($B55="DER-ES",INDEX('CDER-ES'!$D:$D,MATCH($C55,'CDER-ES'!$A:$A,0)),
IF($B55="SINAPI",INDEX(CSINAPI!$D:$D,MATCH($C55,CSINAPI!$A:$A,0)),
IF($B55="CESAN",INDEX(CCESAN!$D:$D,MATCH($C55,CCESAN!$A:$A,0)),
IF($B55="SCORIO",INDEX(CSCORIO!$B:$B,MATCH($C55,CSCORIO!#REF!,0)),
IF($B55="MERC",INDEX(MERCADO!$E:$E,MATCH($C55,MERCADO!$A:$A,0)),
IF($B55="COMP",INDEX(COMPOSICAO!$H:$H,MATCH($C55,COMPOSICAO!$A:$A,0)),
0)))))),0)</f>
        <v>11.13</v>
      </c>
      <c r="H55" s="173">
        <f t="shared" ref="H55:H56" si="53">ROUND(G55*(1+$J$2),2)</f>
        <v>14.83</v>
      </c>
      <c r="I55" s="180">
        <f t="shared" ref="I55:I56" si="54">ROUND($H55*F55,2)</f>
        <v>7180.83</v>
      </c>
      <c r="J55" s="194">
        <f t="shared" ref="J55:J56" si="55">I55/I$37</f>
        <v>4.1923082604089314E-2</v>
      </c>
    </row>
    <row r="56" spans="1:10" ht="51">
      <c r="A56" s="175" t="s">
        <v>14668</v>
      </c>
      <c r="B56" s="176" t="s">
        <v>12617</v>
      </c>
      <c r="C56" s="176">
        <v>40240</v>
      </c>
      <c r="D56" s="178" t="str">
        <f>IFERROR(PROPER(
IF($B56="DER-ES",INDEX('CDER-ES'!$B:$B,MATCH($C56,'CDER-ES'!$A:$A,0)),
IF($B56="SINAPI",INDEX(CSINAPI!$B:$B,MATCH($C56,CSINAPI!$A:$A,0)),
IF($B56="CESAN",INDEX(CCESAN!$B:$B,MATCH($C56,CCESAN!$A:$A,0)),
IF($B56="SCORIO",INDEX(CSCORIO!$B:$B,MATCH($C56,CSCORIO!$A:$A,0)),
IF($B56="MERC",INDEX(MERCADO!$B:$B,MATCH($C56,MERCADO!$A:$A,0)),
IF($B56="COMP",INDEX(COMPOSICAO!$B:$B,MATCH($C56,COMPOSICAO!$A:$A,0)),
""))))))),"*Verificar código*")</f>
        <v>Fornecimento E Aplicação De Concreto Usinado Fck=25 Mpa - Considerando Lançamento Manual Para Infra-Estrutura (5% De Perdas Já Incluído No Custo)</v>
      </c>
      <c r="E56" s="171" t="str">
        <f>IFERROR(LOWER(
IF($B56="DER-ES",INDEX('CDER-ES'!$C:$C,MATCH($C56,'CDER-ES'!$A:$A,0)),
IF($B56="SINAPI",INDEX(CSINAPI!$C:$C,MATCH($C56,CSINAPI!$A:$A,0)),
IF($B56="CESAN",INDEX(CCESAN!$C:$C,MATCH($C56,CCESAN!$A:$A,0)),
IF($B56="SCORIO",INDEX(CSCORIO!$A:$A,MATCH($C56,CSCORIO!#REF!,0)),
IF($B56="MERC",INDEX(MERCADO!$D:$D,MATCH($C56,MERCADO!$A:$A,0)),
IF($B56="COMP",INDEX(COMPOSICAO!$G:$G,MATCH($C56,COMPOSICAO!$A:$A,0)),
""))))))),"")</f>
        <v>m3</v>
      </c>
      <c r="F56" s="179">
        <f>VLOOKUP(A56,'MEMÓRIA DE CÁLCULO'!A:H,8,0)</f>
        <v>15.56</v>
      </c>
      <c r="G56" s="173">
        <f>IFERROR(
IF($B56="DER-ES",INDEX('CDER-ES'!$D:$D,MATCH($C56,'CDER-ES'!$A:$A,0)),
IF($B56="SINAPI",INDEX(CSINAPI!$D:$D,MATCH($C56,CSINAPI!$A:$A,0)),
IF($B56="CESAN",INDEX(CCESAN!$D:$D,MATCH($C56,CCESAN!$A:$A,0)),
IF($B56="SCORIO",INDEX(CSCORIO!$B:$B,MATCH($C56,CSCORIO!#REF!,0)),
IF($B56="MERC",INDEX(MERCADO!$E:$E,MATCH($C56,MERCADO!$A:$A,0)),
IF($B56="COMP",INDEX(COMPOSICAO!$H:$H,MATCH($C56,COMPOSICAO!$A:$A,0)),
0)))))),0)</f>
        <v>672.18</v>
      </c>
      <c r="H56" s="173">
        <f t="shared" si="53"/>
        <v>895.68</v>
      </c>
      <c r="I56" s="180">
        <f t="shared" si="54"/>
        <v>13936.78</v>
      </c>
      <c r="J56" s="194">
        <f t="shared" si="55"/>
        <v>8.1365633105785803E-2</v>
      </c>
    </row>
    <row r="57" spans="1:10">
      <c r="A57" s="167" t="s">
        <v>14669</v>
      </c>
      <c r="B57" s="168"/>
      <c r="C57" s="169"/>
      <c r="D57" s="170" t="s">
        <v>14488</v>
      </c>
      <c r="E57" s="171"/>
      <c r="F57" s="172"/>
      <c r="G57" s="173"/>
      <c r="H57" s="173"/>
      <c r="I57" s="174"/>
      <c r="J57" s="193"/>
    </row>
    <row r="58" spans="1:10" ht="38.25">
      <c r="A58" s="175" t="s">
        <v>14670</v>
      </c>
      <c r="B58" s="176" t="s">
        <v>928</v>
      </c>
      <c r="C58" s="177">
        <v>89453</v>
      </c>
      <c r="D58" s="178" t="str">
        <f>IFERROR(PROPER(
IF($B58="DER-ES",INDEX('CDER-ES'!$B:$B,MATCH($C58,'CDER-ES'!$A:$A,0)),
IF($B58="SINAPI",INDEX(CSINAPI!$B:$B,MATCH($C58,CSINAPI!$A:$A,0)),
IF($B58="CESAN",INDEX(CCESAN!$B:$B,MATCH($C58,CCESAN!$A:$A,0)),
IF($B58="SCORIO",INDEX(CSCORIO!$B:$B,MATCH($C58,CSCORIO!$A:$A,0)),
IF($B58="MERC",INDEX(MERCADO!$B:$B,MATCH($C58,MERCADO!$A:$A,0)),
IF($B58="COMP",INDEX(COMPOSICAO!$B:$B,MATCH($C58,COMPOSICAO!$A:$A,0)),
""))))))),"*Verificar código*")</f>
        <v>Alvenaria De Blocos De Concreto Estrutural 14X19X39 Cm (Espessura 14 Cm), Fbk = 4,5 Mpa, Utilizando Palheta. Af_10/2022</v>
      </c>
      <c r="E58" s="171" t="str">
        <f>IFERROR(LOWER(
IF($B58="DER-ES",INDEX('CDER-ES'!$C:$C,MATCH($C58,'CDER-ES'!$A:$A,0)),
IF($B58="SINAPI",INDEX(CSINAPI!$C:$C,MATCH($C58,CSINAPI!$A:$A,0)),
IF($B58="CESAN",INDEX(CCESAN!$C:$C,MATCH($C58,CCESAN!$A:$A,0)),
IF($B58="SCORIO",INDEX(CSCORIO!$A:$A,MATCH($C58,CSCORIO!#REF!,0)),
IF($B58="MERC",INDEX(MERCADO!$D:$D,MATCH($C58,MERCADO!$A:$A,0)),
IF($B58="COMP",INDEX(COMPOSICAO!$G:$G,MATCH($C58,COMPOSICAO!$A:$A,0)),
""))))))),"")</f>
        <v>m2</v>
      </c>
      <c r="F58" s="179">
        <f>VLOOKUP(A58,'MEMÓRIA DE CÁLCULO'!A:H,8,0)</f>
        <v>54.31</v>
      </c>
      <c r="G58" s="173">
        <f>IFERROR(
IF($B58="DER-ES",INDEX('CDER-ES'!$D:$D,MATCH($C58,'CDER-ES'!$A:$A,0)),
IF($B58="SINAPI",INDEX(CSINAPI!$D:$D,MATCH($C58,CSINAPI!$A:$A,0)),
IF($B58="CESAN",INDEX(CCESAN!$D:$D,MATCH($C58,CCESAN!$A:$A,0)),
IF($B58="SCORIO",INDEX(CSCORIO!$B:$B,MATCH($C58,CSCORIO!#REF!,0)),
IF($B58="MERC",INDEX(MERCADO!$E:$E,MATCH($C58,MERCADO!$A:$A,0)),
IF($B58="COMP",INDEX(COMPOSICAO!$H:$H,MATCH($C58,COMPOSICAO!$A:$A,0)),
0)))))),0)</f>
        <v>79.41</v>
      </c>
      <c r="H58" s="173">
        <f t="shared" ref="H58:H62" si="56">ROUND(G58*(1+$J$2),2)</f>
        <v>105.81</v>
      </c>
      <c r="I58" s="180">
        <f t="shared" ref="I58:I62" si="57">ROUND($H58*F58,2)</f>
        <v>5746.54</v>
      </c>
      <c r="J58" s="194">
        <f t="shared" ref="J58:J62" si="58">I58/I$37</f>
        <v>3.354941853625603E-2</v>
      </c>
    </row>
    <row r="59" spans="1:10" ht="38.25">
      <c r="A59" s="175" t="s">
        <v>14671</v>
      </c>
      <c r="B59" s="176" t="s">
        <v>928</v>
      </c>
      <c r="C59" s="176">
        <v>93205</v>
      </c>
      <c r="D59" s="178" t="str">
        <f>IFERROR(PROPER(
IF($B59="DER-ES",INDEX('CDER-ES'!$B:$B,MATCH($C59,'CDER-ES'!$A:$A,0)),
IF($B59="SINAPI",INDEX(CSINAPI!$B:$B,MATCH($C59,CSINAPI!$A:$A,0)),
IF($B59="CESAN",INDEX(CCESAN!$B:$B,MATCH($C59,CCESAN!$A:$A,0)),
IF($B59="SCORIO",INDEX(CSCORIO!$B:$B,MATCH($C59,CSCORIO!$A:$A,0)),
IF($B59="MERC",INDEX(MERCADO!$B:$B,MATCH($C59,MERCADO!$A:$A,0)),
IF($B59="COMP",INDEX(COMPOSICAO!$B:$B,MATCH($C59,COMPOSICAO!$A:$A,0)),
""))))))),"*Verificar código*")</f>
        <v>Cinta De Amarração De Alvenaria Moldada In Loco Com Utilização De Blocos Canaleta. Af_03/2016</v>
      </c>
      <c r="E59" s="171" t="str">
        <f>IFERROR(LOWER(
IF($B59="DER-ES",INDEX('CDER-ES'!$C:$C,MATCH($C59,'CDER-ES'!$A:$A,0)),
IF($B59="SINAPI",INDEX(CSINAPI!$C:$C,MATCH($C59,CSINAPI!$A:$A,0)),
IF($B59="CESAN",INDEX(CCESAN!$C:$C,MATCH($C59,CCESAN!$A:$A,0)),
IF($B59="SCORIO",INDEX(CSCORIO!$A:$A,MATCH($C59,CSCORIO!#REF!,0)),
IF($B59="MERC",INDEX(MERCADO!$D:$D,MATCH($C59,MERCADO!$A:$A,0)),
IF($B59="COMP",INDEX(COMPOSICAO!$G:$G,MATCH($C59,COMPOSICAO!$A:$A,0)),
""))))))),"")</f>
        <v>m</v>
      </c>
      <c r="F59" s="179">
        <f>VLOOKUP(A59,'MEMÓRIA DE CÁLCULO'!A:H,8,0)</f>
        <v>106.86</v>
      </c>
      <c r="G59" s="173">
        <f>IFERROR(
IF($B59="DER-ES",INDEX('CDER-ES'!$D:$D,MATCH($C59,'CDER-ES'!$A:$A,0)),
IF($B59="SINAPI",INDEX(CSINAPI!$D:$D,MATCH($C59,CSINAPI!$A:$A,0)),
IF($B59="CESAN",INDEX(CCESAN!$D:$D,MATCH($C59,CCESAN!$A:$A,0)),
IF($B59="SCORIO",INDEX(CSCORIO!$B:$B,MATCH($C59,CSCORIO!#REF!,0)),
IF($B59="MERC",INDEX(MERCADO!$E:$E,MATCH($C59,MERCADO!$A:$A,0)),
IF($B59="COMP",INDEX(COMPOSICAO!$H:$H,MATCH($C59,COMPOSICAO!$A:$A,0)),
0)))))),0)</f>
        <v>40.299999999999997</v>
      </c>
      <c r="H59" s="173">
        <f t="shared" si="56"/>
        <v>53.7</v>
      </c>
      <c r="I59" s="180">
        <f t="shared" si="57"/>
        <v>5738.38</v>
      </c>
      <c r="J59" s="194">
        <f t="shared" si="58"/>
        <v>3.3501778868689838E-2</v>
      </c>
    </row>
    <row r="60" spans="1:10" ht="38.25">
      <c r="A60" s="175" t="s">
        <v>14672</v>
      </c>
      <c r="B60" s="176" t="s">
        <v>12617</v>
      </c>
      <c r="C60" s="176">
        <v>40243</v>
      </c>
      <c r="D60" s="178" t="str">
        <f>IFERROR(PROPER(
IF($B60="DER-ES",INDEX('CDER-ES'!$B:$B,MATCH($C60,'CDER-ES'!$A:$A,0)),
IF($B60="SINAPI",INDEX(CSINAPI!$B:$B,MATCH($C60,CSINAPI!$A:$A,0)),
IF($B60="CESAN",INDEX(CCESAN!$B:$B,MATCH($C60,CCESAN!$A:$A,0)),
IF($B60="SCORIO",INDEX(CSCORIO!$B:$B,MATCH($C60,CSCORIO!$A:$A,0)),
IF($B60="MERC",INDEX(MERCADO!$B:$B,MATCH($C60,MERCADO!$A:$A,0)),
IF($B60="COMP",INDEX(COMPOSICAO!$B:$B,MATCH($C60,COMPOSICAO!$A:$A,0)),
""))))))),"*Verificar código*")</f>
        <v>Fornecimento, Dobragem E Colocação Em Fôrma, De Armadura Ca-50 A Média, Diâmetro De 6.3 A 10.0 Mm</v>
      </c>
      <c r="E60" s="171" t="str">
        <f>IFERROR(LOWER(
IF($B60="DER-ES",INDEX('CDER-ES'!$C:$C,MATCH($C60,'CDER-ES'!$A:$A,0)),
IF($B60="SINAPI",INDEX(CSINAPI!$C:$C,MATCH($C60,CSINAPI!$A:$A,0)),
IF($B60="CESAN",INDEX(CCESAN!$C:$C,MATCH($C60,CCESAN!$A:$A,0)),
IF($B60="SCORIO",INDEX(CSCORIO!$A:$A,MATCH($C60,CSCORIO!#REF!,0)),
IF($B60="MERC",INDEX(MERCADO!$D:$D,MATCH($C60,MERCADO!$A:$A,0)),
IF($B60="COMP",INDEX(COMPOSICAO!$G:$G,MATCH($C60,COMPOSICAO!$A:$A,0)),
""))))))),"")</f>
        <v>kg</v>
      </c>
      <c r="F60" s="179">
        <f>VLOOKUP(A60,'MEMÓRIA DE CÁLCULO'!A:H,8,0)</f>
        <v>151.80000000000001</v>
      </c>
      <c r="G60" s="173">
        <f>IFERROR(
IF($B60="DER-ES",INDEX('CDER-ES'!$D:$D,MATCH($C60,'CDER-ES'!$A:$A,0)),
IF($B60="SINAPI",INDEX(CSINAPI!$D:$D,MATCH($C60,CSINAPI!$A:$A,0)),
IF($B60="CESAN",INDEX(CCESAN!$D:$D,MATCH($C60,CCESAN!$A:$A,0)),
IF($B60="SCORIO",INDEX(CSCORIO!$B:$B,MATCH($C60,CSCORIO!#REF!,0)),
IF($B60="MERC",INDEX(MERCADO!$E:$E,MATCH($C60,MERCADO!$A:$A,0)),
IF($B60="COMP",INDEX(COMPOSICAO!$H:$H,MATCH($C60,COMPOSICAO!$A:$A,0)),
0)))))),0)</f>
        <v>11.13</v>
      </c>
      <c r="H60" s="173">
        <f t="shared" si="56"/>
        <v>14.83</v>
      </c>
      <c r="I60" s="180">
        <f t="shared" si="57"/>
        <v>2251.19</v>
      </c>
      <c r="J60" s="194">
        <f t="shared" si="58"/>
        <v>1.3142885199552116E-2</v>
      </c>
    </row>
    <row r="61" spans="1:10" ht="51">
      <c r="A61" s="175" t="s">
        <v>14673</v>
      </c>
      <c r="B61" s="176" t="s">
        <v>928</v>
      </c>
      <c r="C61" s="176">
        <v>90281</v>
      </c>
      <c r="D61" s="178" t="str">
        <f>IFERROR(PROPER(
IF($B61="DER-ES",INDEX('CDER-ES'!$B:$B,MATCH($C61,'CDER-ES'!$A:$A,0)),
IF($B61="SINAPI",INDEX(CSINAPI!$B:$B,MATCH($C61,CSINAPI!$A:$A,0)),
IF($B61="CESAN",INDEX(CCESAN!$B:$B,MATCH($C61,CCESAN!$A:$A,0)),
IF($B61="SCORIO",INDEX(CSCORIO!$B:$B,MATCH($C61,CSCORIO!$A:$A,0)),
IF($B61="MERC",INDEX(MERCADO!$B:$B,MATCH($C61,MERCADO!$A:$A,0)),
IF($B61="COMP",INDEX(COMPOSICAO!$B:$B,MATCH($C61,COMPOSICAO!$A:$A,0)),
""))))))),"*Verificar código*")</f>
        <v>Graute Fgk=30 Mpa; Traço 1:0,02:0,9:1,2 (Em Massa Seca De Cimento/ Cal/ Areia Grossa/ Brita 0) - Preparo Mecânico Com Betoneira 400 L. Af_09/2021</v>
      </c>
      <c r="E61" s="171" t="str">
        <f>IFERROR(LOWER(
IF($B61="DER-ES",INDEX('CDER-ES'!$C:$C,MATCH($C61,'CDER-ES'!$A:$A,0)),
IF($B61="SINAPI",INDEX(CSINAPI!$C:$C,MATCH($C61,CSINAPI!$A:$A,0)),
IF($B61="CESAN",INDEX(CCESAN!$C:$C,MATCH($C61,CCESAN!$A:$A,0)),
IF($B61="SCORIO",INDEX(CSCORIO!$A:$A,MATCH($C61,CSCORIO!#REF!,0)),
IF($B61="MERC",INDEX(MERCADO!$D:$D,MATCH($C61,MERCADO!$A:$A,0)),
IF($B61="COMP",INDEX(COMPOSICAO!$G:$G,MATCH($C61,COMPOSICAO!$A:$A,0)),
""))))))),"")</f>
        <v>m3</v>
      </c>
      <c r="F61" s="179">
        <f>VLOOKUP(A61,'MEMÓRIA DE CÁLCULO'!A:H,8,0)</f>
        <v>1.21</v>
      </c>
      <c r="G61" s="173">
        <f>IFERROR(
IF($B61="DER-ES",INDEX('CDER-ES'!$D:$D,MATCH($C61,'CDER-ES'!$A:$A,0)),
IF($B61="SINAPI",INDEX(CSINAPI!$D:$D,MATCH($C61,CSINAPI!$A:$A,0)),
IF($B61="CESAN",INDEX(CCESAN!$D:$D,MATCH($C61,CCESAN!$A:$A,0)),
IF($B61="SCORIO",INDEX(CSCORIO!$B:$B,MATCH($C61,CSCORIO!#REF!,0)),
IF($B61="MERC",INDEX(MERCADO!$E:$E,MATCH($C61,MERCADO!$A:$A,0)),
IF($B61="COMP",INDEX(COMPOSICAO!$H:$H,MATCH($C61,COMPOSICAO!$A:$A,0)),
0)))))),0)</f>
        <v>705.27</v>
      </c>
      <c r="H61" s="173">
        <f t="shared" ref="H61" si="59">ROUND(G61*(1+$J$2),2)</f>
        <v>939.77</v>
      </c>
      <c r="I61" s="180">
        <f t="shared" ref="I61" si="60">ROUND($H61*F61,2)</f>
        <v>1137.1199999999999</v>
      </c>
      <c r="J61" s="194">
        <f t="shared" ref="J61" si="61">I61/I$37</f>
        <v>6.6387277920187549E-3</v>
      </c>
    </row>
    <row r="62" spans="1:10">
      <c r="A62" s="175" t="s">
        <v>14920</v>
      </c>
      <c r="B62" s="176" t="s">
        <v>12617</v>
      </c>
      <c r="C62" s="176">
        <v>200323</v>
      </c>
      <c r="D62" s="178" t="str">
        <f>IFERROR(PROPER(
IF($B62="DER-ES",INDEX('CDER-ES'!$B:$B,MATCH($C62,'CDER-ES'!$A:$A,0)),
IF($B62="SINAPI",INDEX(CSINAPI!$B:$B,MATCH($C62,CSINAPI!$A:$A,0)),
IF($B62="CESAN",INDEX(CCESAN!$B:$B,MATCH($C62,CCESAN!$A:$A,0)),
IF($B62="SCORIO",INDEX(CSCORIO!$B:$B,MATCH($C62,CSCORIO!$A:$A,0)),
IF($B62="MERC",INDEX(MERCADO!$B:$B,MATCH($C62,MERCADO!$A:$A,0)),
IF($B62="COMP",INDEX(COMPOSICAO!$B:$B,MATCH($C62,COMPOSICAO!$A:$A,0)),
""))))))),"*Verificar código*")</f>
        <v>Fornecimento E Espalhamento De Pó De Pedra</v>
      </c>
      <c r="E62" s="171" t="str">
        <f>IFERROR(LOWER(
IF($B62="DER-ES",INDEX('CDER-ES'!$C:$C,MATCH($C62,'CDER-ES'!$A:$A,0)),
IF($B62="SINAPI",INDEX(CSINAPI!$C:$C,MATCH($C62,CSINAPI!$A:$A,0)),
IF($B62="CESAN",INDEX(CCESAN!$C:$C,MATCH($C62,CCESAN!$A:$A,0)),
IF($B62="SCORIO",INDEX(CSCORIO!$A:$A,MATCH($C62,CSCORIO!#REF!,0)),
IF($B62="MERC",INDEX(MERCADO!$D:$D,MATCH($C62,MERCADO!$A:$A,0)),
IF($B62="COMP",INDEX(COMPOSICAO!$G:$G,MATCH($C62,COMPOSICAO!$A:$A,0)),
""))))))),"")</f>
        <v>m3</v>
      </c>
      <c r="F62" s="179">
        <f>VLOOKUP(A62,'MEMÓRIA DE CÁLCULO'!A:H,8,0)</f>
        <v>12.57</v>
      </c>
      <c r="G62" s="173">
        <f>IFERROR(
IF($B62="DER-ES",INDEX('CDER-ES'!$D:$D,MATCH($C62,'CDER-ES'!$A:$A,0)),
IF($B62="SINAPI",INDEX(CSINAPI!$D:$D,MATCH($C62,CSINAPI!$A:$A,0)),
IF($B62="CESAN",INDEX(CCESAN!$D:$D,MATCH($C62,CCESAN!$A:$A,0)),
IF($B62="SCORIO",INDEX(CSCORIO!$B:$B,MATCH($C62,CSCORIO!#REF!,0)),
IF($B62="MERC",INDEX(MERCADO!$E:$E,MATCH($C62,MERCADO!$A:$A,0)),
IF($B62="COMP",INDEX(COMPOSICAO!$H:$H,MATCH($C62,COMPOSICAO!$A:$A,0)),
0)))))),0)</f>
        <v>187.02</v>
      </c>
      <c r="H62" s="173">
        <f t="shared" si="56"/>
        <v>249.2</v>
      </c>
      <c r="I62" s="180">
        <f t="shared" si="57"/>
        <v>3132.44</v>
      </c>
      <c r="J62" s="194">
        <f t="shared" si="58"/>
        <v>1.8287794150864668E-2</v>
      </c>
    </row>
    <row r="63" spans="1:10">
      <c r="A63" s="167" t="s">
        <v>7235</v>
      </c>
      <c r="B63" s="168"/>
      <c r="C63" s="169"/>
      <c r="D63" s="170" t="s">
        <v>13895</v>
      </c>
      <c r="E63" s="171"/>
      <c r="F63" s="172"/>
      <c r="G63" s="173"/>
      <c r="H63" s="173"/>
      <c r="I63" s="174">
        <f>SUBTOTAL(9,I65:I89)</f>
        <v>398363.23000000004</v>
      </c>
      <c r="J63" s="193">
        <f>SUBTOTAL(9,J65:J89)</f>
        <v>1.1233257271781716</v>
      </c>
    </row>
    <row r="64" spans="1:10">
      <c r="A64" s="167" t="s">
        <v>12229</v>
      </c>
      <c r="B64" s="168"/>
      <c r="C64" s="169"/>
      <c r="D64" s="170" t="s">
        <v>14198</v>
      </c>
      <c r="E64" s="171"/>
      <c r="F64" s="172"/>
      <c r="G64" s="173"/>
      <c r="H64" s="173"/>
      <c r="I64" s="174"/>
      <c r="J64" s="193"/>
    </row>
    <row r="65" spans="1:10" ht="63.75">
      <c r="A65" s="175" t="s">
        <v>13914</v>
      </c>
      <c r="B65" s="176" t="s">
        <v>12617</v>
      </c>
      <c r="C65" s="177">
        <v>40339</v>
      </c>
      <c r="D65" s="178" t="str">
        <f>IFERROR(PROPER(
IF($B65="DER-ES",INDEX('CDER-ES'!$B:$B,MATCH($C65,'CDER-ES'!$A:$A,0)),
IF($B65="SINAPI",INDEX(CSINAPI!$B:$B,MATCH($C65,CSINAPI!$A:$A,0)),
IF($B65="CESAN",INDEX(CCESAN!$B:$B,MATCH($C65,CCESAN!$A:$A,0)),
IF($B65="SCORIO",INDEX(CSCORIO!$B:$B,MATCH($C65,CSCORIO!$A:$A,0)),
IF($B65="MERC",INDEX(MERCADO!$B:$B,MATCH($C65,MERCADO!$A:$A,0)),
IF($B65="COMP",INDEX(COMPOSICAO!$B:$B,MATCH($C65,COMPOSICAO!$A:$A,0)),
""))))))),"*Verificar código*")</f>
        <v>Forma De Chapas Madeira Compensada Resinada, Esp. 12Mm, Levando-Se Em Conta A Utilização 3 Vezes, Reforçadas Com Sarrafos De Madeira De 2.5 X 10.0Cm (Incl Material, Corte, Montagem, Escoras Em Eucalipto E Desforma)</v>
      </c>
      <c r="E65" s="171" t="str">
        <f>IFERROR(LOWER(
IF($B65="DER-ES",INDEX('CDER-ES'!$C:$C,MATCH($C65,'CDER-ES'!$A:$A,0)),
IF($B65="SINAPI",INDEX(CSINAPI!$C:$C,MATCH($C65,CSINAPI!$A:$A,0)),
IF($B65="CESAN",INDEX(CCESAN!$C:$C,MATCH($C65,CCESAN!$A:$A,0)),
IF($B65="SCORIO",INDEX(CSCORIO!$A:$A,MATCH($C65,CSCORIO!#REF!,0)),
IF($B65="MERC",INDEX(MERCADO!$D:$D,MATCH($C65,MERCADO!$A:$A,0)),
IF($B65="COMP",INDEX(COMPOSICAO!$G:$G,MATCH($C65,COMPOSICAO!$A:$A,0)),
""))))))),"")</f>
        <v>m2</v>
      </c>
      <c r="F65" s="179">
        <f>VLOOKUP(A65,'MEMÓRIA DE CÁLCULO'!A:H,8,0)</f>
        <v>275.37</v>
      </c>
      <c r="G65" s="173">
        <f>IFERROR(
IF($B65="DER-ES",INDEX('CDER-ES'!$D:$D,MATCH($C65,'CDER-ES'!$A:$A,0)),
IF($B65="SINAPI",INDEX(CSINAPI!$D:$D,MATCH($C65,CSINAPI!$A:$A,0)),
IF($B65="CESAN",INDEX(CCESAN!$D:$D,MATCH($C65,CCESAN!$A:$A,0)),
IF($B65="SCORIO",INDEX(CSCORIO!$B:$B,MATCH($C65,CSCORIO!#REF!,0)),
IF($B65="MERC",INDEX(MERCADO!$E:$E,MATCH($C65,MERCADO!$A:$A,0)),
IF($B65="COMP",INDEX(COMPOSICAO!$H:$H,MATCH($C65,COMPOSICAO!$A:$A,0)),
0)))))),0)</f>
        <v>121.33</v>
      </c>
      <c r="H65" s="173">
        <f t="shared" ref="H65:H69" si="62">ROUND(G65*(1+$J$2),2)</f>
        <v>161.66999999999999</v>
      </c>
      <c r="I65" s="180">
        <f t="shared" ref="I65:I69" si="63">ROUND($H65*F65,2)</f>
        <v>44519.07</v>
      </c>
      <c r="J65" s="194">
        <f>I65/I$63</f>
        <v>0.11175496794721741</v>
      </c>
    </row>
    <row r="66" spans="1:10" ht="38.25">
      <c r="A66" s="175" t="s">
        <v>14224</v>
      </c>
      <c r="B66" s="176" t="s">
        <v>12617</v>
      </c>
      <c r="C66" s="176">
        <v>40333</v>
      </c>
      <c r="D66" s="178" t="str">
        <f>IFERROR(PROPER(
IF($B66="DER-ES",INDEX('CDER-ES'!$B:$B,MATCH($C66,'CDER-ES'!$A:$A,0)),
IF($B66="SINAPI",INDEX(CSINAPI!$B:$B,MATCH($C66,CSINAPI!$A:$A,0)),
IF($B66="CESAN",INDEX(CCESAN!$B:$B,MATCH($C66,CCESAN!$A:$A,0)),
IF($B66="SCORIO",INDEX(CSCORIO!$B:$B,MATCH($C66,CSCORIO!$A:$A,0)),
IF($B66="MERC",INDEX(MERCADO!$B:$B,MATCH($C66,MERCADO!$A:$A,0)),
IF($B66="COMP",INDEX(COMPOSICAO!$B:$B,MATCH($C66,COMPOSICAO!$A:$A,0)),
""))))))),"*Verificar código*")</f>
        <v>Fornecimento, Dobragem E Colocação Em Fôrma, De Armadura Ca-60 B Fina, Diâmetro De 4.0 A 7.0Mm</v>
      </c>
      <c r="E66" s="171" t="str">
        <f>IFERROR(LOWER(
IF($B66="DER-ES",INDEX('CDER-ES'!$C:$C,MATCH($C66,'CDER-ES'!$A:$A,0)),
IF($B66="SINAPI",INDEX(CSINAPI!$C:$C,MATCH($C66,CSINAPI!$A:$A,0)),
IF($B66="CESAN",INDEX(CCESAN!$C:$C,MATCH($C66,CCESAN!$A:$A,0)),
IF($B66="SCORIO",INDEX(CSCORIO!$A:$A,MATCH($C66,CSCORIO!#REF!,0)),
IF($B66="MERC",INDEX(MERCADO!$D:$D,MATCH($C66,MERCADO!$A:$A,0)),
IF($B66="COMP",INDEX(COMPOSICAO!$G:$G,MATCH($C66,COMPOSICAO!$A:$A,0)),
""))))))),"")</f>
        <v>kg</v>
      </c>
      <c r="F66" s="179">
        <f>VLOOKUP(A66,'MEMÓRIA DE CÁLCULO'!A:H,8,0)</f>
        <v>273.79000000000002</v>
      </c>
      <c r="G66" s="173">
        <f>IFERROR(
IF($B66="DER-ES",INDEX('CDER-ES'!$D:$D,MATCH($C66,'CDER-ES'!$A:$A,0)),
IF($B66="SINAPI",INDEX(CSINAPI!$D:$D,MATCH($C66,CSINAPI!$A:$A,0)),
IF($B66="CESAN",INDEX(CCESAN!$D:$D,MATCH($C66,CCESAN!$A:$A,0)),
IF($B66="SCORIO",INDEX(CSCORIO!$B:$B,MATCH($C66,CSCORIO!#REF!,0)),
IF($B66="MERC",INDEX(MERCADO!$E:$E,MATCH($C66,MERCADO!$A:$A,0)),
IF($B66="COMP",INDEX(COMPOSICAO!$H:$H,MATCH($C66,COMPOSICAO!$A:$A,0)),
0)))))),0)</f>
        <v>11.72</v>
      </c>
      <c r="H66" s="173">
        <f t="shared" si="62"/>
        <v>15.62</v>
      </c>
      <c r="I66" s="180">
        <f t="shared" si="63"/>
        <v>4276.6000000000004</v>
      </c>
      <c r="J66" s="194">
        <f t="shared" ref="J66" si="64">I66/I$63</f>
        <v>1.0735428568545344E-2</v>
      </c>
    </row>
    <row r="67" spans="1:10" ht="38.25">
      <c r="A67" s="175" t="s">
        <v>14225</v>
      </c>
      <c r="B67" s="176" t="s">
        <v>12617</v>
      </c>
      <c r="C67" s="176">
        <v>40328</v>
      </c>
      <c r="D67" s="178" t="str">
        <f>IFERROR(PROPER(
IF($B67="DER-ES",INDEX('CDER-ES'!$B:$B,MATCH($C67,'CDER-ES'!$A:$A,0)),
IF($B67="SINAPI",INDEX(CSINAPI!$B:$B,MATCH($C67,CSINAPI!$A:$A,0)),
IF($B67="CESAN",INDEX(CCESAN!$B:$B,MATCH($C67,CCESAN!$A:$A,0)),
IF($B67="SCORIO",INDEX(CSCORIO!$B:$B,MATCH($C67,CSCORIO!$A:$A,0)),
IF($B67="MERC",INDEX(MERCADO!$B:$B,MATCH($C67,MERCADO!$A:$A,0)),
IF($B67="COMP",INDEX(COMPOSICAO!$B:$B,MATCH($C67,COMPOSICAO!$A:$A,0)),
""))))))),"*Verificar código*")</f>
        <v>Fornecimento, Dobragem E Colocação Em Fôrma, De Armadura Ca-50 A Média, Diâmetro De 6.3 A 10.0 Mm</v>
      </c>
      <c r="E67" s="171" t="str">
        <f>IFERROR(LOWER(
IF($B67="DER-ES",INDEX('CDER-ES'!$C:$C,MATCH($C67,'CDER-ES'!$A:$A,0)),
IF($B67="SINAPI",INDEX(CSINAPI!$C:$C,MATCH($C67,CSINAPI!$A:$A,0)),
IF($B67="CESAN",INDEX(CCESAN!$C:$C,MATCH($C67,CCESAN!$A:$A,0)),
IF($B67="SCORIO",INDEX(CSCORIO!$A:$A,MATCH($C67,CSCORIO!#REF!,0)),
IF($B67="MERC",INDEX(MERCADO!$D:$D,MATCH($C67,MERCADO!$A:$A,0)),
IF($B67="COMP",INDEX(COMPOSICAO!$G:$G,MATCH($C67,COMPOSICAO!$A:$A,0)),
""))))))),"")</f>
        <v>kg</v>
      </c>
      <c r="F67" s="179">
        <f>VLOOKUP(A67,'MEMÓRIA DE CÁLCULO'!A:H,8,0)</f>
        <v>120.3</v>
      </c>
      <c r="G67" s="173">
        <f>IFERROR(
IF($B67="DER-ES",INDEX('CDER-ES'!$D:$D,MATCH($C67,'CDER-ES'!$A:$A,0)),
IF($B67="SINAPI",INDEX(CSINAPI!$D:$D,MATCH($C67,CSINAPI!$A:$A,0)),
IF($B67="CESAN",INDEX(CCESAN!$D:$D,MATCH($C67,CCESAN!$A:$A,0)),
IF($B67="SCORIO",INDEX(CSCORIO!$B:$B,MATCH($C67,CSCORIO!#REF!,0)),
IF($B67="MERC",INDEX(MERCADO!$E:$E,MATCH($C67,MERCADO!$A:$A,0)),
IF($B67="COMP",INDEX(COMPOSICAO!$H:$H,MATCH($C67,COMPOSICAO!$A:$A,0)),
0)))))),0)</f>
        <v>11.13</v>
      </c>
      <c r="H67" s="173">
        <f t="shared" si="62"/>
        <v>14.83</v>
      </c>
      <c r="I67" s="180">
        <f t="shared" si="63"/>
        <v>1784.05</v>
      </c>
      <c r="J67" s="194">
        <f t="shared" ref="J67:J68" si="65">I67/I$63</f>
        <v>4.4784504834946733E-3</v>
      </c>
    </row>
    <row r="68" spans="1:10" ht="38.25">
      <c r="A68" s="175" t="s">
        <v>14226</v>
      </c>
      <c r="B68" s="176" t="s">
        <v>12617</v>
      </c>
      <c r="C68" s="176">
        <v>40332</v>
      </c>
      <c r="D68" s="178" t="str">
        <f>IFERROR(PROPER(
IF($B68="DER-ES",INDEX('CDER-ES'!$B:$B,MATCH($C68,'CDER-ES'!$A:$A,0)),
IF($B68="SINAPI",INDEX(CSINAPI!$B:$B,MATCH($C68,CSINAPI!$A:$A,0)),
IF($B68="CESAN",INDEX(CCESAN!$B:$B,MATCH($C68,CCESAN!$A:$A,0)),
IF($B68="SCORIO",INDEX(CSCORIO!$B:$B,MATCH($C68,CSCORIO!$A:$A,0)),
IF($B68="MERC",INDEX(MERCADO!$B:$B,MATCH($C68,MERCADO!$A:$A,0)),
IF($B68="COMP",INDEX(COMPOSICAO!$B:$B,MATCH($C68,COMPOSICAO!$A:$A,0)),
""))))))),"*Verificar código*")</f>
        <v>Fornecimento, Dobragem E Colocação Em Fôrma, De Armadura Ca-50 A Grossa, Diâmetro De 12.5 A 25.0Mm</v>
      </c>
      <c r="E68" s="171" t="str">
        <f>IFERROR(LOWER(
IF($B68="DER-ES",INDEX('CDER-ES'!$C:$C,MATCH($C68,'CDER-ES'!$A:$A,0)),
IF($B68="SINAPI",INDEX(CSINAPI!$C:$C,MATCH($C68,CSINAPI!$A:$A,0)),
IF($B68="CESAN",INDEX(CCESAN!$C:$C,MATCH($C68,CCESAN!$A:$A,0)),
IF($B68="SCORIO",INDEX(CSCORIO!$A:$A,MATCH($C68,CSCORIO!#REF!,0)),
IF($B68="MERC",INDEX(MERCADO!$D:$D,MATCH($C68,MERCADO!$A:$A,0)),
IF($B68="COMP",INDEX(COMPOSICAO!$G:$G,MATCH($C68,COMPOSICAO!$A:$A,0)),
""))))))),"")</f>
        <v>kg</v>
      </c>
      <c r="F68" s="179">
        <f>VLOOKUP(A68,'MEMÓRIA DE CÁLCULO'!A:H,8,0)</f>
        <v>2244</v>
      </c>
      <c r="G68" s="173">
        <f>IFERROR(
IF($B68="DER-ES",INDEX('CDER-ES'!$D:$D,MATCH($C68,'CDER-ES'!$A:$A,0)),
IF($B68="SINAPI",INDEX(CSINAPI!$D:$D,MATCH($C68,CSINAPI!$A:$A,0)),
IF($B68="CESAN",INDEX(CCESAN!$D:$D,MATCH($C68,CCESAN!$A:$A,0)),
IF($B68="SCORIO",INDEX(CSCORIO!$B:$B,MATCH($C68,CSCORIO!#REF!,0)),
IF($B68="MERC",INDEX(MERCADO!$E:$E,MATCH($C68,MERCADO!$A:$A,0)),
IF($B68="COMP",INDEX(COMPOSICAO!$H:$H,MATCH($C68,COMPOSICAO!$A:$A,0)),
0)))))),0)</f>
        <v>11.59</v>
      </c>
      <c r="H68" s="173">
        <f t="shared" si="62"/>
        <v>15.44</v>
      </c>
      <c r="I68" s="180">
        <f t="shared" si="63"/>
        <v>34647.360000000001</v>
      </c>
      <c r="J68" s="194">
        <f t="shared" si="65"/>
        <v>8.6974292280941681E-2</v>
      </c>
    </row>
    <row r="69" spans="1:10" ht="38.25">
      <c r="A69" s="175" t="s">
        <v>14498</v>
      </c>
      <c r="B69" s="176" t="s">
        <v>12617</v>
      </c>
      <c r="C69" s="176">
        <v>40324</v>
      </c>
      <c r="D69" s="178" t="str">
        <f>IFERROR(PROPER(
IF($B69="DER-ES",INDEX('CDER-ES'!$B:$B,MATCH($C69,'CDER-ES'!$A:$A,0)),
IF($B69="SINAPI",INDEX(CSINAPI!$B:$B,MATCH($C69,CSINAPI!$A:$A,0)),
IF($B69="CESAN",INDEX(CCESAN!$B:$B,MATCH($C69,CCESAN!$A:$A,0)),
IF($B69="SCORIO",INDEX(CSCORIO!$B:$B,MATCH($C69,CSCORIO!$A:$A,0)),
IF($B69="MERC",INDEX(MERCADO!$B:$B,MATCH($C69,MERCADO!$A:$A,0)),
IF($B69="COMP",INDEX(COMPOSICAO!$B:$B,MATCH($C69,COMPOSICAO!$A:$A,0)),
""))))))),"*Verificar código*")</f>
        <v>Fornecimento, Preparo E Aplicação De Concreto Fck=25 Mpa (Brita 1 E 2) - (5% De Perdas Já Incluído No Custo)</v>
      </c>
      <c r="E69" s="171" t="str">
        <f>IFERROR(LOWER(
IF($B69="DER-ES",INDEX('CDER-ES'!$C:$C,MATCH($C69,'CDER-ES'!$A:$A,0)),
IF($B69="SINAPI",INDEX(CSINAPI!$C:$C,MATCH($C69,CSINAPI!$A:$A,0)),
IF($B69="CESAN",INDEX(CCESAN!$C:$C,MATCH($C69,CCESAN!$A:$A,0)),
IF($B69="SCORIO",INDEX(CSCORIO!$A:$A,MATCH($C69,CSCORIO!#REF!,0)),
IF($B69="MERC",INDEX(MERCADO!$D:$D,MATCH($C69,MERCADO!$A:$A,0)),
IF($B69="COMP",INDEX(COMPOSICAO!$G:$G,MATCH($C69,COMPOSICAO!$A:$A,0)),
""))))))),"")</f>
        <v>m3</v>
      </c>
      <c r="F69" s="179">
        <f>VLOOKUP(A69,'MEMÓRIA DE CÁLCULO'!A:H,8,0)</f>
        <v>24.38</v>
      </c>
      <c r="G69" s="173">
        <f>IFERROR(
IF($B69="DER-ES",INDEX('CDER-ES'!$D:$D,MATCH($C69,'CDER-ES'!$A:$A,0)),
IF($B69="SINAPI",INDEX(CSINAPI!$D:$D,MATCH($C69,CSINAPI!$A:$A,0)),
IF($B69="CESAN",INDEX(CCESAN!$D:$D,MATCH($C69,CCESAN!$A:$A,0)),
IF($B69="SCORIO",INDEX(CSCORIO!$B:$B,MATCH($C69,CSCORIO!#REF!,0)),
IF($B69="MERC",INDEX(MERCADO!$E:$E,MATCH($C69,MERCADO!$A:$A,0)),
IF($B69="COMP",INDEX(COMPOSICAO!$H:$H,MATCH($C69,COMPOSICAO!$A:$A,0)),
0)))))),0)</f>
        <v>833.43</v>
      </c>
      <c r="H69" s="173">
        <f t="shared" si="62"/>
        <v>1110.55</v>
      </c>
      <c r="I69" s="180">
        <f t="shared" si="63"/>
        <v>27075.21</v>
      </c>
      <c r="J69" s="194">
        <f t="shared" ref="J69" si="66">I69/I$63</f>
        <v>6.7966137336520738E-2</v>
      </c>
    </row>
    <row r="70" spans="1:10">
      <c r="A70" s="167" t="s">
        <v>12591</v>
      </c>
      <c r="B70" s="168"/>
      <c r="C70" s="169"/>
      <c r="D70" s="170" t="s">
        <v>14942</v>
      </c>
      <c r="E70" s="171"/>
      <c r="F70" s="172"/>
      <c r="G70" s="173"/>
      <c r="H70" s="173"/>
      <c r="I70" s="174"/>
      <c r="J70" s="193"/>
    </row>
    <row r="71" spans="1:10" ht="63.75">
      <c r="A71" s="175" t="s">
        <v>13915</v>
      </c>
      <c r="B71" s="176" t="s">
        <v>12617</v>
      </c>
      <c r="C71" s="177">
        <v>40339</v>
      </c>
      <c r="D71" s="178" t="str">
        <f>IFERROR(PROPER(
IF($B71="DER-ES",INDEX('CDER-ES'!$B:$B,MATCH($C71,'CDER-ES'!$A:$A,0)),
IF($B71="SINAPI",INDEX(CSINAPI!$B:$B,MATCH($C71,CSINAPI!$A:$A,0)),
IF($B71="CESAN",INDEX(CCESAN!$B:$B,MATCH($C71,CCESAN!$A:$A,0)),
IF($B71="SCORIO",INDEX(CSCORIO!$B:$B,MATCH($C71,CSCORIO!$A:$A,0)),
IF($B71="MERC",INDEX(MERCADO!$B:$B,MATCH($C71,MERCADO!$A:$A,0)),
IF($B71="COMP",INDEX(COMPOSICAO!$B:$B,MATCH($C71,COMPOSICAO!$A:$A,0)),
""))))))),"*Verificar código*")</f>
        <v>Forma De Chapas Madeira Compensada Resinada, Esp. 12Mm, Levando-Se Em Conta A Utilização 3 Vezes, Reforçadas Com Sarrafos De Madeira De 2.5 X 10.0Cm (Incl Material, Corte, Montagem, Escoras Em Eucalipto E Desforma)</v>
      </c>
      <c r="E71" s="171" t="str">
        <f>IFERROR(LOWER(
IF($B71="DER-ES",INDEX('CDER-ES'!$C:$C,MATCH($C71,'CDER-ES'!$A:$A,0)),
IF($B71="SINAPI",INDEX(CSINAPI!$C:$C,MATCH($C71,CSINAPI!$A:$A,0)),
IF($B71="CESAN",INDEX(CCESAN!$C:$C,MATCH($C71,CCESAN!$A:$A,0)),
IF($B71="SCORIO",INDEX(CSCORIO!$A:$A,MATCH($C71,CSCORIO!#REF!,0)),
IF($B71="MERC",INDEX(MERCADO!$D:$D,MATCH($C71,MERCADO!$A:$A,0)),
IF($B71="COMP",INDEX(COMPOSICAO!$G:$G,MATCH($C71,COMPOSICAO!$A:$A,0)),
""))))))),"")</f>
        <v>m2</v>
      </c>
      <c r="F71" s="179">
        <f>VLOOKUP(A71,'MEMÓRIA DE CÁLCULO'!A:H,8,0)</f>
        <v>234.77</v>
      </c>
      <c r="G71" s="173">
        <f>IFERROR(
IF($B71="DER-ES",INDEX('CDER-ES'!$D:$D,MATCH($C71,'CDER-ES'!$A:$A,0)),
IF($B71="SINAPI",INDEX(CSINAPI!$D:$D,MATCH($C71,CSINAPI!$A:$A,0)),
IF($B71="CESAN",INDEX(CCESAN!$D:$D,MATCH($C71,CCESAN!$A:$A,0)),
IF($B71="SCORIO",INDEX(CSCORIO!$B:$B,MATCH($C71,CSCORIO!#REF!,0)),
IF($B71="MERC",INDEX(MERCADO!$E:$E,MATCH($C71,MERCADO!$A:$A,0)),
IF($B71="COMP",INDEX(COMPOSICAO!$H:$H,MATCH($C71,COMPOSICAO!$A:$A,0)),
0)))))),0)</f>
        <v>121.33</v>
      </c>
      <c r="H71" s="173">
        <f t="shared" ref="H71:H74" si="67">ROUND(G71*(1+$J$2),2)</f>
        <v>161.66999999999999</v>
      </c>
      <c r="I71" s="180">
        <f t="shared" ref="I71:I74" si="68">ROUND($H71*F71,2)</f>
        <v>37955.269999999997</v>
      </c>
      <c r="J71" s="194">
        <f>I71/I$63</f>
        <v>9.5278045616810553E-2</v>
      </c>
    </row>
    <row r="72" spans="1:10" ht="38.25">
      <c r="A72" s="175" t="s">
        <v>14215</v>
      </c>
      <c r="B72" s="176" t="s">
        <v>12617</v>
      </c>
      <c r="C72" s="176">
        <v>40333</v>
      </c>
      <c r="D72" s="178" t="str">
        <f>IFERROR(PROPER(
IF($B72="DER-ES",INDEX('CDER-ES'!$B:$B,MATCH($C72,'CDER-ES'!$A:$A,0)),
IF($B72="SINAPI",INDEX(CSINAPI!$B:$B,MATCH($C72,CSINAPI!$A:$A,0)),
IF($B72="CESAN",INDEX(CCESAN!$B:$B,MATCH($C72,CCESAN!$A:$A,0)),
IF($B72="SCORIO",INDEX(CSCORIO!$B:$B,MATCH($C72,CSCORIO!$A:$A,0)),
IF($B72="MERC",INDEX(MERCADO!$B:$B,MATCH($C72,MERCADO!$A:$A,0)),
IF($B72="COMP",INDEX(COMPOSICAO!$B:$B,MATCH($C72,COMPOSICAO!$A:$A,0)),
""))))))),"*Verificar código*")</f>
        <v>Fornecimento, Dobragem E Colocação Em Fôrma, De Armadura Ca-60 B Fina, Diâmetro De 4.0 A 7.0Mm</v>
      </c>
      <c r="E72" s="171" t="str">
        <f>IFERROR(LOWER(
IF($B72="DER-ES",INDEX('CDER-ES'!$C:$C,MATCH($C72,'CDER-ES'!$A:$A,0)),
IF($B72="SINAPI",INDEX(CSINAPI!$C:$C,MATCH($C72,CSINAPI!$A:$A,0)),
IF($B72="CESAN",INDEX(CCESAN!$C:$C,MATCH($C72,CCESAN!$A:$A,0)),
IF($B72="SCORIO",INDEX(CSCORIO!$A:$A,MATCH($C72,CSCORIO!#REF!,0)),
IF($B72="MERC",INDEX(MERCADO!$D:$D,MATCH($C72,MERCADO!$A:$A,0)),
IF($B72="COMP",INDEX(COMPOSICAO!$G:$G,MATCH($C72,COMPOSICAO!$A:$A,0)),
""))))))),"")</f>
        <v>kg</v>
      </c>
      <c r="F72" s="179">
        <f>VLOOKUP(A72,'MEMÓRIA DE CÁLCULO'!A:H,8,0)</f>
        <v>423.51</v>
      </c>
      <c r="G72" s="173">
        <f>IFERROR(
IF($B72="DER-ES",INDEX('CDER-ES'!$D:$D,MATCH($C72,'CDER-ES'!$A:$A,0)),
IF($B72="SINAPI",INDEX(CSINAPI!$D:$D,MATCH($C72,CSINAPI!$A:$A,0)),
IF($B72="CESAN",INDEX(CCESAN!$D:$D,MATCH($C72,CCESAN!$A:$A,0)),
IF($B72="SCORIO",INDEX(CSCORIO!$B:$B,MATCH($C72,CSCORIO!#REF!,0)),
IF($B72="MERC",INDEX(MERCADO!$E:$E,MATCH($C72,MERCADO!$A:$A,0)),
IF($B72="COMP",INDEX(COMPOSICAO!$H:$H,MATCH($C72,COMPOSICAO!$A:$A,0)),
0)))))),0)</f>
        <v>11.72</v>
      </c>
      <c r="H72" s="173">
        <f t="shared" si="67"/>
        <v>15.62</v>
      </c>
      <c r="I72" s="180">
        <f t="shared" si="68"/>
        <v>6615.23</v>
      </c>
      <c r="J72" s="194">
        <f t="shared" ref="J72:J74" si="69">I72/I$63</f>
        <v>1.6606025611349721E-2</v>
      </c>
    </row>
    <row r="73" spans="1:10" ht="38.25">
      <c r="A73" s="175" t="s">
        <v>14218</v>
      </c>
      <c r="B73" s="176" t="s">
        <v>12617</v>
      </c>
      <c r="C73" s="176">
        <v>40328</v>
      </c>
      <c r="D73" s="178" t="str">
        <f>IFERROR(PROPER(
IF($B73="DER-ES",INDEX('CDER-ES'!$B:$B,MATCH($C73,'CDER-ES'!$A:$A,0)),
IF($B73="SINAPI",INDEX(CSINAPI!$B:$B,MATCH($C73,CSINAPI!$A:$A,0)),
IF($B73="CESAN",INDEX(CCESAN!$B:$B,MATCH($C73,CCESAN!$A:$A,0)),
IF($B73="SCORIO",INDEX(CSCORIO!$B:$B,MATCH($C73,CSCORIO!$A:$A,0)),
IF($B73="MERC",INDEX(MERCADO!$B:$B,MATCH($C73,MERCADO!$A:$A,0)),
IF($B73="COMP",INDEX(COMPOSICAO!$B:$B,MATCH($C73,COMPOSICAO!$A:$A,0)),
""))))))),"*Verificar código*")</f>
        <v>Fornecimento, Dobragem E Colocação Em Fôrma, De Armadura Ca-50 A Média, Diâmetro De 6.3 A 10.0 Mm</v>
      </c>
      <c r="E73" s="171" t="str">
        <f>IFERROR(LOWER(
IF($B73="DER-ES",INDEX('CDER-ES'!$C:$C,MATCH($C73,'CDER-ES'!$A:$A,0)),
IF($B73="SINAPI",INDEX(CSINAPI!$C:$C,MATCH($C73,CSINAPI!$A:$A,0)),
IF($B73="CESAN",INDEX(CCESAN!$C:$C,MATCH($C73,CCESAN!$A:$A,0)),
IF($B73="SCORIO",INDEX(CSCORIO!$A:$A,MATCH($C73,CSCORIO!#REF!,0)),
IF($B73="MERC",INDEX(MERCADO!$D:$D,MATCH($C73,MERCADO!$A:$A,0)),
IF($B73="COMP",INDEX(COMPOSICAO!$G:$G,MATCH($C73,COMPOSICAO!$A:$A,0)),
""))))))),"")</f>
        <v>kg</v>
      </c>
      <c r="F73" s="179">
        <f>VLOOKUP(A73,'MEMÓRIA DE CÁLCULO'!A:H,8,0)</f>
        <v>729.95</v>
      </c>
      <c r="G73" s="173">
        <f>IFERROR(
IF($B73="DER-ES",INDEX('CDER-ES'!$D:$D,MATCH($C73,'CDER-ES'!$A:$A,0)),
IF($B73="SINAPI",INDEX(CSINAPI!$D:$D,MATCH($C73,CSINAPI!$A:$A,0)),
IF($B73="CESAN",INDEX(CCESAN!$D:$D,MATCH($C73,CCESAN!$A:$A,0)),
IF($B73="SCORIO",INDEX(CSCORIO!$B:$B,MATCH($C73,CSCORIO!#REF!,0)),
IF($B73="MERC",INDEX(MERCADO!$E:$E,MATCH($C73,MERCADO!$A:$A,0)),
IF($B73="COMP",INDEX(COMPOSICAO!$H:$H,MATCH($C73,COMPOSICAO!$A:$A,0)),
0)))))),0)</f>
        <v>11.13</v>
      </c>
      <c r="H73" s="173">
        <f t="shared" si="67"/>
        <v>14.83</v>
      </c>
      <c r="I73" s="180">
        <f t="shared" si="68"/>
        <v>10825.16</v>
      </c>
      <c r="J73" s="194">
        <f t="shared" si="69"/>
        <v>2.7174094356047868E-2</v>
      </c>
    </row>
    <row r="74" spans="1:10" ht="38.25">
      <c r="A74" s="175" t="s">
        <v>14227</v>
      </c>
      <c r="B74" s="176" t="s">
        <v>12617</v>
      </c>
      <c r="C74" s="176">
        <v>40324</v>
      </c>
      <c r="D74" s="178" t="str">
        <f>IFERROR(PROPER(
IF($B74="DER-ES",INDEX('CDER-ES'!$B:$B,MATCH($C74,'CDER-ES'!$A:$A,0)),
IF($B74="SINAPI",INDEX(CSINAPI!$B:$B,MATCH($C74,CSINAPI!$A:$A,0)),
IF($B74="CESAN",INDEX(CCESAN!$B:$B,MATCH($C74,CCESAN!$A:$A,0)),
IF($B74="SCORIO",INDEX(CSCORIO!$B:$B,MATCH($C74,CSCORIO!$A:$A,0)),
IF($B74="MERC",INDEX(MERCADO!$B:$B,MATCH($C74,MERCADO!$A:$A,0)),
IF($B74="COMP",INDEX(COMPOSICAO!$B:$B,MATCH($C74,COMPOSICAO!$A:$A,0)),
""))))))),"*Verificar código*")</f>
        <v>Fornecimento, Preparo E Aplicação De Concreto Fck=25 Mpa (Brita 1 E 2) - (5% De Perdas Já Incluído No Custo)</v>
      </c>
      <c r="E74" s="171" t="str">
        <f>IFERROR(LOWER(
IF($B74="DER-ES",INDEX('CDER-ES'!$C:$C,MATCH($C74,'CDER-ES'!$A:$A,0)),
IF($B74="SINAPI",INDEX(CSINAPI!$C:$C,MATCH($C74,CSINAPI!$A:$A,0)),
IF($B74="CESAN",INDEX(CCESAN!$C:$C,MATCH($C74,CCESAN!$A:$A,0)),
IF($B74="SCORIO",INDEX(CSCORIO!$A:$A,MATCH($C74,CSCORIO!#REF!,0)),
IF($B74="MERC",INDEX(MERCADO!$D:$D,MATCH($C74,MERCADO!$A:$A,0)),
IF($B74="COMP",INDEX(COMPOSICAO!$G:$G,MATCH($C74,COMPOSICAO!$A:$A,0)),
""))))))),"")</f>
        <v>m3</v>
      </c>
      <c r="F74" s="179">
        <f>VLOOKUP(A74,'MEMÓRIA DE CÁLCULO'!A:H,8,0)</f>
        <v>19.93</v>
      </c>
      <c r="G74" s="173">
        <f>IFERROR(
IF($B74="DER-ES",INDEX('CDER-ES'!$D:$D,MATCH($C74,'CDER-ES'!$A:$A,0)),
IF($B74="SINAPI",INDEX(CSINAPI!$D:$D,MATCH($C74,CSINAPI!$A:$A,0)),
IF($B74="CESAN",INDEX(CCESAN!$D:$D,MATCH($C74,CCESAN!$A:$A,0)),
IF($B74="SCORIO",INDEX(CSCORIO!$B:$B,MATCH($C74,CSCORIO!#REF!,0)),
IF($B74="MERC",INDEX(MERCADO!$E:$E,MATCH($C74,MERCADO!$A:$A,0)),
IF($B74="COMP",INDEX(COMPOSICAO!$H:$H,MATCH($C74,COMPOSICAO!$A:$A,0)),
0)))))),0)</f>
        <v>833.43</v>
      </c>
      <c r="H74" s="173">
        <f t="shared" si="67"/>
        <v>1110.55</v>
      </c>
      <c r="I74" s="180">
        <f t="shared" si="68"/>
        <v>22133.26</v>
      </c>
      <c r="J74" s="194">
        <f t="shared" si="69"/>
        <v>5.5560499396492984E-2</v>
      </c>
    </row>
    <row r="75" spans="1:10">
      <c r="A75" s="167" t="s">
        <v>13916</v>
      </c>
      <c r="B75" s="168"/>
      <c r="C75" s="169"/>
      <c r="D75" s="170" t="s">
        <v>14203</v>
      </c>
      <c r="E75" s="171"/>
      <c r="F75" s="172"/>
      <c r="G75" s="173"/>
      <c r="H75" s="173"/>
      <c r="I75" s="174"/>
      <c r="J75" s="193"/>
    </row>
    <row r="76" spans="1:10" ht="89.25">
      <c r="A76" s="175" t="s">
        <v>13917</v>
      </c>
      <c r="B76" s="176" t="s">
        <v>929</v>
      </c>
      <c r="C76" s="177">
        <v>1</v>
      </c>
      <c r="D76" s="178" t="str">
        <f>IFERROR(PROPER(
IF($B76="DER-ES",INDEX('CDER-ES'!$B:$B,MATCH($C76,'CDER-ES'!$A:$A,0)),
IF($B76="SINAPI",INDEX(CSINAPI!$B:$B,MATCH($C76,CSINAPI!$A:$A,0)),
IF($B76="CESAN",INDEX(CCESAN!$B:$B,MATCH($C76,CCESAN!$A:$A,0)),
IF($B76="SCORIO",INDEX(CSCORIO!$B:$B,MATCH($C76,CSCORIO!$A:$A,0)),
IF($B76="MERC",INDEX(MERCADO!$B:$B,MATCH($C76,MERCADO!$A:$A,0)),
IF($B76="COMP",INDEX(COMPOSICAO!$B:$B,MATCH($C76,COMPOSICAO!$A:$A,0)),
""))))))),"*Verificar código*")</f>
        <v>Laje Pré-Fabricada Convencional (Lajota + Vigotas) Para Piso, Unidirecional, Biapoiada, Sobrecarga De 350 Kg/ M², Vão Até 4,50 M, Altura Total Da Laje (Enchimento + Capa) = (8 + 5) = 13 Cm, Inclusive Instalação De Tela Anti-Fissuração (Tela Soldada Q-138) E Concreto Usinado Fck = 25 Mpa</v>
      </c>
      <c r="E76" s="171" t="str">
        <f>IFERROR(LOWER(
IF($B76="DER-ES",INDEX('CDER-ES'!$C:$C,MATCH($C76,'CDER-ES'!$A:$A,0)),
IF($B76="SINAPI",INDEX(CSINAPI!$C:$C,MATCH($C76,CSINAPI!$A:$A,0)),
IF($B76="CESAN",INDEX(CCESAN!$C:$C,MATCH($C76,CCESAN!$A:$A,0)),
IF($B76="SCORIO",INDEX(CSCORIO!$A:$A,MATCH($C76,CSCORIO!#REF!,0)),
IF($B76="MERC",INDEX(MERCADO!$D:$D,MATCH($C76,MERCADO!$A:$A,0)),
IF($B76="COMP",INDEX(COMPOSICAO!$G:$G,MATCH($C76,COMPOSICAO!$A:$A,0)),
""))))))),"")</f>
        <v>m²</v>
      </c>
      <c r="F76" s="179">
        <f>VLOOKUP(A76,'MEMÓRIA DE CÁLCULO'!A:H,8,0)</f>
        <v>214.59</v>
      </c>
      <c r="G76" s="173">
        <f>IFERROR(
IF($B76="DER-ES",INDEX('CDER-ES'!$D:$D,MATCH($C76,'CDER-ES'!$A:$A,0)),
IF($B76="SINAPI",INDEX(CSINAPI!$D:$D,MATCH($C76,CSINAPI!$A:$A,0)),
IF($B76="CESAN",INDEX(CCESAN!$D:$D,MATCH($C76,CCESAN!$A:$A,0)),
IF($B76="SCORIO",INDEX(CSCORIO!$B:$B,MATCH($C76,CSCORIO!#REF!,0)),
IF($B76="MERC",INDEX(MERCADO!$E:$E,MATCH($C76,MERCADO!$A:$A,0)),
IF($B76="COMP",INDEX(COMPOSICAO!$H:$H,MATCH($C76,COMPOSICAO!$A:$A,0)),
0)))))),0)</f>
        <v>240.79</v>
      </c>
      <c r="H76" s="173">
        <f t="shared" ref="H76" si="70">ROUND(G76*(1+$J$2),2)</f>
        <v>320.85000000000002</v>
      </c>
      <c r="I76" s="180">
        <f t="shared" ref="I76" si="71">ROUND($H76*F76,2)</f>
        <v>68851.199999999997</v>
      </c>
      <c r="J76" s="194">
        <f>I76/I$63</f>
        <v>0.17283522879358115</v>
      </c>
    </row>
    <row r="77" spans="1:10">
      <c r="A77" s="167" t="s">
        <v>14606</v>
      </c>
      <c r="B77" s="168"/>
      <c r="C77" s="169"/>
      <c r="D77" s="170" t="s">
        <v>14467</v>
      </c>
      <c r="E77" s="171"/>
      <c r="F77" s="172"/>
      <c r="G77" s="173"/>
      <c r="H77" s="173"/>
      <c r="I77" s="174"/>
      <c r="J77" s="193"/>
    </row>
    <row r="78" spans="1:10" ht="25.5">
      <c r="A78" s="175" t="s">
        <v>14607</v>
      </c>
      <c r="B78" s="176" t="s">
        <v>12617</v>
      </c>
      <c r="C78" s="176">
        <v>30101</v>
      </c>
      <c r="D78" s="178" t="str">
        <f>IFERROR(PROPER(
IF($B78="DER-ES",INDEX('CDER-ES'!$B:$B,MATCH($C78,'CDER-ES'!$A:$A,0)),
IF($B78="SINAPI",INDEX(CSINAPI!$B:$B,MATCH($C78,CSINAPI!$A:$A,0)),
IF($B78="CESAN",INDEX(CCESAN!$B:$B,MATCH($C78,CCESAN!$A:$A,0)),
IF($B78="SCORIO",INDEX(CSCORIO!$B:$B,MATCH($C78,CSCORIO!$A:$A,0)),
IF($B78="MERC",INDEX(MERCADO!$B:$B,MATCH($C78,MERCADO!$A:$A,0)),
IF($B78="COMP",INDEX(COMPOSICAO!$B:$B,MATCH($C78,COMPOSICAO!$A:$A,0)),
""))))))),"*Verificar código*")</f>
        <v>Escavação Manual Em Material De 1A. Categoria, Até 1.50 M De Profundidade</v>
      </c>
      <c r="E78" s="171" t="str">
        <f>IFERROR(LOWER(
IF($B78="DER-ES",INDEX('CDER-ES'!$C:$C,MATCH($C78,'CDER-ES'!$A:$A,0)),
IF($B78="SINAPI",INDEX(CSINAPI!$C:$C,MATCH($C78,CSINAPI!$A:$A,0)),
IF($B78="CESAN",INDEX(CCESAN!$C:$C,MATCH($C78,CCESAN!$A:$A,0)),
IF($B78="SCORIO",INDEX(CSCORIO!$A:$A,MATCH($C78,CSCORIO!#REF!,0)),
IF($B78="MERC",INDEX(MERCADO!$D:$D,MATCH($C78,MERCADO!$A:$A,0)),
IF($B78="COMP",INDEX(COMPOSICAO!$G:$G,MATCH($C78,COMPOSICAO!$A:$A,0)),
""))))))),"")</f>
        <v>m3</v>
      </c>
      <c r="F78" s="179">
        <f>VLOOKUP(A78,'MEMÓRIA DE CÁLCULO'!A:H,8,0)</f>
        <v>34.14</v>
      </c>
      <c r="G78" s="173">
        <f>IFERROR(
IF($B78="DER-ES",INDEX('CDER-ES'!$D:$D,MATCH($C78,'CDER-ES'!$A:$A,0)),
IF($B78="SINAPI",INDEX(CSINAPI!$D:$D,MATCH($C78,CSINAPI!$A:$A,0)),
IF($B78="CESAN",INDEX(CCESAN!$D:$D,MATCH($C78,CCESAN!$A:$A,0)),
IF($B78="SCORIO",INDEX(CSCORIO!$B:$B,MATCH($C78,CSCORIO!#REF!,0)),
IF($B78="MERC",INDEX(MERCADO!$E:$E,MATCH($C78,MERCADO!$A:$A,0)),
IF($B78="COMP",INDEX(COMPOSICAO!$H:$H,MATCH($C78,COMPOSICAO!$A:$A,0)),
0)))))),0)</f>
        <v>54.86</v>
      </c>
      <c r="H78" s="173">
        <f t="shared" ref="H78:H89" si="72">ROUND(G78*(1+$J$2),2)</f>
        <v>73.099999999999994</v>
      </c>
      <c r="I78" s="180">
        <f t="shared" ref="I78:I89" si="73">ROUND($H78*F78,2)</f>
        <v>2495.63</v>
      </c>
      <c r="J78" s="194">
        <f>I78/I$63</f>
        <v>6.2647097223305472E-3</v>
      </c>
    </row>
    <row r="79" spans="1:10" ht="25.5">
      <c r="A79" s="175" t="s">
        <v>14608</v>
      </c>
      <c r="B79" s="176" t="s">
        <v>12617</v>
      </c>
      <c r="C79" s="176">
        <v>30119</v>
      </c>
      <c r="D79" s="178" t="str">
        <f>IFERROR(PROPER(
IF($B79="DER-ES",INDEX('CDER-ES'!$B:$B,MATCH($C79,'CDER-ES'!$A:$A,0)),
IF($B79="SINAPI",INDEX(CSINAPI!$B:$B,MATCH($C79,CSINAPI!$A:$A,0)),
IF($B79="CESAN",INDEX(CCESAN!$B:$B,MATCH($C79,CCESAN!$A:$A,0)),
IF($B79="SCORIO",INDEX(CSCORIO!$B:$B,MATCH($C79,CSCORIO!$A:$A,0)),
IF($B79="MERC",INDEX(MERCADO!$B:$B,MATCH($C79,MERCADO!$A:$A,0)),
IF($B79="COMP",INDEX(COMPOSICAO!$B:$B,MATCH($C79,COMPOSICAO!$A:$A,0)),
""))))))),"*Verificar código*")</f>
        <v>Apiloamento Do Fundo De Vala Com Maço De 30 A 60Kg</v>
      </c>
      <c r="E79" s="171" t="str">
        <f>IFERROR(LOWER(
IF($B79="DER-ES",INDEX('CDER-ES'!$C:$C,MATCH($C79,'CDER-ES'!$A:$A,0)),
IF($B79="SINAPI",INDEX(CSINAPI!$C:$C,MATCH($C79,CSINAPI!$A:$A,0)),
IF($B79="CESAN",INDEX(CCESAN!$C:$C,MATCH($C79,CCESAN!$A:$A,0)),
IF($B79="SCORIO",INDEX(CSCORIO!$A:$A,MATCH($C79,CSCORIO!#REF!,0)),
IF($B79="MERC",INDEX(MERCADO!$D:$D,MATCH($C79,MERCADO!$A:$A,0)),
IF($B79="COMP",INDEX(COMPOSICAO!$G:$G,MATCH($C79,COMPOSICAO!$A:$A,0)),
""))))))),"")</f>
        <v>m2</v>
      </c>
      <c r="F79" s="179">
        <f>VLOOKUP(A79,'MEMÓRIA DE CÁLCULO'!A:H,8,0)</f>
        <v>97.54</v>
      </c>
      <c r="G79" s="173">
        <f>IFERROR(
IF($B79="DER-ES",INDEX('CDER-ES'!$D:$D,MATCH($C79,'CDER-ES'!$A:$A,0)),
IF($B79="SINAPI",INDEX(CSINAPI!$D:$D,MATCH($C79,CSINAPI!$A:$A,0)),
IF($B79="CESAN",INDEX(CCESAN!$D:$D,MATCH($C79,CCESAN!$A:$A,0)),
IF($B79="SCORIO",INDEX(CSCORIO!$B:$B,MATCH($C79,CSCORIO!#REF!,0)),
IF($B79="MERC",INDEX(MERCADO!$E:$E,MATCH($C79,MERCADO!$A:$A,0)),
IF($B79="COMP",INDEX(COMPOSICAO!$H:$H,MATCH($C79,COMPOSICAO!$A:$A,0)),
0)))))),0)</f>
        <v>28.7</v>
      </c>
      <c r="H79" s="173">
        <f t="shared" si="72"/>
        <v>38.24</v>
      </c>
      <c r="I79" s="180">
        <f t="shared" si="73"/>
        <v>3729.93</v>
      </c>
      <c r="J79" s="194">
        <f>I79/I$63</f>
        <v>9.3631382595225961E-3</v>
      </c>
    </row>
    <row r="80" spans="1:10" ht="25.5">
      <c r="A80" s="175" t="s">
        <v>14609</v>
      </c>
      <c r="B80" s="176" t="s">
        <v>12617</v>
      </c>
      <c r="C80" s="176">
        <v>30201</v>
      </c>
      <c r="D80" s="178" t="str">
        <f>IFERROR(PROPER(
IF($B80="DER-ES",INDEX('CDER-ES'!$B:$B,MATCH($C80,'CDER-ES'!$A:$A,0)),
IF($B80="SINAPI",INDEX(CSINAPI!$B:$B,MATCH($C80,CSINAPI!$A:$A,0)),
IF($B80="CESAN",INDEX(CCESAN!$B:$B,MATCH($C80,CCESAN!$A:$A,0)),
IF($B80="SCORIO",INDEX(CSCORIO!$B:$B,MATCH($C80,CSCORIO!$A:$A,0)),
IF($B80="MERC",INDEX(MERCADO!$B:$B,MATCH($C80,MERCADO!$A:$A,0)),
IF($B80="COMP",INDEX(COMPOSICAO!$B:$B,MATCH($C80,COMPOSICAO!$A:$A,0)),
""))))))),"*Verificar código*")</f>
        <v>Reaterro Apiloado De Cavas De Fundação, Em Camadas De 20 Cm</v>
      </c>
      <c r="E80" s="171" t="str">
        <f>IFERROR(LOWER(
IF($B80="DER-ES",INDEX('CDER-ES'!$C:$C,MATCH($C80,'CDER-ES'!$A:$A,0)),
IF($B80="SINAPI",INDEX(CSINAPI!$C:$C,MATCH($C80,CSINAPI!$A:$A,0)),
IF($B80="CESAN",INDEX(CCESAN!$C:$C,MATCH($C80,CCESAN!$A:$A,0)),
IF($B80="SCORIO",INDEX(CSCORIO!$A:$A,MATCH($C80,CSCORIO!#REF!,0)),
IF($B80="MERC",INDEX(MERCADO!$D:$D,MATCH($C80,MERCADO!$A:$A,0)),
IF($B80="COMP",INDEX(COMPOSICAO!$G:$G,MATCH($C80,COMPOSICAO!$A:$A,0)),
""))))))),"")</f>
        <v>m3</v>
      </c>
      <c r="F80" s="179">
        <f>VLOOKUP(A80,'MEMÓRIA DE CÁLCULO'!A:H,8,0)</f>
        <v>21.28</v>
      </c>
      <c r="G80" s="173">
        <f>IFERROR(
IF($B80="DER-ES",INDEX('CDER-ES'!$D:$D,MATCH($C80,'CDER-ES'!$A:$A,0)),
IF($B80="SINAPI",INDEX(CSINAPI!$D:$D,MATCH($C80,CSINAPI!$A:$A,0)),
IF($B80="CESAN",INDEX(CCESAN!$D:$D,MATCH($C80,CCESAN!$A:$A,0)),
IF($B80="SCORIO",INDEX(CSCORIO!$B:$B,MATCH($C80,CSCORIO!#REF!,0)),
IF($B80="MERC",INDEX(MERCADO!$E:$E,MATCH($C80,MERCADO!$A:$A,0)),
IF($B80="COMP",INDEX(COMPOSICAO!$H:$H,MATCH($C80,COMPOSICAO!$A:$A,0)),
0)))))),0)</f>
        <v>59.08</v>
      </c>
      <c r="H80" s="173">
        <f t="shared" ref="H80:H82" si="74">ROUND(G80*(1+$J$2),2)</f>
        <v>78.72</v>
      </c>
      <c r="I80" s="180">
        <f t="shared" ref="I80:I82" si="75">ROUND($H80*F80,2)</f>
        <v>1675.16</v>
      </c>
      <c r="J80" s="194">
        <f>I80/I$63</f>
        <v>4.2051069823889117E-3</v>
      </c>
    </row>
    <row r="81" spans="1:10" ht="51">
      <c r="A81" s="175" t="s">
        <v>14610</v>
      </c>
      <c r="B81" s="176" t="s">
        <v>12617</v>
      </c>
      <c r="C81" s="177">
        <v>40231</v>
      </c>
      <c r="D81" s="178" t="str">
        <f>IFERROR(PROPER(
IF($B81="DER-ES",INDEX('CDER-ES'!$B:$B,MATCH($C81,'CDER-ES'!$A:$A,0)),
IF($B81="SINAPI",INDEX(CSINAPI!$B:$B,MATCH($C81,CSINAPI!$A:$A,0)),
IF($B81="CESAN",INDEX(CCESAN!$B:$B,MATCH($C81,CCESAN!$A:$A,0)),
IF($B81="SCORIO",INDEX(CSCORIO!$B:$B,MATCH($C81,CSCORIO!$A:$A,0)),
IF($B81="MERC",INDEX(MERCADO!$B:$B,MATCH($C81,MERCADO!$A:$A,0)),
IF($B81="COMP",INDEX(COMPOSICAO!$B:$B,MATCH($C81,COMPOSICAO!$A:$A,0)),
""))))))),"*Verificar código*")</f>
        <v>Fornecimento, Preparo E Aplicação De Concreto Magro Com Consumo Mínimo De Cimento De 250 Kg/M3 (Brita 1 E 2) - (5% De Perdas Já Incluído No Custo)</v>
      </c>
      <c r="E81" s="171" t="str">
        <f>IFERROR(LOWER(
IF($B81="DER-ES",INDEX('CDER-ES'!$C:$C,MATCH($C81,'CDER-ES'!$A:$A,0)),
IF($B81="SINAPI",INDEX(CSINAPI!$C:$C,MATCH($C81,CSINAPI!$A:$A,0)),
IF($B81="CESAN",INDEX(CCESAN!$C:$C,MATCH($C81,CCESAN!$A:$A,0)),
IF($B81="SCORIO",INDEX(CSCORIO!$A:$A,MATCH($C81,CSCORIO!#REF!,0)),
IF($B81="MERC",INDEX(MERCADO!$D:$D,MATCH($C81,MERCADO!$A:$A,0)),
IF($B81="COMP",INDEX(COMPOSICAO!$G:$G,MATCH($C81,COMPOSICAO!$A:$A,0)),
""))))))),"")</f>
        <v>m3</v>
      </c>
      <c r="F81" s="179">
        <f>VLOOKUP(A81,'MEMÓRIA DE CÁLCULO'!A:H,8,0)</f>
        <v>4.88</v>
      </c>
      <c r="G81" s="173">
        <f>IFERROR(
IF($B81="DER-ES",INDEX('CDER-ES'!$D:$D,MATCH($C81,'CDER-ES'!$A:$A,0)),
IF($B81="SINAPI",INDEX(CSINAPI!$D:$D,MATCH($C81,CSINAPI!$A:$A,0)),
IF($B81="CESAN",INDEX(CCESAN!$D:$D,MATCH($C81,CCESAN!$A:$A,0)),
IF($B81="SCORIO",INDEX(CSCORIO!$B:$B,MATCH($C81,CSCORIO!#REF!,0)),
IF($B81="MERC",INDEX(MERCADO!$E:$E,MATCH($C81,MERCADO!$A:$A,0)),
IF($B81="COMP",INDEX(COMPOSICAO!$H:$H,MATCH($C81,COMPOSICAO!$A:$A,0)),
0)))))),0)</f>
        <v>656.8</v>
      </c>
      <c r="H81" s="173">
        <f t="shared" si="74"/>
        <v>875.19</v>
      </c>
      <c r="I81" s="180">
        <f t="shared" si="75"/>
        <v>4270.93</v>
      </c>
      <c r="J81" s="194">
        <f t="shared" ref="J81:J82" si="76">I81/I$37</f>
        <v>2.4934520269423336E-2</v>
      </c>
    </row>
    <row r="82" spans="1:10" ht="51">
      <c r="A82" s="175" t="s">
        <v>14611</v>
      </c>
      <c r="B82" s="176" t="s">
        <v>12617</v>
      </c>
      <c r="C82" s="176">
        <v>40249</v>
      </c>
      <c r="D82" s="178" t="str">
        <f>IFERROR(PROPER(
IF($B82="DER-ES",INDEX('CDER-ES'!$B:$B,MATCH($C82,'CDER-ES'!$A:$A,0)),
IF($B82="SINAPI",INDEX(CSINAPI!$B:$B,MATCH($C82,CSINAPI!$A:$A,0)),
IF($B82="CESAN",INDEX(CCESAN!$B:$B,MATCH($C82,CCESAN!$A:$A,0)),
IF($B82="SCORIO",INDEX(CSCORIO!$B:$B,MATCH($C82,CSCORIO!$A:$A,0)),
IF($B82="MERC",INDEX(MERCADO!$B:$B,MATCH($C82,MERCADO!$A:$A,0)),
IF($B82="COMP",INDEX(COMPOSICAO!$B:$B,MATCH($C82,COMPOSICAO!$A:$A,0)),
""))))))),"*Verificar código*")</f>
        <v>Fôrma De Tábua De Madeira De 2.5X30.0Cm, Levando-Se Em Conta Utilização 1 Vez (Incluindo O Material, Corte, Montagem, Escoramento E Desforma)</v>
      </c>
      <c r="E82" s="171" t="str">
        <f>IFERROR(LOWER(
IF($B82="DER-ES",INDEX('CDER-ES'!$C:$C,MATCH($C82,'CDER-ES'!$A:$A,0)),
IF($B82="SINAPI",INDEX(CSINAPI!$C:$C,MATCH($C82,CSINAPI!$A:$A,0)),
IF($B82="CESAN",INDEX(CCESAN!$C:$C,MATCH($C82,CCESAN!$A:$A,0)),
IF($B82="SCORIO",INDEX(CSCORIO!$A:$A,MATCH($C82,CSCORIO!#REF!,0)),
IF($B82="MERC",INDEX(MERCADO!$D:$D,MATCH($C82,MERCADO!$A:$A,0)),
IF($B82="COMP",INDEX(COMPOSICAO!$G:$G,MATCH($C82,COMPOSICAO!$A:$A,0)),
""))))))),"")</f>
        <v>m2</v>
      </c>
      <c r="F82" s="179">
        <f>VLOOKUP(A82,'MEMÓRIA DE CÁLCULO'!A:H,8,0)</f>
        <v>124.15</v>
      </c>
      <c r="G82" s="173">
        <f>IFERROR(
IF($B82="DER-ES",INDEX('CDER-ES'!$D:$D,MATCH($C82,'CDER-ES'!$A:$A,0)),
IF($B82="SINAPI",INDEX(CSINAPI!$D:$D,MATCH($C82,CSINAPI!$A:$A,0)),
IF($B82="CESAN",INDEX(CCESAN!$D:$D,MATCH($C82,CCESAN!$A:$A,0)),
IF($B82="SCORIO",INDEX(CSCORIO!$B:$B,MATCH($C82,CSCORIO!#REF!,0)),
IF($B82="MERC",INDEX(MERCADO!$E:$E,MATCH($C82,MERCADO!$A:$A,0)),
IF($B82="COMP",INDEX(COMPOSICAO!$H:$H,MATCH($C82,COMPOSICAO!$A:$A,0)),
0)))))),0)</f>
        <v>123.29</v>
      </c>
      <c r="H82" s="173">
        <f t="shared" si="74"/>
        <v>164.28</v>
      </c>
      <c r="I82" s="180">
        <f t="shared" si="75"/>
        <v>20395.36</v>
      </c>
      <c r="J82" s="194">
        <f t="shared" si="76"/>
        <v>0.11907207969275684</v>
      </c>
    </row>
    <row r="83" spans="1:10" ht="38.25">
      <c r="A83" s="175" t="s">
        <v>14612</v>
      </c>
      <c r="B83" s="176" t="s">
        <v>12617</v>
      </c>
      <c r="C83" s="176">
        <v>40246</v>
      </c>
      <c r="D83" s="178" t="str">
        <f>IFERROR(PROPER(
IF($B83="DER-ES",INDEX('CDER-ES'!$B:$B,MATCH($C83,'CDER-ES'!$A:$A,0)),
IF($B83="SINAPI",INDEX(CSINAPI!$B:$B,MATCH($C83,CSINAPI!$A:$A,0)),
IF($B83="CESAN",INDEX(CCESAN!$B:$B,MATCH($C83,CCESAN!$A:$A,0)),
IF($B83="SCORIO",INDEX(CSCORIO!$B:$B,MATCH($C83,CSCORIO!$A:$A,0)),
IF($B83="MERC",INDEX(MERCADO!$B:$B,MATCH($C83,MERCADO!$A:$A,0)),
IF($B83="COMP",INDEX(COMPOSICAO!$B:$B,MATCH($C83,COMPOSICAO!$A:$A,0)),
""))))))),"*Verificar código*")</f>
        <v>Fornecimento, Dobragem E Colocação Em Fôrma, De Armadura Ca-60 B Fina, Diâmetro De 4.0 A 7.0Mm</v>
      </c>
      <c r="E83" s="171" t="str">
        <f>IFERROR(LOWER(
IF($B83="DER-ES",INDEX('CDER-ES'!$C:$C,MATCH($C83,'CDER-ES'!$A:$A,0)),
IF($B83="SINAPI",INDEX(CSINAPI!$C:$C,MATCH($C83,CSINAPI!$A:$A,0)),
IF($B83="CESAN",INDEX(CCESAN!$C:$C,MATCH($C83,CCESAN!$A:$A,0)),
IF($B83="SCORIO",INDEX(CSCORIO!$A:$A,MATCH($C83,CSCORIO!#REF!,0)),
IF($B83="MERC",INDEX(MERCADO!$D:$D,MATCH($C83,MERCADO!$A:$A,0)),
IF($B83="COMP",INDEX(COMPOSICAO!$G:$G,MATCH($C83,COMPOSICAO!$A:$A,0)),
""))))))),"")</f>
        <v>kg</v>
      </c>
      <c r="F83" s="179">
        <f>VLOOKUP(A83,'MEMÓRIA DE CÁLCULO'!A:H,8,0)</f>
        <v>187.55</v>
      </c>
      <c r="G83" s="173">
        <f>IFERROR(
IF($B83="DER-ES",INDEX('CDER-ES'!$D:$D,MATCH($C83,'CDER-ES'!$A:$A,0)),
IF($B83="SINAPI",INDEX(CSINAPI!$D:$D,MATCH($C83,CSINAPI!$A:$A,0)),
IF($B83="CESAN",INDEX(CCESAN!$D:$D,MATCH($C83,CCESAN!$A:$A,0)),
IF($B83="SCORIO",INDEX(CSCORIO!$B:$B,MATCH($C83,CSCORIO!#REF!,0)),
IF($B83="MERC",INDEX(MERCADO!$E:$E,MATCH($C83,MERCADO!$A:$A,0)),
IF($B83="COMP",INDEX(COMPOSICAO!$H:$H,MATCH($C83,COMPOSICAO!$A:$A,0)),
0)))))),0)</f>
        <v>11.72</v>
      </c>
      <c r="H83" s="173">
        <f>ROUND(G83*(1+$J$2),2)</f>
        <v>15.62</v>
      </c>
      <c r="I83" s="180">
        <f>ROUND($H83*F83,2)</f>
        <v>2929.53</v>
      </c>
      <c r="J83" s="194">
        <f>I83/I$37</f>
        <v>1.7103166093774366E-2</v>
      </c>
    </row>
    <row r="84" spans="1:10" ht="38.25">
      <c r="A84" s="175" t="s">
        <v>14613</v>
      </c>
      <c r="B84" s="176" t="s">
        <v>12617</v>
      </c>
      <c r="C84" s="176">
        <v>40243</v>
      </c>
      <c r="D84" s="178" t="str">
        <f>IFERROR(PROPER(
IF($B84="DER-ES",INDEX('CDER-ES'!$B:$B,MATCH($C84,'CDER-ES'!$A:$A,0)),
IF($B84="SINAPI",INDEX(CSINAPI!$B:$B,MATCH($C84,CSINAPI!$A:$A,0)),
IF($B84="CESAN",INDEX(CCESAN!$B:$B,MATCH($C84,CCESAN!$A:$A,0)),
IF($B84="SCORIO",INDEX(CSCORIO!$B:$B,MATCH($C84,CSCORIO!$A:$A,0)),
IF($B84="MERC",INDEX(MERCADO!$B:$B,MATCH($C84,MERCADO!$A:$A,0)),
IF($B84="COMP",INDEX(COMPOSICAO!$B:$B,MATCH($C84,COMPOSICAO!$A:$A,0)),
""))))))),"*Verificar código*")</f>
        <v>Fornecimento, Dobragem E Colocação Em Fôrma, De Armadura Ca-50 A Média, Diâmetro De 6.3 A 10.0 Mm</v>
      </c>
      <c r="E84" s="171" t="str">
        <f>IFERROR(LOWER(
IF($B84="DER-ES",INDEX('CDER-ES'!$C:$C,MATCH($C84,'CDER-ES'!$A:$A,0)),
IF($B84="SINAPI",INDEX(CSINAPI!$C:$C,MATCH($C84,CSINAPI!$A:$A,0)),
IF($B84="CESAN",INDEX(CCESAN!$C:$C,MATCH($C84,CCESAN!$A:$A,0)),
IF($B84="SCORIO",INDEX(CSCORIO!$A:$A,MATCH($C84,CSCORIO!#REF!,0)),
IF($B84="MERC",INDEX(MERCADO!$D:$D,MATCH($C84,MERCADO!$A:$A,0)),
IF($B84="COMP",INDEX(COMPOSICAO!$G:$G,MATCH($C84,COMPOSICAO!$A:$A,0)),
""))))))),"")</f>
        <v>kg</v>
      </c>
      <c r="F84" s="179">
        <f>VLOOKUP(A84,'MEMÓRIA DE CÁLCULO'!A:H,8,0)</f>
        <v>156.07</v>
      </c>
      <c r="G84" s="173">
        <f>IFERROR(
IF($B84="DER-ES",INDEX('CDER-ES'!$D:$D,MATCH($C84,'CDER-ES'!$A:$A,0)),
IF($B84="SINAPI",INDEX(CSINAPI!$D:$D,MATCH($C84,CSINAPI!$A:$A,0)),
IF($B84="CESAN",INDEX(CCESAN!$D:$D,MATCH($C84,CCESAN!$A:$A,0)),
IF($B84="SCORIO",INDEX(CSCORIO!$B:$B,MATCH($C84,CSCORIO!#REF!,0)),
IF($B84="MERC",INDEX(MERCADO!$E:$E,MATCH($C84,MERCADO!$A:$A,0)),
IF($B84="COMP",INDEX(COMPOSICAO!$H:$H,MATCH($C84,COMPOSICAO!$A:$A,0)),
0)))))),0)</f>
        <v>11.13</v>
      </c>
      <c r="H84" s="173">
        <f t="shared" ref="H84" si="77">ROUND(G84*(1+$J$2),2)</f>
        <v>14.83</v>
      </c>
      <c r="I84" s="180">
        <f t="shared" ref="I84" si="78">ROUND($H84*F84,2)</f>
        <v>2314.52</v>
      </c>
      <c r="J84" s="194">
        <f t="shared" ref="J84" si="79">I84/I$37</f>
        <v>1.3512618060700058E-2</v>
      </c>
    </row>
    <row r="85" spans="1:10" ht="51">
      <c r="A85" s="175" t="s">
        <v>14614</v>
      </c>
      <c r="B85" s="176" t="s">
        <v>12617</v>
      </c>
      <c r="C85" s="176">
        <v>40240</v>
      </c>
      <c r="D85" s="178" t="str">
        <f>IFERROR(PROPER(
IF($B85="DER-ES",INDEX('CDER-ES'!$B:$B,MATCH($C85,'CDER-ES'!$A:$A,0)),
IF($B85="SINAPI",INDEX(CSINAPI!$B:$B,MATCH($C85,CSINAPI!$A:$A,0)),
IF($B85="CESAN",INDEX(CCESAN!$B:$B,MATCH($C85,CCESAN!$A:$A,0)),
IF($B85="SCORIO",INDEX(CSCORIO!$B:$B,MATCH($C85,CSCORIO!$A:$A,0)),
IF($B85="MERC",INDEX(MERCADO!$B:$B,MATCH($C85,MERCADO!$A:$A,0)),
IF($B85="COMP",INDEX(COMPOSICAO!$B:$B,MATCH($C85,COMPOSICAO!$A:$A,0)),
""))))))),"*Verificar código*")</f>
        <v>Fornecimento E Aplicação De Concreto Usinado Fck=25 Mpa - Considerando Lançamento Manual Para Infra-Estrutura (5% De Perdas Já Incluído No Custo)</v>
      </c>
      <c r="E85" s="171" t="str">
        <f>IFERROR(LOWER(
IF($B85="DER-ES",INDEX('CDER-ES'!$C:$C,MATCH($C85,'CDER-ES'!$A:$A,0)),
IF($B85="SINAPI",INDEX(CSINAPI!$C:$C,MATCH($C85,CSINAPI!$A:$A,0)),
IF($B85="CESAN",INDEX(CCESAN!$C:$C,MATCH($C85,CCESAN!$A:$A,0)),
IF($B85="SCORIO",INDEX(CSCORIO!$A:$A,MATCH($C85,CSCORIO!#REF!,0)),
IF($B85="MERC",INDEX(MERCADO!$D:$D,MATCH($C85,MERCADO!$A:$A,0)),
IF($B85="COMP",INDEX(COMPOSICAO!$G:$G,MATCH($C85,COMPOSICAO!$A:$A,0)),
""))))))),"")</f>
        <v>m3</v>
      </c>
      <c r="F85" s="179">
        <f>VLOOKUP(A85,'MEMÓRIA DE CÁLCULO'!A:H,8,0)</f>
        <v>7.98</v>
      </c>
      <c r="G85" s="173">
        <f>IFERROR(
IF($B85="DER-ES",INDEX('CDER-ES'!$D:$D,MATCH($C85,'CDER-ES'!$A:$A,0)),
IF($B85="SINAPI",INDEX(CSINAPI!$D:$D,MATCH($C85,CSINAPI!$A:$A,0)),
IF($B85="CESAN",INDEX(CCESAN!$D:$D,MATCH($C85,CCESAN!$A:$A,0)),
IF($B85="SCORIO",INDEX(CSCORIO!$B:$B,MATCH($C85,CSCORIO!#REF!,0)),
IF($B85="MERC",INDEX(MERCADO!$E:$E,MATCH($C85,MERCADO!$A:$A,0)),
IF($B85="COMP",INDEX(COMPOSICAO!$H:$H,MATCH($C85,COMPOSICAO!$A:$A,0)),
0)))))),0)</f>
        <v>672.18</v>
      </c>
      <c r="H85" s="173">
        <f t="shared" ref="H85:H87" si="80">ROUND(G85*(1+$J$2),2)</f>
        <v>895.68</v>
      </c>
      <c r="I85" s="180">
        <f t="shared" ref="I85:I87" si="81">ROUND($H85*F85,2)</f>
        <v>7147.53</v>
      </c>
      <c r="J85" s="194">
        <f t="shared" ref="J85" si="82">I85/I$37</f>
        <v>4.1728670725418436E-2</v>
      </c>
    </row>
    <row r="86" spans="1:10" ht="38.25">
      <c r="A86" s="175" t="s">
        <v>14615</v>
      </c>
      <c r="B86" s="176" t="s">
        <v>928</v>
      </c>
      <c r="C86" s="177">
        <v>89453</v>
      </c>
      <c r="D86" s="178" t="str">
        <f>IFERROR(PROPER(
IF($B86="DER-ES",INDEX('CDER-ES'!$B:$B,MATCH($C86,'CDER-ES'!$A:$A,0)),
IF($B86="SINAPI",INDEX(CSINAPI!$B:$B,MATCH($C86,CSINAPI!$A:$A,0)),
IF($B86="CESAN",INDEX(CCESAN!$B:$B,MATCH($C86,CCESAN!$A:$A,0)),
IF($B86="SCORIO",INDEX(CSCORIO!$B:$B,MATCH($C86,CSCORIO!$A:$A,0)),
IF($B86="MERC",INDEX(MERCADO!$B:$B,MATCH($C86,MERCADO!$A:$A,0)),
IF($B86="COMP",INDEX(COMPOSICAO!$B:$B,MATCH($C86,COMPOSICAO!$A:$A,0)),
""))))))),"*Verificar código*")</f>
        <v>Alvenaria De Blocos De Concreto Estrutural 14X19X39 Cm (Espessura 14 Cm), Fbk = 4,5 Mpa, Utilizando Palheta. Af_10/2022</v>
      </c>
      <c r="E86" s="171" t="str">
        <f>IFERROR(LOWER(
IF($B86="DER-ES",INDEX('CDER-ES'!$C:$C,MATCH($C86,'CDER-ES'!$A:$A,0)),
IF($B86="SINAPI",INDEX(CSINAPI!$C:$C,MATCH($C86,CSINAPI!$A:$A,0)),
IF($B86="CESAN",INDEX(CCESAN!$C:$C,MATCH($C86,CCESAN!$A:$A,0)),
IF($B86="SCORIO",INDEX(CSCORIO!$A:$A,MATCH($C86,CSCORIO!#REF!,0)),
IF($B86="MERC",INDEX(MERCADO!$D:$D,MATCH($C86,MERCADO!$A:$A,0)),
IF($B86="COMP",INDEX(COMPOSICAO!$G:$G,MATCH($C86,COMPOSICAO!$A:$A,0)),
""))))))),"")</f>
        <v>m2</v>
      </c>
      <c r="F86" s="179">
        <f>VLOOKUP(A86,'MEMÓRIA DE CÁLCULO'!A:H,8,0)</f>
        <v>139.66</v>
      </c>
      <c r="G86" s="173">
        <f>IFERROR(
IF($B86="DER-ES",INDEX('CDER-ES'!$D:$D,MATCH($C86,'CDER-ES'!$A:$A,0)),
IF($B86="SINAPI",INDEX(CSINAPI!$D:$D,MATCH($C86,CSINAPI!$A:$A,0)),
IF($B86="CESAN",INDEX(CCESAN!$D:$D,MATCH($C86,CCESAN!$A:$A,0)),
IF($B86="SCORIO",INDEX(CSCORIO!$B:$B,MATCH($C86,CSCORIO!#REF!,0)),
IF($B86="MERC",INDEX(MERCADO!$E:$E,MATCH($C86,MERCADO!$A:$A,0)),
IF($B86="COMP",INDEX(COMPOSICAO!$H:$H,MATCH($C86,COMPOSICAO!$A:$A,0)),
0)))))),0)</f>
        <v>79.41</v>
      </c>
      <c r="H86" s="173">
        <f t="shared" si="80"/>
        <v>105.81</v>
      </c>
      <c r="I86" s="180">
        <f t="shared" si="81"/>
        <v>14777.42</v>
      </c>
      <c r="J86" s="194">
        <f>I86/I$63</f>
        <v>3.7095341354672719E-2</v>
      </c>
    </row>
    <row r="87" spans="1:10" ht="38.25">
      <c r="A87" s="175" t="s">
        <v>14616</v>
      </c>
      <c r="B87" s="176" t="s">
        <v>928</v>
      </c>
      <c r="C87" s="176">
        <v>93205</v>
      </c>
      <c r="D87" s="178" t="str">
        <f>IFERROR(PROPER(
IF($B87="DER-ES",INDEX('CDER-ES'!$B:$B,MATCH($C87,'CDER-ES'!$A:$A,0)),
IF($B87="SINAPI",INDEX(CSINAPI!$B:$B,MATCH($C87,CSINAPI!$A:$A,0)),
IF($B87="CESAN",INDEX(CCESAN!$B:$B,MATCH($C87,CCESAN!$A:$A,0)),
IF($B87="SCORIO",INDEX(CSCORIO!$B:$B,MATCH($C87,CSCORIO!$A:$A,0)),
IF($B87="MERC",INDEX(MERCADO!$B:$B,MATCH($C87,MERCADO!$A:$A,0)),
IF($B87="COMP",INDEX(COMPOSICAO!$B:$B,MATCH($C87,COMPOSICAO!$A:$A,0)),
""))))))),"*Verificar código*")</f>
        <v>Cinta De Amarração De Alvenaria Moldada In Loco Com Utilização De Blocos Canaleta. Af_03/2016</v>
      </c>
      <c r="E87" s="171" t="str">
        <f>IFERROR(LOWER(
IF($B87="DER-ES",INDEX('CDER-ES'!$C:$C,MATCH($C87,'CDER-ES'!$A:$A,0)),
IF($B87="SINAPI",INDEX(CSINAPI!$C:$C,MATCH($C87,CSINAPI!$A:$A,0)),
IF($B87="CESAN",INDEX(CCESAN!$C:$C,MATCH($C87,CCESAN!$A:$A,0)),
IF($B87="SCORIO",INDEX(CSCORIO!$A:$A,MATCH($C87,CSCORIO!#REF!,0)),
IF($B87="MERC",INDEX(MERCADO!$D:$D,MATCH($C87,MERCADO!$A:$A,0)),
IF($B87="COMP",INDEX(COMPOSICAO!$G:$G,MATCH($C87,COMPOSICAO!$A:$A,0)),
""))))))),"")</f>
        <v>m</v>
      </c>
      <c r="F87" s="179">
        <f>VLOOKUP(A87,'MEMÓRIA DE CÁLCULO'!A:H,8,0)</f>
        <v>408.66</v>
      </c>
      <c r="G87" s="173">
        <f>IFERROR(
IF($B87="DER-ES",INDEX('CDER-ES'!$D:$D,MATCH($C87,'CDER-ES'!$A:$A,0)),
IF($B87="SINAPI",INDEX(CSINAPI!$D:$D,MATCH($C87,CSINAPI!$A:$A,0)),
IF($B87="CESAN",INDEX(CCESAN!$D:$D,MATCH($C87,CCESAN!$A:$A,0)),
IF($B87="SCORIO",INDEX(CSCORIO!$B:$B,MATCH($C87,CSCORIO!#REF!,0)),
IF($B87="MERC",INDEX(MERCADO!$E:$E,MATCH($C87,MERCADO!$A:$A,0)),
IF($B87="COMP",INDEX(COMPOSICAO!$H:$H,MATCH($C87,COMPOSICAO!$A:$A,0)),
0)))))),0)</f>
        <v>40.299999999999997</v>
      </c>
      <c r="H87" s="173">
        <f t="shared" si="80"/>
        <v>53.7</v>
      </c>
      <c r="I87" s="180">
        <f t="shared" si="81"/>
        <v>21945.040000000001</v>
      </c>
      <c r="J87" s="194">
        <f>I87/I$63</f>
        <v>5.5088016029993525E-2</v>
      </c>
    </row>
    <row r="88" spans="1:10">
      <c r="A88" s="175" t="s">
        <v>14619</v>
      </c>
      <c r="B88" s="176" t="s">
        <v>12617</v>
      </c>
      <c r="C88" s="176">
        <v>200323</v>
      </c>
      <c r="D88" s="178" t="str">
        <f>IFERROR(PROPER(
IF($B88="DER-ES",INDEX('CDER-ES'!$B:$B,MATCH($C88,'CDER-ES'!$A:$A,0)),
IF($B88="SINAPI",INDEX(CSINAPI!$B:$B,MATCH($C88,CSINAPI!$A:$A,0)),
IF($B88="CESAN",INDEX(CCESAN!$B:$B,MATCH($C88,CCESAN!$A:$A,0)),
IF($B88="SCORIO",INDEX(CSCORIO!$B:$B,MATCH($C88,CSCORIO!$A:$A,0)),
IF($B88="MERC",INDEX(MERCADO!$B:$B,MATCH($C88,MERCADO!$A:$A,0)),
IF($B88="COMP",INDEX(COMPOSICAO!$B:$B,MATCH($C88,COMPOSICAO!$A:$A,0)),
""))))))),"*Verificar código*")</f>
        <v>Fornecimento E Espalhamento De Pó De Pedra</v>
      </c>
      <c r="E88" s="171" t="str">
        <f>IFERROR(LOWER(
IF($B88="DER-ES",INDEX('CDER-ES'!$C:$C,MATCH($C88,'CDER-ES'!$A:$A,0)),
IF($B88="SINAPI",INDEX(CSINAPI!$C:$C,MATCH($C88,CSINAPI!$A:$A,0)),
IF($B88="CESAN",INDEX(CCESAN!$C:$C,MATCH($C88,CCESAN!$A:$A,0)),
IF($B88="SCORIO",INDEX(CSCORIO!$A:$A,MATCH($C88,CSCORIO!#REF!,0)),
IF($B88="MERC",INDEX(MERCADO!$D:$D,MATCH($C88,MERCADO!$A:$A,0)),
IF($B88="COMP",INDEX(COMPOSICAO!$G:$G,MATCH($C88,COMPOSICAO!$A:$A,0)),
""))))))),"")</f>
        <v>m3</v>
      </c>
      <c r="F88" s="179">
        <f>VLOOKUP(A88,'MEMÓRIA DE CÁLCULO'!A:H,8,0)</f>
        <v>68.11</v>
      </c>
      <c r="G88" s="173">
        <f>IFERROR(
IF($B88="DER-ES",INDEX('CDER-ES'!$D:$D,MATCH($C88,'CDER-ES'!$A:$A,0)),
IF($B88="SINAPI",INDEX(CSINAPI!$D:$D,MATCH($C88,CSINAPI!$A:$A,0)),
IF($B88="CESAN",INDEX(CCESAN!$D:$D,MATCH($C88,CCESAN!$A:$A,0)),
IF($B88="SCORIO",INDEX(CSCORIO!$B:$B,MATCH($C88,CSCORIO!#REF!,0)),
IF($B88="MERC",INDEX(MERCADO!$E:$E,MATCH($C88,MERCADO!$A:$A,0)),
IF($B88="COMP",INDEX(COMPOSICAO!$H:$H,MATCH($C88,COMPOSICAO!$A:$A,0)),
0)))))),0)</f>
        <v>187.02</v>
      </c>
      <c r="H88" s="173">
        <f t="shared" ref="H88" si="83">ROUND(G88*(1+$J$2),2)</f>
        <v>249.2</v>
      </c>
      <c r="I88" s="180">
        <f t="shared" ref="I88" si="84">ROUND($H88*F88,2)</f>
        <v>16973.009999999998</v>
      </c>
      <c r="J88" s="194">
        <f>I88/I$63</f>
        <v>4.2606869112894775E-2</v>
      </c>
    </row>
    <row r="89" spans="1:10" ht="25.5">
      <c r="A89" s="175" t="s">
        <v>14620</v>
      </c>
      <c r="B89" s="176" t="s">
        <v>929</v>
      </c>
      <c r="C89" s="177">
        <v>2</v>
      </c>
      <c r="D89" s="178" t="str">
        <f>IFERROR(PROPER(
IF($B89="DER-ES",INDEX('CDER-ES'!$B:$B,MATCH($C89,'CDER-ES'!$A:$A,0)),
IF($B89="SINAPI",INDEX(CSINAPI!$B:$B,MATCH($C89,CSINAPI!$A:$A,0)),
IF($B89="CESAN",INDEX(CCESAN!$B:$B,MATCH($C89,CCESAN!$A:$A,0)),
IF($B89="SCORIO",INDEX(CSCORIO!$B:$B,MATCH($C89,CSCORIO!$A:$A,0)),
IF($B89="MERC",INDEX(MERCADO!$B:$B,MATCH($C89,MERCADO!$A:$A,0)),
IF($B89="COMP",INDEX(COMPOSICAO!$B:$B,MATCH($C89,COMPOSICAO!$A:$A,0)),
""))))))),"*Verificar código*")</f>
        <v>Laje Maciça Para Arquibancada, Espessura 8 Cm, Armada, Fck = 20 Mpa</v>
      </c>
      <c r="E89" s="171" t="str">
        <f>IFERROR(LOWER(
IF($B89="DER-ES",INDEX('CDER-ES'!$C:$C,MATCH($C89,'CDER-ES'!$A:$A,0)),
IF($B89="SINAPI",INDEX(CSINAPI!$C:$C,MATCH($C89,CSINAPI!$A:$A,0)),
IF($B89="CESAN",INDEX(CCESAN!$C:$C,MATCH($C89,CCESAN!$A:$A,0)),
IF($B89="SCORIO",INDEX(CSCORIO!$A:$A,MATCH($C89,CSCORIO!#REF!,0)),
IF($B89="MERC",INDEX(MERCADO!$D:$D,MATCH($C89,MERCADO!$A:$A,0)),
IF($B89="COMP",INDEX(COMPOSICAO!$G:$G,MATCH($C89,COMPOSICAO!$A:$A,0)),
""))))))),"")</f>
        <v>m²</v>
      </c>
      <c r="F89" s="179">
        <f>VLOOKUP(A89,'MEMÓRIA DE CÁLCULO'!A:H,8,0)</f>
        <v>210.48</v>
      </c>
      <c r="G89" s="173">
        <f>IFERROR(
IF($B89="DER-ES",INDEX('CDER-ES'!$D:$D,MATCH($C89,'CDER-ES'!$A:$A,0)),
IF($B89="SINAPI",INDEX(CSINAPI!$D:$D,MATCH($C89,CSINAPI!$A:$A,0)),
IF($B89="CESAN",INDEX(CCESAN!$D:$D,MATCH($C89,CCESAN!$A:$A,0)),
IF($B89="SCORIO",INDEX(CSCORIO!$B:$B,MATCH($C89,CSCORIO!#REF!,0)),
IF($B89="MERC",INDEX(MERCADO!$E:$E,MATCH($C89,MERCADO!$A:$A,0)),
IF($B89="COMP",INDEX(COMPOSICAO!$H:$H,MATCH($C89,COMPOSICAO!$A:$A,0)),
0)))))),0)</f>
        <v>146.28</v>
      </c>
      <c r="H89" s="173">
        <f t="shared" si="72"/>
        <v>194.92</v>
      </c>
      <c r="I89" s="180">
        <f t="shared" si="73"/>
        <v>41026.76</v>
      </c>
      <c r="J89" s="194">
        <f>I89/I$63</f>
        <v>0.10298832048329359</v>
      </c>
    </row>
    <row r="90" spans="1:10">
      <c r="A90" s="167" t="s">
        <v>12594</v>
      </c>
      <c r="B90" s="168"/>
      <c r="C90" s="169"/>
      <c r="D90" s="235" t="s">
        <v>14475</v>
      </c>
      <c r="E90" s="171"/>
      <c r="F90" s="172"/>
      <c r="G90" s="173"/>
      <c r="H90" s="173"/>
      <c r="I90" s="174">
        <f>SUBTOTAL(9,I92:I102)</f>
        <v>212823.03999999998</v>
      </c>
      <c r="J90" s="193">
        <f>SUBTOTAL(9,J92:J102)</f>
        <v>1</v>
      </c>
    </row>
    <row r="91" spans="1:10">
      <c r="A91" s="167" t="s">
        <v>12595</v>
      </c>
      <c r="B91" s="168"/>
      <c r="C91" s="169"/>
      <c r="D91" s="170" t="s">
        <v>13913</v>
      </c>
      <c r="E91" s="171"/>
      <c r="F91" s="172"/>
      <c r="G91" s="173"/>
      <c r="H91" s="173"/>
      <c r="I91" s="174"/>
      <c r="J91" s="193"/>
    </row>
    <row r="92" spans="1:10" ht="51">
      <c r="A92" s="175" t="s">
        <v>13918</v>
      </c>
      <c r="B92" s="176" t="s">
        <v>12617</v>
      </c>
      <c r="C92" s="177">
        <v>50112</v>
      </c>
      <c r="D92" s="178" t="str">
        <f>IFERROR(PROPER(
IF($B92="DER-ES",INDEX('CDER-ES'!$B:$B,MATCH($C92,'CDER-ES'!$A:$A,0)),
IF($B92="SINAPI",INDEX(CSINAPI!$B:$B,MATCH($C92,CSINAPI!$A:$A,0)),
IF($B92="CESAN",INDEX(CCESAN!$B:$B,MATCH($C92,CCESAN!$A:$A,0)),
IF($B92="SCORIO",INDEX(CSCORIO!$B:$B,MATCH($C92,CSCORIO!$A:$A,0)),
IF($B92="MERC",INDEX(MERCADO!$B:$B,MATCH($C92,MERCADO!$A:$A,0)),
IF($B92="COMP",INDEX(COMPOSICAO!$B:$B,MATCH($C92,COMPOSICAO!$A:$A,0)),
""))))))),"*Verificar código*")</f>
        <v>Cobogó De Concreto 40 X 40 X 10 Cm, Tipo Reto, Assentados Com Argamassa De Cimento E Areia No Traço 1:3, Espessura Das Juntas 15 Mm</v>
      </c>
      <c r="E92" s="171" t="str">
        <f>IFERROR(LOWER(
IF($B92="DER-ES",INDEX('CDER-ES'!$C:$C,MATCH($C92,'CDER-ES'!$A:$A,0)),
IF($B92="SINAPI",INDEX(CSINAPI!$C:$C,MATCH($C92,CSINAPI!$A:$A,0)),
IF($B92="CESAN",INDEX(CCESAN!$C:$C,MATCH($C92,CCESAN!$A:$A,0)),
IF($B92="SCORIO",INDEX(CSCORIO!$A:$A,MATCH($C92,CSCORIO!#REF!,0)),
IF($B92="MERC",INDEX(MERCADO!$D:$D,MATCH($C92,MERCADO!$A:$A,0)),
IF($B92="COMP",INDEX(COMPOSICAO!$G:$G,MATCH($C92,COMPOSICAO!$A:$A,0)),
""))))))),"")</f>
        <v>m2</v>
      </c>
      <c r="F92" s="179">
        <f>VLOOKUP(A92,'MEMÓRIA DE CÁLCULO'!A:H,8,0)</f>
        <v>172.8</v>
      </c>
      <c r="G92" s="173">
        <f>IFERROR(
IF($B92="DER-ES",INDEX('CDER-ES'!$D:$D,MATCH($C92,'CDER-ES'!$A:$A,0)),
IF($B92="SINAPI",INDEX(CSINAPI!$D:$D,MATCH($C92,CSINAPI!$A:$A,0)),
IF($B92="CESAN",INDEX(CCESAN!$D:$D,MATCH($C92,CCESAN!$A:$A,0)),
IF($B92="SCORIO",INDEX(CSCORIO!$B:$B,MATCH($C92,CSCORIO!#REF!,0)),
IF($B92="MERC",INDEX(MERCADO!$E:$E,MATCH($C92,MERCADO!$A:$A,0)),
IF($B92="COMP",INDEX(COMPOSICAO!$H:$H,MATCH($C92,COMPOSICAO!$A:$A,0)),
0)))))),0)</f>
        <v>168.9</v>
      </c>
      <c r="H92" s="173">
        <f t="shared" ref="H92" si="85">ROUND(G92*(1+$J$2),2)</f>
        <v>225.06</v>
      </c>
      <c r="I92" s="180">
        <f t="shared" ref="I92" si="86">ROUND($H92*F92,2)</f>
        <v>38890.370000000003</v>
      </c>
      <c r="J92" s="194">
        <f>I92/I$90</f>
        <v>0.18273571320097676</v>
      </c>
    </row>
    <row r="93" spans="1:10">
      <c r="A93" s="167" t="s">
        <v>12596</v>
      </c>
      <c r="B93" s="168"/>
      <c r="C93" s="169"/>
      <c r="D93" s="235" t="s">
        <v>14214</v>
      </c>
      <c r="E93" s="171"/>
      <c r="F93" s="172"/>
      <c r="G93" s="173"/>
      <c r="H93" s="173"/>
      <c r="I93" s="174"/>
      <c r="J93" s="193"/>
    </row>
    <row r="94" spans="1:10" ht="38.25">
      <c r="A94" s="175" t="s">
        <v>13920</v>
      </c>
      <c r="B94" s="176" t="s">
        <v>12617</v>
      </c>
      <c r="C94" s="177">
        <v>50301</v>
      </c>
      <c r="D94" s="178" t="str">
        <f>IFERROR(PROPER(
IF($B94="DER-ES",INDEX('CDER-ES'!$B:$B,MATCH($C94,'CDER-ES'!$A:$A,0)),
IF($B94="SINAPI",INDEX(CSINAPI!$B:$B,MATCH($C94,CSINAPI!$A:$A,0)),
IF($B94="CESAN",INDEX(CCESAN!$B:$B,MATCH($C94,CCESAN!$A:$A,0)),
IF($B94="SCORIO",INDEX(CSCORIO!$B:$B,MATCH($C94,CSCORIO!$A:$A,0)),
IF($B94="MERC",INDEX(MERCADO!$B:$B,MATCH($C94,MERCADO!$A:$A,0)),
IF($B94="COMP",INDEX(COMPOSICAO!$B:$B,MATCH($C94,COMPOSICAO!$A:$A,0)),
""))))))),"*Verificar código*")</f>
        <v>Verga/Contraverga Reta De Concreto Armado 10 X 5 Cm, Fck = 15 Mpa, Inclusive Forma, Armação E Desforma</v>
      </c>
      <c r="E94" s="171" t="str">
        <f>IFERROR(LOWER(
IF($B94="DER-ES",INDEX('CDER-ES'!$C:$C,MATCH($C94,'CDER-ES'!$A:$A,0)),
IF($B94="SINAPI",INDEX(CSINAPI!$C:$C,MATCH($C94,CSINAPI!$A:$A,0)),
IF($B94="CESAN",INDEX(CCESAN!$C:$C,MATCH($C94,CCESAN!$A:$A,0)),
IF($B94="SCORIO",INDEX(CSCORIO!$A:$A,MATCH($C94,CSCORIO!#REF!,0)),
IF($B94="MERC",INDEX(MERCADO!$D:$D,MATCH($C94,MERCADO!$A:$A,0)),
IF($B94="COMP",INDEX(COMPOSICAO!$G:$G,MATCH($C94,COMPOSICAO!$A:$A,0)),
""))))))),"")</f>
        <v>m</v>
      </c>
      <c r="F94" s="179">
        <f>VLOOKUP(A94,'MEMÓRIA DE CÁLCULO'!A:H,8,0)</f>
        <v>16.100000000000001</v>
      </c>
      <c r="G94" s="173">
        <f>IFERROR(
IF($B94="DER-ES",INDEX('CDER-ES'!$D:$D,MATCH($C94,'CDER-ES'!$A:$A,0)),
IF($B94="SINAPI",INDEX(CSINAPI!$D:$D,MATCH($C94,CSINAPI!$A:$A,0)),
IF($B94="CESAN",INDEX(CCESAN!$D:$D,MATCH($C94,CCESAN!$A:$A,0)),
IF($B94="SCORIO",INDEX(CSCORIO!$B:$B,MATCH($C94,CSCORIO!#REF!,0)),
IF($B94="MERC",INDEX(MERCADO!$E:$E,MATCH($C94,MERCADO!$A:$A,0)),
IF($B94="COMP",INDEX(COMPOSICAO!$H:$H,MATCH($C94,COMPOSICAO!$A:$A,0)),
0)))))),0)</f>
        <v>9.56</v>
      </c>
      <c r="H94" s="173">
        <f t="shared" ref="H94:H95" si="87">ROUND(G94*(1+$J$2),2)</f>
        <v>12.74</v>
      </c>
      <c r="I94" s="180">
        <f t="shared" ref="I94:I95" si="88">ROUND($H94*F94,2)</f>
        <v>205.11</v>
      </c>
      <c r="J94" s="194">
        <f t="shared" ref="J94:J100" si="89">I94/I$90</f>
        <v>9.6375843517694341E-4</v>
      </c>
    </row>
    <row r="95" spans="1:10" ht="38.25">
      <c r="A95" s="175" t="s">
        <v>13921</v>
      </c>
      <c r="B95" s="176" t="s">
        <v>929</v>
      </c>
      <c r="C95" s="177">
        <v>3</v>
      </c>
      <c r="D95" s="178" t="str">
        <f>IFERROR(PROPER(
IF($B95="DER-ES",INDEX('CDER-ES'!$B:$B,MATCH($C95,'CDER-ES'!$A:$A,0)),
IF($B95="SINAPI",INDEX(CSINAPI!$B:$B,MATCH($C95,CSINAPI!$A:$A,0)),
IF($B95="CESAN",INDEX(CCESAN!$B:$B,MATCH($C95,CCESAN!$A:$A,0)),
IF($B95="SCORIO",INDEX(CSCORIO!$B:$B,MATCH($C95,CSCORIO!$A:$A,0)),
IF($B95="MERC",INDEX(MERCADO!$B:$B,MATCH($C95,MERCADO!$A:$A,0)),
IF($B95="COMP",INDEX(COMPOSICAO!$B:$B,MATCH($C95,COMPOSICAO!$A:$A,0)),
""))))))),"*Verificar código*")</f>
        <v xml:space="preserve">Cinta De Amarração De Alvenaria Moldada In Loco Com Utilização De Bloco Canaleta 9 X 19 X 19 Cm Cheia </v>
      </c>
      <c r="E95" s="171" t="str">
        <f>IFERROR(LOWER(
IF($B95="DER-ES",INDEX('CDER-ES'!$C:$C,MATCH($C95,'CDER-ES'!$A:$A,0)),
IF($B95="SINAPI",INDEX(CSINAPI!$C:$C,MATCH($C95,CSINAPI!$A:$A,0)),
IF($B95="CESAN",INDEX(CCESAN!$C:$C,MATCH($C95,CCESAN!$A:$A,0)),
IF($B95="SCORIO",INDEX(CSCORIO!$A:$A,MATCH($C95,CSCORIO!#REF!,0)),
IF($B95="MERC",INDEX(MERCADO!$D:$D,MATCH($C95,MERCADO!$A:$A,0)),
IF($B95="COMP",INDEX(COMPOSICAO!$G:$G,MATCH($C95,COMPOSICAO!$A:$A,0)),
""))))))),"")</f>
        <v>m</v>
      </c>
      <c r="F95" s="179">
        <f>VLOOKUP(A95,'MEMÓRIA DE CÁLCULO'!A:H,8,0)</f>
        <v>50.37</v>
      </c>
      <c r="G95" s="173">
        <f>IFERROR(
IF($B95="DER-ES",INDEX('CDER-ES'!$D:$D,MATCH($C95,'CDER-ES'!$A:$A,0)),
IF($B95="SINAPI",INDEX(CSINAPI!$D:$D,MATCH($C95,CSINAPI!$A:$A,0)),
IF($B95="CESAN",INDEX(CCESAN!$D:$D,MATCH($C95,CCESAN!$A:$A,0)),
IF($B95="SCORIO",INDEX(CSCORIO!$B:$B,MATCH($C95,CSCORIO!#REF!,0)),
IF($B95="MERC",INDEX(MERCADO!$E:$E,MATCH($C95,MERCADO!$A:$A,0)),
IF($B95="COMP",INDEX(COMPOSICAO!$H:$H,MATCH($C95,COMPOSICAO!$A:$A,0)),
0)))))),0)</f>
        <v>30.17</v>
      </c>
      <c r="H95" s="173">
        <f t="shared" si="87"/>
        <v>40.200000000000003</v>
      </c>
      <c r="I95" s="180">
        <f t="shared" si="88"/>
        <v>2024.87</v>
      </c>
      <c r="J95" s="194">
        <f t="shared" ref="J95" si="90">I95/I$90</f>
        <v>9.514336417711166E-3</v>
      </c>
    </row>
    <row r="96" spans="1:10">
      <c r="A96" s="167" t="s">
        <v>13922</v>
      </c>
      <c r="B96" s="168"/>
      <c r="C96" s="169"/>
      <c r="D96" s="170" t="s">
        <v>1962</v>
      </c>
      <c r="E96" s="171"/>
      <c r="F96" s="172"/>
      <c r="G96" s="173"/>
      <c r="H96" s="173"/>
      <c r="I96" s="174"/>
      <c r="J96" s="193"/>
    </row>
    <row r="97" spans="1:10" ht="51">
      <c r="A97" s="175" t="s">
        <v>13923</v>
      </c>
      <c r="B97" s="176" t="s">
        <v>928</v>
      </c>
      <c r="C97" s="177">
        <v>103323</v>
      </c>
      <c r="D97" s="178" t="str">
        <f>IFERROR(PROPER(
IF($B97="DER-ES",INDEX('CDER-ES'!$B:$B,MATCH($C97,'CDER-ES'!$A:$A,0)),
IF($B97="SINAPI",INDEX(CSINAPI!$B:$B,MATCH($C97,CSINAPI!$A:$A,0)),
IF($B97="CESAN",INDEX(CCESAN!$B:$B,MATCH($C97,CCESAN!$A:$A,0)),
IF($B97="SCORIO",INDEX(CSCORIO!$B:$B,MATCH($C97,CSCORIO!$A:$A,0)),
IF($B97="MERC",INDEX(MERCADO!$B:$B,MATCH($C97,MERCADO!$A:$A,0)),
IF($B97="COMP",INDEX(COMPOSICAO!$B:$B,MATCH($C97,COMPOSICAO!$A:$A,0)),
""))))))),"*Verificar código*")</f>
        <v>Alvenaria De Vedação De Blocos Cerâmicos Furados Na Vertical De 9X19X39 Cm (Espessura 9 Cm) E Argamassa De Assentamento Com Preparo Manual. Af_12/2021</v>
      </c>
      <c r="E97" s="171" t="str">
        <f>IFERROR(LOWER(
IF($B97="DER-ES",INDEX('CDER-ES'!$C:$C,MATCH($C97,'CDER-ES'!$A:$A,0)),
IF($B97="SINAPI",INDEX(CSINAPI!$C:$C,MATCH($C97,CSINAPI!$A:$A,0)),
IF($B97="CESAN",INDEX(CCESAN!$C:$C,MATCH($C97,CCESAN!$A:$A,0)),
IF($B97="SCORIO",INDEX(CSCORIO!$A:$A,MATCH($C97,CSCORIO!#REF!,0)),
IF($B97="MERC",INDEX(MERCADO!$D:$D,MATCH($C97,MERCADO!$A:$A,0)),
IF($B97="COMP",INDEX(COMPOSICAO!$G:$G,MATCH($C97,COMPOSICAO!$A:$A,0)),
""))))))),"")</f>
        <v>m2</v>
      </c>
      <c r="F97" s="179">
        <f>VLOOKUP(A97,'MEMÓRIA DE CÁLCULO'!A:H,8,0)</f>
        <v>629.66</v>
      </c>
      <c r="G97" s="173">
        <f>IFERROR(
IF($B97="DER-ES",INDEX('CDER-ES'!$D:$D,MATCH($C97,'CDER-ES'!$A:$A,0)),
IF($B97="SINAPI",INDEX(CSINAPI!$D:$D,MATCH($C97,CSINAPI!$A:$A,0)),
IF($B97="CESAN",INDEX(CCESAN!$D:$D,MATCH($C97,CCESAN!$A:$A,0)),
IF($B97="SCORIO",INDEX(CSCORIO!$B:$B,MATCH($C97,CSCORIO!#REF!,0)),
IF($B97="MERC",INDEX(MERCADO!$E:$E,MATCH($C97,MERCADO!$A:$A,0)),
IF($B97="COMP",INDEX(COMPOSICAO!$H:$H,MATCH($C97,COMPOSICAO!$A:$A,0)),
0)))))),0)</f>
        <v>47.32</v>
      </c>
      <c r="H97" s="173">
        <f t="shared" ref="H97:H98" si="91">ROUND(G97*(1+$J$2),2)</f>
        <v>63.05</v>
      </c>
      <c r="I97" s="180">
        <f t="shared" ref="I97:I98" si="92">ROUND($H97*F97,2)</f>
        <v>39700.06</v>
      </c>
      <c r="J97" s="194">
        <f t="shared" si="89"/>
        <v>0.18654023549329998</v>
      </c>
    </row>
    <row r="98" spans="1:10" ht="63.75">
      <c r="A98" s="175" t="s">
        <v>13924</v>
      </c>
      <c r="B98" s="176" t="s">
        <v>928</v>
      </c>
      <c r="C98" s="177">
        <v>103326</v>
      </c>
      <c r="D98" s="178" t="str">
        <f>IFERROR(PROPER(
IF($B98="DER-ES",INDEX('CDER-ES'!$B:$B,MATCH($C98,'CDER-ES'!$A:$A,0)),
IF($B98="SINAPI",INDEX(CSINAPI!$B:$B,MATCH($C98,CSINAPI!$A:$A,0)),
IF($B98="CESAN",INDEX(CCESAN!$B:$B,MATCH($C98,CCESAN!$A:$A,0)),
IF($B98="SCORIO",INDEX(CSCORIO!$B:$B,MATCH($C98,CSCORIO!$A:$A,0)),
IF($B98="MERC",INDEX(MERCADO!$B:$B,MATCH($C98,MERCADO!$A:$A,0)),
IF($B98="COMP",INDEX(COMPOSICAO!$B:$B,MATCH($C98,COMPOSICAO!$A:$A,0)),
""))))))),"*Verificar código*")</f>
        <v>Alvenaria De Vedação De Blocos Cerâmicos Furados Na Vertical De 19X19X39 Cm (Espessura 19 Cm) E Argamassa De Assentamento Com Preparo Em Betoneira. Af_12/2021</v>
      </c>
      <c r="E98" s="171" t="str">
        <f>IFERROR(LOWER(
IF($B98="DER-ES",INDEX('CDER-ES'!$C:$C,MATCH($C98,'CDER-ES'!$A:$A,0)),
IF($B98="SINAPI",INDEX(CSINAPI!$C:$C,MATCH($C98,CSINAPI!$A:$A,0)),
IF($B98="CESAN",INDEX(CCESAN!$C:$C,MATCH($C98,CCESAN!$A:$A,0)),
IF($B98="SCORIO",INDEX(CSCORIO!$A:$A,MATCH($C98,CSCORIO!#REF!,0)),
IF($B98="MERC",INDEX(MERCADO!$D:$D,MATCH($C98,MERCADO!$A:$A,0)),
IF($B98="COMP",INDEX(COMPOSICAO!$G:$G,MATCH($C98,COMPOSICAO!$A:$A,0)),
""))))))),"")</f>
        <v>m2</v>
      </c>
      <c r="F98" s="179">
        <f>VLOOKUP(A98,'MEMÓRIA DE CÁLCULO'!A:H,8,0)</f>
        <v>59.36</v>
      </c>
      <c r="G98" s="173">
        <f>IFERROR(
IF($B98="DER-ES",INDEX('CDER-ES'!$D:$D,MATCH($C98,'CDER-ES'!$A:$A,0)),
IF($B98="SINAPI",INDEX(CSINAPI!$D:$D,MATCH($C98,CSINAPI!$A:$A,0)),
IF($B98="CESAN",INDEX(CCESAN!$D:$D,MATCH($C98,CCESAN!$A:$A,0)),
IF($B98="SCORIO",INDEX(CSCORIO!$B:$B,MATCH($C98,CSCORIO!#REF!,0)),
IF($B98="MERC",INDEX(MERCADO!$E:$E,MATCH($C98,MERCADO!$A:$A,0)),
IF($B98="COMP",INDEX(COMPOSICAO!$H:$H,MATCH($C98,COMPOSICAO!$A:$A,0)),
0)))))),0)</f>
        <v>75.150000000000006</v>
      </c>
      <c r="H98" s="173">
        <f t="shared" si="91"/>
        <v>100.14</v>
      </c>
      <c r="I98" s="180">
        <f t="shared" si="92"/>
        <v>5944.31</v>
      </c>
      <c r="J98" s="194">
        <f t="shared" si="89"/>
        <v>2.7930763511319078E-2</v>
      </c>
    </row>
    <row r="99" spans="1:10">
      <c r="A99" s="167" t="s">
        <v>14305</v>
      </c>
      <c r="B99" s="168"/>
      <c r="C99" s="169"/>
      <c r="D99" s="170" t="s">
        <v>14238</v>
      </c>
      <c r="E99" s="171"/>
      <c r="F99" s="172"/>
      <c r="G99" s="173"/>
      <c r="H99" s="173"/>
      <c r="I99" s="174"/>
      <c r="J99" s="193"/>
    </row>
    <row r="100" spans="1:10" ht="63.75">
      <c r="A100" s="175" t="s">
        <v>14306</v>
      </c>
      <c r="B100" s="176" t="s">
        <v>929</v>
      </c>
      <c r="C100" s="177">
        <v>4</v>
      </c>
      <c r="D100" s="178" t="str">
        <f>IFERROR(PROPER(
IF($B100="DER-ES",INDEX('CDER-ES'!$B:$B,MATCH($C100,'CDER-ES'!$A:$A,0)),
IF($B100="SINAPI",INDEX(CSINAPI!$B:$B,MATCH($C100,CSINAPI!$A:$A,0)),
IF($B100="CESAN",INDEX(CCESAN!$B:$B,MATCH($C100,CCESAN!$A:$A,0)),
IF($B100="SCORIO",INDEX(CSCORIO!$B:$B,MATCH($C100,CSCORIO!$A:$A,0)),
IF($B100="MERC",INDEX(MERCADO!$B:$B,MATCH($C100,MERCADO!$A:$A,0)),
IF($B100="COMP",INDEX(COMPOSICAO!$B:$B,MATCH($C100,COMPOSICAO!$A:$A,0)),
""))))))),"*Verificar código*")</f>
        <v>Alambrado Com Tela Losangular De Arame Fio 12, Malha 7,5 X 7,5 Cm, Revestida Em Pvc, Com Tubo De Ferro Galvanizado De 2" (60,30 X 3,75 Mm), Pintados Com Esmalte Sintético Sobre Fundo Anticorrosivo</v>
      </c>
      <c r="E100" s="171" t="str">
        <f>IFERROR(LOWER(
IF($B100="DER-ES",INDEX('CDER-ES'!$C:$C,MATCH($C100,'CDER-ES'!$A:$A,0)),
IF($B100="SINAPI",INDEX(CSINAPI!$C:$C,MATCH($C100,CSINAPI!$A:$A,0)),
IF($B100="CESAN",INDEX(CCESAN!$C:$C,MATCH($C100,CCESAN!$A:$A,0)),
IF($B100="SCORIO",INDEX(CSCORIO!$A:$A,MATCH($C100,CSCORIO!#REF!,0)),
IF($B100="MERC",INDEX(MERCADO!$D:$D,MATCH($C100,MERCADO!$A:$A,0)),
IF($B100="COMP",INDEX(COMPOSICAO!$G:$G,MATCH($C100,COMPOSICAO!$A:$A,0)),
""))))))),"")</f>
        <v>m²</v>
      </c>
      <c r="F100" s="179">
        <f>VLOOKUP(A100,'MEMÓRIA DE CÁLCULO'!A:H,8,0)</f>
        <v>101.28</v>
      </c>
      <c r="G100" s="173">
        <f>IFERROR(
IF($B100="DER-ES",INDEX('CDER-ES'!$D:$D,MATCH($C100,'CDER-ES'!$A:$A,0)),
IF($B100="SINAPI",INDEX(CSINAPI!$D:$D,MATCH($C100,CSINAPI!$A:$A,0)),
IF($B100="CESAN",INDEX(CCESAN!$D:$D,MATCH($C100,CCESAN!$A:$A,0)),
IF($B100="SCORIO",INDEX(CSCORIO!$B:$B,MATCH($C100,CSCORIO!#REF!,0)),
IF($B100="MERC",INDEX(MERCADO!$E:$E,MATCH($C100,MERCADO!$A:$A,0)),
IF($B100="COMP",INDEX(COMPOSICAO!$H:$H,MATCH($C100,COMPOSICAO!$A:$A,0)),
0)))))),0)</f>
        <v>235.06999999999996</v>
      </c>
      <c r="H100" s="173">
        <f>ROUND(G100*(1+$J$2),2)</f>
        <v>313.23</v>
      </c>
      <c r="I100" s="180">
        <f>ROUND($H100*F100,2)</f>
        <v>31723.93</v>
      </c>
      <c r="J100" s="194">
        <f t="shared" si="89"/>
        <v>0.14906247932554673</v>
      </c>
    </row>
    <row r="101" spans="1:10">
      <c r="A101" s="167" t="s">
        <v>14685</v>
      </c>
      <c r="B101" s="168"/>
      <c r="C101" s="169"/>
      <c r="D101" s="170" t="s">
        <v>14686</v>
      </c>
      <c r="E101" s="171"/>
      <c r="F101" s="172"/>
      <c r="G101" s="173"/>
      <c r="H101" s="173"/>
      <c r="I101" s="174"/>
      <c r="J101" s="193"/>
    </row>
    <row r="102" spans="1:10" ht="76.5">
      <c r="A102" s="175" t="s">
        <v>14695</v>
      </c>
      <c r="B102" s="176" t="s">
        <v>929</v>
      </c>
      <c r="C102" s="177">
        <v>5</v>
      </c>
      <c r="D102" s="178" t="str">
        <f>IFERROR(PROPER(
IF($B102="DER-ES",INDEX('CDER-ES'!$B:$B,MATCH($C102,'CDER-ES'!$A:$A,0)),
IF($B102="SINAPI",INDEX(CSINAPI!$B:$B,MATCH($C102,CSINAPI!$A:$A,0)),
IF($B102="CESAN",INDEX(CCESAN!$B:$B,MATCH($C102,CCESAN!$A:$A,0)),
IF($B102="SCORIO",INDEX(CSCORIO!$B:$B,MATCH($C102,CSCORIO!$A:$A,0)),
IF($B102="MERC",INDEX(MERCADO!$B:$B,MATCH($C102,MERCADO!$A:$A,0)),
IF($B102="COMP",INDEX(COMPOSICAO!$B:$B,MATCH($C102,COMPOSICAO!$A:$A,0)),
""))))))),"*Verificar código*")</f>
        <v>Revestimento Em Acm, Tipo Bandeja, Espessura 4 Mm, Na Cor Vermelho, Letreiro Em Alto Relevo, Tipo Bandeja, Na Cor Branco, Altura 50 Cm, Brasão Padrão Prefeitura Municipal, Altura 1,50 M. Inclui Alizar Portões Em Acm, Na Cor Vermelho, Largura 20 Cm</v>
      </c>
      <c r="E102" s="171" t="str">
        <f>IFERROR(LOWER(
IF($B102="DER-ES",INDEX('CDER-ES'!$C:$C,MATCH($C102,'CDER-ES'!$A:$A,0)),
IF($B102="SINAPI",INDEX(CSINAPI!$C:$C,MATCH($C102,CSINAPI!$A:$A,0)),
IF($B102="CESAN",INDEX(CCESAN!$C:$C,MATCH($C102,CCESAN!$A:$A,0)),
IF($B102="SCORIO",INDEX(CSCORIO!$A:$A,MATCH($C102,CSCORIO!#REF!,0)),
IF($B102="MERC",INDEX(MERCADO!$D:$D,MATCH($C102,MERCADO!$A:$A,0)),
IF($B102="COMP",INDEX(COMPOSICAO!$G:$G,MATCH($C102,COMPOSICAO!$A:$A,0)),
""))))))),"")</f>
        <v>und.</v>
      </c>
      <c r="F102" s="179">
        <f>VLOOKUP(A102,'MEMÓRIA DE CÁLCULO'!A:H,8,0)</f>
        <v>1</v>
      </c>
      <c r="G102" s="173">
        <f>IFERROR(
IF($B102="DER-ES",INDEX('CDER-ES'!$D:$D,MATCH($C102,'CDER-ES'!$A:$A,0)),
IF($B102="SINAPI",INDEX(CSINAPI!$D:$D,MATCH($C102,CSINAPI!$A:$A,0)),
IF($B102="CESAN",INDEX(CCESAN!$D:$D,MATCH($C102,CCESAN!$A:$A,0)),
IF($B102="SCORIO",INDEX(CSCORIO!$B:$B,MATCH($C102,CSCORIO!#REF!,0)),
IF($B102="MERC",INDEX(MERCADO!$E:$E,MATCH($C102,MERCADO!$A:$A,0)),
IF($B102="COMP",INDEX(COMPOSICAO!$H:$H,MATCH($C102,COMPOSICAO!$A:$A,0)),
0)))))),0)</f>
        <v>81625.33</v>
      </c>
      <c r="H102" s="173">
        <f>ROUND(G102*(1+15.57%),2)</f>
        <v>94334.39</v>
      </c>
      <c r="I102" s="180">
        <f>ROUND($H102*F102,2)</f>
        <v>94334.39</v>
      </c>
      <c r="J102" s="194">
        <f t="shared" ref="J102" si="93">I102/I$90</f>
        <v>0.44325271361596946</v>
      </c>
    </row>
    <row r="103" spans="1:10">
      <c r="A103" s="167" t="s">
        <v>12598</v>
      </c>
      <c r="B103" s="168"/>
      <c r="C103" s="169"/>
      <c r="D103" s="170" t="s">
        <v>12597</v>
      </c>
      <c r="E103" s="171"/>
      <c r="F103" s="172"/>
      <c r="G103" s="173"/>
      <c r="H103" s="173"/>
      <c r="I103" s="174">
        <f>SUBTOTAL(9,I104:I113)</f>
        <v>57741.53</v>
      </c>
      <c r="J103" s="193">
        <f>SUBTOTAL(9,J104:J113)</f>
        <v>0.99999999999999989</v>
      </c>
    </row>
    <row r="104" spans="1:10">
      <c r="A104" s="167" t="s">
        <v>12599</v>
      </c>
      <c r="B104" s="168"/>
      <c r="C104" s="169"/>
      <c r="D104" s="170" t="s">
        <v>14657</v>
      </c>
      <c r="E104" s="171"/>
      <c r="F104" s="172"/>
      <c r="G104" s="173"/>
      <c r="H104" s="173"/>
      <c r="I104" s="174"/>
      <c r="J104" s="193"/>
    </row>
    <row r="105" spans="1:10" ht="38.25">
      <c r="A105" s="175" t="s">
        <v>14228</v>
      </c>
      <c r="B105" s="176" t="s">
        <v>928</v>
      </c>
      <c r="C105" s="177">
        <v>91341</v>
      </c>
      <c r="D105" s="178" t="str">
        <f>IFERROR(PROPER(
IF($B105="DER-ES",INDEX('CDER-ES'!$B:$B,MATCH($C105,'CDER-ES'!$A:$A,0)),
IF($B105="SINAPI",INDEX(CSINAPI!$B:$B,MATCH($C105,CSINAPI!$A:$A,0)),
IF($B105="CESAN",INDEX(CCESAN!$B:$B,MATCH($C105,CCESAN!$A:$A,0)),
IF($B105="SCORIO",INDEX(CSCORIO!$B:$B,MATCH($C105,CSCORIO!$A:$A,0)),
IF($B105="MERC",INDEX(MERCADO!$B:$B,MATCH($C105,MERCADO!$A:$A,0)),
IF($B105="COMP",INDEX(COMPOSICAO!$B:$B,MATCH($C105,COMPOSICAO!$A:$A,0)),
""))))))),"*Verificar código*")</f>
        <v>Porta Em Alumínio De Abrir Tipo Veneziana Com Guarnição, Fixação Com Parafusos - Fornecimento E Instalação. Af_12/2019</v>
      </c>
      <c r="E105" s="171" t="str">
        <f>IFERROR(LOWER(
IF($B105="DER-ES",INDEX('CDER-ES'!$C:$C,MATCH($C105,'CDER-ES'!$A:$A,0)),
IF($B105="SINAPI",INDEX(CSINAPI!$C:$C,MATCH($C105,CSINAPI!$A:$A,0)),
IF($B105="CESAN",INDEX(CCESAN!$C:$C,MATCH($C105,CCESAN!$A:$A,0)),
IF($B105="SCORIO",INDEX(CSCORIO!$A:$A,MATCH($C105,CSCORIO!#REF!,0)),
IF($B105="MERC",INDEX(MERCADO!$D:$D,MATCH($C105,MERCADO!$A:$A,0)),
IF($B105="COMP",INDEX(COMPOSICAO!$G:$G,MATCH($C105,COMPOSICAO!$A:$A,0)),
""))))))),"")</f>
        <v>m2</v>
      </c>
      <c r="F105" s="179">
        <f>VLOOKUP(A105,'MEMÓRIA DE CÁLCULO'!A:H,8,0)</f>
        <v>36.24</v>
      </c>
      <c r="G105" s="173">
        <f>IFERROR(
IF($B105="DER-ES",INDEX('CDER-ES'!$D:$D,MATCH($C105,'CDER-ES'!$A:$A,0)),
IF($B105="SINAPI",INDEX(CSINAPI!$D:$D,MATCH($C105,CSINAPI!$A:$A,0)),
IF($B105="CESAN",INDEX(CCESAN!$D:$D,MATCH($C105,CCESAN!$A:$A,0)),
IF($B105="SCORIO",INDEX(CSCORIO!$B:$B,MATCH($C105,CSCORIO!#REF!,0)),
IF($B105="MERC",INDEX(MERCADO!$E:$E,MATCH($C105,MERCADO!$A:$A,0)),
IF($B105="COMP",INDEX(COMPOSICAO!$H:$H,MATCH($C105,COMPOSICAO!$A:$A,0)),
0)))))),0)</f>
        <v>632.97</v>
      </c>
      <c r="H105" s="173">
        <f t="shared" ref="H105" si="94">ROUND(G105*(1+$J$2),2)</f>
        <v>843.43</v>
      </c>
      <c r="I105" s="180">
        <f t="shared" ref="I105" si="95">ROUND($H105*F105,2)</f>
        <v>30565.9</v>
      </c>
      <c r="J105" s="194">
        <f>I105/I$103</f>
        <v>0.52935729274925691</v>
      </c>
    </row>
    <row r="106" spans="1:10">
      <c r="A106" s="167" t="s">
        <v>12600</v>
      </c>
      <c r="B106" s="168"/>
      <c r="C106" s="169"/>
      <c r="D106" s="170" t="s">
        <v>14194</v>
      </c>
      <c r="E106" s="171"/>
      <c r="F106" s="172"/>
      <c r="G106" s="173"/>
      <c r="H106" s="173"/>
      <c r="I106" s="174"/>
      <c r="J106" s="193"/>
    </row>
    <row r="107" spans="1:10" ht="25.5">
      <c r="A107" s="175" t="s">
        <v>14229</v>
      </c>
      <c r="B107" s="176" t="s">
        <v>929</v>
      </c>
      <c r="C107" s="177">
        <v>6</v>
      </c>
      <c r="D107" s="178" t="str">
        <f>IFERROR(PROPER(
IF($B107="DER-ES",INDEX('CDER-ES'!$B:$B,MATCH($C107,'CDER-ES'!$A:$A,0)),
IF($B107="SINAPI",INDEX(CSINAPI!$B:$B,MATCH($C107,CSINAPI!$A:$A,0)),
IF($B107="CESAN",INDEX(CCESAN!$B:$B,MATCH($C107,CCESAN!$A:$A,0)),
IF($B107="SCORIO",INDEX(CSCORIO!$B:$B,MATCH($C107,CSCORIO!$A:$A,0)),
IF($B107="MERC",INDEX(MERCADO!$B:$B,MATCH($C107,MERCADO!$A:$A,0)),
IF($B107="COMP",INDEX(COMPOSICAO!$B:$B,MATCH($C107,COMPOSICAO!$A:$A,0)),
""))))))),"*Verificar código*")</f>
        <v>Portão De Correr Em Chapa De Aço, Completa, Inclusive Requadro, Trilhos E Roldanas</v>
      </c>
      <c r="E107" s="171" t="str">
        <f>IFERROR(LOWER(
IF($B107="DER-ES",INDEX('CDER-ES'!$C:$C,MATCH($C107,'CDER-ES'!$A:$A,0)),
IF($B107="SINAPI",INDEX(CSINAPI!$C:$C,MATCH($C107,CSINAPI!$A:$A,0)),
IF($B107="CESAN",INDEX(CCESAN!$C:$C,MATCH($C107,CCESAN!$A:$A,0)),
IF($B107="SCORIO",INDEX(CSCORIO!$A:$A,MATCH($C107,CSCORIO!#REF!,0)),
IF($B107="MERC",INDEX(MERCADO!$D:$D,MATCH($C107,MERCADO!$A:$A,0)),
IF($B107="COMP",INDEX(COMPOSICAO!$G:$G,MATCH($C107,COMPOSICAO!$A:$A,0)),
""))))))),"")</f>
        <v>m²</v>
      </c>
      <c r="F107" s="179">
        <f>VLOOKUP(A107,'MEMÓRIA DE CÁLCULO'!A:H,8,0)</f>
        <v>18.48</v>
      </c>
      <c r="G107" s="173">
        <f>IFERROR(
IF($B107="DER-ES",INDEX('CDER-ES'!$D:$D,MATCH($C107,'CDER-ES'!$A:$A,0)),
IF($B107="SINAPI",INDEX(CSINAPI!$D:$D,MATCH($C107,CSINAPI!$A:$A,0)),
IF($B107="CESAN",INDEX(CCESAN!$D:$D,MATCH($C107,CCESAN!$A:$A,0)),
IF($B107="SCORIO",INDEX(CSCORIO!$B:$B,MATCH($C107,CSCORIO!#REF!,0)),
IF($B107="MERC",INDEX(MERCADO!$E:$E,MATCH($C107,MERCADO!$A:$A,0)),
IF($B107="COMP",INDEX(COMPOSICAO!$H:$H,MATCH($C107,COMPOSICAO!$A:$A,0)),
0)))))),0)</f>
        <v>823.13999999999987</v>
      </c>
      <c r="H107" s="173">
        <f t="shared" ref="H107" si="96">ROUND(G107*(1+$J$2),2)</f>
        <v>1096.83</v>
      </c>
      <c r="I107" s="180">
        <f t="shared" ref="I107" si="97">ROUND($H107*F107,2)</f>
        <v>20269.419999999998</v>
      </c>
      <c r="J107" s="194">
        <f t="shared" ref="J107" si="98">I107/I$103</f>
        <v>0.35103711314888952</v>
      </c>
    </row>
    <row r="108" spans="1:10" ht="38.25">
      <c r="A108" s="175" t="s">
        <v>14230</v>
      </c>
      <c r="B108" s="176" t="s">
        <v>12617</v>
      </c>
      <c r="C108" s="177">
        <v>71103</v>
      </c>
      <c r="D108" s="178" t="str">
        <f>IFERROR(PROPER(
IF($B108="DER-ES",INDEX('CDER-ES'!$B:$B,MATCH($C108,'CDER-ES'!$A:$A,0)),
IF($B108="SINAPI",INDEX(CSINAPI!$B:$B,MATCH($C108,CSINAPI!$A:$A,0)),
IF($B108="CESAN",INDEX(CCESAN!$B:$B,MATCH($C108,CCESAN!$A:$A,0)),
IF($B108="SCORIO",INDEX(CSCORIO!$B:$B,MATCH($C108,CSCORIO!$A:$A,0)),
IF($B108="MERC",INDEX(MERCADO!$B:$B,MATCH($C108,MERCADO!$A:$A,0)),
IF($B108="COMP",INDEX(COMPOSICAO!$B:$B,MATCH($C108,COMPOSICAO!$A:$A,0)),
""))))))),"*Verificar código*")</f>
        <v>Grade De Tela Tipo Mosquiteiro De Arame Galvanizado #18, Fio 32, Inclusive, Requadro Em Cantoneira De Ferro 1/8"X1/2"X1/2"</v>
      </c>
      <c r="E108" s="171" t="str">
        <f>IFERROR(LOWER(
IF($B108="DER-ES",INDEX('CDER-ES'!$C:$C,MATCH($C108,'CDER-ES'!$A:$A,0)),
IF($B108="SINAPI",INDEX(CSINAPI!$C:$C,MATCH($C108,CSINAPI!$A:$A,0)),
IF($B108="CESAN",INDEX(CCESAN!$C:$C,MATCH($C108,CCESAN!$A:$A,0)),
IF($B108="SCORIO",INDEX(CSCORIO!$A:$A,MATCH($C108,CSCORIO!#REF!,0)),
IF($B108="MERC",INDEX(MERCADO!$D:$D,MATCH($C108,MERCADO!$A:$A,0)),
IF($B108="COMP",INDEX(COMPOSICAO!$G:$G,MATCH($C108,COMPOSICAO!$A:$A,0)),
""))))))),"")</f>
        <v>m2</v>
      </c>
      <c r="F108" s="179">
        <f>VLOOKUP(A108,'MEMÓRIA DE CÁLCULO'!A:H,8,0)</f>
        <v>12.16</v>
      </c>
      <c r="G108" s="173">
        <f>IFERROR(
IF($B108="DER-ES",INDEX('CDER-ES'!$D:$D,MATCH($C108,'CDER-ES'!$A:$A,0)),
IF($B108="SINAPI",INDEX(CSINAPI!$D:$D,MATCH($C108,CSINAPI!$A:$A,0)),
IF($B108="CESAN",INDEX(CCESAN!$D:$D,MATCH($C108,CCESAN!$A:$A,0)),
IF($B108="SCORIO",INDEX(CSCORIO!$B:$B,MATCH($C108,CSCORIO!#REF!,0)),
IF($B108="MERC",INDEX(MERCADO!$E:$E,MATCH($C108,MERCADO!$A:$A,0)),
IF($B108="COMP",INDEX(COMPOSICAO!$H:$H,MATCH($C108,COMPOSICAO!$A:$A,0)),
0)))))),0)</f>
        <v>103.07</v>
      </c>
      <c r="H108" s="173">
        <f t="shared" ref="H108" si="99">ROUND(G108*(1+$J$2),2)</f>
        <v>137.34</v>
      </c>
      <c r="I108" s="180">
        <f t="shared" ref="I108" si="100">ROUND($H108*F108,2)</f>
        <v>1670.05</v>
      </c>
      <c r="J108" s="194">
        <f t="shared" ref="J108" si="101">I108/I$103</f>
        <v>2.8922856737602899E-2</v>
      </c>
    </row>
    <row r="109" spans="1:10">
      <c r="A109" s="167" t="s">
        <v>13926</v>
      </c>
      <c r="B109" s="168"/>
      <c r="C109" s="169"/>
      <c r="D109" s="170" t="s">
        <v>14197</v>
      </c>
      <c r="E109" s="171"/>
      <c r="F109" s="172"/>
      <c r="G109" s="173"/>
      <c r="H109" s="173"/>
      <c r="I109" s="174"/>
      <c r="J109" s="193"/>
    </row>
    <row r="110" spans="1:10" ht="51">
      <c r="A110" s="175" t="s">
        <v>14231</v>
      </c>
      <c r="B110" s="176" t="s">
        <v>12617</v>
      </c>
      <c r="C110" s="177">
        <v>80201</v>
      </c>
      <c r="D110" s="178" t="str">
        <f>IFERROR(PROPER(
IF($B110="DER-ES",INDEX('CDER-ES'!$B:$B,MATCH($C110,'CDER-ES'!$A:$A,0)),
IF($B110="SINAPI",INDEX(CSINAPI!$B:$B,MATCH($C110,CSINAPI!$A:$A,0)),
IF($B110="CESAN",INDEX(CCESAN!$B:$B,MATCH($C110,CCESAN!$A:$A,0)),
IF($B110="SCORIO",INDEX(CSCORIO!$B:$B,MATCH($C110,CSCORIO!$A:$A,0)),
IF($B110="MERC",INDEX(MERCADO!$B:$B,MATCH($C110,MERCADO!$A:$A,0)),
IF($B110="COMP",INDEX(COMPOSICAO!$B:$B,MATCH($C110,COMPOSICAO!$A:$A,0)),
""))))))),"*Verificar código*")</f>
        <v>Espelho Para Banheiros Espessura 4 Mm, Incluindo Chapa Compensada 10 Mm, Moldura De Alumínio Em Perfil L 3/4", Fixado Com Parafusos Cromados</v>
      </c>
      <c r="E110" s="171" t="str">
        <f>IFERROR(LOWER(
IF($B110="DER-ES",INDEX('CDER-ES'!$C:$C,MATCH($C110,'CDER-ES'!$A:$A,0)),
IF($B110="SINAPI",INDEX(CSINAPI!$C:$C,MATCH($C110,CSINAPI!$A:$A,0)),
IF($B110="CESAN",INDEX(CCESAN!$C:$C,MATCH($C110,CCESAN!$A:$A,0)),
IF($B110="SCORIO",INDEX(CSCORIO!$A:$A,MATCH($C110,CSCORIO!#REF!,0)),
IF($B110="MERC",INDEX(MERCADO!$D:$D,MATCH($C110,MERCADO!$A:$A,0)),
IF($B110="COMP",INDEX(COMPOSICAO!$G:$G,MATCH($C110,COMPOSICAO!$A:$A,0)),
""))))))),"")</f>
        <v>m2</v>
      </c>
      <c r="F110" s="179">
        <f>VLOOKUP(A110,'MEMÓRIA DE CÁLCULO'!A:H,8,0)</f>
        <v>3.36</v>
      </c>
      <c r="G110" s="173">
        <f>IFERROR(
IF($B110="DER-ES",INDEX('CDER-ES'!$D:$D,MATCH($C110,'CDER-ES'!$A:$A,0)),
IF($B110="SINAPI",INDEX(CSINAPI!$D:$D,MATCH($C110,CSINAPI!$A:$A,0)),
IF($B110="CESAN",INDEX(CCESAN!$D:$D,MATCH($C110,CCESAN!$A:$A,0)),
IF($B110="SCORIO",INDEX(CSCORIO!$B:$B,MATCH($C110,CSCORIO!#REF!,0)),
IF($B110="MERC",INDEX(MERCADO!$E:$E,MATCH($C110,MERCADO!$A:$A,0)),
IF($B110="COMP",INDEX(COMPOSICAO!$H:$H,MATCH($C110,COMPOSICAO!$A:$A,0)),
0)))))),0)</f>
        <v>631.47</v>
      </c>
      <c r="H110" s="173">
        <f t="shared" ref="H110" si="102">ROUND(G110*(1+$J$2),2)</f>
        <v>841.43</v>
      </c>
      <c r="I110" s="180">
        <f t="shared" ref="I110" si="103">ROUND($H110*F110,2)</f>
        <v>2827.2</v>
      </c>
      <c r="J110" s="194">
        <f>I110/I$103</f>
        <v>4.8963025399569426E-2</v>
      </c>
    </row>
    <row r="111" spans="1:10">
      <c r="A111" s="167" t="s">
        <v>14219</v>
      </c>
      <c r="B111" s="168"/>
      <c r="C111" s="169"/>
      <c r="D111" s="170" t="s">
        <v>13919</v>
      </c>
      <c r="E111" s="171"/>
      <c r="F111" s="172"/>
      <c r="G111" s="173"/>
      <c r="H111" s="173"/>
      <c r="I111" s="174"/>
      <c r="J111" s="193"/>
    </row>
    <row r="112" spans="1:10" ht="25.5">
      <c r="A112" s="175" t="s">
        <v>14232</v>
      </c>
      <c r="B112" s="176" t="s">
        <v>928</v>
      </c>
      <c r="C112" s="177">
        <v>100705</v>
      </c>
      <c r="D112" s="178" t="str">
        <f>IFERROR(PROPER(
IF($B112="DER-ES",INDEX('CDER-ES'!$B:$B,MATCH($C112,'CDER-ES'!$A:$A,0)),
IF($B112="SINAPI",INDEX(CSINAPI!$B:$B,MATCH($C112,CSINAPI!$A:$A,0)),
IF($B112="CESAN",INDEX(CCESAN!$B:$B,MATCH($C112,CCESAN!$A:$A,0)),
IF($B112="SCORIO",INDEX(CSCORIO!$B:$B,MATCH($C112,CSCORIO!$A:$A,0)),
IF($B112="MERC",INDEX(MERCADO!$B:$B,MATCH($C112,MERCADO!$A:$A,0)),
IF($B112="COMP",INDEX(COMPOSICAO!$B:$B,MATCH($C112,COMPOSICAO!$A:$A,0)),
""))))))),"*Verificar código*")</f>
        <v>Tarjeta Tipo Livre/Ocupado Para Porta De Banheiro. Af_12/2019</v>
      </c>
      <c r="E112" s="171" t="str">
        <f>IFERROR(LOWER(
IF($B112="DER-ES",INDEX('CDER-ES'!$C:$C,MATCH($C112,'CDER-ES'!$A:$A,0)),
IF($B112="SINAPI",INDEX(CSINAPI!$C:$C,MATCH($C112,CSINAPI!$A:$A,0)),
IF($B112="CESAN",INDEX(CCESAN!$C:$C,MATCH($C112,CCESAN!$A:$A,0)),
IF($B112="SCORIO",INDEX(CSCORIO!$A:$A,MATCH($C112,CSCORIO!#REF!,0)),
IF($B112="MERC",INDEX(MERCADO!$D:$D,MATCH($C112,MERCADO!$A:$A,0)),
IF($B112="COMP",INDEX(COMPOSICAO!$G:$G,MATCH($C112,COMPOSICAO!$A:$A,0)),
""))))))),"")</f>
        <v>un</v>
      </c>
      <c r="F112" s="179">
        <f>VLOOKUP(A112,'MEMÓRIA DE CÁLCULO'!A:H,8,0)</f>
        <v>15</v>
      </c>
      <c r="G112" s="173">
        <f>IFERROR(
IF($B112="DER-ES",INDEX('CDER-ES'!$D:$D,MATCH($C112,'CDER-ES'!$A:$A,0)),
IF($B112="SINAPI",INDEX(CSINAPI!$D:$D,MATCH($C112,CSINAPI!$A:$A,0)),
IF($B112="CESAN",INDEX(CCESAN!$D:$D,MATCH($C112,CCESAN!$A:$A,0)),
IF($B112="SCORIO",INDEX(CSCORIO!$B:$B,MATCH($C112,CSCORIO!#REF!,0)),
IF($B112="MERC",INDEX(MERCADO!$E:$E,MATCH($C112,MERCADO!$A:$A,0)),
IF($B112="COMP",INDEX(COMPOSICAO!$H:$H,MATCH($C112,COMPOSICAO!$A:$A,0)),
0)))))),0)</f>
        <v>78.680000000000007</v>
      </c>
      <c r="H112" s="173">
        <f t="shared" ref="H112" si="104">ROUND(G112*(1+$J$2),2)</f>
        <v>104.84</v>
      </c>
      <c r="I112" s="180">
        <f>ROUND($H112*F112,2)</f>
        <v>1572.6</v>
      </c>
      <c r="J112" s="194">
        <f>I112/I$103</f>
        <v>2.7235163321789359E-2</v>
      </c>
    </row>
    <row r="113" spans="1:10" ht="38.25">
      <c r="A113" s="175" t="s">
        <v>14233</v>
      </c>
      <c r="B113" s="176" t="s">
        <v>928</v>
      </c>
      <c r="C113" s="177">
        <v>100866</v>
      </c>
      <c r="D113" s="178" t="str">
        <f>IFERROR(PROPER(
IF($B113="DER-ES",INDEX('CDER-ES'!$B:$B,MATCH($C113,'CDER-ES'!$A:$A,0)),
IF($B113="SINAPI",INDEX(CSINAPI!$B:$B,MATCH($C113,CSINAPI!$A:$A,0)),
IF($B113="CESAN",INDEX(CCESAN!$B:$B,MATCH($C113,CCESAN!$A:$A,0)),
IF($B113="SCORIO",INDEX(CSCORIO!$B:$B,MATCH($C113,CSCORIO!$A:$A,0)),
IF($B113="MERC",INDEX(MERCADO!$B:$B,MATCH($C113,MERCADO!$A:$A,0)),
IF($B113="COMP",INDEX(COMPOSICAO!$B:$B,MATCH($C113,COMPOSICAO!$A:$A,0)),
""))))))),"*Verificar código*")</f>
        <v>Barra De Apoio Reta, Em Aco Inox Polido, Comprimento 60Cm, Fixada Na Parede - Fornecimento E Instalação. Af_01/2020</v>
      </c>
      <c r="E113" s="171" t="str">
        <f>IFERROR(LOWER(
IF($B113="DER-ES",INDEX('CDER-ES'!$C:$C,MATCH($C113,'CDER-ES'!$A:$A,0)),
IF($B113="SINAPI",INDEX(CSINAPI!$C:$C,MATCH($C113,CSINAPI!$A:$A,0)),
IF($B113="CESAN",INDEX(CCESAN!$C:$C,MATCH($C113,CCESAN!$A:$A,0)),
IF($B113="SCORIO",INDEX(CSCORIO!$A:$A,MATCH($C113,CSCORIO!#REF!,0)),
IF($B113="MERC",INDEX(MERCADO!$D:$D,MATCH($C113,MERCADO!$A:$A,0)),
IF($B113="COMP",INDEX(COMPOSICAO!$G:$G,MATCH($C113,COMPOSICAO!$A:$A,0)),
""))))))),"")</f>
        <v>un</v>
      </c>
      <c r="F113" s="179">
        <f>VLOOKUP(A113,'MEMÓRIA DE CÁLCULO'!A:H,8,0)</f>
        <v>2</v>
      </c>
      <c r="G113" s="173">
        <f>IFERROR(
IF($B113="DER-ES",INDEX('CDER-ES'!$D:$D,MATCH($C113,'CDER-ES'!$A:$A,0)),
IF($B113="SINAPI",INDEX(CSINAPI!$D:$D,MATCH($C113,CSINAPI!$A:$A,0)),
IF($B113="CESAN",INDEX(CCESAN!$D:$D,MATCH($C113,CCESAN!$A:$A,0)),
IF($B113="SCORIO",INDEX(CSCORIO!$B:$B,MATCH($C113,CSCORIO!#REF!,0)),
IF($B113="MERC",INDEX(MERCADO!$E:$E,MATCH($C113,MERCADO!$A:$A,0)),
IF($B113="COMP",INDEX(COMPOSICAO!$H:$H,MATCH($C113,COMPOSICAO!$A:$A,0)),
0)))))),0)</f>
        <v>313.83</v>
      </c>
      <c r="H113" s="173">
        <f t="shared" ref="H113" si="105">ROUND(G113*(1+$J$2),2)</f>
        <v>418.18</v>
      </c>
      <c r="I113" s="180">
        <f>ROUND($H113*F113,2)</f>
        <v>836.36</v>
      </c>
      <c r="J113" s="194">
        <f>I113/I$103</f>
        <v>1.4484548642891866E-2</v>
      </c>
    </row>
    <row r="114" spans="1:10">
      <c r="A114" s="167" t="s">
        <v>12601</v>
      </c>
      <c r="B114" s="168"/>
      <c r="C114" s="169"/>
      <c r="D114" s="170" t="s">
        <v>13925</v>
      </c>
      <c r="E114" s="171"/>
      <c r="F114" s="172"/>
      <c r="G114" s="173"/>
      <c r="H114" s="173"/>
      <c r="I114" s="174">
        <f>SUBTOTAL(9,I116:I127)</f>
        <v>1113312.5900000001</v>
      </c>
      <c r="J114" s="193">
        <f>SUBTOTAL(9,J116:J127)</f>
        <v>0.99999999999999989</v>
      </c>
    </row>
    <row r="115" spans="1:10">
      <c r="A115" s="167" t="s">
        <v>12602</v>
      </c>
      <c r="B115" s="168"/>
      <c r="C115" s="169"/>
      <c r="D115" s="170" t="s">
        <v>14352</v>
      </c>
      <c r="E115" s="171"/>
      <c r="F115" s="172"/>
      <c r="G115" s="173"/>
      <c r="H115" s="173"/>
      <c r="I115" s="174"/>
      <c r="J115" s="193"/>
    </row>
    <row r="116" spans="1:10" ht="63.75">
      <c r="A116" s="175" t="s">
        <v>14353</v>
      </c>
      <c r="B116" s="176" t="s">
        <v>12617</v>
      </c>
      <c r="C116" s="177">
        <v>200738</v>
      </c>
      <c r="D116" s="178" t="str">
        <f>IFERROR(PROPER(
IF($B116="DER-ES",INDEX('CDER-ES'!$B:$B,MATCH($C116,'CDER-ES'!$A:$A,0)),
IF($B116="SINAPI",INDEX(CSINAPI!$B:$B,MATCH($C116,CSINAPI!$A:$A,0)),
IF($B116="CESAN",INDEX(CCESAN!$B:$B,MATCH($C116,CCESAN!$A:$A,0)),
IF($B116="SCORIO",INDEX(CSCORIO!$B:$B,MATCH($C116,CSCORIO!$A:$A,0)),
IF($B116="MERC",INDEX(MERCADO!$B:$B,MATCH($C116,MERCADO!$A:$A,0)),
IF($B116="COMP",INDEX(COMPOSICAO!$B:$B,MATCH($C116,COMPOSICAO!$A:$A,0)),
""))))))),"*Verificar código*")</f>
        <v>Estrut. Metálica P/ Quadra Poliesp. Coberta Constituída Por Perfis Formados A Frio, Aço Estrutural Astm A-570 G33 (Terças) Astm A-36 (Demais Perfis) C/ O Sistema De Trat. E Pint Conf Descrito Em Notas Da Planilha</v>
      </c>
      <c r="E116" s="171" t="str">
        <f>IFERROR(LOWER(
IF($B116="DER-ES",INDEX('CDER-ES'!$C:$C,MATCH($C116,'CDER-ES'!$A:$A,0)),
IF($B116="SINAPI",INDEX(CSINAPI!$C:$C,MATCH($C116,CSINAPI!$A:$A,0)),
IF($B116="CESAN",INDEX(CCESAN!$C:$C,MATCH($C116,CCESAN!$A:$A,0)),
IF($B116="SCORIO",INDEX(CSCORIO!$A:$A,MATCH($C116,CSCORIO!#REF!,0)),
IF($B116="MERC",INDEX(MERCADO!$D:$D,MATCH($C116,MERCADO!$A:$A,0)),
IF($B116="COMP",INDEX(COMPOSICAO!$G:$G,MATCH($C116,COMPOSICAO!$A:$A,0)),
""))))))),"")</f>
        <v>kg</v>
      </c>
      <c r="F116" s="179">
        <f>VLOOKUP(A116,'MEMÓRIA DE CÁLCULO'!A:H,8,0)</f>
        <v>19983.22</v>
      </c>
      <c r="G116" s="173">
        <f>IFERROR(
IF($B116="DER-ES",INDEX('CDER-ES'!$D:$D,MATCH($C116,'CDER-ES'!$A:$A,0)),
IF($B116="SINAPI",INDEX(CSINAPI!$D:$D,MATCH($C116,CSINAPI!$A:$A,0)),
IF($B116="CESAN",INDEX(CCESAN!$D:$D,MATCH($C116,CCESAN!$A:$A,0)),
IF($B116="SCORIO",INDEX(CSCORIO!$B:$B,MATCH($C116,CSCORIO!#REF!,0)),
IF($B116="MERC",INDEX(MERCADO!$E:$E,MATCH($C116,MERCADO!$A:$A,0)),
IF($B116="COMP",INDEX(COMPOSICAO!$H:$H,MATCH($C116,COMPOSICAO!$A:$A,0)),
0)))))),0)</f>
        <v>34.68</v>
      </c>
      <c r="H116" s="173">
        <f t="shared" ref="H116:H127" si="106">ROUND(G116*(1+$J$2),2)</f>
        <v>46.21</v>
      </c>
      <c r="I116" s="180">
        <f t="shared" ref="I116:I127" si="107">ROUND($H116*F116,2)</f>
        <v>923424.6</v>
      </c>
      <c r="J116" s="194">
        <f t="shared" ref="J116:J119" si="108">I116/I$114</f>
        <v>0.82943874729737843</v>
      </c>
    </row>
    <row r="117" spans="1:10" ht="76.5">
      <c r="A117" s="175" t="s">
        <v>14354</v>
      </c>
      <c r="B117" s="176" t="s">
        <v>12617</v>
      </c>
      <c r="C117" s="177">
        <v>200720</v>
      </c>
      <c r="D117" s="178" t="str">
        <f>IFERROR(PROPER(
IF($B117="DER-ES",INDEX('CDER-ES'!$B:$B,MATCH($C117,'CDER-ES'!$A:$A,0)),
IF($B117="SINAPI",INDEX(CSINAPI!$B:$B,MATCH($C117,CSINAPI!$A:$A,0)),
IF($B117="CESAN",INDEX(CCESAN!$B:$B,MATCH($C117,CCESAN!$A:$A,0)),
IF($B117="SCORIO",INDEX(CSCORIO!$B:$B,MATCH($C117,CSCORIO!$A:$A,0)),
IF($B117="MERC",INDEX(MERCADO!$B:$B,MATCH($C117,MERCADO!$A:$A,0)),
IF($B117="COMP",INDEX(COMPOSICAO!$B:$B,MATCH($C117,COMPOSICAO!$A:$A,0)),
""))))))),"*Verificar código*")</f>
        <v>Forn E Assent De Telhas De Liga De Alumínio E Zinco (Galvalume), Ondulada, Esp. Mínima 0.43Mm, Alt. Mínima De Onda 17Mm, Sobrep. Lateral De Uma Onda E Longit. 200Mm C/ Mínimo De 3 Apoios, Assent. C/ Utiliz. De Fitas Anti-Corrosiva</v>
      </c>
      <c r="E117" s="171" t="str">
        <f>IFERROR(LOWER(
IF($B117="DER-ES",INDEX('CDER-ES'!$C:$C,MATCH($C117,'CDER-ES'!$A:$A,0)),
IF($B117="SINAPI",INDEX(CSINAPI!$C:$C,MATCH($C117,CSINAPI!$A:$A,0)),
IF($B117="CESAN",INDEX(CCESAN!$C:$C,MATCH($C117,CCESAN!$A:$A,0)),
IF($B117="SCORIO",INDEX(CSCORIO!$A:$A,MATCH($C117,CSCORIO!#REF!,0)),
IF($B117="MERC",INDEX(MERCADO!$D:$D,MATCH($C117,MERCADO!$A:$A,0)),
IF($B117="COMP",INDEX(COMPOSICAO!$G:$G,MATCH($C117,COMPOSICAO!$A:$A,0)),
""))))))),"")</f>
        <v>m2</v>
      </c>
      <c r="F117" s="179">
        <f>VLOOKUP(A117,'MEMÓRIA DE CÁLCULO'!A:H,8,0)</f>
        <v>1371.68</v>
      </c>
      <c r="G117" s="173">
        <f>IFERROR(
IF($B117="DER-ES",INDEX('CDER-ES'!$D:$D,MATCH($C117,'CDER-ES'!$A:$A,0)),
IF($B117="SINAPI",INDEX(CSINAPI!$D:$D,MATCH($C117,CSINAPI!$A:$A,0)),
IF($B117="CESAN",INDEX(CCESAN!$D:$D,MATCH($C117,CCESAN!$A:$A,0)),
IF($B117="SCORIO",INDEX(CSCORIO!$B:$B,MATCH($C117,CSCORIO!#REF!,0)),
IF($B117="MERC",INDEX(MERCADO!$E:$E,MATCH($C117,MERCADO!$A:$A,0)),
IF($B117="COMP",INDEX(COMPOSICAO!$H:$H,MATCH($C117,COMPOSICAO!$A:$A,0)),
0)))))),0)</f>
        <v>55.25</v>
      </c>
      <c r="H117" s="173">
        <f t="shared" si="106"/>
        <v>73.62</v>
      </c>
      <c r="I117" s="180">
        <f t="shared" si="107"/>
        <v>100983.08</v>
      </c>
      <c r="J117" s="194">
        <f t="shared" si="108"/>
        <v>9.0705055262152376E-2</v>
      </c>
    </row>
    <row r="118" spans="1:10" ht="178.5">
      <c r="A118" s="175" t="s">
        <v>14355</v>
      </c>
      <c r="B118" s="176" t="s">
        <v>1942</v>
      </c>
      <c r="C118" s="177" t="s">
        <v>4927</v>
      </c>
      <c r="D118" s="178" t="str">
        <f>IFERROR(PROPER(
IF($B118="DER-ES",INDEX('CDER-ES'!$B:$B,MATCH($C118,'CDER-ES'!$A:$A,0)),
IF($B118="SINAPI",INDEX(CSINAPI!$B:$B,MATCH($C118,CSINAPI!$A:$A,0)),
IF($B118="CESAN",INDEX(CCESAN!$B:$B,MATCH($C118,CCESAN!$A:$A,0)),
IF($B118="SCORIO",INDEX(CSCORIO!$B:$B,MATCH($C118,CSCORIO!$A:$A,0)),
IF($B118="MERC",INDEX(MERCADO!$B:$B,MATCH($C118,MERCADO!$A:$A,0)),
IF($B118="COMP",INDEX(COMPOSICAO!$B:$B,MATCH($C118,COMPOSICAO!$A:$A,0)),
""))))))),"*Verificar código*")</f>
        <v>Cobertura Translucida, Cristal, Branca Leitosa Ou Cores Basicas, Perfil Trapezoidal Ou
Ondulada, De Resina De Poliester Reforcada Com Fibra De Vidro, Com Aditivo
Estabilizante Contra Degradacao Dos Raios U.V., Estruturada Com Veu Interno De
Poliester, Espessura De 1,5Mm, Para Uso Onde Se Requer Iluminacao Natural
Controlada E Privilegia-Se: A Resistencia E A Luz Difratada, Larguras Uteis De 990Mm
E 1020Mm, Respectivamente, Comprimento Ate 6,00M, Incluindo Os Acessorios Para
Fixacao, Facil &amp; Rapido Ou Similar. Fornecimento E Colocacao.(Desonerado)</v>
      </c>
      <c r="E118" s="171" t="str">
        <f>IFERROR(LOWER(
IF($B118="DER-ES",INDEX('CDER-ES'!$C:$C,MATCH($C118,'CDER-ES'!$A:$A,0)),
IF($B118="SINAPI",INDEX(CSINAPI!$C:$C,MATCH($C118,CSINAPI!$A:$A,0)),
IF($B118="CESAN",INDEX(CCESAN!$C:$C,MATCH($C118,CCESAN!$A:$A,0)),
IF($B118="SCORIO",INDEX(CSCORIO!$C:$C,MATCH($C118,CSCORIO!$A:$A,0)),
IF($B118="MERC",INDEX(MERCADO!$D:$D,MATCH($C118,MERCADO!$A:$A,0)),
IF($B118="COMP",INDEX(COMPOSICAO!$G:$G,MATCH($C118,COMPOSICAO!$A:$A,0)),
""))))))),"")</f>
        <v>m2</v>
      </c>
      <c r="F118" s="179">
        <f>VLOOKUP(A118,'MEMÓRIA DE CÁLCULO'!A:H,8,0)</f>
        <v>168.52</v>
      </c>
      <c r="G118" s="173">
        <f>IFERROR(
IF($B118="DER-ES",INDEX('CDER-ES'!$D:$D,MATCH($C118,'CDER-ES'!$A:$A,0)),
IF($B118="SINAPI",INDEX(CSINAPI!$D:$D,MATCH($C118,CSINAPI!$A:$A,0)),
IF($B118="CESAN",INDEX(CCESAN!$D:$D,MATCH($C118,CCESAN!$A:$A,0)),
IF($B118="SCORIO",INDEX(CSCORIO!$D:$D,MATCH($C118,CSCORIO!$A:$A,0)),
IF($B118="MERC",INDEX(MERCADO!$E:$E,MATCH($C118,MERCADO!$A:$A,0)),
IF($B118="COMP",INDEX(COMPOSICAO!$H:$H,MATCH($C118,COMPOSICAO!$A:$A,0)),
0)))))),0)</f>
        <v>154.78</v>
      </c>
      <c r="H118" s="173">
        <f t="shared" ref="H118" si="109">ROUND(G118*(1+$J$2),2)</f>
        <v>206.24</v>
      </c>
      <c r="I118" s="180">
        <f t="shared" ref="I118" si="110">ROUND($H118*F118,2)</f>
        <v>34755.56</v>
      </c>
      <c r="J118" s="194">
        <f t="shared" ref="J118" si="111">I118/I$114</f>
        <v>3.1218150510630618E-2</v>
      </c>
    </row>
    <row r="119" spans="1:10" ht="38.25">
      <c r="A119" s="175" t="s">
        <v>14356</v>
      </c>
      <c r="B119" s="176" t="s">
        <v>928</v>
      </c>
      <c r="C119" s="177">
        <v>94229</v>
      </c>
      <c r="D119" s="178" t="str">
        <f>IFERROR(PROPER(
IF($B119="DER-ES",INDEX('CDER-ES'!$B:$B,MATCH($C119,'CDER-ES'!$A:$A,0)),
IF($B119="SINAPI",INDEX(CSINAPI!$B:$B,MATCH($C119,CSINAPI!$A:$A,0)),
IF($B119="CESAN",INDEX(CCESAN!$B:$B,MATCH($C119,CCESAN!$A:$A,0)),
IF($B119="SCORIO",INDEX(CSCORIO!$B:$B,MATCH($C119,CSCORIO!$A:$A,0)),
IF($B119="MERC",INDEX(MERCADO!$B:$B,MATCH($C119,MERCADO!$A:$A,0)),
IF($B119="COMP",INDEX(COMPOSICAO!$B:$B,MATCH($C119,COMPOSICAO!$A:$A,0)),
""))))))),"*Verificar código*")</f>
        <v>Calha Em Chapa De Aço Galvanizado Número 24, Desenvolvimento De 100 Cm, Incluso Transporte Vertical. Af_07/2019</v>
      </c>
      <c r="E119" s="171" t="str">
        <f>IFERROR(LOWER(
IF($B119="DER-ES",INDEX('CDER-ES'!$C:$C,MATCH($C119,'CDER-ES'!$A:$A,0)),
IF($B119="SINAPI",INDEX(CSINAPI!$C:$C,MATCH($C119,CSINAPI!$A:$A,0)),
IF($B119="CESAN",INDEX(CCESAN!$C:$C,MATCH($C119,CCESAN!$A:$A,0)),
IF($B119="SCORIO",INDEX(CSCORIO!$A:$A,MATCH($C119,CSCORIO!#REF!,0)),
IF($B119="MERC",INDEX(MERCADO!$D:$D,MATCH($C119,MERCADO!$A:$A,0)),
IF($B119="COMP",INDEX(COMPOSICAO!$G:$G,MATCH($C119,COMPOSICAO!$A:$A,0)),
""))))))),"")</f>
        <v>m</v>
      </c>
      <c r="F119" s="179">
        <f>VLOOKUP(A119,'MEMÓRIA DE CÁLCULO'!A:H,8,0)</f>
        <v>88.2</v>
      </c>
      <c r="G119" s="173">
        <f>IFERROR(
IF($B119="DER-ES",INDEX('CDER-ES'!$D:$D,MATCH($C119,'CDER-ES'!$A:$A,0)),
IF($B119="SINAPI",INDEX(CSINAPI!$D:$D,MATCH($C119,CSINAPI!$A:$A,0)),
IF($B119="CESAN",INDEX(CCESAN!$D:$D,MATCH($C119,CCESAN!$A:$A,0)),
IF($B119="SCORIO",INDEX(CSCORIO!$B:$B,MATCH($C119,CSCORIO!#REF!,0)),
IF($B119="MERC",INDEX(MERCADO!$E:$E,MATCH($C119,MERCADO!$A:$A,0)),
IF($B119="COMP",INDEX(COMPOSICAO!$H:$H,MATCH($C119,COMPOSICAO!$A:$A,0)),
0)))))),0)</f>
        <v>169.32</v>
      </c>
      <c r="H119" s="173">
        <f t="shared" ref="H119" si="112">ROUND(G119*(1+$J$2),2)</f>
        <v>225.62</v>
      </c>
      <c r="I119" s="180">
        <f t="shared" ref="I119" si="113">ROUND($H119*F119,2)</f>
        <v>19899.68</v>
      </c>
      <c r="J119" s="194">
        <f t="shared" si="108"/>
        <v>1.7874297101050478E-2</v>
      </c>
    </row>
    <row r="120" spans="1:10">
      <c r="A120" s="167" t="s">
        <v>14234</v>
      </c>
      <c r="B120" s="168"/>
      <c r="C120" s="169"/>
      <c r="D120" s="170" t="s">
        <v>16570</v>
      </c>
      <c r="E120" s="171"/>
      <c r="F120" s="172"/>
      <c r="G120" s="173"/>
      <c r="H120" s="173"/>
      <c r="I120" s="174"/>
      <c r="J120" s="193"/>
    </row>
    <row r="121" spans="1:10" ht="76.5">
      <c r="A121" s="175" t="s">
        <v>14357</v>
      </c>
      <c r="B121" s="176" t="s">
        <v>928</v>
      </c>
      <c r="C121" s="177">
        <v>100382</v>
      </c>
      <c r="D121" s="178" t="str">
        <f>IFERROR(PROPER(
IF($B121="DER-ES",INDEX('CDER-ES'!$B:$B,MATCH($C121,'CDER-ES'!$A:$A,0)),
IF($B121="SINAPI",INDEX(CSINAPI!$B:$B,MATCH($C121,CSINAPI!$A:$A,0)),
IF($B121="CESAN",INDEX(CCESAN!$B:$B,MATCH($C121,CCESAN!$A:$A,0)),
IF($B121="SCORIO",INDEX(CSCORIO!$B:$B,MATCH($C121,CSCORIO!$A:$A,0)),
IF($B121="MERC",INDEX(MERCADO!$B:$B,MATCH($C121,MERCADO!$A:$A,0)),
IF($B121="COMP",INDEX(COMPOSICAO!$B:$B,MATCH($C121,COMPOSICAO!$A:$A,0)),
""))))))),"*Verificar código*")</f>
        <v>Fabricação E Instalação De Pontaletes De Madeira Não Aparelhada Para Telhados Com Até 2 Águas E Com Telha Ondulada De Fibrocimento, Alumínio Ou Plástica Em Edifício Residencial Térreo, Incluso Transporte Vertical. Af_07/2019</v>
      </c>
      <c r="E121" s="171" t="str">
        <f>IFERROR(LOWER(
IF($B121="DER-ES",INDEX('CDER-ES'!$C:$C,MATCH($C121,'CDER-ES'!$A:$A,0)),
IF($B121="SINAPI",INDEX(CSINAPI!$C:$C,MATCH($C121,CSINAPI!$A:$A,0)),
IF($B121="CESAN",INDEX(CCESAN!$C:$C,MATCH($C121,CCESAN!$A:$A,0)),
IF($B121="SCORIO",INDEX(CSCORIO!$A:$A,MATCH($C121,CSCORIO!#REF!,0)),
IF($B121="MERC",INDEX(MERCADO!$D:$D,MATCH($C121,MERCADO!$A:$A,0)),
IF($B121="COMP",INDEX(COMPOSICAO!$G:$G,MATCH($C121,COMPOSICAO!$A:$A,0)),
""))))))),"")</f>
        <v>m2</v>
      </c>
      <c r="F121" s="179">
        <f>VLOOKUP(A121,'MEMÓRIA DE CÁLCULO'!A:H,8,0)</f>
        <v>111.6</v>
      </c>
      <c r="G121" s="173">
        <f>IFERROR(
IF($B121="DER-ES",INDEX('CDER-ES'!$D:$D,MATCH($C121,'CDER-ES'!$A:$A,0)),
IF($B121="SINAPI",INDEX(CSINAPI!$D:$D,MATCH($C121,CSINAPI!$A:$A,0)),
IF($B121="CESAN",INDEX(CCESAN!$D:$D,MATCH($C121,CCESAN!$A:$A,0)),
IF($B121="SCORIO",INDEX(CSCORIO!$B:$B,MATCH($C121,CSCORIO!#REF!,0)),
IF($B121="MERC",INDEX(MERCADO!$E:$E,MATCH($C121,MERCADO!$A:$A,0)),
IF($B121="COMP",INDEX(COMPOSICAO!$H:$H,MATCH($C121,COMPOSICAO!$A:$A,0)),
0)))))),0)</f>
        <v>23.56</v>
      </c>
      <c r="H121" s="173">
        <f t="shared" ref="H121:H124" si="114">ROUND(G121*(1+$J$2),2)</f>
        <v>31.39</v>
      </c>
      <c r="I121" s="180">
        <f t="shared" ref="I121:I124" si="115">ROUND($H121*F121,2)</f>
        <v>3503.12</v>
      </c>
      <c r="J121" s="194">
        <f t="shared" ref="J121:J124" si="116">I121/I$114</f>
        <v>3.1465735961900866E-3</v>
      </c>
    </row>
    <row r="122" spans="1:10" ht="63.75">
      <c r="A122" s="175" t="s">
        <v>14383</v>
      </c>
      <c r="B122" s="176" t="s">
        <v>928</v>
      </c>
      <c r="C122" s="177">
        <v>92543</v>
      </c>
      <c r="D122" s="178" t="str">
        <f>IFERROR(PROPER(
IF($B122="DER-ES",INDEX('CDER-ES'!$B:$B,MATCH($C122,'CDER-ES'!$A:$A,0)),
IF($B122="SINAPI",INDEX(CSINAPI!$B:$B,MATCH($C122,CSINAPI!$A:$A,0)),
IF($B122="CESAN",INDEX(CCESAN!$B:$B,MATCH($C122,CCESAN!$A:$A,0)),
IF($B122="SCORIO",INDEX(CSCORIO!$B:$B,MATCH($C122,CSCORIO!$A:$A,0)),
IF($B122="MERC",INDEX(MERCADO!$B:$B,MATCH($C122,MERCADO!$A:$A,0)),
IF($B122="COMP",INDEX(COMPOSICAO!$B:$B,MATCH($C122,COMPOSICAO!$A:$A,0)),
""))))))),"*Verificar código*")</f>
        <v>Trama De Madeira Composta Por Terças Para Telhados De Até 2 Águas Para Telha Ondulada De Fibrocimento, Metálica, Plástica Ou Termoacústica, Incluso Transporte Vertical. Af_07/2019</v>
      </c>
      <c r="E122" s="171" t="str">
        <f>IFERROR(LOWER(
IF($B122="DER-ES",INDEX('CDER-ES'!$C:$C,MATCH($C122,'CDER-ES'!$A:$A,0)),
IF($B122="SINAPI",INDEX(CSINAPI!$C:$C,MATCH($C122,CSINAPI!$A:$A,0)),
IF($B122="CESAN",INDEX(CCESAN!$C:$C,MATCH($C122,CCESAN!$A:$A,0)),
IF($B122="SCORIO",INDEX(CSCORIO!$A:$A,MATCH($C122,CSCORIO!#REF!,0)),
IF($B122="MERC",INDEX(MERCADO!$D:$D,MATCH($C122,MERCADO!$A:$A,0)),
IF($B122="COMP",INDEX(COMPOSICAO!$G:$G,MATCH($C122,COMPOSICAO!$A:$A,0)),
""))))))),"")</f>
        <v>m2</v>
      </c>
      <c r="F122" s="179">
        <f>VLOOKUP(A122,'MEMÓRIA DE CÁLCULO'!A:H,8,0)</f>
        <v>111.6</v>
      </c>
      <c r="G122" s="173">
        <f>IFERROR(
IF($B122="DER-ES",INDEX('CDER-ES'!$D:$D,MATCH($C122,'CDER-ES'!$A:$A,0)),
IF($B122="SINAPI",INDEX(CSINAPI!$D:$D,MATCH($C122,CSINAPI!$A:$A,0)),
IF($B122="CESAN",INDEX(CCESAN!$D:$D,MATCH($C122,CCESAN!$A:$A,0)),
IF($B122="SCORIO",INDEX(CSCORIO!$B:$B,MATCH($C122,CSCORIO!#REF!,0)),
IF($B122="MERC",INDEX(MERCADO!$E:$E,MATCH($C122,MERCADO!$A:$A,0)),
IF($B122="COMP",INDEX(COMPOSICAO!$H:$H,MATCH($C122,COMPOSICAO!$A:$A,0)),
0)))))),0)</f>
        <v>23.11</v>
      </c>
      <c r="H122" s="173">
        <f t="shared" si="114"/>
        <v>30.79</v>
      </c>
      <c r="I122" s="180">
        <f t="shared" si="115"/>
        <v>3436.16</v>
      </c>
      <c r="J122" s="194">
        <f t="shared" si="116"/>
        <v>3.0864287630125511E-3</v>
      </c>
    </row>
    <row r="123" spans="1:10" ht="63.75">
      <c r="A123" s="175" t="s">
        <v>14384</v>
      </c>
      <c r="B123" s="176" t="s">
        <v>928</v>
      </c>
      <c r="C123" s="177">
        <v>94210</v>
      </c>
      <c r="D123" s="178" t="str">
        <f>IFERROR(PROPER(
IF($B123="DER-ES",INDEX('CDER-ES'!$B:$B,MATCH($C123,'CDER-ES'!$A:$A,0)),
IF($B123="SINAPI",INDEX(CSINAPI!$B:$B,MATCH($C123,CSINAPI!$A:$A,0)),
IF($B123="CESAN",INDEX(CCESAN!$B:$B,MATCH($C123,CCESAN!$A:$A,0)),
IF($B123="SCORIO",INDEX(CSCORIO!$B:$B,MATCH($C123,CSCORIO!$A:$A,0)),
IF($B123="MERC",INDEX(MERCADO!$B:$B,MATCH($C123,MERCADO!$A:$A,0)),
IF($B123="COMP",INDEX(COMPOSICAO!$B:$B,MATCH($C123,COMPOSICAO!$A:$A,0)),
""))))))),"*Verificar código*")</f>
        <v>Telhamento Com Telha Ondulada De Fibrocimento E = 6 Mm, Com Recobrimento Lateral De 1 1/4 De Onda Para Telhado Com Inclinação Máxima De 10°, Com Até 2 Águas, Incluso Içamento. Af_07/2019</v>
      </c>
      <c r="E123" s="171" t="str">
        <f>IFERROR(LOWER(
IF($B123="DER-ES",INDEX('CDER-ES'!$C:$C,MATCH($C123,'CDER-ES'!$A:$A,0)),
IF($B123="SINAPI",INDEX(CSINAPI!$C:$C,MATCH($C123,CSINAPI!$A:$A,0)),
IF($B123="CESAN",INDEX(CCESAN!$C:$C,MATCH($C123,CCESAN!$A:$A,0)),
IF($B123="SCORIO",INDEX(CSCORIO!$A:$A,MATCH($C123,CSCORIO!#REF!,0)),
IF($B123="MERC",INDEX(MERCADO!$D:$D,MATCH($C123,MERCADO!$A:$A,0)),
IF($B123="COMP",INDEX(COMPOSICAO!$G:$G,MATCH($C123,COMPOSICAO!$A:$A,0)),
""))))))),"")</f>
        <v>m2</v>
      </c>
      <c r="F123" s="179">
        <f>VLOOKUP(A123,'MEMÓRIA DE CÁLCULO'!A:H,8,0)</f>
        <v>111.6</v>
      </c>
      <c r="G123" s="173">
        <f>IFERROR(
IF($B123="DER-ES",INDEX('CDER-ES'!$D:$D,MATCH($C123,'CDER-ES'!$A:$A,0)),
IF($B123="SINAPI",INDEX(CSINAPI!$D:$D,MATCH($C123,CSINAPI!$A:$A,0)),
IF($B123="CESAN",INDEX(CCESAN!$D:$D,MATCH($C123,CCESAN!$A:$A,0)),
IF($B123="SCORIO",INDEX(CSCORIO!$B:$B,MATCH($C123,CSCORIO!#REF!,0)),
IF($B123="MERC",INDEX(MERCADO!$E:$E,MATCH($C123,MERCADO!$A:$A,0)),
IF($B123="COMP",INDEX(COMPOSICAO!$H:$H,MATCH($C123,COMPOSICAO!$A:$A,0)),
0)))))),0)</f>
        <v>48.48</v>
      </c>
      <c r="H123" s="173">
        <f t="shared" ref="H123" si="117">ROUND(G123*(1+$J$2),2)</f>
        <v>64.599999999999994</v>
      </c>
      <c r="I123" s="180">
        <f t="shared" ref="I123" si="118">ROUND($H123*F123,2)</f>
        <v>7209.36</v>
      </c>
      <c r="J123" s="194">
        <f t="shared" ref="J123" si="119">I123/I$114</f>
        <v>6.4755937054479899E-3</v>
      </c>
    </row>
    <row r="124" spans="1:10" ht="38.25">
      <c r="A124" s="175" t="s">
        <v>14385</v>
      </c>
      <c r="B124" s="176" t="s">
        <v>928</v>
      </c>
      <c r="C124" s="177">
        <v>94228</v>
      </c>
      <c r="D124" s="178" t="str">
        <f>IFERROR(PROPER(
IF($B124="DER-ES",INDEX('CDER-ES'!$B:$B,MATCH($C124,'CDER-ES'!$A:$A,0)),
IF($B124="SINAPI",INDEX(CSINAPI!$B:$B,MATCH($C124,CSINAPI!$A:$A,0)),
IF($B124="CESAN",INDEX(CCESAN!$B:$B,MATCH($C124,CCESAN!$A:$A,0)),
IF($B124="SCORIO",INDEX(CSCORIO!$B:$B,MATCH($C124,CSCORIO!$A:$A,0)),
IF($B124="MERC",INDEX(MERCADO!$B:$B,MATCH($C124,MERCADO!$A:$A,0)),
IF($B124="COMP",INDEX(COMPOSICAO!$B:$B,MATCH($C124,COMPOSICAO!$A:$A,0)),
""))))))),"*Verificar código*")</f>
        <v>Calha Em Chapa De Aço Galvanizado Número 24, Desenvolvimento De 50 Cm, Incluso Transporte Vertical. Af_07/2019</v>
      </c>
      <c r="E124" s="171" t="str">
        <f>IFERROR(LOWER(
IF($B124="DER-ES",INDEX('CDER-ES'!$C:$C,MATCH($C124,'CDER-ES'!$A:$A,0)),
IF($B124="SINAPI",INDEX(CSINAPI!$C:$C,MATCH($C124,CSINAPI!$A:$A,0)),
IF($B124="CESAN",INDEX(CCESAN!$C:$C,MATCH($C124,CCESAN!$A:$A,0)),
IF($B124="SCORIO",INDEX(CSCORIO!$A:$A,MATCH($C124,CSCORIO!#REF!,0)),
IF($B124="MERC",INDEX(MERCADO!$D:$D,MATCH($C124,MERCADO!$A:$A,0)),
IF($B124="COMP",INDEX(COMPOSICAO!$G:$G,MATCH($C124,COMPOSICAO!$A:$A,0)),
""))))))),"")</f>
        <v>m</v>
      </c>
      <c r="F124" s="179">
        <f>VLOOKUP(A124,'MEMÓRIA DE CÁLCULO'!A:H,8,0)</f>
        <v>5.5</v>
      </c>
      <c r="G124" s="173">
        <f>IFERROR(
IF($B124="DER-ES",INDEX('CDER-ES'!$D:$D,MATCH($C124,'CDER-ES'!$A:$A,0)),
IF($B124="SINAPI",INDEX(CSINAPI!$D:$D,MATCH($C124,CSINAPI!$A:$A,0)),
IF($B124="CESAN",INDEX(CCESAN!$D:$D,MATCH($C124,CCESAN!$A:$A,0)),
IF($B124="SCORIO",INDEX(CSCORIO!$B:$B,MATCH($C124,CSCORIO!#REF!,0)),
IF($B124="MERC",INDEX(MERCADO!$E:$E,MATCH($C124,MERCADO!$A:$A,0)),
IF($B124="COMP",INDEX(COMPOSICAO!$H:$H,MATCH($C124,COMPOSICAO!$A:$A,0)),
0)))))),0)</f>
        <v>87.53</v>
      </c>
      <c r="H124" s="173">
        <f t="shared" si="114"/>
        <v>116.63</v>
      </c>
      <c r="I124" s="180">
        <f t="shared" si="115"/>
        <v>641.47</v>
      </c>
      <c r="J124" s="194">
        <f t="shared" si="116"/>
        <v>5.7618139394255842E-4</v>
      </c>
    </row>
    <row r="125" spans="1:10" ht="38.25">
      <c r="A125" s="175" t="s">
        <v>14386</v>
      </c>
      <c r="B125" s="176" t="s">
        <v>12617</v>
      </c>
      <c r="C125" s="177">
        <v>90305</v>
      </c>
      <c r="D125" s="178" t="str">
        <f>IFERROR(PROPER(
IF($B125="DER-ES",INDEX('CDER-ES'!$B:$B,MATCH($C125,'CDER-ES'!$A:$A,0)),
IF($B125="SINAPI",INDEX(CSINAPI!$B:$B,MATCH($C125,CSINAPI!$A:$A,0)),
IF($B125="CESAN",INDEX(CCESAN!$B:$B,MATCH($C125,CCESAN!$A:$A,0)),
IF($B125="SCORIO",INDEX(CSCORIO!$B:$B,MATCH($C125,CSCORIO!$A:$A,0)),
IF($B125="MERC",INDEX(MERCADO!$B:$B,MATCH($C125,MERCADO!$A:$A,0)),
IF($B125="COMP",INDEX(COMPOSICAO!$B:$B,MATCH($C125,COMPOSICAO!$A:$A,0)),
""))))))),"*Verificar código*")</f>
        <v>Calha De Concreto Armado Fck=15 Mpa Em "U" Nas Dimensões De 38 X 56 Cm Conforme Detalhes Em Projeto</v>
      </c>
      <c r="E125" s="171" t="str">
        <f>IFERROR(LOWER(
IF($B125="DER-ES",INDEX('CDER-ES'!$C:$C,MATCH($C125,'CDER-ES'!$A:$A,0)),
IF($B125="SINAPI",INDEX(CSINAPI!$C:$C,MATCH($C125,CSINAPI!$A:$A,0)),
IF($B125="CESAN",INDEX(CCESAN!$C:$C,MATCH($C125,CCESAN!$A:$A,0)),
IF($B125="SCORIO",INDEX(CSCORIO!$A:$A,MATCH($C125,CSCORIO!#REF!,0)),
IF($B125="MERC",INDEX(MERCADO!$D:$D,MATCH($C125,MERCADO!$A:$A,0)),
IF($B125="COMP",INDEX(COMPOSICAO!$G:$G,MATCH($C125,COMPOSICAO!$A:$A,0)),
""))))))),"")</f>
        <v>m</v>
      </c>
      <c r="F125" s="179">
        <f>VLOOKUP(A125,'MEMÓRIA DE CÁLCULO'!A:H,8,0)</f>
        <v>36.35</v>
      </c>
      <c r="G125" s="173">
        <f>IFERROR(
IF($B125="DER-ES",INDEX('CDER-ES'!$D:$D,MATCH($C125,'CDER-ES'!$A:$A,0)),
IF($B125="SINAPI",INDEX(CSINAPI!$D:$D,MATCH($C125,CSINAPI!$A:$A,0)),
IF($B125="CESAN",INDEX(CCESAN!$D:$D,MATCH($C125,CCESAN!$A:$A,0)),
IF($B125="SCORIO",INDEX(CSCORIO!$B:$B,MATCH($C125,CSCORIO!#REF!,0)),
IF($B125="MERC",INDEX(MERCADO!$E:$E,MATCH($C125,MERCADO!$A:$A,0)),
IF($B125="COMP",INDEX(COMPOSICAO!$H:$H,MATCH($C125,COMPOSICAO!$A:$A,0)),
0)))))),0)</f>
        <v>261.51</v>
      </c>
      <c r="H125" s="173">
        <f t="shared" si="106"/>
        <v>348.46</v>
      </c>
      <c r="I125" s="180">
        <f t="shared" si="107"/>
        <v>12666.52</v>
      </c>
      <c r="J125" s="194">
        <f t="shared" ref="J125:J127" si="120">I125/I$114</f>
        <v>1.1377325751790878E-2</v>
      </c>
    </row>
    <row r="126" spans="1:10" ht="38.25">
      <c r="A126" s="175" t="s">
        <v>14390</v>
      </c>
      <c r="B126" s="176" t="s">
        <v>928</v>
      </c>
      <c r="C126" s="177">
        <v>94231</v>
      </c>
      <c r="D126" s="178" t="str">
        <f>IFERROR(PROPER(
IF($B126="DER-ES",INDEX('CDER-ES'!$B:$B,MATCH($C126,'CDER-ES'!$A:$A,0)),
IF($B126="SINAPI",INDEX(CSINAPI!$B:$B,MATCH($C126,CSINAPI!$A:$A,0)),
IF($B126="CESAN",INDEX(CCESAN!$B:$B,MATCH($C126,CCESAN!$A:$A,0)),
IF($B126="SCORIO",INDEX(CSCORIO!$B:$B,MATCH($C126,CSCORIO!$A:$A,0)),
IF($B126="MERC",INDEX(MERCADO!$B:$B,MATCH($C126,MERCADO!$A:$A,0)),
IF($B126="COMP",INDEX(COMPOSICAO!$B:$B,MATCH($C126,COMPOSICAO!$A:$A,0)),
""))))))),"*Verificar código*")</f>
        <v>Rufo Em Chapa De Aço Galvanizado Número 24, Corte De 25 Cm, Incluso Transporte Vertical. Af_07/2019</v>
      </c>
      <c r="E126" s="171" t="str">
        <f>IFERROR(LOWER(
IF($B126="DER-ES",INDEX('CDER-ES'!$C:$C,MATCH($C126,'CDER-ES'!$A:$A,0)),
IF($B126="SINAPI",INDEX(CSINAPI!$C:$C,MATCH($C126,CSINAPI!$A:$A,0)),
IF($B126="CESAN",INDEX(CCESAN!$C:$C,MATCH($C126,CCESAN!$A:$A,0)),
IF($B126="SCORIO",INDEX(CSCORIO!$A:$A,MATCH($C126,CSCORIO!#REF!,0)),
IF($B126="MERC",INDEX(MERCADO!$D:$D,MATCH($C126,MERCADO!$A:$A,0)),
IF($B126="COMP",INDEX(COMPOSICAO!$G:$G,MATCH($C126,COMPOSICAO!$A:$A,0)),
""))))))),"")</f>
        <v>m</v>
      </c>
      <c r="F126" s="179">
        <f>VLOOKUP(A126,'MEMÓRIA DE CÁLCULO'!A:H,8,0)</f>
        <v>41.22</v>
      </c>
      <c r="G126" s="173">
        <f>IFERROR(
IF($B126="DER-ES",INDEX('CDER-ES'!$D:$D,MATCH($C126,'CDER-ES'!$A:$A,0)),
IF($B126="SINAPI",INDEX(CSINAPI!$D:$D,MATCH($C126,CSINAPI!$A:$A,0)),
IF($B126="CESAN",INDEX(CCESAN!$D:$D,MATCH($C126,CCESAN!$A:$A,0)),
IF($B126="SCORIO",INDEX(CSCORIO!$B:$B,MATCH($C126,CSCORIO!#REF!,0)),
IF($B126="MERC",INDEX(MERCADO!$E:$E,MATCH($C126,MERCADO!$A:$A,0)),
IF($B126="COMP",INDEX(COMPOSICAO!$H:$H,MATCH($C126,COMPOSICAO!$A:$A,0)),
0)))))),0)</f>
        <v>51.8</v>
      </c>
      <c r="H126" s="173">
        <f t="shared" ref="H126" si="121">ROUND(G126*(1+$J$2),2)</f>
        <v>69.02</v>
      </c>
      <c r="I126" s="180">
        <f t="shared" ref="I126" si="122">ROUND($H126*F126,2)</f>
        <v>2845</v>
      </c>
      <c r="J126" s="194">
        <f t="shared" ref="J126" si="123">I126/I$114</f>
        <v>2.5554368337826843E-3</v>
      </c>
    </row>
    <row r="127" spans="1:10" ht="38.25">
      <c r="A127" s="175" t="s">
        <v>14421</v>
      </c>
      <c r="B127" s="176" t="s">
        <v>928</v>
      </c>
      <c r="C127" s="177">
        <v>101965</v>
      </c>
      <c r="D127" s="178" t="str">
        <f>IFERROR(PROPER(
IF($B127="DER-ES",INDEX('CDER-ES'!$B:$B,MATCH($C127,'CDER-ES'!$A:$A,0)),
IF($B127="SINAPI",INDEX(CSINAPI!$B:$B,MATCH($C127,CSINAPI!$A:$A,0)),
IF($B127="CESAN",INDEX(CCESAN!$B:$B,MATCH($C127,CCESAN!$A:$A,0)),
IF($B127="SCORIO",INDEX(CSCORIO!$B:$B,MATCH($C127,CSCORIO!$A:$A,0)),
IF($B127="MERC",INDEX(MERCADO!$B:$B,MATCH($C127,MERCADO!$A:$A,0)),
IF($B127="COMP",INDEX(COMPOSICAO!$B:$B,MATCH($C127,COMPOSICAO!$A:$A,0)),
""))))))),"*Verificar código*")</f>
        <v>Peitoril Linear Em Granito Ou Mármore, L = 15Cm, Comprimento De Até 2M, Assentado Com Argamassa 1:6 Com Aditivo. Af_11/2020</v>
      </c>
      <c r="E127" s="171" t="str">
        <f>IFERROR(LOWER(
IF($B127="DER-ES",INDEX('CDER-ES'!$C:$C,MATCH($C127,'CDER-ES'!$A:$A,0)),
IF($B127="SINAPI",INDEX(CSINAPI!$C:$C,MATCH($C127,CSINAPI!$A:$A,0)),
IF($B127="CESAN",INDEX(CCESAN!$C:$C,MATCH($C127,CCESAN!$A:$A,0)),
IF($B127="SCORIO",INDEX(CSCORIO!$A:$A,MATCH($C127,CSCORIO!#REF!,0)),
IF($B127="MERC",INDEX(MERCADO!$D:$D,MATCH($C127,MERCADO!$A:$A,0)),
IF($B127="COMP",INDEX(COMPOSICAO!$G:$G,MATCH($C127,COMPOSICAO!$A:$A,0)),
""))))))),"")</f>
        <v>m</v>
      </c>
      <c r="F127" s="179">
        <f>VLOOKUP(A127,'MEMÓRIA DE CÁLCULO'!A:H,8,0)</f>
        <v>37.9</v>
      </c>
      <c r="G127" s="173">
        <f>IFERROR(
IF($B127="DER-ES",INDEX('CDER-ES'!$D:$D,MATCH($C127,'CDER-ES'!$A:$A,0)),
IF($B127="SINAPI",INDEX(CSINAPI!$D:$D,MATCH($C127,CSINAPI!$A:$A,0)),
IF($B127="CESAN",INDEX(CCESAN!$D:$D,MATCH($C127,CCESAN!$A:$A,0)),
IF($B127="SCORIO",INDEX(CSCORIO!$B:$B,MATCH($C127,CSCORIO!#REF!,0)),
IF($B127="MERC",INDEX(MERCADO!$E:$E,MATCH($C127,MERCADO!$A:$A,0)),
IF($B127="COMP",INDEX(COMPOSICAO!$H:$H,MATCH($C127,COMPOSICAO!$A:$A,0)),
0)))))),0)</f>
        <v>78.180000000000007</v>
      </c>
      <c r="H127" s="173">
        <f t="shared" si="106"/>
        <v>104.17</v>
      </c>
      <c r="I127" s="180">
        <f t="shared" si="107"/>
        <v>3948.04</v>
      </c>
      <c r="J127" s="194">
        <f t="shared" si="120"/>
        <v>3.5462097846212263E-3</v>
      </c>
    </row>
    <row r="128" spans="1:10">
      <c r="A128" s="167" t="s">
        <v>12603</v>
      </c>
      <c r="B128" s="168"/>
      <c r="C128" s="169"/>
      <c r="D128" s="170" t="s">
        <v>31</v>
      </c>
      <c r="E128" s="171"/>
      <c r="F128" s="172"/>
      <c r="G128" s="173"/>
      <c r="H128" s="173"/>
      <c r="I128" s="174">
        <f>SUBTOTAL(9,I129:I133)</f>
        <v>30343.360000000001</v>
      </c>
      <c r="J128" s="193">
        <f>SUBTOTAL(9,J129:J133)</f>
        <v>0.99999999999999989</v>
      </c>
    </row>
    <row r="129" spans="1:10" s="332" customFormat="1" ht="51" customHeight="1">
      <c r="A129" s="175" t="s">
        <v>12604</v>
      </c>
      <c r="B129" s="176" t="s">
        <v>928</v>
      </c>
      <c r="C129" s="177">
        <v>98562</v>
      </c>
      <c r="D129" s="327" t="str">
        <f>IFERROR(PROPER(
IF($B129="DER-ES",INDEX('CDER-ES'!$B:$B,MATCH($C129,'CDER-ES'!$A:$A,0)),
IF($B129="SINAPI",INDEX(CSINAPI!$B:$B,MATCH($C129,CSINAPI!$A:$A,0)),
IF($B129="CESAN",INDEX(CCESAN!$B:$B,MATCH($C129,CCESAN!$A:$A,0)),
IF($B129="SCORIO",INDEX(CSCORIO!$B:$B,MATCH($C129,CSCORIO!$A:$A,0)),
IF($B129="MERC",INDEX(MERCADO!$B:$B,MATCH($C129,MERCADO!$A:$A,0)),
IF($B129="COMP",INDEX(COMPOSICAO!$B:$B,MATCH($C129,COMPOSICAO!$A:$A,0)),
""))))))),"*Verificar código*")</f>
        <v>Impermeabilização De Superfície Com Argamassa De Cimento E Areia, Com Aditivo Impermeabilizante, E = 1,5Cm. Af_09/2023</v>
      </c>
      <c r="E129" s="328" t="str">
        <f>IFERROR(LOWER(
IF($B129="DER-ES",INDEX('CDER-ES'!$C:$C,MATCH($C129,'CDER-ES'!$A:$A,0)),
IF($B129="SINAPI",INDEX(CSINAPI!$C:$C,MATCH($C129,CSINAPI!$A:$A,0)),
IF($B129="CESAN",INDEX(CCESAN!$C:$C,MATCH($C129,CCESAN!$A:$A,0)),
IF($B129="SCORIO",INDEX(CSCORIO!$A:$A,MATCH($C129,CSCORIO!#REF!,0)),
IF($B129="MERC",INDEX(MERCADO!$D:$D,MATCH($C129,MERCADO!$A:$A,0)),
IF($B129="COMP",INDEX(COMPOSICAO!$G:$G,MATCH($C129,COMPOSICAO!$A:$A,0)),
""))))))),"")</f>
        <v>m2</v>
      </c>
      <c r="F129" s="179">
        <f>VLOOKUP(A129,'MEMÓRIA DE CÁLCULO'!A:H,8,0)</f>
        <v>227.82</v>
      </c>
      <c r="G129" s="329">
        <f>IFERROR(
IF($B129="DER-ES",INDEX('CDER-ES'!$D:$D,MATCH($C129,'CDER-ES'!$A:$A,0)),
IF($B129="SINAPI",INDEX(CSINAPI!$D:$D,MATCH($C129,CSINAPI!$A:$A,0)),
IF($B129="CESAN",INDEX(CCESAN!$D:$D,MATCH($C129,CCESAN!$A:$A,0)),
IF($B129="SCORIO",INDEX(CSCORIO!$B:$B,MATCH($C129,CSCORIO!#REF!,0)),
IF($B129="MERC",INDEX(MERCADO!$E:$E,MATCH($C129,MERCADO!$A:$A,0)),
IF($B129="COMP",INDEX(COMPOSICAO!$H:$H,MATCH($C129,COMPOSICAO!$A:$A,0)),
0)))))),0)</f>
        <v>44.82</v>
      </c>
      <c r="H129" s="329">
        <f t="shared" ref="H129:H132" si="124">ROUND(G129*(1+$J$2),2)</f>
        <v>59.72</v>
      </c>
      <c r="I129" s="330">
        <f t="shared" ref="I129:I132" si="125">ROUND($H129*F129,2)</f>
        <v>13605.41</v>
      </c>
      <c r="J129" s="331">
        <f t="shared" ref="J129:J133" si="126">I129/I$128</f>
        <v>0.44838178764645709</v>
      </c>
    </row>
    <row r="130" spans="1:10" ht="38.25">
      <c r="A130" s="175" t="s">
        <v>14633</v>
      </c>
      <c r="B130" s="176" t="s">
        <v>928</v>
      </c>
      <c r="C130" s="177">
        <v>98546</v>
      </c>
      <c r="D130" s="178" t="str">
        <f>IFERROR(PROPER(
IF($B130="DER-ES",INDEX('CDER-ES'!$B:$B,MATCH($C130,'CDER-ES'!$A:$A,0)),
IF($B130="SINAPI",INDEX(CSINAPI!$B:$B,MATCH($C130,CSINAPI!$A:$A,0)),
IF($B130="CESAN",INDEX(CCESAN!$B:$B,MATCH($C130,CCESAN!$A:$A,0)),
IF($B130="SCORIO",INDEX(CSCORIO!$B:$B,MATCH($C130,CSCORIO!$A:$A,0)),
IF($B130="MERC",INDEX(MERCADO!$B:$B,MATCH($C130,MERCADO!$A:$A,0)),
IF($B130="COMP",INDEX(COMPOSICAO!$B:$B,MATCH($C130,COMPOSICAO!$A:$A,0)),
""))))))),"*Verificar código*")</f>
        <v>Impermeabilização De Superfície Com Manta Asfáltica, Uma Camada, Inclusive Aplicação De Primer Asfáltico, E=4Mm. Af_09/2023</v>
      </c>
      <c r="E130" s="171" t="str">
        <f>IFERROR(LOWER(
IF($B130="DER-ES",INDEX('CDER-ES'!$C:$C,MATCH($C130,'CDER-ES'!$A:$A,0)),
IF($B130="SINAPI",INDEX(CSINAPI!$C:$C,MATCH($C130,CSINAPI!$A:$A,0)),
IF($B130="CESAN",INDEX(CCESAN!$C:$C,MATCH($C130,CCESAN!$A:$A,0)),
IF($B130="SCORIO",INDEX(CSCORIO!$A:$A,MATCH($C130,CSCORIO!#REF!,0)),
IF($B130="MERC",INDEX(MERCADO!$D:$D,MATCH($C130,MERCADO!$A:$A,0)),
IF($B130="COMP",INDEX(COMPOSICAO!$G:$G,MATCH($C130,COMPOSICAO!$A:$A,0)),
""))))))),"")</f>
        <v>m2</v>
      </c>
      <c r="F130" s="179">
        <f>VLOOKUP(A130,'MEMÓRIA DE CÁLCULO'!A:H,8,0)</f>
        <v>65.905999999999992</v>
      </c>
      <c r="G130" s="173">
        <f>IFERROR(
IF($B130="DER-ES",INDEX('CDER-ES'!$D:$D,MATCH($C130,'CDER-ES'!$A:$A,0)),
IF($B130="SINAPI",INDEX(CSINAPI!$D:$D,MATCH($C130,CSINAPI!$A:$A,0)),
IF($B130="CESAN",INDEX(CCESAN!$D:$D,MATCH($C130,CCESAN!$A:$A,0)),
IF($B130="SCORIO",INDEX(CSCORIO!$B:$B,MATCH($C130,CSCORIO!#REF!,0)),
IF($B130="MERC",INDEX(MERCADO!$E:$E,MATCH($C130,MERCADO!$A:$A,0)),
IF($B130="COMP",INDEX(COMPOSICAO!$H:$H,MATCH($C130,COMPOSICAO!$A:$A,0)),
0)))))),0)</f>
        <v>127.59</v>
      </c>
      <c r="H130" s="173">
        <f t="shared" si="124"/>
        <v>170.01</v>
      </c>
      <c r="I130" s="180">
        <f t="shared" si="125"/>
        <v>11204.68</v>
      </c>
      <c r="J130" s="194">
        <f t="shared" si="126"/>
        <v>0.36926299526486189</v>
      </c>
    </row>
    <row r="131" spans="1:10" ht="38.25">
      <c r="A131" s="175" t="s">
        <v>14634</v>
      </c>
      <c r="B131" s="176" t="s">
        <v>928</v>
      </c>
      <c r="C131" s="177">
        <v>98563</v>
      </c>
      <c r="D131" s="178" t="str">
        <f>IFERROR(PROPER(
IF($B131="DER-ES",INDEX('CDER-ES'!$B:$B,MATCH($C131,'CDER-ES'!$A:$A,0)),
IF($B131="SINAPI",INDEX(CSINAPI!$B:$B,MATCH($C131,CSINAPI!$A:$A,0)),
IF($B131="CESAN",INDEX(CCESAN!$B:$B,MATCH($C131,CCESAN!$A:$A,0)),
IF($B131="SCORIO",INDEX(CSCORIO!$B:$B,MATCH($C131,CSCORIO!$A:$A,0)),
IF($B131="MERC",INDEX(MERCADO!$B:$B,MATCH($C131,MERCADO!$A:$A,0)),
IF($B131="COMP",INDEX(COMPOSICAO!$B:$B,MATCH($C131,COMPOSICAO!$A:$A,0)),
""))))))),"*Verificar código*")</f>
        <v>Proteção Mecânica De Superfície Horizontal Com Argamassa De Cimento E Areia, Traço 1:3, E=2Cm. Af_09/2023</v>
      </c>
      <c r="E131" s="171" t="str">
        <f>IFERROR(LOWER(
IF($B131="DER-ES",INDEX('CDER-ES'!$C:$C,MATCH($C131,'CDER-ES'!$A:$A,0)),
IF($B131="SINAPI",INDEX(CSINAPI!$C:$C,MATCH($C131,CSINAPI!$A:$A,0)),
IF($B131="CESAN",INDEX(CCESAN!$C:$C,MATCH($C131,CCESAN!$A:$A,0)),
IF($B131="SCORIO",INDEX(CSCORIO!$A:$A,MATCH($C131,CSCORIO!#REF!,0)),
IF($B131="MERC",INDEX(MERCADO!$D:$D,MATCH($C131,MERCADO!$A:$A,0)),
IF($B131="COMP",INDEX(COMPOSICAO!$G:$G,MATCH($C131,COMPOSICAO!$A:$A,0)),
""))))))),"")</f>
        <v>m2</v>
      </c>
      <c r="F131" s="179">
        <f>VLOOKUP(A131,'MEMÓRIA DE CÁLCULO'!A:H,8,0)</f>
        <v>65.905999999999992</v>
      </c>
      <c r="G131" s="173">
        <f>IFERROR(
IF($B131="DER-ES",INDEX('CDER-ES'!$D:$D,MATCH($C131,'CDER-ES'!$A:$A,0)),
IF($B131="SINAPI",INDEX(CSINAPI!$D:$D,MATCH($C131,CSINAPI!$A:$A,0)),
IF($B131="CESAN",INDEX(CCESAN!$D:$D,MATCH($C131,CCESAN!$A:$A,0)),
IF($B131="SCORIO",INDEX(CSCORIO!$B:$B,MATCH($C131,CSCORIO!#REF!,0)),
IF($B131="MERC",INDEX(MERCADO!$E:$E,MATCH($C131,MERCADO!$A:$A,0)),
IF($B131="COMP",INDEX(COMPOSICAO!$H:$H,MATCH($C131,COMPOSICAO!$A:$A,0)),
0)))))),0)</f>
        <v>34.15</v>
      </c>
      <c r="H131" s="173">
        <f t="shared" ref="H131" si="127">ROUND(G131*(1+$J$2),2)</f>
        <v>45.5</v>
      </c>
      <c r="I131" s="180">
        <f t="shared" ref="I131" si="128">ROUND($H131*F131,2)</f>
        <v>2998.72</v>
      </c>
      <c r="J131" s="194">
        <f t="shared" si="126"/>
        <v>9.882623414150575E-2</v>
      </c>
    </row>
    <row r="132" spans="1:10" ht="63.75">
      <c r="A132" s="175" t="s">
        <v>14635</v>
      </c>
      <c r="B132" s="176" t="s">
        <v>928</v>
      </c>
      <c r="C132" s="177">
        <v>87620</v>
      </c>
      <c r="D132" s="178" t="str">
        <f>IFERROR(PROPER(
IF($B132="DER-ES",INDEX('CDER-ES'!$B:$B,MATCH($C132,'CDER-ES'!$A:$A,0)),
IF($B132="SINAPI",INDEX(CSINAPI!$B:$B,MATCH($C132,CSINAPI!$A:$A,0)),
IF($B132="CESAN",INDEX(CCESAN!$B:$B,MATCH($C132,CCESAN!$A:$A,0)),
IF($B132="SCORIO",INDEX(CSCORIO!$B:$B,MATCH($C132,CSCORIO!$A:$A,0)),
IF($B132="MERC",INDEX(MERCADO!$B:$B,MATCH($C132,MERCADO!$A:$A,0)),
IF($B132="COMP",INDEX(COMPOSICAO!$B:$B,MATCH($C132,COMPOSICAO!$A:$A,0)),
""))))))),"*Verificar código*")</f>
        <v>Contrapiso Em Argamassa Traço 1:4 (Cimento E Areia), Preparo Mecânico Com Betoneira 400 L, Aplicado Em Áreas Secas Sobre Laje, Aderido, Acabamento Não Reforçado, Espessura 2Cm. Af_07/2021</v>
      </c>
      <c r="E132" s="171" t="str">
        <f>IFERROR(LOWER(
IF($B132="DER-ES",INDEX('CDER-ES'!$C:$C,MATCH($C132,'CDER-ES'!$A:$A,0)),
IF($B132="SINAPI",INDEX(CSINAPI!$C:$C,MATCH($C132,CSINAPI!$A:$A,0)),
IF($B132="CESAN",INDEX(CCESAN!$C:$C,MATCH($C132,CCESAN!$A:$A,0)),
IF($B132="SCORIO",INDEX(CSCORIO!$A:$A,MATCH($C132,CSCORIO!#REF!,0)),
IF($B132="MERC",INDEX(MERCADO!$D:$D,MATCH($C132,MERCADO!$A:$A,0)),
IF($B132="COMP",INDEX(COMPOSICAO!$G:$G,MATCH($C132,COMPOSICAO!$A:$A,0)),
""))))))),"")</f>
        <v>m2</v>
      </c>
      <c r="F132" s="179">
        <f>VLOOKUP(A132,'MEMÓRIA DE CÁLCULO'!A:H,8,0)</f>
        <v>65.905999999999992</v>
      </c>
      <c r="G132" s="173">
        <f>IFERROR(
IF($B132="DER-ES",INDEX('CDER-ES'!$D:$D,MATCH($C132,'CDER-ES'!$A:$A,0)),
IF($B132="SINAPI",INDEX(CSINAPI!$D:$D,MATCH($C132,CSINAPI!$A:$A,0)),
IF($B132="CESAN",INDEX(CCESAN!$D:$D,MATCH($C132,CCESAN!$A:$A,0)),
IF($B132="SCORIO",INDEX(CSCORIO!$B:$B,MATCH($C132,CSCORIO!#REF!,0)),
IF($B132="MERC",INDEX(MERCADO!$E:$E,MATCH($C132,MERCADO!$A:$A,0)),
IF($B132="COMP",INDEX(COMPOSICAO!$H:$H,MATCH($C132,COMPOSICAO!$A:$A,0)),
0)))))),0)</f>
        <v>28.05</v>
      </c>
      <c r="H132" s="173">
        <f t="shared" si="124"/>
        <v>37.380000000000003</v>
      </c>
      <c r="I132" s="180">
        <f t="shared" si="125"/>
        <v>2463.5700000000002</v>
      </c>
      <c r="J132" s="194">
        <f t="shared" si="126"/>
        <v>8.1189756177298761E-2</v>
      </c>
    </row>
    <row r="133" spans="1:10" ht="51">
      <c r="A133" s="175" t="s">
        <v>14636</v>
      </c>
      <c r="B133" s="176" t="s">
        <v>928</v>
      </c>
      <c r="C133" s="177">
        <v>98558</v>
      </c>
      <c r="D133" s="178" t="str">
        <f>IFERROR(PROPER(
IF($B133="DER-ES",INDEX('CDER-ES'!$B:$B,MATCH($C133,'CDER-ES'!$A:$A,0)),
IF($B133="SINAPI",INDEX(CSINAPI!$B:$B,MATCH($C133,CSINAPI!$A:$A,0)),
IF($B133="CESAN",INDEX(CCESAN!$B:$B,MATCH($C133,CCESAN!$A:$A,0)),
IF($B133="SCORIO",INDEX(CSCORIO!$B:$B,MATCH($C133,CSCORIO!$A:$A,0)),
IF($B133="MERC",INDEX(MERCADO!$B:$B,MATCH($C133,MERCADO!$A:$A,0)),
IF($B133="COMP",INDEX(COMPOSICAO!$B:$B,MATCH($C133,COMPOSICAO!$A:$A,0)),
""))))))),"*Verificar código*")</f>
        <v>Tratamento De Ralo Ou Ponto Emergente Com Argamassa Polimérica / Membrana Acrílica Reforçado Com Tela De Poliéster (Mav). Af_09/2023</v>
      </c>
      <c r="E133" s="171" t="str">
        <f>IFERROR(LOWER(
IF($B133="DER-ES",INDEX('CDER-ES'!$C:$C,MATCH($C133,'CDER-ES'!$A:$A,0)),
IF($B133="SINAPI",INDEX(CSINAPI!$C:$C,MATCH($C133,CSINAPI!$A:$A,0)),
IF($B133="CESAN",INDEX(CCESAN!$C:$C,MATCH($C133,CCESAN!$A:$A,0)),
IF($B133="SCORIO",INDEX(CSCORIO!$A:$A,MATCH($C133,CSCORIO!#REF!,0)),
IF($B133="MERC",INDEX(MERCADO!$D:$D,MATCH($C133,MERCADO!$A:$A,0)),
IF($B133="COMP",INDEX(COMPOSICAO!$G:$G,MATCH($C133,COMPOSICAO!$A:$A,0)),
""))))))),"")</f>
        <v>un</v>
      </c>
      <c r="F133" s="179">
        <f>VLOOKUP(A133,'MEMÓRIA DE CÁLCULO'!A:H,8,0)</f>
        <v>6</v>
      </c>
      <c r="G133" s="173">
        <f>IFERROR(
IF($B133="DER-ES",INDEX('CDER-ES'!$D:$D,MATCH($C133,'CDER-ES'!$A:$A,0)),
IF($B133="SINAPI",INDEX(CSINAPI!$D:$D,MATCH($C133,CSINAPI!$A:$A,0)),
IF($B133="CESAN",INDEX(CCESAN!$D:$D,MATCH($C133,CCESAN!$A:$A,0)),
IF($B133="SCORIO",INDEX(CSCORIO!$B:$B,MATCH($C133,CSCORIO!#REF!,0)),
IF($B133="MERC",INDEX(MERCADO!$E:$E,MATCH($C133,MERCADO!$A:$A,0)),
IF($B133="COMP",INDEX(COMPOSICAO!$H:$H,MATCH($C133,COMPOSICAO!$A:$A,0)),
0)))))),0)</f>
        <v>8.8800000000000008</v>
      </c>
      <c r="H133" s="173">
        <f t="shared" ref="H133" si="129">ROUND(G133*(1+$J$2),2)</f>
        <v>11.83</v>
      </c>
      <c r="I133" s="180">
        <f t="shared" ref="I133" si="130">ROUND($H133*F133,2)</f>
        <v>70.98</v>
      </c>
      <c r="J133" s="194">
        <f t="shared" si="126"/>
        <v>2.339226769876507E-3</v>
      </c>
    </row>
    <row r="134" spans="1:10">
      <c r="A134" s="167" t="s">
        <v>12605</v>
      </c>
      <c r="B134" s="168"/>
      <c r="C134" s="169"/>
      <c r="D134" s="235" t="s">
        <v>13927</v>
      </c>
      <c r="E134" s="171"/>
      <c r="F134" s="172"/>
      <c r="G134" s="173"/>
      <c r="H134" s="173"/>
      <c r="I134" s="174">
        <f>SUBTOTAL(9,I135:I145)</f>
        <v>117279.85999999999</v>
      </c>
      <c r="J134" s="193">
        <f>SUBTOTAL(9,J135:J145)</f>
        <v>1.0000000000000002</v>
      </c>
    </row>
    <row r="135" spans="1:10">
      <c r="A135" s="167" t="s">
        <v>12606</v>
      </c>
      <c r="B135" s="168"/>
      <c r="C135" s="169"/>
      <c r="D135" s="170" t="s">
        <v>14196</v>
      </c>
      <c r="E135" s="171"/>
      <c r="F135" s="172"/>
      <c r="G135" s="173"/>
      <c r="H135" s="173"/>
      <c r="I135" s="174"/>
      <c r="J135" s="193"/>
    </row>
    <row r="136" spans="1:10" ht="51">
      <c r="A136" s="175" t="s">
        <v>13930</v>
      </c>
      <c r="B136" s="176" t="s">
        <v>928</v>
      </c>
      <c r="C136" s="177">
        <v>87881</v>
      </c>
      <c r="D136" s="178" t="str">
        <f>IFERROR(PROPER(
IF($B136="DER-ES",INDEX('CDER-ES'!$B:$B,MATCH($C136,'CDER-ES'!$A:$A,0)),
IF($B136="SINAPI",INDEX(CSINAPI!$B:$B,MATCH($C136,CSINAPI!$A:$A,0)),
IF($B136="CESAN",INDEX(CCESAN!$B:$B,MATCH($C136,CCESAN!$A:$A,0)),
IF($B136="SCORIO",INDEX(CSCORIO!$B:$B,MATCH($C136,CSCORIO!$A:$A,0)),
IF($B136="MERC",INDEX(MERCADO!$B:$B,MATCH($C136,MERCADO!$A:$A,0)),
IF($B136="COMP",INDEX(COMPOSICAO!$B:$B,MATCH($C136,COMPOSICAO!$A:$A,0)),
""))))))),"*Verificar código*")</f>
        <v>Chapisco Aplicado No Teto Ou Em Alvenaria E Estrutura, Com Rolo Para Textura Acrílica. Argamassa Traço 1:4 E Emulsão Polimérica (Adesivo) Com Preparo Manual. Af_10/2022</v>
      </c>
      <c r="E136" s="171" t="str">
        <f>IFERROR(LOWER(
IF($B136="DER-ES",INDEX('CDER-ES'!$C:$C,MATCH($C136,'CDER-ES'!$A:$A,0)),
IF($B136="SINAPI",INDEX(CSINAPI!$C:$C,MATCH($C136,CSINAPI!$A:$A,0)),
IF($B136="CESAN",INDEX(CCESAN!$C:$C,MATCH($C136,CCESAN!$A:$A,0)),
IF($B136="SCORIO",INDEX(CSCORIO!$A:$A,MATCH($C136,CSCORIO!#REF!,0)),
IF($B136="MERC",INDEX(MERCADO!$D:$D,MATCH($C136,MERCADO!$A:$A,0)),
IF($B136="COMP",INDEX(COMPOSICAO!$G:$G,MATCH($C136,COMPOSICAO!$A:$A,0)),
""))))))),"")</f>
        <v>m2</v>
      </c>
      <c r="F136" s="179">
        <f>VLOOKUP(A136,'MEMÓRIA DE CÁLCULO'!A:H,8,0)</f>
        <v>131.72</v>
      </c>
      <c r="G136" s="173">
        <f>IFERROR(
IF($B136="DER-ES",INDEX('CDER-ES'!$D:$D,MATCH($C136,'CDER-ES'!$A:$A,0)),
IF($B136="SINAPI",INDEX(CSINAPI!$D:$D,MATCH($C136,CSINAPI!$A:$A,0)),
IF($B136="CESAN",INDEX(CCESAN!$D:$D,MATCH($C136,CCESAN!$A:$A,0)),
IF($B136="SCORIO",INDEX(CSCORIO!$B:$B,MATCH($C136,CSCORIO!#REF!,0)),
IF($B136="MERC",INDEX(MERCADO!$E:$E,MATCH($C136,MERCADO!$A:$A,0)),
IF($B136="COMP",INDEX(COMPOSICAO!$H:$H,MATCH($C136,COMPOSICAO!$A:$A,0)),
0)))))),0)</f>
        <v>5.74</v>
      </c>
      <c r="H136" s="173">
        <f>ROUND(G136*(1+$J$2),2)</f>
        <v>7.65</v>
      </c>
      <c r="I136" s="180">
        <f>ROUND($H136*F136,2)</f>
        <v>1007.66</v>
      </c>
      <c r="J136" s="194">
        <f>I136/I$134</f>
        <v>8.5919270367478279E-3</v>
      </c>
    </row>
    <row r="137" spans="1:10" ht="51">
      <c r="A137" s="175" t="s">
        <v>13931</v>
      </c>
      <c r="B137" s="176" t="s">
        <v>928</v>
      </c>
      <c r="C137" s="177">
        <v>90407</v>
      </c>
      <c r="D137" s="178" t="str">
        <f>IFERROR(PROPER(
IF($B137="DER-ES",INDEX('CDER-ES'!$B:$B,MATCH($C137,'CDER-ES'!$A:$A,0)),
IF($B137="SINAPI",INDEX(CSINAPI!$B:$B,MATCH($C137,CSINAPI!$A:$A,0)),
IF($B137="CESAN",INDEX(CCESAN!$B:$B,MATCH($C137,CCESAN!$A:$A,0)),
IF($B137="SCORIO",INDEX(CSCORIO!$B:$B,MATCH($C137,CSCORIO!$A:$A,0)),
IF($B137="MERC",INDEX(MERCADO!$B:$B,MATCH($C137,MERCADO!$A:$A,0)),
IF($B137="COMP",INDEX(COMPOSICAO!$B:$B,MATCH($C137,COMPOSICAO!$A:$A,0)),
""))))))),"*Verificar código*")</f>
        <v>Massa Única, Para Recebimento De Pintura, Em Argamassa Traço 1:2:8, Preparo Manual, Aplicada Manualmente Em Teto, Espessura De 20Mm, Com Execução De Taliscas. Af_03/2015</v>
      </c>
      <c r="E137" s="171" t="str">
        <f>IFERROR(LOWER(
IF($B137="DER-ES",INDEX('CDER-ES'!$C:$C,MATCH($C137,'CDER-ES'!$A:$A,0)),
IF($B137="SINAPI",INDEX(CSINAPI!$C:$C,MATCH($C137,CSINAPI!$A:$A,0)),
IF($B137="CESAN",INDEX(CCESAN!$C:$C,MATCH($C137,CCESAN!$A:$A,0)),
IF($B137="SCORIO",INDEX(CSCORIO!$A:$A,MATCH($C137,CSCORIO!#REF!,0)),
IF($B137="MERC",INDEX(MERCADO!$D:$D,MATCH($C137,MERCADO!$A:$A,0)),
IF($B137="COMP",INDEX(COMPOSICAO!$G:$G,MATCH($C137,COMPOSICAO!$A:$A,0)),
""))))))),"")</f>
        <v>m2</v>
      </c>
      <c r="F137" s="179">
        <f>VLOOKUP(A137,'MEMÓRIA DE CÁLCULO'!A:H,8,0)</f>
        <v>131.72</v>
      </c>
      <c r="G137" s="173">
        <f>IFERROR(
IF($B137="DER-ES",INDEX('CDER-ES'!$D:$D,MATCH($C137,'CDER-ES'!$A:$A,0)),
IF($B137="SINAPI",INDEX(CSINAPI!$D:$D,MATCH($C137,CSINAPI!$A:$A,0)),
IF($B137="CESAN",INDEX(CCESAN!$D:$D,MATCH($C137,CCESAN!$A:$A,0)),
IF($B137="SCORIO",INDEX(CSCORIO!$B:$B,MATCH($C137,CSCORIO!#REF!,0)),
IF($B137="MERC",INDEX(MERCADO!$E:$E,MATCH($C137,MERCADO!$A:$A,0)),
IF($B137="COMP",INDEX(COMPOSICAO!$H:$H,MATCH($C137,COMPOSICAO!$A:$A,0)),
0)))))),0)</f>
        <v>49.35</v>
      </c>
      <c r="H137" s="173">
        <f>ROUND(G137*(1+$J$2),2)</f>
        <v>65.760000000000005</v>
      </c>
      <c r="I137" s="180">
        <f>ROUND($H137*F137,2)</f>
        <v>8661.91</v>
      </c>
      <c r="J137" s="194">
        <f>I137/I$134</f>
        <v>7.385675596816027E-2</v>
      </c>
    </row>
    <row r="138" spans="1:10">
      <c r="A138" s="167" t="s">
        <v>12607</v>
      </c>
      <c r="B138" s="168"/>
      <c r="C138" s="169"/>
      <c r="D138" s="170" t="s">
        <v>14205</v>
      </c>
      <c r="E138" s="171"/>
      <c r="F138" s="172"/>
      <c r="G138" s="173"/>
      <c r="H138" s="173"/>
      <c r="I138" s="174"/>
      <c r="J138" s="193"/>
    </row>
    <row r="139" spans="1:10" ht="51">
      <c r="A139" s="175" t="s">
        <v>13932</v>
      </c>
      <c r="B139" s="176" t="s">
        <v>928</v>
      </c>
      <c r="C139" s="177">
        <v>87879</v>
      </c>
      <c r="D139" s="178" t="str">
        <f>IFERROR(PROPER(
IF($B139="DER-ES",INDEX('CDER-ES'!$B:$B,MATCH($C139,'CDER-ES'!$A:$A,0)),
IF($B139="SINAPI",INDEX(CSINAPI!$B:$B,MATCH($C139,CSINAPI!$A:$A,0)),
IF($B139="CESAN",INDEX(CCESAN!$B:$B,MATCH($C139,CCESAN!$A:$A,0)),
IF($B139="SCORIO",INDEX(CSCORIO!$B:$B,MATCH($C139,CSCORIO!$A:$A,0)),
IF($B139="MERC",INDEX(MERCADO!$B:$B,MATCH($C139,MERCADO!$A:$A,0)),
IF($B139="COMP",INDEX(COMPOSICAO!$B:$B,MATCH($C139,COMPOSICAO!$A:$A,0)),
""))))))),"*Verificar código*")</f>
        <v>Chapisco Aplicado Em Alvenarias E Estruturas De Concreto Internas, Com Colher De Pedreiro.  Argamassa Traço 1:3 Com Preparo Em Betoneira 400L. Af_10/2022</v>
      </c>
      <c r="E139" s="171" t="str">
        <f>IFERROR(LOWER(
IF($B139="DER-ES",INDEX('CDER-ES'!$C:$C,MATCH($C139,'CDER-ES'!$A:$A,0)),
IF($B139="SINAPI",INDEX(CSINAPI!$C:$C,MATCH($C139,CSINAPI!$A:$A,0)),
IF($B139="CESAN",INDEX(CCESAN!$C:$C,MATCH($C139,CCESAN!$A:$A,0)),
IF($B139="SCORIO",INDEX(CSCORIO!$A:$A,MATCH($C139,CSCORIO!#REF!,0)),
IF($B139="MERC",INDEX(MERCADO!$D:$D,MATCH($C139,MERCADO!$A:$A,0)),
IF($B139="COMP",INDEX(COMPOSICAO!$G:$G,MATCH($C139,COMPOSICAO!$A:$A,0)),
""))))))),"")</f>
        <v>m2</v>
      </c>
      <c r="F139" s="179">
        <f>VLOOKUP(A139,'MEMÓRIA DE CÁLCULO'!A:H,8,0)</f>
        <v>1178.92</v>
      </c>
      <c r="G139" s="173">
        <f>IFERROR(
IF($B139="DER-ES",INDEX('CDER-ES'!$D:$D,MATCH($C139,'CDER-ES'!$A:$A,0)),
IF($B139="SINAPI",INDEX(CSINAPI!$D:$D,MATCH($C139,CSINAPI!$A:$A,0)),
IF($B139="CESAN",INDEX(CCESAN!$D:$D,MATCH($C139,CCESAN!$A:$A,0)),
IF($B139="SCORIO",INDEX(CSCORIO!$B:$B,MATCH($C139,CSCORIO!#REF!,0)),
IF($B139="MERC",INDEX(MERCADO!$E:$E,MATCH($C139,MERCADO!$A:$A,0)),
IF($B139="COMP",INDEX(COMPOSICAO!$H:$H,MATCH($C139,COMPOSICAO!$A:$A,0)),
0)))))),0)</f>
        <v>4.03</v>
      </c>
      <c r="H139" s="173">
        <f t="shared" ref="H139:H142" si="131">ROUND(G139*(1+$J$2),2)</f>
        <v>5.37</v>
      </c>
      <c r="I139" s="180">
        <f>ROUND($H139*F139,2)</f>
        <v>6330.8</v>
      </c>
      <c r="J139" s="194">
        <f>I139/I$134</f>
        <v>5.398028271861853E-2</v>
      </c>
    </row>
    <row r="140" spans="1:10" ht="76.5">
      <c r="A140" s="175" t="s">
        <v>13933</v>
      </c>
      <c r="B140" s="176" t="s">
        <v>928</v>
      </c>
      <c r="C140" s="177">
        <v>87536</v>
      </c>
      <c r="D140" s="178" t="str">
        <f>IFERROR(PROPER(
IF($B140="DER-ES",INDEX('CDER-ES'!$B:$B,MATCH($C140,'CDER-ES'!$A:$A,0)),
IF($B140="SINAPI",INDEX(CSINAPI!$B:$B,MATCH($C140,CSINAPI!$A:$A,0)),
IF($B140="CESAN",INDEX(CCESAN!$B:$B,MATCH($C140,CCESAN!$A:$A,0)),
IF($B140="SCORIO",INDEX(CSCORIO!$B:$B,MATCH($C140,CSCORIO!$A:$A,0)),
IF($B140="MERC",INDEX(MERCADO!$B:$B,MATCH($C140,MERCADO!$A:$A,0)),
IF($B140="COMP",INDEX(COMPOSICAO!$B:$B,MATCH($C140,COMPOSICAO!$A:$A,0)),
""))))))),"*Verificar código*")</f>
        <v>Emboço, Para Recebimento De Cerâmica, Em Argamassa Traço 1:2:8, Preparo Manual, Aplicado Manualmente Em Faces Internas De Paredes, Para Ambiente Com Área  Maior Que 10M2, Espessura De 20Mm, Com Execução De Taliscas. Af_06/2014</v>
      </c>
      <c r="E140" s="171" t="str">
        <f>IFERROR(LOWER(
IF($B140="DER-ES",INDEX('CDER-ES'!$C:$C,MATCH($C140,'CDER-ES'!$A:$A,0)),
IF($B140="SINAPI",INDEX(CSINAPI!$C:$C,MATCH($C140,CSINAPI!$A:$A,0)),
IF($B140="CESAN",INDEX(CCESAN!$C:$C,MATCH($C140,CCESAN!$A:$A,0)),
IF($B140="SCORIO",INDEX(CSCORIO!$A:$A,MATCH($C140,CSCORIO!#REF!,0)),
IF($B140="MERC",INDEX(MERCADO!$D:$D,MATCH($C140,MERCADO!$A:$A,0)),
IF($B140="COMP",INDEX(COMPOSICAO!$G:$G,MATCH($C140,COMPOSICAO!$A:$A,0)),
""))))))),"")</f>
        <v>m2</v>
      </c>
      <c r="F140" s="179">
        <f>VLOOKUP(A140,'MEMÓRIA DE CÁLCULO'!A:H,8,0)</f>
        <v>310.37</v>
      </c>
      <c r="G140" s="173">
        <f>IFERROR(
IF($B140="DER-ES",INDEX('CDER-ES'!$D:$D,MATCH($C140,'CDER-ES'!$A:$A,0)),
IF($B140="SINAPI",INDEX(CSINAPI!$D:$D,MATCH($C140,CSINAPI!$A:$A,0)),
IF($B140="CESAN",INDEX(CCESAN!$D:$D,MATCH($C140,CCESAN!$A:$A,0)),
IF($B140="SCORIO",INDEX(CSCORIO!$B:$B,MATCH($C140,CSCORIO!#REF!,0)),
IF($B140="MERC",INDEX(MERCADO!$E:$E,MATCH($C140,MERCADO!$A:$A,0)),
IF($B140="COMP",INDEX(COMPOSICAO!$H:$H,MATCH($C140,COMPOSICAO!$A:$A,0)),
0)))))),0)</f>
        <v>34.08</v>
      </c>
      <c r="H140" s="173">
        <f t="shared" si="131"/>
        <v>45.41</v>
      </c>
      <c r="I140" s="180">
        <f>ROUND($H140*F140,2)</f>
        <v>14093.9</v>
      </c>
      <c r="J140" s="194">
        <f>I140/I$134</f>
        <v>0.12017323349465119</v>
      </c>
    </row>
    <row r="141" spans="1:10" ht="63.75">
      <c r="A141" s="175" t="s">
        <v>13934</v>
      </c>
      <c r="B141" s="176" t="s">
        <v>928</v>
      </c>
      <c r="C141" s="177">
        <v>87529</v>
      </c>
      <c r="D141" s="178" t="str">
        <f>IFERROR(PROPER(
IF($B141="DER-ES",INDEX('CDER-ES'!$B:$B,MATCH($C141,'CDER-ES'!$A:$A,0)),
IF($B141="SINAPI",INDEX(CSINAPI!$B:$B,MATCH($C141,CSINAPI!$A:$A,0)),
IF($B141="CESAN",INDEX(CCESAN!$B:$B,MATCH($C141,CCESAN!$A:$A,0)),
IF($B141="SCORIO",INDEX(CSCORIO!$B:$B,MATCH($C141,CSCORIO!$A:$A,0)),
IF($B141="MERC",INDEX(MERCADO!$B:$B,MATCH($C141,MERCADO!$A:$A,0)),
IF($B141="COMP",INDEX(COMPOSICAO!$B:$B,MATCH($C141,COMPOSICAO!$A:$A,0)),
""))))))),"*Verificar código*")</f>
        <v>Massa Única, Para Recebimento De Pintura, Em Argamassa Traço 1:2:8, Preparo Mecânico Com Betoneira 400L, Aplicada Manualmente Em Faces Internas De Paredes, Espessura De 20Mm, Com Execução De Taliscas. Af_06/2014</v>
      </c>
      <c r="E141" s="171" t="str">
        <f>IFERROR(LOWER(
IF($B141="DER-ES",INDEX('CDER-ES'!$C:$C,MATCH($C141,'CDER-ES'!$A:$A,0)),
IF($B141="SINAPI",INDEX(CSINAPI!$C:$C,MATCH($C141,CSINAPI!$A:$A,0)),
IF($B141="CESAN",INDEX(CCESAN!$C:$C,MATCH($C141,CCESAN!$A:$A,0)),
IF($B141="SCORIO",INDEX(CSCORIO!$A:$A,MATCH($C141,CSCORIO!#REF!,0)),
IF($B141="MERC",INDEX(MERCADO!$D:$D,MATCH($C141,MERCADO!$A:$A,0)),
IF($B141="COMP",INDEX(COMPOSICAO!$G:$G,MATCH($C141,COMPOSICAO!$A:$A,0)),
""))))))),"")</f>
        <v>m2</v>
      </c>
      <c r="F141" s="179">
        <f>VLOOKUP(A141,'MEMÓRIA DE CÁLCULO'!A:H,8,0)</f>
        <v>868.55</v>
      </c>
      <c r="G141" s="173">
        <f>IFERROR(
IF($B141="DER-ES",INDEX('CDER-ES'!$D:$D,MATCH($C141,'CDER-ES'!$A:$A,0)),
IF($B141="SINAPI",INDEX(CSINAPI!$D:$D,MATCH($C141,CSINAPI!$A:$A,0)),
IF($B141="CESAN",INDEX(CCESAN!$D:$D,MATCH($C141,CCESAN!$A:$A,0)),
IF($B141="SCORIO",INDEX(CSCORIO!$B:$B,MATCH($C141,CSCORIO!#REF!,0)),
IF($B141="MERC",INDEX(MERCADO!$E:$E,MATCH($C141,MERCADO!$A:$A,0)),
IF($B141="COMP",INDEX(COMPOSICAO!$H:$H,MATCH($C141,COMPOSICAO!$A:$A,0)),
0)))))),0)</f>
        <v>35.5</v>
      </c>
      <c r="H141" s="173">
        <f t="shared" si="131"/>
        <v>47.3</v>
      </c>
      <c r="I141" s="180">
        <f>ROUND($H141*F141,2)</f>
        <v>41082.42</v>
      </c>
      <c r="J141" s="194">
        <f>I141/I$134</f>
        <v>0.35029390382969422</v>
      </c>
    </row>
    <row r="142" spans="1:10">
      <c r="A142" s="175" t="s">
        <v>13935</v>
      </c>
      <c r="B142" s="176" t="s">
        <v>928</v>
      </c>
      <c r="C142" s="177">
        <v>87274</v>
      </c>
      <c r="D142" s="178" t="str">
        <f>IFERROR(PROPER(
IF($B142="DER-ES",INDEX('CDER-ES'!$B:$B,MATCH($C142,'CDER-ES'!$A:$A,0)),
IF($B142="SINAPI",INDEX(CSINAPI!$B:$B,MATCH($C142,CSINAPI!$A:$A,0)),
IF($B142="CESAN",INDEX(CCESAN!$B:$B,MATCH($C142,CCESAN!$A:$A,0)),
IF($B142="SCORIO",INDEX(CSCORIO!$B:$B,MATCH($C142,CSCORIO!$A:$A,0)),
IF($B142="MERC",INDEX(MERCADO!$B:$B,MATCH($C142,MERCADO!$A:$A,0)),
IF($B142="COMP",INDEX(COMPOSICAO!$B:$B,MATCH($C142,COMPOSICAO!$A:$A,0)),
""))))))),"*Verificar código*")</f>
        <v>*Verificar código*</v>
      </c>
      <c r="E142" s="171" t="str">
        <f>IFERROR(LOWER(
IF($B142="DER-ES",INDEX('CDER-ES'!$C:$C,MATCH($C142,'CDER-ES'!$A:$A,0)),
IF($B142="SINAPI",INDEX(CSINAPI!$C:$C,MATCH($C142,CSINAPI!$A:$A,0)),
IF($B142="CESAN",INDEX(CCESAN!$C:$C,MATCH($C142,CCESAN!$A:$A,0)),
IF($B142="SCORIO",INDEX(CSCORIO!$A:$A,MATCH($C142,CSCORIO!#REF!,0)),
IF($B142="MERC",INDEX(MERCADO!$D:$D,MATCH($C142,MERCADO!$A:$A,0)),
IF($B142="COMP",INDEX(COMPOSICAO!$G:$G,MATCH($C142,COMPOSICAO!$A:$A,0)),
""))))))),"")</f>
        <v/>
      </c>
      <c r="F142" s="179">
        <f>VLOOKUP(A142,'MEMÓRIA DE CÁLCULO'!A:H,8,0)</f>
        <v>310.37</v>
      </c>
      <c r="G142" s="173">
        <f>IFERROR(
IF($B142="DER-ES",INDEX('CDER-ES'!$D:$D,MATCH($C142,'CDER-ES'!$A:$A,0)),
IF($B142="SINAPI",INDEX(CSINAPI!$D:$D,MATCH($C142,CSINAPI!$A:$A,0)),
IF($B142="CESAN",INDEX(CCESAN!$D:$D,MATCH($C142,CCESAN!$A:$A,0)),
IF($B142="SCORIO",INDEX(CSCORIO!$B:$B,MATCH($C142,CSCORIO!#REF!,0)),
IF($B142="MERC",INDEX(MERCADO!$E:$E,MATCH($C142,MERCADO!$A:$A,0)),
IF($B142="COMP",INDEX(COMPOSICAO!$H:$H,MATCH($C142,COMPOSICAO!$A:$A,0)),
0)))))),0)</f>
        <v>0</v>
      </c>
      <c r="H142" s="173">
        <f t="shared" si="131"/>
        <v>0</v>
      </c>
      <c r="I142" s="180">
        <f>ROUND($H142*F142,2)</f>
        <v>0</v>
      </c>
      <c r="J142" s="194">
        <f>I142/I$134</f>
        <v>0</v>
      </c>
    </row>
    <row r="143" spans="1:10">
      <c r="A143" s="167" t="s">
        <v>14235</v>
      </c>
      <c r="B143" s="168"/>
      <c r="C143" s="169"/>
      <c r="D143" s="170" t="s">
        <v>14206</v>
      </c>
      <c r="E143" s="171"/>
      <c r="F143" s="172"/>
      <c r="G143" s="173"/>
      <c r="H143" s="173"/>
      <c r="I143" s="174"/>
      <c r="J143" s="193"/>
    </row>
    <row r="144" spans="1:10" ht="51">
      <c r="A144" s="175" t="s">
        <v>14236</v>
      </c>
      <c r="B144" s="176" t="s">
        <v>928</v>
      </c>
      <c r="C144" s="177">
        <v>87904</v>
      </c>
      <c r="D144" s="178" t="str">
        <f>IFERROR(PROPER(
IF($B144="DER-ES",INDEX('CDER-ES'!$B:$B,MATCH($C144,'CDER-ES'!$A:$A,0)),
IF($B144="SINAPI",INDEX(CSINAPI!$B:$B,MATCH($C144,CSINAPI!$A:$A,0)),
IF($B144="CESAN",INDEX(CCESAN!$B:$B,MATCH($C144,CCESAN!$A:$A,0)),
IF($B144="SCORIO",INDEX(CSCORIO!$B:$B,MATCH($C144,CSCORIO!$A:$A,0)),
IF($B144="MERC",INDEX(MERCADO!$B:$B,MATCH($C144,MERCADO!$A:$A,0)),
IF($B144="COMP",INDEX(COMPOSICAO!$B:$B,MATCH($C144,COMPOSICAO!$A:$A,0)),
""))))))),"*Verificar código*")</f>
        <v>Chapisco Aplicado Em Alvenaria (Com Presença De Vãos) E Estruturas De Concreto De Fachada, Com Colher De Pedreiro.  Argamassa Traço 1:3 Com Preparo Manual. Af_10/2022</v>
      </c>
      <c r="E144" s="171" t="str">
        <f>IFERROR(LOWER(
IF($B144="DER-ES",INDEX('CDER-ES'!$C:$C,MATCH($C144,'CDER-ES'!$A:$A,0)),
IF($B144="SINAPI",INDEX(CSINAPI!$C:$C,MATCH($C144,CSINAPI!$A:$A,0)),
IF($B144="CESAN",INDEX(CCESAN!$C:$C,MATCH($C144,CCESAN!$A:$A,0)),
IF($B144="SCORIO",INDEX(CSCORIO!$A:$A,MATCH($C144,CSCORIO!#REF!,0)),
IF($B144="MERC",INDEX(MERCADO!$D:$D,MATCH($C144,MERCADO!$A:$A,0)),
IF($B144="COMP",INDEX(COMPOSICAO!$G:$G,MATCH($C144,COMPOSICAO!$A:$A,0)),
""))))))),"")</f>
        <v>m2</v>
      </c>
      <c r="F144" s="179">
        <f>VLOOKUP(A144,'MEMÓRIA DE CÁLCULO'!A:H,8,0)</f>
        <v>766.98</v>
      </c>
      <c r="G144" s="173">
        <f>IFERROR(
IF($B144="DER-ES",INDEX('CDER-ES'!$D:$D,MATCH($C144,'CDER-ES'!$A:$A,0)),
IF($B144="SINAPI",INDEX(CSINAPI!$D:$D,MATCH($C144,CSINAPI!$A:$A,0)),
IF($B144="CESAN",INDEX(CCESAN!$D:$D,MATCH($C144,CCESAN!$A:$A,0)),
IF($B144="SCORIO",INDEX(CSCORIO!$B:$B,MATCH($C144,CSCORIO!#REF!,0)),
IF($B144="MERC",INDEX(MERCADO!$E:$E,MATCH($C144,MERCADO!$A:$A,0)),
IF($B144="COMP",INDEX(COMPOSICAO!$H:$H,MATCH($C144,COMPOSICAO!$A:$A,0)),
0)))))),0)</f>
        <v>7.67</v>
      </c>
      <c r="H144" s="173">
        <f>ROUND(G144*(1+$J$2),2)</f>
        <v>10.220000000000001</v>
      </c>
      <c r="I144" s="180">
        <f>ROUND($H144*F144,2)</f>
        <v>7838.54</v>
      </c>
      <c r="J144" s="194">
        <f>I144/I$134</f>
        <v>6.6836198474316058E-2</v>
      </c>
    </row>
    <row r="145" spans="1:10" ht="63.75">
      <c r="A145" s="175" t="s">
        <v>14237</v>
      </c>
      <c r="B145" s="176" t="s">
        <v>928</v>
      </c>
      <c r="C145" s="177">
        <v>87792</v>
      </c>
      <c r="D145" s="178" t="str">
        <f>IFERROR(PROPER(
IF($B145="DER-ES",INDEX('CDER-ES'!$B:$B,MATCH($C145,'CDER-ES'!$A:$A,0)),
IF($B145="SINAPI",INDEX(CSINAPI!$B:$B,MATCH($C145,CSINAPI!$A:$A,0)),
IF($B145="CESAN",INDEX(CCESAN!$B:$B,MATCH($C145,CCESAN!$A:$A,0)),
IF($B145="SCORIO",INDEX(CSCORIO!$B:$B,MATCH($C145,CSCORIO!$A:$A,0)),
IF($B145="MERC",INDEX(MERCADO!$B:$B,MATCH($C145,MERCADO!$A:$A,0)),
IF($B145="COMP",INDEX(COMPOSICAO!$B:$B,MATCH($C145,COMPOSICAO!$A:$A,0)),
""))))))),"*Verificar código*")</f>
        <v>Emboço Ou Massa Única Em Argamassa Traço 1:2:8, Preparo Mecânico Com Betoneira 400 L, Aplicada Manualmente Em Panos Cegos De Fachada (Sem Presença De Vãos), Espessura De 25 Mm. Af_08/2022</v>
      </c>
      <c r="E145" s="171" t="str">
        <f>IFERROR(LOWER(
IF($B145="DER-ES",INDEX('CDER-ES'!$C:$C,MATCH($C145,'CDER-ES'!$A:$A,0)),
IF($B145="SINAPI",INDEX(CSINAPI!$C:$C,MATCH($C145,CSINAPI!$A:$A,0)),
IF($B145="CESAN",INDEX(CCESAN!$C:$C,MATCH($C145,CCESAN!$A:$A,0)),
IF($B145="SCORIO",INDEX(CSCORIO!$A:$A,MATCH($C145,CSCORIO!#REF!,0)),
IF($B145="MERC",INDEX(MERCADO!$D:$D,MATCH($C145,MERCADO!$A:$A,0)),
IF($B145="COMP",INDEX(COMPOSICAO!$G:$G,MATCH($C145,COMPOSICAO!$A:$A,0)),
""))))))),"")</f>
        <v>m2</v>
      </c>
      <c r="F145" s="179">
        <f>VLOOKUP(A145,'MEMÓRIA DE CÁLCULO'!A:H,8,0)</f>
        <v>766.98</v>
      </c>
      <c r="G145" s="173">
        <f>IFERROR(
IF($B145="DER-ES",INDEX('CDER-ES'!$D:$D,MATCH($C145,'CDER-ES'!$A:$A,0)),
IF($B145="SINAPI",INDEX(CSINAPI!$D:$D,MATCH($C145,CSINAPI!$A:$A,0)),
IF($B145="CESAN",INDEX(CCESAN!$D:$D,MATCH($C145,CCESAN!$A:$A,0)),
IF($B145="SCORIO",INDEX(CSCORIO!$B:$B,MATCH($C145,CSCORIO!#REF!,0)),
IF($B145="MERC",INDEX(MERCADO!$E:$E,MATCH($C145,MERCADO!$A:$A,0)),
IF($B145="COMP",INDEX(COMPOSICAO!$H:$H,MATCH($C145,COMPOSICAO!$A:$A,0)),
0)))))),0)</f>
        <v>37.44</v>
      </c>
      <c r="H145" s="173">
        <f>ROUND(G145*(1+$J$2),2)</f>
        <v>49.89</v>
      </c>
      <c r="I145" s="180">
        <f>ROUND($H145*F145,2)</f>
        <v>38264.629999999997</v>
      </c>
      <c r="J145" s="194">
        <f>I145/I$134</f>
        <v>0.32626769847781195</v>
      </c>
    </row>
    <row r="146" spans="1:10">
      <c r="A146" s="167" t="s">
        <v>12608</v>
      </c>
      <c r="B146" s="168"/>
      <c r="C146" s="169"/>
      <c r="D146" s="170" t="s">
        <v>13928</v>
      </c>
      <c r="E146" s="171"/>
      <c r="F146" s="172"/>
      <c r="G146" s="173"/>
      <c r="H146" s="173"/>
      <c r="I146" s="174">
        <f>SUBTOTAL(9,I148:I160)</f>
        <v>253974.90000000005</v>
      </c>
      <c r="J146" s="193">
        <f>SUBTOTAL(9,J148:J160)</f>
        <v>1</v>
      </c>
    </row>
    <row r="147" spans="1:10">
      <c r="A147" s="167" t="s">
        <v>12609</v>
      </c>
      <c r="B147" s="168"/>
      <c r="C147" s="169"/>
      <c r="D147" s="170" t="s">
        <v>13929</v>
      </c>
      <c r="E147" s="171"/>
      <c r="F147" s="172"/>
      <c r="G147" s="173"/>
      <c r="H147" s="173"/>
      <c r="I147" s="174"/>
      <c r="J147" s="193"/>
    </row>
    <row r="148" spans="1:10" ht="76.5">
      <c r="A148" s="175" t="s">
        <v>13936</v>
      </c>
      <c r="B148" s="176" t="s">
        <v>12617</v>
      </c>
      <c r="C148" s="177">
        <v>200702</v>
      </c>
      <c r="D148" s="178" t="str">
        <f>IFERROR(PROPER(
IF($B148="DER-ES",INDEX('CDER-ES'!$B:$B,MATCH($C148,'CDER-ES'!$A:$A,0)),
IF($B148="SINAPI",INDEX(CSINAPI!$B:$B,MATCH($C148,CSINAPI!$A:$A,0)),
IF($B148="CESAN",INDEX(CCESAN!$B:$B,MATCH($C148,CCESAN!$A:$A,0)),
IF($B148="SCORIO",INDEX(CSCORIO!$B:$B,MATCH($C148,CSCORIO!$A:$A,0)),
IF($B148="MERC",INDEX(MERCADO!$B:$B,MATCH($C148,MERCADO!$A:$A,0)),
IF($B148="COMP",INDEX(COMPOSICAO!$B:$B,MATCH($C148,COMPOSICAO!$A:$A,0)),
""))))))),"*Verificar código*")</f>
        <v>Piso Quadra Poliesp. Fck=25Mpa, Esp.=10 Cm, Armado C/ Tela Q138, Concret Camada Única Bombeável C/ Brita N. 1, Acab. Sup. C/ Rotoalisador, Juntas C/ Corte Serra Diamant. Preench. C/ Mastique, Base 5Cm Solo Brita 30% E Resina Endur</v>
      </c>
      <c r="E148" s="171" t="str">
        <f>IFERROR(LOWER(
IF($B148="DER-ES",INDEX('CDER-ES'!$C:$C,MATCH($C148,'CDER-ES'!$A:$A,0)),
IF($B148="SINAPI",INDEX(CSINAPI!$C:$C,MATCH($C148,CSINAPI!$A:$A,0)),
IF($B148="CESAN",INDEX(CCESAN!$C:$C,MATCH($C148,CCESAN!$A:$A,0)),
IF($B148="SCORIO",INDEX(CSCORIO!$A:$A,MATCH($C148,CSCORIO!#REF!,0)),
IF($B148="MERC",INDEX(MERCADO!$D:$D,MATCH($C148,MERCADO!$A:$A,0)),
IF($B148="COMP",INDEX(COMPOSICAO!$G:$G,MATCH($C148,COMPOSICAO!$A:$A,0)),
""))))))),"")</f>
        <v>m2</v>
      </c>
      <c r="F148" s="179">
        <f>VLOOKUP(A148,'MEMÓRIA DE CÁLCULO'!A:H,8,0)</f>
        <v>798.09</v>
      </c>
      <c r="G148" s="173">
        <f>IFERROR(
IF($B148="DER-ES",INDEX('CDER-ES'!$D:$D,MATCH($C148,'CDER-ES'!$A:$A,0)),
IF($B148="SINAPI",INDEX(CSINAPI!$D:$D,MATCH($C148,CSINAPI!$A:$A,0)),
IF($B148="CESAN",INDEX(CCESAN!$D:$D,MATCH($C148,CCESAN!$A:$A,0)),
IF($B148="SCORIO",INDEX(CSCORIO!$B:$B,MATCH($C148,CSCORIO!#REF!,0)),
IF($B148="MERC",INDEX(MERCADO!$E:$E,MATCH($C148,MERCADO!$A:$A,0)),
IF($B148="COMP",INDEX(COMPOSICAO!$H:$H,MATCH($C148,COMPOSICAO!$A:$A,0)),
0)))))),0)</f>
        <v>135.82</v>
      </c>
      <c r="H148" s="173">
        <f t="shared" ref="H148" si="132">ROUND(G148*(1+$J$2),2)</f>
        <v>180.98</v>
      </c>
      <c r="I148" s="180">
        <f t="shared" ref="I148" si="133">ROUND($H148*F148,2)</f>
        <v>144438.32999999999</v>
      </c>
      <c r="J148" s="194">
        <f t="shared" ref="J148" si="134">I148/I$146</f>
        <v>0.56871104191792166</v>
      </c>
    </row>
    <row r="149" spans="1:10" ht="63.75">
      <c r="A149" s="175" t="s">
        <v>13937</v>
      </c>
      <c r="B149" s="176" t="s">
        <v>12617</v>
      </c>
      <c r="C149" s="177">
        <v>200243</v>
      </c>
      <c r="D149" s="178" t="str">
        <f>IFERROR(PROPER(
IF($B149="DER-ES",INDEX('CDER-ES'!$B:$B,MATCH($C149,'CDER-ES'!$A:$A,0)),
IF($B149="SINAPI",INDEX(CSINAPI!$B:$B,MATCH($C149,CSINAPI!$A:$A,0)),
IF($B149="CESAN",INDEX(CCESAN!$B:$B,MATCH($C149,CCESAN!$A:$A,0)),
IF($B149="SCORIO",INDEX(CSCORIO!$B:$B,MATCH($C149,CSCORIO!$A:$A,0)),
IF($B149="MERC",INDEX(MERCADO!$B:$B,MATCH($C149,MERCADO!$A:$A,0)),
IF($B149="COMP",INDEX(COMPOSICAO!$B:$B,MATCH($C149,COMPOSICAO!$A:$A,0)),
""))))))),"*Verificar código*")</f>
        <v>Canaleta No Piso Em Concreto Simples Com Dimensões Internas De 20 X 10 Cm E Grelha Em Ferro Diam. 1/2" A Cada 3 Cm Fixados Em Cantoneira De 3/4" X 1/8" Apoiada Sobre Requadro Em Cantoneira De 1" X 3/16"</v>
      </c>
      <c r="E149" s="171" t="str">
        <f>IFERROR(LOWER(
IF($B149="DER-ES",INDEX('CDER-ES'!$C:$C,MATCH($C149,'CDER-ES'!$A:$A,0)),
IF($B149="SINAPI",INDEX(CSINAPI!$C:$C,MATCH($C149,CSINAPI!$A:$A,0)),
IF($B149="CESAN",INDEX(CCESAN!$C:$C,MATCH($C149,CCESAN!$A:$A,0)),
IF($B149="SCORIO",INDEX(CSCORIO!$A:$A,MATCH($C149,CSCORIO!#REF!,0)),
IF($B149="MERC",INDEX(MERCADO!$D:$D,MATCH($C149,MERCADO!$A:$A,0)),
IF($B149="COMP",INDEX(COMPOSICAO!$G:$G,MATCH($C149,COMPOSICAO!$A:$A,0)),
""))))))),"")</f>
        <v>m</v>
      </c>
      <c r="F149" s="179">
        <f>VLOOKUP(A149,'MEMÓRIA DE CÁLCULO'!A:H,8,0)</f>
        <v>60.4</v>
      </c>
      <c r="G149" s="173">
        <f>IFERROR(
IF($B149="DER-ES",INDEX('CDER-ES'!$D:$D,MATCH($C149,'CDER-ES'!$A:$A,0)),
IF($B149="SINAPI",INDEX(CSINAPI!$D:$D,MATCH($C149,CSINAPI!$A:$A,0)),
IF($B149="CESAN",INDEX(CCESAN!$D:$D,MATCH($C149,CCESAN!$A:$A,0)),
IF($B149="SCORIO",INDEX(CSCORIO!$B:$B,MATCH($C149,CSCORIO!#REF!,0)),
IF($B149="MERC",INDEX(MERCADO!$E:$E,MATCH($C149,MERCADO!$A:$A,0)),
IF($B149="COMP",INDEX(COMPOSICAO!$H:$H,MATCH($C149,COMPOSICAO!$A:$A,0)),
0)))))),0)</f>
        <v>259.11</v>
      </c>
      <c r="H149" s="173">
        <f t="shared" ref="H149:H153" si="135">ROUND(G149*(1+$J$2),2)</f>
        <v>345.26</v>
      </c>
      <c r="I149" s="180">
        <f t="shared" ref="I149:I153" si="136">ROUND($H149*F149,2)</f>
        <v>20853.7</v>
      </c>
      <c r="J149" s="194">
        <f t="shared" ref="J149:J153" si="137">I149/I$146</f>
        <v>8.2109295052385081E-2</v>
      </c>
    </row>
    <row r="150" spans="1:10" ht="51">
      <c r="A150" s="175" t="s">
        <v>14461</v>
      </c>
      <c r="B150" s="176" t="s">
        <v>928</v>
      </c>
      <c r="C150" s="177">
        <v>94994</v>
      </c>
      <c r="D150" s="178" t="str">
        <f>IFERROR(PROPER(
IF($B150="DER-ES",INDEX('CDER-ES'!$B:$B,MATCH($C150,'CDER-ES'!$A:$A,0)),
IF($B150="SINAPI",INDEX(CSINAPI!$B:$B,MATCH($C150,CSINAPI!$A:$A,0)),
IF($B150="CESAN",INDEX(CCESAN!$B:$B,MATCH($C150,CCESAN!$A:$A,0)),
IF($B150="SCORIO",INDEX(CSCORIO!$B:$B,MATCH($C150,CSCORIO!$A:$A,0)),
IF($B150="MERC",INDEX(MERCADO!$B:$B,MATCH($C150,MERCADO!$A:$A,0)),
IF($B150="COMP",INDEX(COMPOSICAO!$B:$B,MATCH($C150,COMPOSICAO!$A:$A,0)),
""))))))),"*Verificar código*")</f>
        <v>Execução De Passeio (Calçada) Ou Piso De Concreto Com Concreto Moldado In Loco, Feito Em Obra, Acabamento Convencional, Espessura 8 Cm, Armado. Af_08/2022</v>
      </c>
      <c r="E150" s="171" t="str">
        <f>IFERROR(LOWER(
IF($B150="DER-ES",INDEX('CDER-ES'!$C:$C,MATCH($C150,'CDER-ES'!$A:$A,0)),
IF($B150="SINAPI",INDEX(CSINAPI!$C:$C,MATCH($C150,CSINAPI!$A:$A,0)),
IF($B150="CESAN",INDEX(CCESAN!$C:$C,MATCH($C150,CCESAN!$A:$A,0)),
IF($B150="SCORIO",INDEX(CSCORIO!$A:$A,MATCH($C150,CSCORIO!#REF!,0)),
IF($B150="MERC",INDEX(MERCADO!$D:$D,MATCH($C150,MERCADO!$A:$A,0)),
IF($B150="COMP",INDEX(COMPOSICAO!$G:$G,MATCH($C150,COMPOSICAO!$A:$A,0)),
""))))))),"")</f>
        <v>m2</v>
      </c>
      <c r="F150" s="179">
        <f>VLOOKUP(A150,'MEMÓRIA DE CÁLCULO'!A:H,8,0)</f>
        <v>117.34</v>
      </c>
      <c r="G150" s="173">
        <f>IFERROR(
IF($B150="DER-ES",INDEX('CDER-ES'!$D:$D,MATCH($C150,'CDER-ES'!$A:$A,0)),
IF($B150="SINAPI",INDEX(CSINAPI!$D:$D,MATCH($C150,CSINAPI!$A:$A,0)),
IF($B150="CESAN",INDEX(CCESAN!$D:$D,MATCH($C150,CCESAN!$A:$A,0)),
IF($B150="SCORIO",INDEX(CSCORIO!$B:$B,MATCH($C150,CSCORIO!#REF!,0)),
IF($B150="MERC",INDEX(MERCADO!$E:$E,MATCH($C150,MERCADO!$A:$A,0)),
IF($B150="COMP",INDEX(COMPOSICAO!$H:$H,MATCH($C150,COMPOSICAO!$A:$A,0)),
0)))))),0)</f>
        <v>97.98</v>
      </c>
      <c r="H150" s="173">
        <f t="shared" si="135"/>
        <v>130.56</v>
      </c>
      <c r="I150" s="180">
        <f t="shared" si="136"/>
        <v>15319.91</v>
      </c>
      <c r="J150" s="194">
        <f t="shared" si="137"/>
        <v>6.03205671111594E-2</v>
      </c>
    </row>
    <row r="151" spans="1:10" ht="38.25">
      <c r="A151" s="175" t="s">
        <v>14462</v>
      </c>
      <c r="B151" s="176" t="s">
        <v>12617</v>
      </c>
      <c r="C151" s="177">
        <v>130209</v>
      </c>
      <c r="D151" s="178" t="str">
        <f>IFERROR(PROPER(
IF($B151="DER-ES",INDEX('CDER-ES'!$B:$B,MATCH($C151,'CDER-ES'!$A:$A,0)),
IF($B151="SINAPI",INDEX(CSINAPI!$B:$B,MATCH($C151,CSINAPI!$A:$A,0)),
IF($B151="CESAN",INDEX(CCESAN!$B:$B,MATCH($C151,CCESAN!$A:$A,0)),
IF($B151="SCORIO",INDEX(CSCORIO!$B:$B,MATCH($C151,CSCORIO!$A:$A,0)),
IF($B151="MERC",INDEX(MERCADO!$B:$B,MATCH($C151,MERCADO!$A:$A,0)),
IF($B151="COMP",INDEX(COMPOSICAO!$B:$B,MATCH($C151,COMPOSICAO!$A:$A,0)),
""))))))),"*Verificar código*")</f>
        <v>Piso De Cimentado Camurçado Executado Com Argamassa De Cimento E Areia No Traço 1:3, Esp. 3.0Cm</v>
      </c>
      <c r="E151" s="171" t="str">
        <f>IFERROR(LOWER(
IF($B151="DER-ES",INDEX('CDER-ES'!$C:$C,MATCH($C151,'CDER-ES'!$A:$A,0)),
IF($B151="SINAPI",INDEX(CSINAPI!$C:$C,MATCH($C151,CSINAPI!$A:$A,0)),
IF($B151="CESAN",INDEX(CCESAN!$C:$C,MATCH($C151,CCESAN!$A:$A,0)),
IF($B151="SCORIO",INDEX(CSCORIO!$A:$A,MATCH($C151,CSCORIO!#REF!,0)),
IF($B151="MERC",INDEX(MERCADO!$D:$D,MATCH($C151,MERCADO!$A:$A,0)),
IF($B151="COMP",INDEX(COMPOSICAO!$G:$G,MATCH($C151,COMPOSICAO!$A:$A,0)),
""))))))),"")</f>
        <v>m2</v>
      </c>
      <c r="F151" s="179">
        <f>VLOOKUP(A151,'MEMÓRIA DE CÁLCULO'!A:H,8,0)</f>
        <v>236.18</v>
      </c>
      <c r="G151" s="173">
        <f>IFERROR(
IF($B151="DER-ES",INDEX('CDER-ES'!$D:$D,MATCH($C151,'CDER-ES'!$A:$A,0)),
IF($B151="SINAPI",INDEX(CSINAPI!$D:$D,MATCH($C151,CSINAPI!$A:$A,0)),
IF($B151="CESAN",INDEX(CCESAN!$D:$D,MATCH($C151,CCESAN!$A:$A,0)),
IF($B151="SCORIO",INDEX(CSCORIO!$B:$B,MATCH($C151,CSCORIO!#REF!,0)),
IF($B151="MERC",INDEX(MERCADO!$E:$E,MATCH($C151,MERCADO!$A:$A,0)),
IF($B151="COMP",INDEX(COMPOSICAO!$H:$H,MATCH($C151,COMPOSICAO!$A:$A,0)),
0)))))),0)</f>
        <v>92.9</v>
      </c>
      <c r="H151" s="173">
        <f t="shared" si="135"/>
        <v>123.79</v>
      </c>
      <c r="I151" s="180">
        <f t="shared" si="136"/>
        <v>29236.720000000001</v>
      </c>
      <c r="J151" s="194">
        <f t="shared" si="137"/>
        <v>0.11511657254319224</v>
      </c>
    </row>
    <row r="152" spans="1:10" ht="38.25">
      <c r="A152" s="175" t="s">
        <v>14600</v>
      </c>
      <c r="B152" s="176" t="s">
        <v>928</v>
      </c>
      <c r="C152" s="177">
        <v>97097</v>
      </c>
      <c r="D152" s="178" t="str">
        <f>IFERROR(PROPER(
IF($B152="DER-ES",INDEX('CDER-ES'!$B:$B,MATCH($C152,'CDER-ES'!$A:$A,0)),
IF($B152="SINAPI",INDEX(CSINAPI!$B:$B,MATCH($C152,CSINAPI!$A:$A,0)),
IF($B152="CESAN",INDEX(CCESAN!$B:$B,MATCH($C152,CCESAN!$A:$A,0)),
IF($B152="SCORIO",INDEX(CSCORIO!$B:$B,MATCH($C152,CSCORIO!$A:$A,0)),
IF($B152="MERC",INDEX(MERCADO!$B:$B,MATCH($C152,MERCADO!$A:$A,0)),
IF($B152="COMP",INDEX(COMPOSICAO!$B:$B,MATCH($C152,COMPOSICAO!$A:$A,0)),
""))))))),"*Verificar código*")</f>
        <v>Acabamento Polido Para Piso De Concreto Armado Ou Laje Sobre Solo De Alta Resistência. Af_09/2021</v>
      </c>
      <c r="E152" s="171" t="str">
        <f>IFERROR(LOWER(
IF($B152="DER-ES",INDEX('CDER-ES'!$C:$C,MATCH($C152,'CDER-ES'!$A:$A,0)),
IF($B152="SINAPI",INDEX(CSINAPI!$C:$C,MATCH($C152,CSINAPI!$A:$A,0)),
IF($B152="CESAN",INDEX(CCESAN!$C:$C,MATCH($C152,CCESAN!$A:$A,0)),
IF($B152="SCORIO",INDEX(CSCORIO!$A:$A,MATCH($C152,CSCORIO!#REF!,0)),
IF($B152="MERC",INDEX(MERCADO!$D:$D,MATCH($C152,MERCADO!$A:$A,0)),
IF($B152="COMP",INDEX(COMPOSICAO!$G:$G,MATCH($C152,COMPOSICAO!$A:$A,0)),
""))))))),"")</f>
        <v>m2</v>
      </c>
      <c r="F152" s="179">
        <f>VLOOKUP(A152,'MEMÓRIA DE CÁLCULO'!A:H,8,0)</f>
        <v>211.73</v>
      </c>
      <c r="G152" s="173">
        <f>IFERROR(
IF($B152="DER-ES",INDEX('CDER-ES'!$D:$D,MATCH($C152,'CDER-ES'!$A:$A,0)),
IF($B152="SINAPI",INDEX(CSINAPI!$D:$D,MATCH($C152,CSINAPI!$A:$A,0)),
IF($B152="CESAN",INDEX(CCESAN!$D:$D,MATCH($C152,CCESAN!$A:$A,0)),
IF($B152="SCORIO",INDEX(CSCORIO!$B:$B,MATCH($C152,CSCORIO!#REF!,0)),
IF($B152="MERC",INDEX(MERCADO!$E:$E,MATCH($C152,MERCADO!$A:$A,0)),
IF($B152="COMP",INDEX(COMPOSICAO!$H:$H,MATCH($C152,COMPOSICAO!$A:$A,0)),
0)))))),0)</f>
        <v>34.1</v>
      </c>
      <c r="H152" s="173">
        <f t="shared" ref="H152" si="138">ROUND(G152*(1+$J$2),2)</f>
        <v>45.44</v>
      </c>
      <c r="I152" s="180">
        <f t="shared" ref="I152" si="139">ROUND($H152*F152,2)</f>
        <v>9621.01</v>
      </c>
      <c r="J152" s="194">
        <f t="shared" ref="J152" si="140">I152/I$146</f>
        <v>3.7881735557332624E-2</v>
      </c>
    </row>
    <row r="153" spans="1:10" ht="51">
      <c r="A153" s="175" t="s">
        <v>14949</v>
      </c>
      <c r="B153" s="176" t="s">
        <v>928</v>
      </c>
      <c r="C153" s="177">
        <v>94990</v>
      </c>
      <c r="D153" s="178" t="str">
        <f>IFERROR(PROPER(
IF($B153="DER-ES",INDEX('CDER-ES'!$B:$B,MATCH($C153,'CDER-ES'!$A:$A,0)),
IF($B153="SINAPI",INDEX(CSINAPI!$B:$B,MATCH($C153,CSINAPI!$A:$A,0)),
IF($B153="CESAN",INDEX(CCESAN!$B:$B,MATCH($C153,CCESAN!$A:$A,0)),
IF($B153="SCORIO",INDEX(CSCORIO!$B:$B,MATCH($C153,CSCORIO!$A:$A,0)),
IF($B153="MERC",INDEX(MERCADO!$B:$B,MATCH($C153,MERCADO!$A:$A,0)),
IF($B153="COMP",INDEX(COMPOSICAO!$B:$B,MATCH($C153,COMPOSICAO!$A:$A,0)),
""))))))),"*Verificar código*")</f>
        <v>Execução De Passeio (Calçada) Ou Piso De Concreto Com Concreto Moldado In Loco, Feito Em Obra, Acabamento Convencional, Não Armado. Af_08/2022</v>
      </c>
      <c r="E153" s="171" t="str">
        <f>IFERROR(LOWER(
IF($B153="DER-ES",INDEX('CDER-ES'!$C:$C,MATCH($C153,'CDER-ES'!$A:$A,0)),
IF($B153="SINAPI",INDEX(CSINAPI!$C:$C,MATCH($C153,CSINAPI!$A:$A,0)),
IF($B153="CESAN",INDEX(CCESAN!$C:$C,MATCH($C153,CCESAN!$A:$A,0)),
IF($B153="SCORIO",INDEX(CSCORIO!$A:$A,MATCH($C153,CSCORIO!#REF!,0)),
IF($B153="MERC",INDEX(MERCADO!$D:$D,MATCH($C153,MERCADO!$A:$A,0)),
IF($B153="COMP",INDEX(COMPOSICAO!$G:$G,MATCH($C153,COMPOSICAO!$A:$A,0)),
""))))))),"")</f>
        <v>m3</v>
      </c>
      <c r="F153" s="179">
        <f>VLOOKUP(A153,'MEMÓRIA DE CÁLCULO'!A:H,8,0)</f>
        <v>5.14</v>
      </c>
      <c r="G153" s="173">
        <f>IFERROR(
IF($B153="DER-ES",INDEX('CDER-ES'!$D:$D,MATCH($C153,'CDER-ES'!$A:$A,0)),
IF($B153="SINAPI",INDEX(CSINAPI!$D:$D,MATCH($C153,CSINAPI!$A:$A,0)),
IF($B153="CESAN",INDEX(CCESAN!$D:$D,MATCH($C153,CCESAN!$A:$A,0)),
IF($B153="SCORIO",INDEX(CSCORIO!$B:$B,MATCH($C153,CSCORIO!#REF!,0)),
IF($B153="MERC",INDEX(MERCADO!$E:$E,MATCH($C153,MERCADO!$A:$A,0)),
IF($B153="COMP",INDEX(COMPOSICAO!$H:$H,MATCH($C153,COMPOSICAO!$A:$A,0)),
0)))))),0)</f>
        <v>735.69</v>
      </c>
      <c r="H153" s="173">
        <f t="shared" si="135"/>
        <v>980.31</v>
      </c>
      <c r="I153" s="180">
        <f t="shared" si="136"/>
        <v>5038.79</v>
      </c>
      <c r="J153" s="194">
        <f t="shared" si="137"/>
        <v>1.9839716444420293E-2</v>
      </c>
    </row>
    <row r="154" spans="1:10">
      <c r="A154" s="175" t="s">
        <v>12610</v>
      </c>
      <c r="B154" s="168"/>
      <c r="C154" s="169"/>
      <c r="D154" s="170" t="s">
        <v>14195</v>
      </c>
      <c r="E154" s="171"/>
      <c r="F154" s="172"/>
      <c r="G154" s="173"/>
      <c r="H154" s="173"/>
      <c r="I154" s="174"/>
      <c r="J154" s="193"/>
    </row>
    <row r="155" spans="1:10" ht="51">
      <c r="A155" s="175" t="s">
        <v>13938</v>
      </c>
      <c r="B155" s="176" t="s">
        <v>928</v>
      </c>
      <c r="C155" s="177">
        <v>94994</v>
      </c>
      <c r="D155" s="178" t="str">
        <f>IFERROR(PROPER(
IF($B155="DER-ES",INDEX('CDER-ES'!$B:$B,MATCH($C155,'CDER-ES'!$A:$A,0)),
IF($B155="SINAPI",INDEX(CSINAPI!$B:$B,MATCH($C155,CSINAPI!$A:$A,0)),
IF($B155="CESAN",INDEX(CCESAN!$B:$B,MATCH($C155,CCESAN!$A:$A,0)),
IF($B155="SCORIO",INDEX(CSCORIO!$B:$B,MATCH($C155,CSCORIO!$A:$A,0)),
IF($B155="MERC",INDEX(MERCADO!$B:$B,MATCH($C155,MERCADO!$A:$A,0)),
IF($B155="COMP",INDEX(COMPOSICAO!$B:$B,MATCH($C155,COMPOSICAO!$A:$A,0)),
""))))))),"*Verificar código*")</f>
        <v>Execução De Passeio (Calçada) Ou Piso De Concreto Com Concreto Moldado In Loco, Feito Em Obra, Acabamento Convencional, Espessura 8 Cm, Armado. Af_08/2022</v>
      </c>
      <c r="E155" s="171" t="str">
        <f>IFERROR(LOWER(
IF($B155="DER-ES",INDEX('CDER-ES'!$C:$C,MATCH($C155,'CDER-ES'!$A:$A,0)),
IF($B155="SINAPI",INDEX(CSINAPI!$C:$C,MATCH($C155,CSINAPI!$A:$A,0)),
IF($B155="CESAN",INDEX(CCESAN!$C:$C,MATCH($C155,CCESAN!$A:$A,0)),
IF($B155="SCORIO",INDEX(CSCORIO!$A:$A,MATCH($C155,CSCORIO!#REF!,0)),
IF($B155="MERC",INDEX(MERCADO!$D:$D,MATCH($C155,MERCADO!$A:$A,0)),
IF($B155="COMP",INDEX(COMPOSICAO!$G:$G,MATCH($C155,COMPOSICAO!$A:$A,0)),
""))))))),"")</f>
        <v>m2</v>
      </c>
      <c r="F155" s="179">
        <f>VLOOKUP(A155,'MEMÓRIA DE CÁLCULO'!A:H,8,0)</f>
        <v>74.489999999999995</v>
      </c>
      <c r="G155" s="173">
        <f>IFERROR(
IF($B155="DER-ES",INDEX('CDER-ES'!$D:$D,MATCH($C155,'CDER-ES'!$A:$A,0)),
IF($B155="SINAPI",INDEX(CSINAPI!$D:$D,MATCH($C155,CSINAPI!$A:$A,0)),
IF($B155="CESAN",INDEX(CCESAN!$D:$D,MATCH($C155,CCESAN!$A:$A,0)),
IF($B155="SCORIO",INDEX(CSCORIO!$B:$B,MATCH($C155,CSCORIO!#REF!,0)),
IF($B155="MERC",INDEX(MERCADO!$E:$E,MATCH($C155,MERCADO!$A:$A,0)),
IF($B155="COMP",INDEX(COMPOSICAO!$H:$H,MATCH($C155,COMPOSICAO!$A:$A,0)),
0)))))),0)</f>
        <v>97.98</v>
      </c>
      <c r="H155" s="173">
        <f t="shared" ref="H155:H160" si="141">ROUND(G155*(1+$J$2),2)</f>
        <v>130.56</v>
      </c>
      <c r="I155" s="180">
        <f t="shared" ref="I155:I160" si="142">ROUND($H155*F155,2)</f>
        <v>9725.41</v>
      </c>
      <c r="J155" s="194">
        <f t="shared" ref="J155:J160" si="143">I155/I$146</f>
        <v>3.8292799800295214E-2</v>
      </c>
    </row>
    <row r="156" spans="1:10" ht="38.25">
      <c r="A156" s="175" t="s">
        <v>14209</v>
      </c>
      <c r="B156" s="176" t="s">
        <v>12617</v>
      </c>
      <c r="C156" s="177">
        <v>130209</v>
      </c>
      <c r="D156" s="178" t="str">
        <f>IFERROR(PROPER(
IF($B156="DER-ES",INDEX('CDER-ES'!$B:$B,MATCH($C156,'CDER-ES'!$A:$A,0)),
IF($B156="SINAPI",INDEX(CSINAPI!$B:$B,MATCH($C156,CSINAPI!$A:$A,0)),
IF($B156="CESAN",INDEX(CCESAN!$B:$B,MATCH($C156,CCESAN!$A:$A,0)),
IF($B156="SCORIO",INDEX(CSCORIO!$B:$B,MATCH($C156,CSCORIO!$A:$A,0)),
IF($B156="MERC",INDEX(MERCADO!$B:$B,MATCH($C156,MERCADO!$A:$A,0)),
IF($B156="COMP",INDEX(COMPOSICAO!$B:$B,MATCH($C156,COMPOSICAO!$A:$A,0)),
""))))))),"*Verificar código*")</f>
        <v>Piso De Cimentado Camurçado Executado Com Argamassa De Cimento E Areia No Traço 1:3, Esp. 3.0Cm</v>
      </c>
      <c r="E156" s="171" t="str">
        <f>IFERROR(LOWER(
IF($B156="DER-ES",INDEX('CDER-ES'!$C:$C,MATCH($C156,'CDER-ES'!$A:$A,0)),
IF($B156="SINAPI",INDEX(CSINAPI!$C:$C,MATCH($C156,CSINAPI!$A:$A,0)),
IF($B156="CESAN",INDEX(CCESAN!$C:$C,MATCH($C156,CCESAN!$A:$A,0)),
IF($B156="SCORIO",INDEX(CSCORIO!$A:$A,MATCH($C156,CSCORIO!#REF!,0)),
IF($B156="MERC",INDEX(MERCADO!$D:$D,MATCH($C156,MERCADO!$A:$A,0)),
IF($B156="COMP",INDEX(COMPOSICAO!$G:$G,MATCH($C156,COMPOSICAO!$A:$A,0)),
""))))))),"")</f>
        <v>m2</v>
      </c>
      <c r="F156" s="179">
        <f>VLOOKUP(A156,'MEMÓRIA DE CÁLCULO'!A:H,8,0)</f>
        <v>74.489999999999995</v>
      </c>
      <c r="G156" s="173">
        <f>IFERROR(
IF($B156="DER-ES",INDEX('CDER-ES'!$D:$D,MATCH($C156,'CDER-ES'!$A:$A,0)),
IF($B156="SINAPI",INDEX(CSINAPI!$D:$D,MATCH($C156,CSINAPI!$A:$A,0)),
IF($B156="CESAN",INDEX(CCESAN!$D:$D,MATCH($C156,CCESAN!$A:$A,0)),
IF($B156="SCORIO",INDEX(CSCORIO!$B:$B,MATCH($C156,CSCORIO!#REF!,0)),
IF($B156="MERC",INDEX(MERCADO!$E:$E,MATCH($C156,MERCADO!$A:$A,0)),
IF($B156="COMP",INDEX(COMPOSICAO!$H:$H,MATCH($C156,COMPOSICAO!$A:$A,0)),
0)))))),0)</f>
        <v>92.9</v>
      </c>
      <c r="H156" s="173">
        <f t="shared" ref="H156" si="144">ROUND(G156*(1+$J$2),2)</f>
        <v>123.79</v>
      </c>
      <c r="I156" s="180">
        <f t="shared" ref="I156" si="145">ROUND($H156*F156,2)</f>
        <v>9221.1200000000008</v>
      </c>
      <c r="J156" s="194">
        <f t="shared" ref="J156" si="146">I156/I$146</f>
        <v>3.6307209885701297E-2</v>
      </c>
    </row>
    <row r="157" spans="1:10" ht="25.5">
      <c r="A157" s="175" t="s">
        <v>14210</v>
      </c>
      <c r="B157" s="176" t="s">
        <v>12617</v>
      </c>
      <c r="C157" s="177">
        <v>130112</v>
      </c>
      <c r="D157" s="178" t="str">
        <f>IFERROR(PROPER(
IF($B157="DER-ES",INDEX('CDER-ES'!$B:$B,MATCH($C157,'CDER-ES'!$A:$A,0)),
IF($B157="SINAPI",INDEX(CSINAPI!$B:$B,MATCH($C157,CSINAPI!$A:$A,0)),
IF($B157="CESAN",INDEX(CCESAN!$B:$B,MATCH($C157,CCESAN!$A:$A,0)),
IF($B157="SCORIO",INDEX(CSCORIO!$B:$B,MATCH($C157,CSCORIO!$A:$A,0)),
IF($B157="MERC",INDEX(MERCADO!$B:$B,MATCH($C157,MERCADO!$A:$A,0)),
IF($B157="COMP",INDEX(COMPOSICAO!$B:$B,MATCH($C157,COMPOSICAO!$A:$A,0)),
""))))))),"*Verificar código*")</f>
        <v>Lastro De Concreto Não Estrutural, Espessura De 6 Cm</v>
      </c>
      <c r="E157" s="171" t="str">
        <f>IFERROR(LOWER(
IF($B157="DER-ES",INDEX('CDER-ES'!$C:$C,MATCH($C157,'CDER-ES'!$A:$A,0)),
IF($B157="SINAPI",INDEX(CSINAPI!$C:$C,MATCH($C157,CSINAPI!$A:$A,0)),
IF($B157="CESAN",INDEX(CCESAN!$C:$C,MATCH($C157,CCESAN!$A:$A,0)),
IF($B157="SCORIO",INDEX(CSCORIO!$A:$A,MATCH($C157,CSCORIO!#REF!,0)),
IF($B157="MERC",INDEX(MERCADO!$D:$D,MATCH($C157,MERCADO!$A:$A,0)),
IF($B157="COMP",INDEX(COMPOSICAO!$G:$G,MATCH($C157,COMPOSICAO!$A:$A,0)),
""))))))),"")</f>
        <v>m2</v>
      </c>
      <c r="F157" s="179">
        <f>VLOOKUP(A157,'MEMÓRIA DE CÁLCULO'!A:H,8,0)</f>
        <v>28</v>
      </c>
      <c r="G157" s="173">
        <f>IFERROR(
IF($B157="DER-ES",INDEX('CDER-ES'!$D:$D,MATCH($C157,'CDER-ES'!$A:$A,0)),
IF($B157="SINAPI",INDEX(CSINAPI!$D:$D,MATCH($C157,CSINAPI!$A:$A,0)),
IF($B157="CESAN",INDEX(CCESAN!$D:$D,MATCH($C157,CCESAN!$A:$A,0)),
IF($B157="SCORIO",INDEX(CSCORIO!$B:$B,MATCH($C157,CSCORIO!#REF!,0)),
IF($B157="MERC",INDEX(MERCADO!$E:$E,MATCH($C157,MERCADO!$A:$A,0)),
IF($B157="COMP",INDEX(COMPOSICAO!$H:$H,MATCH($C157,COMPOSICAO!$A:$A,0)),
0)))))),0)</f>
        <v>51.53</v>
      </c>
      <c r="H157" s="173">
        <f t="shared" ref="H157" si="147">ROUND(G157*(1+$J$2),2)</f>
        <v>68.66</v>
      </c>
      <c r="I157" s="180">
        <f t="shared" ref="I157" si="148">ROUND($H157*F157,2)</f>
        <v>1922.48</v>
      </c>
      <c r="J157" s="194">
        <f t="shared" ref="J157" si="149">I157/I$146</f>
        <v>7.5695669138958208E-3</v>
      </c>
    </row>
    <row r="158" spans="1:10" ht="51">
      <c r="A158" s="175" t="s">
        <v>14239</v>
      </c>
      <c r="B158" s="176" t="s">
        <v>12617</v>
      </c>
      <c r="C158" s="177">
        <v>200253</v>
      </c>
      <c r="D158" s="178" t="str">
        <f>IFERROR(PROPER(
IF($B158="DER-ES",INDEX('CDER-ES'!$B:$B,MATCH($C158,'CDER-ES'!$A:$A,0)),
IF($B158="SINAPI",INDEX(CSINAPI!$B:$B,MATCH($C158,CSINAPI!$A:$A,0)),
IF($B158="CESAN",INDEX(CCESAN!$B:$B,MATCH($C158,CCESAN!$A:$A,0)),
IF($B158="SCORIO",INDEX(CSCORIO!$B:$B,MATCH($C158,CSCORIO!$A:$A,0)),
IF($B158="MERC",INDEX(MERCADO!$B:$B,MATCH($C158,MERCADO!$A:$A,0)),
IF($B158="COMP",INDEX(COMPOSICAO!$B:$B,MATCH($C158,COMPOSICAO!$A:$A,0)),
""))))))),"*Verificar código*")</f>
        <v>Fornecimento E Assentamento De Ladrilho Hidráulico Pastilhado, Vermelho, Dim. 20X20 Cm, Esp. 1.5Cm, Assentado Com Pasta De Cimento Colante, Exclusive Regularização E Lastro</v>
      </c>
      <c r="E158" s="171" t="str">
        <f>IFERROR(LOWER(
IF($B158="DER-ES",INDEX('CDER-ES'!$C:$C,MATCH($C158,'CDER-ES'!$A:$A,0)),
IF($B158="SINAPI",INDEX(CSINAPI!$C:$C,MATCH($C158,CSINAPI!$A:$A,0)),
IF($B158="CESAN",INDEX(CCESAN!$C:$C,MATCH($C158,CCESAN!$A:$A,0)),
IF($B158="SCORIO",INDEX(CSCORIO!$A:$A,MATCH($C158,CSCORIO!#REF!,0)),
IF($B158="MERC",INDEX(MERCADO!$D:$D,MATCH($C158,MERCADO!$A:$A,0)),
IF($B158="COMP",INDEX(COMPOSICAO!$G:$G,MATCH($C158,COMPOSICAO!$A:$A,0)),
""))))))),"")</f>
        <v>m2</v>
      </c>
      <c r="F158" s="179">
        <f>VLOOKUP(A158,'MEMÓRIA DE CÁLCULO'!A:H,8,0)</f>
        <v>28</v>
      </c>
      <c r="G158" s="173">
        <f>IFERROR(
IF($B158="DER-ES",INDEX('CDER-ES'!$D:$D,MATCH($C158,'CDER-ES'!$A:$A,0)),
IF($B158="SINAPI",INDEX(CSINAPI!$D:$D,MATCH($C158,CSINAPI!$A:$A,0)),
IF($B158="CESAN",INDEX(CCESAN!$D:$D,MATCH($C158,CCESAN!$A:$A,0)),
IF($B158="SCORIO",INDEX(CSCORIO!$B:$B,MATCH($C158,CSCORIO!#REF!,0)),
IF($B158="MERC",INDEX(MERCADO!$E:$E,MATCH($C158,MERCADO!$A:$A,0)),
IF($B158="COMP",INDEX(COMPOSICAO!$H:$H,MATCH($C158,COMPOSICAO!$A:$A,0)),
0)))))),0)</f>
        <v>85.9</v>
      </c>
      <c r="H158" s="173">
        <f t="shared" si="141"/>
        <v>114.46</v>
      </c>
      <c r="I158" s="180">
        <f t="shared" si="142"/>
        <v>3204.88</v>
      </c>
      <c r="J158" s="194">
        <f t="shared" si="143"/>
        <v>1.2618884779558923E-2</v>
      </c>
    </row>
    <row r="159" spans="1:10" ht="76.5">
      <c r="A159" s="175" t="s">
        <v>14883</v>
      </c>
      <c r="B159" s="176" t="s">
        <v>928</v>
      </c>
      <c r="C159" s="177">
        <v>94273</v>
      </c>
      <c r="D159" s="178" t="str">
        <f>IFERROR(PROPER(
IF($B159="DER-ES",INDEX('CDER-ES'!$B:$B,MATCH($C159,'CDER-ES'!$A:$A,0)),
IF($B159="SINAPI",INDEX(CSINAPI!$B:$B,MATCH($C159,CSINAPI!$A:$A,0)),
IF($B159="CESAN",INDEX(CCESAN!$B:$B,MATCH($C159,CCESAN!$A:$A,0)),
IF($B159="SCORIO",INDEX(CSCORIO!$B:$B,MATCH($C159,CSCORIO!$A:$A,0)),
IF($B159="MERC",INDEX(MERCADO!$B:$B,MATCH($C159,MERCADO!$A:$A,0)),
IF($B159="COMP",INDEX(COMPOSICAO!$B:$B,MATCH($C159,COMPOSICAO!$A:$A,0)),
""))))))),"*Verificar código*")</f>
        <v>Assentamento De Guia (Meio-Fio) Em Trecho Reto, Confeccionada Em Concreto Pré-Fabricado, Dimensões 100X15X13X30 Cm (Comprimento X Base Inferior X Base Superior X Altura), Para Vias Urbanas (Uso Viário). Af_06/2016</v>
      </c>
      <c r="E159" s="171" t="str">
        <f>IFERROR(LOWER(
IF($B159="DER-ES",INDEX('CDER-ES'!$C:$C,MATCH($C159,'CDER-ES'!$A:$A,0)),
IF($B159="SINAPI",INDEX(CSINAPI!$C:$C,MATCH($C159,CSINAPI!$A:$A,0)),
IF($B159="CESAN",INDEX(CCESAN!$C:$C,MATCH($C159,CCESAN!$A:$A,0)),
IF($B159="SCORIO",INDEX(CSCORIO!$A:$A,MATCH($C159,CSCORIO!#REF!,0)),
IF($B159="MERC",INDEX(MERCADO!$D:$D,MATCH($C159,MERCADO!$A:$A,0)),
IF($B159="COMP",INDEX(COMPOSICAO!$G:$G,MATCH($C159,COMPOSICAO!$A:$A,0)),
""))))))),"")</f>
        <v>m</v>
      </c>
      <c r="F159" s="179">
        <f>VLOOKUP(A159,'MEMÓRIA DE CÁLCULO'!A:H,8,0)</f>
        <v>66.12</v>
      </c>
      <c r="G159" s="173">
        <f>IFERROR(
IF($B159="DER-ES",INDEX('CDER-ES'!$D:$D,MATCH($C159,'CDER-ES'!$A:$A,0)),
IF($B159="SINAPI",INDEX(CSINAPI!$D:$D,MATCH($C159,CSINAPI!$A:$A,0)),
IF($B159="CESAN",INDEX(CCESAN!$D:$D,MATCH($C159,CCESAN!$A:$A,0)),
IF($B159="SCORIO",INDEX(CSCORIO!$B:$B,MATCH($C159,CSCORIO!#REF!,0)),
IF($B159="MERC",INDEX(MERCADO!$E:$E,MATCH($C159,MERCADO!$A:$A,0)),
IF($B159="COMP",INDEX(COMPOSICAO!$H:$H,MATCH($C159,COMPOSICAO!$A:$A,0)),
0)))))),0)</f>
        <v>56.87</v>
      </c>
      <c r="H159" s="173">
        <f t="shared" ref="H159" si="150">ROUND(G159*(1+$J$2),2)</f>
        <v>75.78</v>
      </c>
      <c r="I159" s="180">
        <f t="shared" ref="I159" si="151">ROUND($H159*F159,2)</f>
        <v>5010.57</v>
      </c>
      <c r="J159" s="194">
        <f t="shared" ref="J159" si="152">I159/I$146</f>
        <v>1.9728603102117565E-2</v>
      </c>
    </row>
    <row r="160" spans="1:10" ht="76.5">
      <c r="A160" s="175" t="s">
        <v>14885</v>
      </c>
      <c r="B160" s="176" t="s">
        <v>928</v>
      </c>
      <c r="C160" s="177">
        <v>94274</v>
      </c>
      <c r="D160" s="178" t="str">
        <f>IFERROR(PROPER(
IF($B160="DER-ES",INDEX('CDER-ES'!$B:$B,MATCH($C160,'CDER-ES'!$A:$A,0)),
IF($B160="SINAPI",INDEX(CSINAPI!$B:$B,MATCH($C160,CSINAPI!$A:$A,0)),
IF($B160="CESAN",INDEX(CCESAN!$B:$B,MATCH($C160,CCESAN!$A:$A,0)),
IF($B160="SCORIO",INDEX(CSCORIO!$B:$B,MATCH($C160,CSCORIO!$A:$A,0)),
IF($B160="MERC",INDEX(MERCADO!$B:$B,MATCH($C160,MERCADO!$A:$A,0)),
IF($B160="COMP",INDEX(COMPOSICAO!$B:$B,MATCH($C160,COMPOSICAO!$A:$A,0)),
""))))))),"*Verificar código*")</f>
        <v>Assentamento De Guia (Meio-Fio) Em Trecho Curvo, Confeccionada Em Concreto Pré-Fabricado, Dimensões 100X15X13X30 Cm (Comprimento X Base Inferior X Base Superior X Altura), Para Vias Urbanas (Uso Viário). Af_06/2016</v>
      </c>
      <c r="E160" s="171" t="str">
        <f>IFERROR(LOWER(
IF($B160="DER-ES",INDEX('CDER-ES'!$C:$C,MATCH($C160,'CDER-ES'!$A:$A,0)),
IF($B160="SINAPI",INDEX(CSINAPI!$C:$C,MATCH($C160,CSINAPI!$A:$A,0)),
IF($B160="CESAN",INDEX(CCESAN!$C:$C,MATCH($C160,CCESAN!$A:$A,0)),
IF($B160="SCORIO",INDEX(CSCORIO!$A:$A,MATCH($C160,CSCORIO!#REF!,0)),
IF($B160="MERC",INDEX(MERCADO!$D:$D,MATCH($C160,MERCADO!$A:$A,0)),
IF($B160="COMP",INDEX(COMPOSICAO!$G:$G,MATCH($C160,COMPOSICAO!$A:$A,0)),
""))))))),"")</f>
        <v>m</v>
      </c>
      <c r="F160" s="179">
        <f>VLOOKUP(A160,'MEMÓRIA DE CÁLCULO'!A:H,8,0)</f>
        <v>4.71</v>
      </c>
      <c r="G160" s="173">
        <f>IFERROR(
IF($B160="DER-ES",INDEX('CDER-ES'!$D:$D,MATCH($C160,'CDER-ES'!$A:$A,0)),
IF($B160="SINAPI",INDEX(CSINAPI!$D:$D,MATCH($C160,CSINAPI!$A:$A,0)),
IF($B160="CESAN",INDEX(CCESAN!$D:$D,MATCH($C160,CCESAN!$A:$A,0)),
IF($B160="SCORIO",INDEX(CSCORIO!$B:$B,MATCH($C160,CSCORIO!#REF!,0)),
IF($B160="MERC",INDEX(MERCADO!$E:$E,MATCH($C160,MERCADO!$A:$A,0)),
IF($B160="COMP",INDEX(COMPOSICAO!$H:$H,MATCH($C160,COMPOSICAO!$A:$A,0)),
0)))))),0)</f>
        <v>60.86</v>
      </c>
      <c r="H160" s="173">
        <f t="shared" si="141"/>
        <v>81.099999999999994</v>
      </c>
      <c r="I160" s="180">
        <f t="shared" si="142"/>
        <v>381.98</v>
      </c>
      <c r="J160" s="194">
        <f t="shared" si="143"/>
        <v>1.5040068920196441E-3</v>
      </c>
    </row>
    <row r="161" spans="1:10">
      <c r="A161" s="167" t="s">
        <v>12611</v>
      </c>
      <c r="B161" s="168"/>
      <c r="C161" s="169"/>
      <c r="D161" s="170" t="s">
        <v>2071</v>
      </c>
      <c r="E161" s="171"/>
      <c r="F161" s="172"/>
      <c r="G161" s="173"/>
      <c r="H161" s="173"/>
      <c r="I161" s="174">
        <f>SUBTOTAL(9,I163:I178)</f>
        <v>137708.54</v>
      </c>
      <c r="J161" s="193">
        <f>SUBTOTAL(9,J163:J178)</f>
        <v>0.99999999999999989</v>
      </c>
    </row>
    <row r="162" spans="1:10">
      <c r="A162" s="167" t="s">
        <v>12612</v>
      </c>
      <c r="B162" s="168"/>
      <c r="C162" s="169"/>
      <c r="D162" s="170" t="s">
        <v>14196</v>
      </c>
      <c r="E162" s="171"/>
      <c r="F162" s="172"/>
      <c r="G162" s="173"/>
      <c r="H162" s="173"/>
      <c r="I162" s="174"/>
      <c r="J162" s="193"/>
    </row>
    <row r="163" spans="1:10" ht="38.25">
      <c r="A163" s="175" t="s">
        <v>14240</v>
      </c>
      <c r="B163" s="176" t="s">
        <v>928</v>
      </c>
      <c r="C163" s="177">
        <v>88494</v>
      </c>
      <c r="D163" s="178" t="str">
        <f>IFERROR(PROPER(
IF($B163="DER-ES",INDEX('CDER-ES'!$B:$B,MATCH($C163,'CDER-ES'!$A:$A,0)),
IF($B163="SINAPI",INDEX(CSINAPI!$B:$B,MATCH($C163,CSINAPI!$A:$A,0)),
IF($B163="CESAN",INDEX(CCESAN!$B:$B,MATCH($C163,CCESAN!$A:$A,0)),
IF($B163="SCORIO",INDEX(CSCORIO!$B:$B,MATCH($C163,CSCORIO!$A:$A,0)),
IF($B163="MERC",INDEX(MERCADO!$B:$B,MATCH($C163,MERCADO!$A:$A,0)),
IF($B163="COMP",INDEX(COMPOSICAO!$B:$B,MATCH($C163,COMPOSICAO!$A:$A,0)),
""))))))),"*Verificar código*")</f>
        <v>Emassamento Com Massa Látex, Aplicação Em Teto, Uma Demão, Lixamento Manual. Af_04/2023</v>
      </c>
      <c r="E163" s="171" t="str">
        <f>IFERROR(LOWER(
IF($B163="DER-ES",INDEX('CDER-ES'!$C:$C,MATCH($C163,'CDER-ES'!$A:$A,0)),
IF($B163="SINAPI",INDEX(CSINAPI!$C:$C,MATCH($C163,CSINAPI!$A:$A,0)),
IF($B163="CESAN",INDEX(CCESAN!$C:$C,MATCH($C163,CCESAN!$A:$A,0)),
IF($B163="SCORIO",INDEX(CSCORIO!$A:$A,MATCH($C163,CSCORIO!#REF!,0)),
IF($B163="MERC",INDEX(MERCADO!$D:$D,MATCH($C163,MERCADO!$A:$A,0)),
IF($B163="COMP",INDEX(COMPOSICAO!$G:$G,MATCH($C163,COMPOSICAO!$A:$A,0)),
""))))))),"")</f>
        <v>m2</v>
      </c>
      <c r="F163" s="179">
        <f>VLOOKUP(A163,'MEMÓRIA DE CÁLCULO'!A:H,8,0)</f>
        <v>131.72</v>
      </c>
      <c r="G163" s="173">
        <f>IFERROR(
IF($B163="DER-ES",INDEX('CDER-ES'!$D:$D,MATCH($C163,'CDER-ES'!$A:$A,0)),
IF($B163="SINAPI",INDEX(CSINAPI!$D:$D,MATCH($C163,CSINAPI!$A:$A,0)),
IF($B163="CESAN",INDEX(CCESAN!$D:$D,MATCH($C163,CCESAN!$A:$A,0)),
IF($B163="SCORIO",INDEX(CSCORIO!$B:$B,MATCH($C163,CSCORIO!#REF!,0)),
IF($B163="MERC",INDEX(MERCADO!$E:$E,MATCH($C163,MERCADO!$A:$A,0)),
IF($B163="COMP",INDEX(COMPOSICAO!$H:$H,MATCH($C163,COMPOSICAO!$A:$A,0)),
0)))))),0)</f>
        <v>21.48</v>
      </c>
      <c r="H163" s="173">
        <f t="shared" ref="H163:H168" si="153">ROUND(G163*(1+$J$2),2)</f>
        <v>28.62</v>
      </c>
      <c r="I163" s="180">
        <f t="shared" ref="I163:I168" si="154">ROUND($H163*F163,2)</f>
        <v>3769.83</v>
      </c>
      <c r="J163" s="194">
        <f t="shared" ref="J163:J168" si="155">I163/I$161</f>
        <v>2.7375426389677791E-2</v>
      </c>
    </row>
    <row r="164" spans="1:10" ht="25.5">
      <c r="A164" s="175" t="s">
        <v>14241</v>
      </c>
      <c r="B164" s="176" t="s">
        <v>928</v>
      </c>
      <c r="C164" s="177">
        <v>88484</v>
      </c>
      <c r="D164" s="178" t="str">
        <f>IFERROR(PROPER(
IF($B164="DER-ES",INDEX('CDER-ES'!$B:$B,MATCH($C164,'CDER-ES'!$A:$A,0)),
IF($B164="SINAPI",INDEX(CSINAPI!$B:$B,MATCH($C164,CSINAPI!$A:$A,0)),
IF($B164="CESAN",INDEX(CCESAN!$B:$B,MATCH($C164,CCESAN!$A:$A,0)),
IF($B164="SCORIO",INDEX(CSCORIO!$B:$B,MATCH($C164,CSCORIO!$A:$A,0)),
IF($B164="MERC",INDEX(MERCADO!$B:$B,MATCH($C164,MERCADO!$A:$A,0)),
IF($B164="COMP",INDEX(COMPOSICAO!$B:$B,MATCH($C164,COMPOSICAO!$A:$A,0)),
""))))))),"*Verificar código*")</f>
        <v>Fundo Selador Acrílico, Aplicação Manual Em Teto, Uma Demão. Af_04/2023</v>
      </c>
      <c r="E164" s="171" t="str">
        <f>IFERROR(LOWER(
IF($B164="DER-ES",INDEX('CDER-ES'!$C:$C,MATCH($C164,'CDER-ES'!$A:$A,0)),
IF($B164="SINAPI",INDEX(CSINAPI!$C:$C,MATCH($C164,CSINAPI!$A:$A,0)),
IF($B164="CESAN",INDEX(CCESAN!$C:$C,MATCH($C164,CCESAN!$A:$A,0)),
IF($B164="SCORIO",INDEX(CSCORIO!$A:$A,MATCH($C164,CSCORIO!#REF!,0)),
IF($B164="MERC",INDEX(MERCADO!$D:$D,MATCH($C164,MERCADO!$A:$A,0)),
IF($B164="COMP",INDEX(COMPOSICAO!$G:$G,MATCH($C164,COMPOSICAO!$A:$A,0)),
""))))))),"")</f>
        <v>m2</v>
      </c>
      <c r="F164" s="179">
        <f>VLOOKUP(A164,'MEMÓRIA DE CÁLCULO'!A:H,8,0)</f>
        <v>131.72</v>
      </c>
      <c r="G164" s="173">
        <f>IFERROR(
IF($B164="DER-ES",INDEX('CDER-ES'!$D:$D,MATCH($C164,'CDER-ES'!$A:$A,0)),
IF($B164="SINAPI",INDEX(CSINAPI!$D:$D,MATCH($C164,CSINAPI!$A:$A,0)),
IF($B164="CESAN",INDEX(CCESAN!$D:$D,MATCH($C164,CCESAN!$A:$A,0)),
IF($B164="SCORIO",INDEX(CSCORIO!$B:$B,MATCH($C164,CSCORIO!#REF!,0)),
IF($B164="MERC",INDEX(MERCADO!$E:$E,MATCH($C164,MERCADO!$A:$A,0)),
IF($B164="COMP",INDEX(COMPOSICAO!$H:$H,MATCH($C164,COMPOSICAO!$A:$A,0)),
0)))))),0)</f>
        <v>5.37</v>
      </c>
      <c r="H164" s="173">
        <f t="shared" ref="H164" si="156">ROUND(G164*(1+$J$2),2)</f>
        <v>7.16</v>
      </c>
      <c r="I164" s="180">
        <f t="shared" ref="I164" si="157">ROUND($H164*F164,2)</f>
        <v>943.12</v>
      </c>
      <c r="J164" s="194">
        <f t="shared" ref="J164" si="158">I164/I$161</f>
        <v>6.8486674827864706E-3</v>
      </c>
    </row>
    <row r="165" spans="1:10" ht="25.5">
      <c r="A165" s="175" t="s">
        <v>14242</v>
      </c>
      <c r="B165" s="176" t="s">
        <v>928</v>
      </c>
      <c r="C165" s="177">
        <v>88488</v>
      </c>
      <c r="D165" s="178" t="str">
        <f>IFERROR(PROPER(
IF($B165="DER-ES",INDEX('CDER-ES'!$B:$B,MATCH($C165,'CDER-ES'!$A:$A,0)),
IF($B165="SINAPI",INDEX(CSINAPI!$B:$B,MATCH($C165,CSINAPI!$A:$A,0)),
IF($B165="CESAN",INDEX(CCESAN!$B:$B,MATCH($C165,CCESAN!$A:$A,0)),
IF($B165="SCORIO",INDEX(CSCORIO!$B:$B,MATCH($C165,CSCORIO!$A:$A,0)),
IF($B165="MERC",INDEX(MERCADO!$B:$B,MATCH($C165,MERCADO!$A:$A,0)),
IF($B165="COMP",INDEX(COMPOSICAO!$B:$B,MATCH($C165,COMPOSICAO!$A:$A,0)),
""))))))),"*Verificar código*")</f>
        <v>Pintura Látex Acrílica Premium, Aplicação Manual Em Teto, Duas Demãos. Af_04/2023</v>
      </c>
      <c r="E165" s="171" t="str">
        <f>IFERROR(LOWER(
IF($B165="DER-ES",INDEX('CDER-ES'!$C:$C,MATCH($C165,'CDER-ES'!$A:$A,0)),
IF($B165="SINAPI",INDEX(CSINAPI!$C:$C,MATCH($C165,CSINAPI!$A:$A,0)),
IF($B165="CESAN",INDEX(CCESAN!$C:$C,MATCH($C165,CCESAN!$A:$A,0)),
IF($B165="SCORIO",INDEX(CSCORIO!$A:$A,MATCH($C165,CSCORIO!#REF!,0)),
IF($B165="MERC",INDEX(MERCADO!$D:$D,MATCH($C165,MERCADO!$A:$A,0)),
IF($B165="COMP",INDEX(COMPOSICAO!$G:$G,MATCH($C165,COMPOSICAO!$A:$A,0)),
""))))))),"")</f>
        <v>m2</v>
      </c>
      <c r="F165" s="179">
        <f>VLOOKUP(A165,'MEMÓRIA DE CÁLCULO'!A:H,8,0)</f>
        <v>131.72</v>
      </c>
      <c r="G165" s="173">
        <f>IFERROR(
IF($B165="DER-ES",INDEX('CDER-ES'!$D:$D,MATCH($C165,'CDER-ES'!$A:$A,0)),
IF($B165="SINAPI",INDEX(CSINAPI!$D:$D,MATCH($C165,CSINAPI!$A:$A,0)),
IF($B165="CESAN",INDEX(CCESAN!$D:$D,MATCH($C165,CCESAN!$A:$A,0)),
IF($B165="SCORIO",INDEX(CSCORIO!$B:$B,MATCH($C165,CSCORIO!#REF!,0)),
IF($B165="MERC",INDEX(MERCADO!$E:$E,MATCH($C165,MERCADO!$A:$A,0)),
IF($B165="COMP",INDEX(COMPOSICAO!$H:$H,MATCH($C165,COMPOSICAO!$A:$A,0)),
0)))))),0)</f>
        <v>14.47</v>
      </c>
      <c r="H165" s="173">
        <f t="shared" si="153"/>
        <v>19.28</v>
      </c>
      <c r="I165" s="180">
        <f t="shared" si="154"/>
        <v>2539.56</v>
      </c>
      <c r="J165" s="194">
        <f t="shared" si="155"/>
        <v>1.8441557800264238E-2</v>
      </c>
    </row>
    <row r="166" spans="1:10">
      <c r="A166" s="175" t="s">
        <v>12613</v>
      </c>
      <c r="B166" s="176"/>
      <c r="C166" s="177"/>
      <c r="D166" s="178" t="s">
        <v>14205</v>
      </c>
      <c r="E166" s="171"/>
      <c r="F166" s="179"/>
      <c r="G166" s="173"/>
      <c r="H166" s="173"/>
      <c r="I166" s="180"/>
      <c r="J166" s="194"/>
    </row>
    <row r="167" spans="1:10" ht="25.5">
      <c r="A167" s="175" t="s">
        <v>14243</v>
      </c>
      <c r="B167" s="176" t="s">
        <v>928</v>
      </c>
      <c r="C167" s="177">
        <v>88485</v>
      </c>
      <c r="D167" s="178" t="str">
        <f>IFERROR(PROPER(
IF($B167="DER-ES",INDEX('CDER-ES'!$B:$B,MATCH($C167,'CDER-ES'!$A:$A,0)),
IF($B167="SINAPI",INDEX(CSINAPI!$B:$B,MATCH($C167,CSINAPI!$A:$A,0)),
IF($B167="CESAN",INDEX(CCESAN!$B:$B,MATCH($C167,CCESAN!$A:$A,0)),
IF($B167="SCORIO",INDEX(CSCORIO!$B:$B,MATCH($C167,CSCORIO!$A:$A,0)),
IF($B167="MERC",INDEX(MERCADO!$B:$B,MATCH($C167,MERCADO!$A:$A,0)),
IF($B167="COMP",INDEX(COMPOSICAO!$B:$B,MATCH($C167,COMPOSICAO!$A:$A,0)),
""))))))),"*Verificar código*")</f>
        <v>Fundo Selador Acrílico, Aplicação Manual Em Parede, Uma Demão. Af_04/2023</v>
      </c>
      <c r="E167" s="171" t="str">
        <f>IFERROR(LOWER(
IF($B167="DER-ES",INDEX('CDER-ES'!$C:$C,MATCH($C167,'CDER-ES'!$A:$A,0)),
IF($B167="SINAPI",INDEX(CSINAPI!$C:$C,MATCH($C167,CSINAPI!$A:$A,0)),
IF($B167="CESAN",INDEX(CCESAN!$C:$C,MATCH($C167,CCESAN!$A:$A,0)),
IF($B167="SCORIO",INDEX(CSCORIO!$A:$A,MATCH($C167,CSCORIO!#REF!,0)),
IF($B167="MERC",INDEX(MERCADO!$D:$D,MATCH($C167,MERCADO!$A:$A,0)),
IF($B167="COMP",INDEX(COMPOSICAO!$G:$G,MATCH($C167,COMPOSICAO!$A:$A,0)),
""))))))),"")</f>
        <v>m2</v>
      </c>
      <c r="F167" s="179">
        <f>VLOOKUP(A167,'MEMÓRIA DE CÁLCULO'!A:H,8,0)</f>
        <v>868.55</v>
      </c>
      <c r="G167" s="173">
        <f>IFERROR(
IF($B167="DER-ES",INDEX('CDER-ES'!$D:$D,MATCH($C167,'CDER-ES'!$A:$A,0)),
IF($B167="SINAPI",INDEX(CSINAPI!$D:$D,MATCH($C167,CSINAPI!$A:$A,0)),
IF($B167="CESAN",INDEX(CCESAN!$D:$D,MATCH($C167,CCESAN!$A:$A,0)),
IF($B167="SCORIO",INDEX(CSCORIO!$B:$B,MATCH($C167,CSCORIO!#REF!,0)),
IF($B167="MERC",INDEX(MERCADO!$E:$E,MATCH($C167,MERCADO!$A:$A,0)),
IF($B167="COMP",INDEX(COMPOSICAO!$H:$H,MATCH($C167,COMPOSICAO!$A:$A,0)),
0)))))),0)</f>
        <v>4.4400000000000004</v>
      </c>
      <c r="H167" s="173">
        <f t="shared" ref="H167" si="159">ROUND(G167*(1+$J$2),2)</f>
        <v>5.92</v>
      </c>
      <c r="I167" s="180">
        <f t="shared" ref="I167" si="160">ROUND($H167*F167,2)</f>
        <v>5141.82</v>
      </c>
      <c r="J167" s="194">
        <f t="shared" ref="J167" si="161">I167/I$161</f>
        <v>3.7338425053377221E-2</v>
      </c>
    </row>
    <row r="168" spans="1:10" ht="25.5">
      <c r="A168" s="175" t="s">
        <v>14244</v>
      </c>
      <c r="B168" s="176" t="s">
        <v>928</v>
      </c>
      <c r="C168" s="177">
        <v>88489</v>
      </c>
      <c r="D168" s="178" t="str">
        <f>IFERROR(PROPER(
IF($B168="DER-ES",INDEX('CDER-ES'!$B:$B,MATCH($C168,'CDER-ES'!$A:$A,0)),
IF($B168="SINAPI",INDEX(CSINAPI!$B:$B,MATCH($C168,CSINAPI!$A:$A,0)),
IF($B168="CESAN",INDEX(CCESAN!$B:$B,MATCH($C168,CCESAN!$A:$A,0)),
IF($B168="SCORIO",INDEX(CSCORIO!$B:$B,MATCH($C168,CSCORIO!$A:$A,0)),
IF($B168="MERC",INDEX(MERCADO!$B:$B,MATCH($C168,MERCADO!$A:$A,0)),
IF($B168="COMP",INDEX(COMPOSICAO!$B:$B,MATCH($C168,COMPOSICAO!$A:$A,0)),
""))))))),"*Verificar código*")</f>
        <v>Pintura Látex Acrílica Premium, Aplicação Manual Em Paredes, Duas Demãos. Af_04/2023</v>
      </c>
      <c r="E168" s="171" t="str">
        <f>IFERROR(LOWER(
IF($B168="DER-ES",INDEX('CDER-ES'!$C:$C,MATCH($C168,'CDER-ES'!$A:$A,0)),
IF($B168="SINAPI",INDEX(CSINAPI!$C:$C,MATCH($C168,CSINAPI!$A:$A,0)),
IF($B168="CESAN",INDEX(CCESAN!$C:$C,MATCH($C168,CCESAN!$A:$A,0)),
IF($B168="SCORIO",INDEX(CSCORIO!$A:$A,MATCH($C168,CSCORIO!#REF!,0)),
IF($B168="MERC",INDEX(MERCADO!$D:$D,MATCH($C168,MERCADO!$A:$A,0)),
IF($B168="COMP",INDEX(COMPOSICAO!$G:$G,MATCH($C168,COMPOSICAO!$A:$A,0)),
""))))))),"")</f>
        <v>m2</v>
      </c>
      <c r="F168" s="179">
        <f>VLOOKUP(A168,'MEMÓRIA DE CÁLCULO'!A:H,8,0)</f>
        <v>868.55</v>
      </c>
      <c r="G168" s="173">
        <f>IFERROR(
IF($B168="DER-ES",INDEX('CDER-ES'!$D:$D,MATCH($C168,'CDER-ES'!$A:$A,0)),
IF($B168="SINAPI",INDEX(CSINAPI!$D:$D,MATCH($C168,CSINAPI!$A:$A,0)),
IF($B168="CESAN",INDEX(CCESAN!$D:$D,MATCH($C168,CCESAN!$A:$A,0)),
IF($B168="SCORIO",INDEX(CSCORIO!$B:$B,MATCH($C168,CSCORIO!#REF!,0)),
IF($B168="MERC",INDEX(MERCADO!$E:$E,MATCH($C168,MERCADO!$A:$A,0)),
IF($B168="COMP",INDEX(COMPOSICAO!$H:$H,MATCH($C168,COMPOSICAO!$A:$A,0)),
0)))))),0)</f>
        <v>12.2</v>
      </c>
      <c r="H168" s="173">
        <f t="shared" si="153"/>
        <v>16.260000000000002</v>
      </c>
      <c r="I168" s="180">
        <f t="shared" si="154"/>
        <v>14122.62</v>
      </c>
      <c r="J168" s="194">
        <f t="shared" si="155"/>
        <v>0.10255442400304295</v>
      </c>
    </row>
    <row r="169" spans="1:10">
      <c r="A169" s="175" t="s">
        <v>13939</v>
      </c>
      <c r="B169" s="176"/>
      <c r="C169" s="177"/>
      <c r="D169" s="178" t="s">
        <v>14206</v>
      </c>
      <c r="E169" s="171"/>
      <c r="F169" s="179"/>
      <c r="G169" s="173"/>
      <c r="H169" s="173"/>
      <c r="I169" s="180"/>
      <c r="J169" s="194"/>
    </row>
    <row r="170" spans="1:10" ht="76.5">
      <c r="A170" s="175" t="s">
        <v>14245</v>
      </c>
      <c r="B170" s="176" t="s">
        <v>12617</v>
      </c>
      <c r="C170" s="177">
        <v>190106</v>
      </c>
      <c r="D170" s="178" t="str">
        <f>IFERROR(PROPER(
IF($B170="DER-ES",INDEX('CDER-ES'!$B:$B,MATCH($C170,'CDER-ES'!$A:$A,0)),
IF($B170="SINAPI",INDEX(CSINAPI!$B:$B,MATCH($C170,CSINAPI!$A:$A,0)),
IF($B170="CESAN",INDEX(CCESAN!$B:$B,MATCH($C170,CCESAN!$A:$A,0)),
IF($B170="SCORIO",INDEX(CSCORIO!$B:$B,MATCH($C170,CSCORIO!$A:$A,0)),
IF($B170="MERC",INDEX(MERCADO!$B:$B,MATCH($C170,MERCADO!$A:$A,0)),
IF($B170="COMP",INDEX(COMPOSICAO!$B:$B,MATCH($C170,COMPOSICAO!$A:$A,0)),
""))))))),"*Verificar código*")</f>
        <v>Pintura Em Paredes E Forros, Aplicação Manual, Com Três Demão De Tinta Látex Acrílico Premium, Referência Coral E Metalatex, Inclusive Uma Demão De Liquido Selador Acrílico, Referência Suvinil, Coral Ou Metalatex Ou Equivalente</v>
      </c>
      <c r="E170" s="171" t="str">
        <f>IFERROR(LOWER(
IF($B170="DER-ES",INDEX('CDER-ES'!$C:$C,MATCH($C170,'CDER-ES'!$A:$A,0)),
IF($B170="SINAPI",INDEX(CSINAPI!$C:$C,MATCH($C170,CSINAPI!$A:$A,0)),
IF($B170="CESAN",INDEX(CCESAN!$C:$C,MATCH($C170,CCESAN!$A:$A,0)),
IF($B170="SCORIO",INDEX(CSCORIO!$A:$A,MATCH($C170,CSCORIO!#REF!,0)),
IF($B170="MERC",INDEX(MERCADO!$D:$D,MATCH($C170,MERCADO!$A:$A,0)),
IF($B170="COMP",INDEX(COMPOSICAO!$G:$G,MATCH($C170,COMPOSICAO!$A:$A,0)),
""))))))),"")</f>
        <v>m2</v>
      </c>
      <c r="F170" s="179">
        <f>VLOOKUP(A170,'MEMÓRIA DE CÁLCULO'!A:H,8,0)</f>
        <v>697.58</v>
      </c>
      <c r="G170" s="173">
        <f>IFERROR(
IF($B170="DER-ES",INDEX('CDER-ES'!$D:$D,MATCH($C170,'CDER-ES'!$A:$A,0)),
IF($B170="SINAPI",INDEX(CSINAPI!$D:$D,MATCH($C170,CSINAPI!$A:$A,0)),
IF($B170="CESAN",INDEX(CCESAN!$D:$D,MATCH($C170,CCESAN!$A:$A,0)),
IF($B170="SCORIO",INDEX(CSCORIO!$B:$B,MATCH($C170,CSCORIO!#REF!,0)),
IF($B170="MERC",INDEX(MERCADO!$E:$E,MATCH($C170,MERCADO!$A:$A,0)),
IF($B170="COMP",INDEX(COMPOSICAO!$H:$H,MATCH($C170,COMPOSICAO!$A:$A,0)),
0)))))),0)</f>
        <v>27.17</v>
      </c>
      <c r="H170" s="173">
        <f t="shared" ref="H170:H172" si="162">ROUND(G170*(1+$J$2),2)</f>
        <v>36.200000000000003</v>
      </c>
      <c r="I170" s="180">
        <f t="shared" ref="I170:I172" si="163">ROUND($H170*F170,2)</f>
        <v>25252.400000000001</v>
      </c>
      <c r="J170" s="194">
        <f>I170/I$161</f>
        <v>0.18337570059198943</v>
      </c>
    </row>
    <row r="171" spans="1:10" ht="25.5">
      <c r="A171" s="175" t="s">
        <v>14246</v>
      </c>
      <c r="B171" s="176" t="s">
        <v>928</v>
      </c>
      <c r="C171" s="177">
        <v>88485</v>
      </c>
      <c r="D171" s="178" t="str">
        <f>IFERROR(PROPER(
IF($B171="DER-ES",INDEX('CDER-ES'!$B:$B,MATCH($C171,'CDER-ES'!$A:$A,0)),
IF($B171="SINAPI",INDEX(CSINAPI!$B:$B,MATCH($C171,CSINAPI!$A:$A,0)),
IF($B171="CESAN",INDEX(CCESAN!$B:$B,MATCH($C171,CCESAN!$A:$A,0)),
IF($B171="SCORIO",INDEX(CSCORIO!$B:$B,MATCH($C171,CSCORIO!$A:$A,0)),
IF($B171="MERC",INDEX(MERCADO!$B:$B,MATCH($C171,MERCADO!$A:$A,0)),
IF($B171="COMP",INDEX(COMPOSICAO!$B:$B,MATCH($C171,COMPOSICAO!$A:$A,0)),
""))))))),"*Verificar código*")</f>
        <v>Fundo Selador Acrílico, Aplicação Manual Em Parede, Uma Demão. Af_04/2023</v>
      </c>
      <c r="E171" s="171" t="str">
        <f>IFERROR(LOWER(
IF($B171="DER-ES",INDEX('CDER-ES'!$C:$C,MATCH($C171,'CDER-ES'!$A:$A,0)),
IF($B171="SINAPI",INDEX(CSINAPI!$C:$C,MATCH($C171,CSINAPI!$A:$A,0)),
IF($B171="CESAN",INDEX(CCESAN!$C:$C,MATCH($C171,CCESAN!$A:$A,0)),
IF($B171="SCORIO",INDEX(CSCORIO!$A:$A,MATCH($C171,CSCORIO!#REF!,0)),
IF($B171="MERC",INDEX(MERCADO!$D:$D,MATCH($C171,MERCADO!$A:$A,0)),
IF($B171="COMP",INDEX(COMPOSICAO!$G:$G,MATCH($C171,COMPOSICAO!$A:$A,0)),
""))))))),"")</f>
        <v>m2</v>
      </c>
      <c r="F171" s="179">
        <f>VLOOKUP(A171,'MEMÓRIA DE CÁLCULO'!A:H,8,0)</f>
        <v>697.58</v>
      </c>
      <c r="G171" s="173">
        <f>IFERROR(
IF($B171="DER-ES",INDEX('CDER-ES'!$D:$D,MATCH($C171,'CDER-ES'!$A:$A,0)),
IF($B171="SINAPI",INDEX(CSINAPI!$D:$D,MATCH($C171,CSINAPI!$A:$A,0)),
IF($B171="CESAN",INDEX(CCESAN!$D:$D,MATCH($C171,CCESAN!$A:$A,0)),
IF($B171="SCORIO",INDEX(CSCORIO!$B:$B,MATCH($C171,CSCORIO!#REF!,0)),
IF($B171="MERC",INDEX(MERCADO!$E:$E,MATCH($C171,MERCADO!$A:$A,0)),
IF($B171="COMP",INDEX(COMPOSICAO!$H:$H,MATCH($C171,COMPOSICAO!$A:$A,0)),
0)))))),0)</f>
        <v>4.4400000000000004</v>
      </c>
      <c r="H171" s="173">
        <f t="shared" si="162"/>
        <v>5.92</v>
      </c>
      <c r="I171" s="180">
        <f t="shared" si="163"/>
        <v>4129.67</v>
      </c>
      <c r="J171" s="194">
        <f>I171/I$161</f>
        <v>2.9988481469631439E-2</v>
      </c>
    </row>
    <row r="172" spans="1:10" ht="25.5">
      <c r="A172" s="175" t="s">
        <v>14247</v>
      </c>
      <c r="B172" s="176" t="s">
        <v>928</v>
      </c>
      <c r="C172" s="177">
        <v>88489</v>
      </c>
      <c r="D172" s="178" t="str">
        <f>IFERROR(PROPER(
IF($B172="DER-ES",INDEX('CDER-ES'!$B:$B,MATCH($C172,'CDER-ES'!$A:$A,0)),
IF($B172="SINAPI",INDEX(CSINAPI!$B:$B,MATCH($C172,CSINAPI!$A:$A,0)),
IF($B172="CESAN",INDEX(CCESAN!$B:$B,MATCH($C172,CCESAN!$A:$A,0)),
IF($B172="SCORIO",INDEX(CSCORIO!$B:$B,MATCH($C172,CSCORIO!$A:$A,0)),
IF($B172="MERC",INDEX(MERCADO!$B:$B,MATCH($C172,MERCADO!$A:$A,0)),
IF($B172="COMP",INDEX(COMPOSICAO!$B:$B,MATCH($C172,COMPOSICAO!$A:$A,0)),
""))))))),"*Verificar código*")</f>
        <v>Pintura Látex Acrílica Premium, Aplicação Manual Em Paredes, Duas Demãos. Af_04/2023</v>
      </c>
      <c r="E172" s="171" t="str">
        <f>IFERROR(LOWER(
IF($B172="DER-ES",INDEX('CDER-ES'!$C:$C,MATCH($C172,'CDER-ES'!$A:$A,0)),
IF($B172="SINAPI",INDEX(CSINAPI!$C:$C,MATCH($C172,CSINAPI!$A:$A,0)),
IF($B172="CESAN",INDEX(CCESAN!$C:$C,MATCH($C172,CCESAN!$A:$A,0)),
IF($B172="SCORIO",INDEX(CSCORIO!$A:$A,MATCH($C172,CSCORIO!#REF!,0)),
IF($B172="MERC",INDEX(MERCADO!$D:$D,MATCH($C172,MERCADO!$A:$A,0)),
IF($B172="COMP",INDEX(COMPOSICAO!$G:$G,MATCH($C172,COMPOSICAO!$A:$A,0)),
""))))))),"")</f>
        <v>m2</v>
      </c>
      <c r="F172" s="179">
        <f>VLOOKUP(A172,'MEMÓRIA DE CÁLCULO'!A:H,8,0)</f>
        <v>697.58</v>
      </c>
      <c r="G172" s="173">
        <f>IFERROR(
IF($B172="DER-ES",INDEX('CDER-ES'!$D:$D,MATCH($C172,'CDER-ES'!$A:$A,0)),
IF($B172="SINAPI",INDEX(CSINAPI!$D:$D,MATCH($C172,CSINAPI!$A:$A,0)),
IF($B172="CESAN",INDEX(CCESAN!$D:$D,MATCH($C172,CCESAN!$A:$A,0)),
IF($B172="SCORIO",INDEX(CSCORIO!$B:$B,MATCH($C172,CSCORIO!#REF!,0)),
IF($B172="MERC",INDEX(MERCADO!$E:$E,MATCH($C172,MERCADO!$A:$A,0)),
IF($B172="COMP",INDEX(COMPOSICAO!$H:$H,MATCH($C172,COMPOSICAO!$A:$A,0)),
0)))))),0)</f>
        <v>12.2</v>
      </c>
      <c r="H172" s="173">
        <f t="shared" si="162"/>
        <v>16.260000000000002</v>
      </c>
      <c r="I172" s="180">
        <f t="shared" si="163"/>
        <v>11342.65</v>
      </c>
      <c r="J172" s="194">
        <f>I172/I$161</f>
        <v>8.236707759736614E-2</v>
      </c>
    </row>
    <row r="173" spans="1:10">
      <c r="A173" s="175" t="s">
        <v>14212</v>
      </c>
      <c r="B173" s="176"/>
      <c r="C173" s="177"/>
      <c r="D173" s="178" t="s">
        <v>14299</v>
      </c>
      <c r="E173" s="171"/>
      <c r="F173" s="179"/>
      <c r="G173" s="173"/>
      <c r="H173" s="173"/>
      <c r="I173" s="180"/>
      <c r="J173" s="194"/>
    </row>
    <row r="174" spans="1:10" ht="63.75">
      <c r="A174" s="175" t="s">
        <v>14300</v>
      </c>
      <c r="B174" s="176" t="s">
        <v>12617</v>
      </c>
      <c r="C174" s="177">
        <v>190605</v>
      </c>
      <c r="D174" s="178" t="str">
        <f>IFERROR(PROPER(
IF($B174="DER-ES",INDEX('CDER-ES'!$B:$B,MATCH($C174,'CDER-ES'!$A:$A,0)),
IF($B174="SINAPI",INDEX(CSINAPI!$B:$B,MATCH($C174,CSINAPI!$A:$A,0)),
IF($B174="CESAN",INDEX(CCESAN!$B:$B,MATCH($C174,CCESAN!$A:$A,0)),
IF($B174="SCORIO",INDEX(CSCORIO!$B:$B,MATCH($C174,CSCORIO!$A:$A,0)),
IF($B174="MERC",INDEX(MERCADO!$B:$B,MATCH($C174,MERCADO!$A:$A,0)),
IF($B174="COMP",INDEX(COMPOSICAO!$B:$B,MATCH($C174,COMPOSICAO!$A:$A,0)),
""))))))),"*Verificar código*")</f>
        <v>Aplicação De Tinta Epóxi De Alta Espessura Semibrilhante Sobre Piso De Concreto A Três Demãos, Inclusive Selador Epóxi A Uma Demão - Ref. Intergard 2005 E 2001 - Internacional Ou Equivalente</v>
      </c>
      <c r="E174" s="171" t="str">
        <f>IFERROR(LOWER(
IF($B174="DER-ES",INDEX('CDER-ES'!$C:$C,MATCH($C174,'CDER-ES'!$A:$A,0)),
IF($B174="SINAPI",INDEX(CSINAPI!$C:$C,MATCH($C174,CSINAPI!$A:$A,0)),
IF($B174="CESAN",INDEX(CCESAN!$C:$C,MATCH($C174,CCESAN!$A:$A,0)),
IF($B174="SCORIO",INDEX(CSCORIO!$A:$A,MATCH($C174,CSCORIO!#REF!,0)),
IF($B174="MERC",INDEX(MERCADO!$D:$D,MATCH($C174,MERCADO!$A:$A,0)),
IF($B174="COMP",INDEX(COMPOSICAO!$G:$G,MATCH($C174,COMPOSICAO!$A:$A,0)),
""))))))),"")</f>
        <v>m2</v>
      </c>
      <c r="F174" s="179">
        <f>VLOOKUP(A174,'MEMÓRIA DE CÁLCULO'!A:H,8,0)</f>
        <v>540</v>
      </c>
      <c r="G174" s="173">
        <f>IFERROR(
IF($B174="DER-ES",INDEX('CDER-ES'!$D:$D,MATCH($C174,'CDER-ES'!$A:$A,0)),
IF($B174="SINAPI",INDEX(CSINAPI!$D:$D,MATCH($C174,CSINAPI!$A:$A,0)),
IF($B174="CESAN",INDEX(CCESAN!$D:$D,MATCH($C174,CCESAN!$A:$A,0)),
IF($B174="SCORIO",INDEX(CSCORIO!$B:$B,MATCH($C174,CSCORIO!#REF!,0)),
IF($B174="MERC",INDEX(MERCADO!$E:$E,MATCH($C174,MERCADO!$A:$A,0)),
IF($B174="COMP",INDEX(COMPOSICAO!$H:$H,MATCH($C174,COMPOSICAO!$A:$A,0)),
0)))))),0)</f>
        <v>63.1</v>
      </c>
      <c r="H174" s="173">
        <f t="shared" ref="H174:H176" si="164">ROUND(G174*(1+$J$2),2)</f>
        <v>84.08</v>
      </c>
      <c r="I174" s="180">
        <f t="shared" ref="I174:I176" si="165">ROUND($H174*F174,2)</f>
        <v>45403.199999999997</v>
      </c>
      <c r="J174" s="194">
        <f>I174/I$161</f>
        <v>0.32970504225809083</v>
      </c>
    </row>
    <row r="175" spans="1:10" ht="38.25">
      <c r="A175" s="175" t="s">
        <v>14301</v>
      </c>
      <c r="B175" s="176" t="s">
        <v>928</v>
      </c>
      <c r="C175" s="177">
        <v>102506</v>
      </c>
      <c r="D175" s="178" t="str">
        <f>IFERROR(PROPER(
IF($B175="DER-ES",INDEX('CDER-ES'!$B:$B,MATCH($C175,'CDER-ES'!$A:$A,0)),
IF($B175="SINAPI",INDEX(CSINAPI!$B:$B,MATCH($C175,CSINAPI!$A:$A,0)),
IF($B175="CESAN",INDEX(CCESAN!$B:$B,MATCH($C175,CCESAN!$A:$A,0)),
IF($B175="SCORIO",INDEX(CSCORIO!$B:$B,MATCH($C175,CSCORIO!$A:$A,0)),
IF($B175="MERC",INDEX(MERCADO!$B:$B,MATCH($C175,MERCADO!$A:$A,0)),
IF($B175="COMP",INDEX(COMPOSICAO!$B:$B,MATCH($C175,COMPOSICAO!$A:$A,0)),
""))))))),"*Verificar código*")</f>
        <v>Pintura De Demarcação De Quadra Poliesportiva Com Tinta Epóxi, E = 5 Cm, Aplicação Manual. Af_05/2021</v>
      </c>
      <c r="E175" s="171" t="str">
        <f>IFERROR(LOWER(
IF($B175="DER-ES",INDEX('CDER-ES'!$C:$C,MATCH($C175,'CDER-ES'!$A:$A,0)),
IF($B175="SINAPI",INDEX(CSINAPI!$C:$C,MATCH($C175,CSINAPI!$A:$A,0)),
IF($B175="CESAN",INDEX(CCESAN!$C:$C,MATCH($C175,CCESAN!$A:$A,0)),
IF($B175="SCORIO",INDEX(CSCORIO!$A:$A,MATCH($C175,CSCORIO!#REF!,0)),
IF($B175="MERC",INDEX(MERCADO!$D:$D,MATCH($C175,MERCADO!$A:$A,0)),
IF($B175="COMP",INDEX(COMPOSICAO!$G:$G,MATCH($C175,COMPOSICAO!$A:$A,0)),
""))))))),"")</f>
        <v>m</v>
      </c>
      <c r="F175" s="179">
        <f>VLOOKUP(A175,'MEMÓRIA DE CÁLCULO'!A:H,8,0)</f>
        <v>338.16</v>
      </c>
      <c r="G175" s="173">
        <f>IFERROR(
IF($B175="DER-ES",INDEX('CDER-ES'!$D:$D,MATCH($C175,'CDER-ES'!$A:$A,0)),
IF($B175="SINAPI",INDEX(CSINAPI!$D:$D,MATCH($C175,CSINAPI!$A:$A,0)),
IF($B175="CESAN",INDEX(CCESAN!$D:$D,MATCH($C175,CCESAN!$A:$A,0)),
IF($B175="SCORIO",INDEX(CSCORIO!$B:$B,MATCH($C175,CSCORIO!#REF!,0)),
IF($B175="MERC",INDEX(MERCADO!$E:$E,MATCH($C175,MERCADO!$A:$A,0)),
IF($B175="COMP",INDEX(COMPOSICAO!$H:$H,MATCH($C175,COMPOSICAO!$A:$A,0)),
0)))))),0)</f>
        <v>10.7</v>
      </c>
      <c r="H175" s="173">
        <f t="shared" si="164"/>
        <v>14.26</v>
      </c>
      <c r="I175" s="180">
        <f t="shared" si="165"/>
        <v>4822.16</v>
      </c>
      <c r="J175" s="194">
        <f>I175/I$161</f>
        <v>3.5017145632362377E-2</v>
      </c>
    </row>
    <row r="176" spans="1:10" ht="38.25">
      <c r="A176" s="175" t="s">
        <v>14360</v>
      </c>
      <c r="B176" s="176" t="s">
        <v>928</v>
      </c>
      <c r="C176" s="177">
        <v>102492</v>
      </c>
      <c r="D176" s="178" t="str">
        <f>IFERROR(PROPER(
IF($B176="DER-ES",INDEX('CDER-ES'!$B:$B,MATCH($C176,'CDER-ES'!$A:$A,0)),
IF($B176="SINAPI",INDEX(CSINAPI!$B:$B,MATCH($C176,CSINAPI!$A:$A,0)),
IF($B176="CESAN",INDEX(CCESAN!$B:$B,MATCH($C176,CCESAN!$A:$A,0)),
IF($B176="SCORIO",INDEX(CSCORIO!$B:$B,MATCH($C176,CSCORIO!$A:$A,0)),
IF($B176="MERC",INDEX(MERCADO!$B:$B,MATCH($C176,MERCADO!$A:$A,0)),
IF($B176="COMP",INDEX(COMPOSICAO!$B:$B,MATCH($C176,COMPOSICAO!$A:$A,0)),
""))))))),"*Verificar código*")</f>
        <v>Pintura De Piso Com Tinta Acrílica, Aplicação Manual, 3 Demãos, Incluso Fundo Preparador. Af_05/2021</v>
      </c>
      <c r="E176" s="171" t="str">
        <f>IFERROR(LOWER(
IF($B176="DER-ES",INDEX('CDER-ES'!$C:$C,MATCH($C176,'CDER-ES'!$A:$A,0)),
IF($B176="SINAPI",INDEX(CSINAPI!$C:$C,MATCH($C176,CSINAPI!$A:$A,0)),
IF($B176="CESAN",INDEX(CCESAN!$C:$C,MATCH($C176,CCESAN!$A:$A,0)),
IF($B176="SCORIO",INDEX(CSCORIO!$A:$A,MATCH($C176,CSCORIO!#REF!,0)),
IF($B176="MERC",INDEX(MERCADO!$D:$D,MATCH($C176,MERCADO!$A:$A,0)),
IF($B176="COMP",INDEX(COMPOSICAO!$G:$G,MATCH($C176,COMPOSICAO!$A:$A,0)),
""))))))),"")</f>
        <v>m2</v>
      </c>
      <c r="F176" s="179">
        <f>VLOOKUP(A176,'MEMÓRIA DE CÁLCULO'!A:H,8,0)</f>
        <v>154.78</v>
      </c>
      <c r="G176" s="173">
        <f>IFERROR(
IF($B176="DER-ES",INDEX('CDER-ES'!$D:$D,MATCH($C176,'CDER-ES'!$A:$A,0)),
IF($B176="SINAPI",INDEX(CSINAPI!$D:$D,MATCH($C176,CSINAPI!$A:$A,0)),
IF($B176="CESAN",INDEX(CCESAN!$D:$D,MATCH($C176,CCESAN!$A:$A,0)),
IF($B176="SCORIO",INDEX(CSCORIO!$B:$B,MATCH($C176,CSCORIO!#REF!,0)),
IF($B176="MERC",INDEX(MERCADO!$E:$E,MATCH($C176,MERCADO!$A:$A,0)),
IF($B176="COMP",INDEX(COMPOSICAO!$H:$H,MATCH($C176,COMPOSICAO!$A:$A,0)),
0)))))),0)</f>
        <v>25.7</v>
      </c>
      <c r="H176" s="173">
        <f t="shared" si="164"/>
        <v>34.25</v>
      </c>
      <c r="I176" s="180">
        <f t="shared" si="165"/>
        <v>5301.22</v>
      </c>
      <c r="J176" s="194">
        <f>I176/I$161</f>
        <v>3.8495942226967186E-2</v>
      </c>
    </row>
    <row r="177" spans="1:10">
      <c r="A177" s="175" t="s">
        <v>14466</v>
      </c>
      <c r="B177" s="176"/>
      <c r="C177" s="177"/>
      <c r="D177" s="178" t="s">
        <v>14588</v>
      </c>
      <c r="E177" s="171"/>
      <c r="F177" s="179"/>
      <c r="G177" s="173"/>
      <c r="H177" s="173"/>
      <c r="I177" s="180"/>
      <c r="J177" s="194"/>
    </row>
    <row r="178" spans="1:10" ht="76.5">
      <c r="A178" s="175" t="s">
        <v>14468</v>
      </c>
      <c r="B178" s="176" t="s">
        <v>12617</v>
      </c>
      <c r="C178" s="177">
        <v>190204</v>
      </c>
      <c r="D178" s="178" t="str">
        <f>IFERROR(PROPER(
IF($B178="DER-ES",INDEX('CDER-ES'!$B:$B,MATCH($C178,'CDER-ES'!$A:$A,0)),
IF($B178="SINAPI",INDEX(CSINAPI!$B:$B,MATCH($C178,CSINAPI!$A:$A,0)),
IF($B178="CESAN",INDEX(CCESAN!$B:$B,MATCH($C178,CCESAN!$A:$A,0)),
IF($B178="SCORIO",INDEX(CSCORIO!$B:$B,MATCH($C178,CSCORIO!$A:$A,0)),
IF($B178="MERC",INDEX(MERCADO!$B:$B,MATCH($C178,MERCADO!$A:$A,0)),
IF($B178="COMP",INDEX(COMPOSICAO!$B:$B,MATCH($C178,COMPOSICAO!$A:$A,0)),
""))))))),"*Verificar código*")</f>
        <v>Pintura Sobre Cobogós De Concreto, Aplicação Manual, Com Duas Demãos De Tinta Látex Acrílico Premium, Referência Suvinil, Coral E Metalatex, Inclusive Uma Demão De Liquido Selador Acrílico, Referência Suvinil, Coral Ou Metalatex Ou Equivalente</v>
      </c>
      <c r="E178" s="171" t="str">
        <f>IFERROR(LOWER(
IF($B178="DER-ES",INDEX('CDER-ES'!$C:$C,MATCH($C178,'CDER-ES'!$A:$A,0)),
IF($B178="SINAPI",INDEX(CSINAPI!$C:$C,MATCH($C178,CSINAPI!$A:$A,0)),
IF($B178="CESAN",INDEX(CCESAN!$C:$C,MATCH($C178,CCESAN!$A:$A,0)),
IF($B178="SCORIO",INDEX(CSCORIO!$A:$A,MATCH($C178,CSCORIO!#REF!,0)),
IF($B178="MERC",INDEX(MERCADO!$D:$D,MATCH($C178,MERCADO!$A:$A,0)),
IF($B178="COMP",INDEX(COMPOSICAO!$G:$G,MATCH($C178,COMPOSICAO!$A:$A,0)),
""))))))),"")</f>
        <v>m2</v>
      </c>
      <c r="F178" s="179">
        <f>VLOOKUP(A178,'MEMÓRIA DE CÁLCULO'!A:H,8,0)</f>
        <v>345.6</v>
      </c>
      <c r="G178" s="173">
        <f>IFERROR(
IF($B178="DER-ES",INDEX('CDER-ES'!$D:$D,MATCH($C178,'CDER-ES'!$A:$A,0)),
IF($B178="SINAPI",INDEX(CSINAPI!$D:$D,MATCH($C178,CSINAPI!$A:$A,0)),
IF($B178="CESAN",INDEX(CCESAN!$D:$D,MATCH($C178,CCESAN!$A:$A,0)),
IF($B178="SCORIO",INDEX(CSCORIO!$B:$B,MATCH($C178,CSCORIO!#REF!,0)),
IF($B178="MERC",INDEX(MERCADO!$E:$E,MATCH($C178,MERCADO!$A:$A,0)),
IF($B178="COMP",INDEX(COMPOSICAO!$H:$H,MATCH($C178,COMPOSICAO!$A:$A,0)),
0)))))),0)</f>
        <v>32.44</v>
      </c>
      <c r="H178" s="173">
        <f t="shared" ref="H178" si="166">ROUND(G178*(1+$J$2),2)</f>
        <v>43.23</v>
      </c>
      <c r="I178" s="180">
        <f t="shared" ref="I178" si="167">ROUND($H178*F178,2)</f>
        <v>14940.29</v>
      </c>
      <c r="J178" s="194">
        <f>I178/I$161</f>
        <v>0.10849210949444385</v>
      </c>
    </row>
    <row r="179" spans="1:10">
      <c r="A179" s="167" t="s">
        <v>12618</v>
      </c>
      <c r="B179" s="168"/>
      <c r="C179" s="169"/>
      <c r="D179" s="170" t="s">
        <v>14473</v>
      </c>
      <c r="E179" s="171"/>
      <c r="F179" s="172"/>
      <c r="G179" s="173"/>
      <c r="H179" s="173"/>
      <c r="I179" s="174">
        <f>SUBTOTAL(9,I180:I202)</f>
        <v>23271.200000000004</v>
      </c>
      <c r="J179" s="193">
        <f>SUBTOTAL(9,J180:J202)</f>
        <v>1</v>
      </c>
    </row>
    <row r="180" spans="1:10" ht="76.5">
      <c r="A180" s="175" t="s">
        <v>12619</v>
      </c>
      <c r="B180" s="176" t="s">
        <v>12617</v>
      </c>
      <c r="C180" s="177">
        <v>140207</v>
      </c>
      <c r="D180" s="178" t="str">
        <f>IFERROR(PROPER(
IF($B180="DER-ES",INDEX('CDER-ES'!$B:$B,MATCH($C180,'CDER-ES'!$A:$A,0)),
IF($B180="SINAPI",INDEX(CSINAPI!$B:$B,MATCH($C180,CSINAPI!$A:$A,0)),
IF($B180="CESAN",INDEX(CCESAN!$B:$B,MATCH($C180,CCESAN!$A:$A,0)),
IF($B180="SCORIO",INDEX(CSCORIO!$B:$B,MATCH($C180,CSCORIO!$A:$A,0)),
IF($B180="MERC",INDEX(MERCADO!$B:$B,MATCH($C180,MERCADO!$A:$A,0)),
IF($B180="COMP",INDEX(COMPOSICAO!$B:$B,MATCH($C180,COMPOSICAO!$A:$A,0)),
""))))))),"*Verificar código*")</f>
        <v>Padrão De Entrada D Água Com Caixa Termoplástica Para Hidrômetro De 3/4" - Padrão 1B Da Cesan. Instalado Embutido Na Alvenaria. Inclusive Tubulação, Conexões, Registro, Tubo Camisa E Caixa Com Tampa Transparente. Conferir Detalhe.</v>
      </c>
      <c r="E180" s="171" t="str">
        <f>IFERROR(LOWER(
IF($B180="DER-ES",INDEX('CDER-ES'!$C:$C,MATCH($C180,'CDER-ES'!$A:$A,0)),
IF($B180="SINAPI",INDEX(CSINAPI!$C:$C,MATCH($C180,CSINAPI!$A:$A,0)),
IF($B180="CESAN",INDEX(CCESAN!$C:$C,MATCH($C180,CCESAN!$A:$A,0)),
IF($B180="SCORIO",INDEX(CSCORIO!$A:$A,MATCH($C180,CSCORIO!#REF!,0)),
IF($B180="MERC",INDEX(MERCADO!$D:$D,MATCH($C180,MERCADO!$A:$A,0)),
IF($B180="COMP",INDEX(COMPOSICAO!$G:$G,MATCH($C180,COMPOSICAO!$A:$A,0)),
""))))))),"")</f>
        <v>und</v>
      </c>
      <c r="F180" s="179">
        <f>VLOOKUP(A180,'MEMÓRIA DE CÁLCULO'!A:H,8,0)</f>
        <v>1</v>
      </c>
      <c r="G180" s="173">
        <f>IFERROR(
IF($B180="DER-ES",INDEX('CDER-ES'!$D:$D,MATCH($C180,'CDER-ES'!$A:$A,0)),
IF($B180="SINAPI",INDEX(CSINAPI!$D:$D,MATCH($C180,CSINAPI!$A:$A,0)),
IF($B180="CESAN",INDEX(CCESAN!$D:$D,MATCH($C180,CCESAN!$A:$A,0)),
IF($B180="SCORIO",INDEX(CSCORIO!$B:$B,MATCH($C180,CSCORIO!#REF!,0)),
IF($B180="MERC",INDEX(MERCADO!$E:$E,MATCH($C180,MERCADO!$A:$A,0)),
IF($B180="COMP",INDEX(COMPOSICAO!$H:$H,MATCH($C180,COMPOSICAO!$A:$A,0)),
0)))))),0)</f>
        <v>461.26</v>
      </c>
      <c r="H180" s="173">
        <f t="shared" ref="H180:H201" si="168">ROUND(G180*(1+$J$2),2)</f>
        <v>614.63</v>
      </c>
      <c r="I180" s="180">
        <f t="shared" ref="I180:I201" si="169">ROUND($H180*F180,2)</f>
        <v>614.63</v>
      </c>
      <c r="J180" s="194">
        <f t="shared" ref="J180:J201" si="170">I180/I$179</f>
        <v>2.6411616074804904E-2</v>
      </c>
    </row>
    <row r="181" spans="1:10" ht="51">
      <c r="A181" s="175" t="s">
        <v>12620</v>
      </c>
      <c r="B181" s="176" t="s">
        <v>928</v>
      </c>
      <c r="C181" s="177">
        <v>89383</v>
      </c>
      <c r="D181" s="178" t="str">
        <f>IFERROR(PROPER(
IF($B181="DER-ES",INDEX('CDER-ES'!$B:$B,MATCH($C181,'CDER-ES'!$A:$A,0)),
IF($B181="SINAPI",INDEX(CSINAPI!$B:$B,MATCH($C181,CSINAPI!$A:$A,0)),
IF($B181="CESAN",INDEX(CCESAN!$B:$B,MATCH($C181,CCESAN!$A:$A,0)),
IF($B181="SCORIO",INDEX(CSCORIO!$B:$B,MATCH($C181,CSCORIO!$A:$A,0)),
IF($B181="MERC",INDEX(MERCADO!$B:$B,MATCH($C181,MERCADO!$A:$A,0)),
IF($B181="COMP",INDEX(COMPOSICAO!$B:$B,MATCH($C181,COMPOSICAO!$A:$A,0)),
""))))))),"*Verificar código*")</f>
        <v>Adaptador Curto Com Bolsa E Rosca Para Registro, Pvc, Soldável, Dn 25Mm X 3/4 , Instalado Em Ramal Ou Sub-Ramal De Água - Fornecimento E Instalação. Af_06/2022</v>
      </c>
      <c r="E181" s="171" t="str">
        <f>IFERROR(LOWER(
IF($B181="DER-ES",INDEX('CDER-ES'!$C:$C,MATCH($C181,'CDER-ES'!$A:$A,0)),
IF($B181="SINAPI",INDEX(CSINAPI!$C:$C,MATCH($C181,CSINAPI!$A:$A,0)),
IF($B181="CESAN",INDEX(CCESAN!$C:$C,MATCH($C181,CCESAN!$A:$A,0)),
IF($B181="SCORIO",INDEX(CSCORIO!$A:$A,MATCH($C181,CSCORIO!#REF!,0)),
IF($B181="MERC",INDEX(MERCADO!$D:$D,MATCH($C181,MERCADO!$A:$A,0)),
IF($B181="COMP",INDEX(COMPOSICAO!$G:$G,MATCH($C181,COMPOSICAO!$A:$A,0)),
""))))))),"")</f>
        <v>un</v>
      </c>
      <c r="F181" s="179">
        <f>VLOOKUP(A181,'MEMÓRIA DE CÁLCULO'!A:H,8,0)</f>
        <v>13</v>
      </c>
      <c r="G181" s="173">
        <f>IFERROR(
IF($B181="DER-ES",INDEX('CDER-ES'!$D:$D,MATCH($C181,'CDER-ES'!$A:$A,0)),
IF($B181="SINAPI",INDEX(CSINAPI!$D:$D,MATCH($C181,CSINAPI!$A:$A,0)),
IF($B181="CESAN",INDEX(CCESAN!$D:$D,MATCH($C181,CCESAN!$A:$A,0)),
IF($B181="SCORIO",INDEX(CSCORIO!$B:$B,MATCH($C181,CSCORIO!#REF!,0)),
IF($B181="MERC",INDEX(MERCADO!$E:$E,MATCH($C181,MERCADO!$A:$A,0)),
IF($B181="COMP",INDEX(COMPOSICAO!$H:$H,MATCH($C181,COMPOSICAO!$A:$A,0)),
0)))))),0)</f>
        <v>6.33</v>
      </c>
      <c r="H181" s="173">
        <f t="shared" si="168"/>
        <v>8.43</v>
      </c>
      <c r="I181" s="180">
        <f t="shared" si="169"/>
        <v>109.59</v>
      </c>
      <c r="J181" s="194">
        <f t="shared" si="170"/>
        <v>4.7092543573171979E-3</v>
      </c>
    </row>
    <row r="182" spans="1:10" ht="51">
      <c r="A182" s="175" t="s">
        <v>14248</v>
      </c>
      <c r="B182" s="176" t="s">
        <v>928</v>
      </c>
      <c r="C182" s="177">
        <v>89596</v>
      </c>
      <c r="D182" s="178" t="str">
        <f>IFERROR(PROPER(
IF($B182="DER-ES",INDEX('CDER-ES'!$B:$B,MATCH($C182,'CDER-ES'!$A:$A,0)),
IF($B182="SINAPI",INDEX(CSINAPI!$B:$B,MATCH($C182,CSINAPI!$A:$A,0)),
IF($B182="CESAN",INDEX(CCESAN!$B:$B,MATCH($C182,CCESAN!$A:$A,0)),
IF($B182="SCORIO",INDEX(CSCORIO!$B:$B,MATCH($C182,CSCORIO!$A:$A,0)),
IF($B182="MERC",INDEX(MERCADO!$B:$B,MATCH($C182,MERCADO!$A:$A,0)),
IF($B182="COMP",INDEX(COMPOSICAO!$B:$B,MATCH($C182,COMPOSICAO!$A:$A,0)),
""))))))),"*Verificar código*")</f>
        <v>Adaptador Curto Com Bolsa E Rosca Para Registro, Pvc, Soldável, Dn 50Mm X 1.1/2 , Instalado Em Prumada De Água - Fornecimento E Instalação. Af_06/2022</v>
      </c>
      <c r="E182" s="171" t="str">
        <f>IFERROR(LOWER(
IF($B182="DER-ES",INDEX('CDER-ES'!$C:$C,MATCH($C182,'CDER-ES'!$A:$A,0)),
IF($B182="SINAPI",INDEX(CSINAPI!$C:$C,MATCH($C182,CSINAPI!$A:$A,0)),
IF($B182="CESAN",INDEX(CCESAN!$C:$C,MATCH($C182,CCESAN!$A:$A,0)),
IF($B182="SCORIO",INDEX(CSCORIO!$A:$A,MATCH($C182,CSCORIO!#REF!,0)),
IF($B182="MERC",INDEX(MERCADO!$D:$D,MATCH($C182,MERCADO!$A:$A,0)),
IF($B182="COMP",INDEX(COMPOSICAO!$G:$G,MATCH($C182,COMPOSICAO!$A:$A,0)),
""))))))),"")</f>
        <v>un</v>
      </c>
      <c r="F182" s="179">
        <f>VLOOKUP(A182,'MEMÓRIA DE CÁLCULO'!A:H,8,0)</f>
        <v>23</v>
      </c>
      <c r="G182" s="173">
        <f>IFERROR(
IF($B182="DER-ES",INDEX('CDER-ES'!$D:$D,MATCH($C182,'CDER-ES'!$A:$A,0)),
IF($B182="SINAPI",INDEX(CSINAPI!$D:$D,MATCH($C182,CSINAPI!$A:$A,0)),
IF($B182="CESAN",INDEX(CCESAN!$D:$D,MATCH($C182,CCESAN!$A:$A,0)),
IF($B182="SCORIO",INDEX(CSCORIO!$B:$B,MATCH($C182,CSCORIO!#REF!,0)),
IF($B182="MERC",INDEX(MERCADO!$E:$E,MATCH($C182,MERCADO!$A:$A,0)),
IF($B182="COMP",INDEX(COMPOSICAO!$H:$H,MATCH($C182,COMPOSICAO!$A:$A,0)),
0)))))),0)</f>
        <v>11.3</v>
      </c>
      <c r="H182" s="173">
        <f t="shared" ref="H182:H187" si="171">ROUND(G182*(1+$J$2),2)</f>
        <v>15.06</v>
      </c>
      <c r="I182" s="180">
        <f t="shared" ref="I182:I187" si="172">ROUND($H182*F182,2)</f>
        <v>346.38</v>
      </c>
      <c r="J182" s="194">
        <f t="shared" ref="J182:J183" si="173">I182/I$179</f>
        <v>1.4884492419815048E-2</v>
      </c>
    </row>
    <row r="183" spans="1:10" ht="38.25">
      <c r="A183" s="175" t="s">
        <v>14249</v>
      </c>
      <c r="B183" s="176" t="s">
        <v>928</v>
      </c>
      <c r="C183" s="177">
        <v>89408</v>
      </c>
      <c r="D183" s="178" t="str">
        <f>IFERROR(PROPER(
IF($B183="DER-ES",INDEX('CDER-ES'!$B:$B,MATCH($C183,'CDER-ES'!$A:$A,0)),
IF($B183="SINAPI",INDEX(CSINAPI!$B:$B,MATCH($C183,CSINAPI!$A:$A,0)),
IF($B183="CESAN",INDEX(CCESAN!$B:$B,MATCH($C183,CCESAN!$A:$A,0)),
IF($B183="SCORIO",INDEX(CSCORIO!$B:$B,MATCH($C183,CSCORIO!$A:$A,0)),
IF($B183="MERC",INDEX(MERCADO!$B:$B,MATCH($C183,MERCADO!$A:$A,0)),
IF($B183="COMP",INDEX(COMPOSICAO!$B:$B,MATCH($C183,COMPOSICAO!$A:$A,0)),
""))))))),"*Verificar código*")</f>
        <v>Joelho 90 Graus, Pvc, Soldável, Dn 25Mm, Instalado Em Ramal De Distribuição De Água - Fornecimento E Instalação. Af_06/2022</v>
      </c>
      <c r="E183" s="171" t="str">
        <f>IFERROR(LOWER(
IF($B183="DER-ES",INDEX('CDER-ES'!$C:$C,MATCH($C183,'CDER-ES'!$A:$A,0)),
IF($B183="SINAPI",INDEX(CSINAPI!$C:$C,MATCH($C183,CSINAPI!$A:$A,0)),
IF($B183="CESAN",INDEX(CCESAN!$C:$C,MATCH($C183,CCESAN!$A:$A,0)),
IF($B183="SCORIO",INDEX(CSCORIO!$A:$A,MATCH($C183,CSCORIO!#REF!,0)),
IF($B183="MERC",INDEX(MERCADO!$D:$D,MATCH($C183,MERCADO!$A:$A,0)),
IF($B183="COMP",INDEX(COMPOSICAO!$G:$G,MATCH($C183,COMPOSICAO!$A:$A,0)),
""))))))),"")</f>
        <v>un</v>
      </c>
      <c r="F183" s="179">
        <f>VLOOKUP(A183,'MEMÓRIA DE CÁLCULO'!A:H,8,0)</f>
        <v>21</v>
      </c>
      <c r="G183" s="173">
        <f>IFERROR(
IF($B183="DER-ES",INDEX('CDER-ES'!$D:$D,MATCH($C183,'CDER-ES'!$A:$A,0)),
IF($B183="SINAPI",INDEX(CSINAPI!$D:$D,MATCH($C183,CSINAPI!$A:$A,0)),
IF($B183="CESAN",INDEX(CCESAN!$D:$D,MATCH($C183,CCESAN!$A:$A,0)),
IF($B183="SCORIO",INDEX(CSCORIO!$B:$B,MATCH($C183,CSCORIO!#REF!,0)),
IF($B183="MERC",INDEX(MERCADO!$E:$E,MATCH($C183,MERCADO!$A:$A,0)),
IF($B183="COMP",INDEX(COMPOSICAO!$H:$H,MATCH($C183,COMPOSICAO!$A:$A,0)),
0)))))),0)</f>
        <v>8.1</v>
      </c>
      <c r="H183" s="173">
        <f t="shared" si="171"/>
        <v>10.79</v>
      </c>
      <c r="I183" s="180">
        <f t="shared" si="172"/>
        <v>226.59</v>
      </c>
      <c r="J183" s="194">
        <f t="shared" si="173"/>
        <v>9.7369280484031744E-3</v>
      </c>
    </row>
    <row r="184" spans="1:10" ht="38.25">
      <c r="A184" s="175" t="s">
        <v>14250</v>
      </c>
      <c r="B184" s="176" t="s">
        <v>928</v>
      </c>
      <c r="C184" s="177">
        <v>89501</v>
      </c>
      <c r="D184" s="178" t="str">
        <f>IFERROR(PROPER(
IF($B184="DER-ES",INDEX('CDER-ES'!$B:$B,MATCH($C184,'CDER-ES'!$A:$A,0)),
IF($B184="SINAPI",INDEX(CSINAPI!$B:$B,MATCH($C184,CSINAPI!$A:$A,0)),
IF($B184="CESAN",INDEX(CCESAN!$B:$B,MATCH($C184,CCESAN!$A:$A,0)),
IF($B184="SCORIO",INDEX(CSCORIO!$B:$B,MATCH($C184,CSCORIO!$A:$A,0)),
IF($B184="MERC",INDEX(MERCADO!$B:$B,MATCH($C184,MERCADO!$A:$A,0)),
IF($B184="COMP",INDEX(COMPOSICAO!$B:$B,MATCH($C184,COMPOSICAO!$A:$A,0)),
""))))))),"*Verificar código*")</f>
        <v>Joelho 90 Graus, Pvc, Soldável, Dn 50Mm, Instalado Em Prumada De Água - Fornecimento E Instalação. Af_06/2022</v>
      </c>
      <c r="E184" s="171" t="str">
        <f>IFERROR(LOWER(
IF($B184="DER-ES",INDEX('CDER-ES'!$C:$C,MATCH($C184,'CDER-ES'!$A:$A,0)),
IF($B184="SINAPI",INDEX(CSINAPI!$C:$C,MATCH($C184,CSINAPI!$A:$A,0)),
IF($B184="CESAN",INDEX(CCESAN!$C:$C,MATCH($C184,CCESAN!$A:$A,0)),
IF($B184="SCORIO",INDEX(CSCORIO!$A:$A,MATCH($C184,CSCORIO!#REF!,0)),
IF($B184="MERC",INDEX(MERCADO!$D:$D,MATCH($C184,MERCADO!$A:$A,0)),
IF($B184="COMP",INDEX(COMPOSICAO!$G:$G,MATCH($C184,COMPOSICAO!$A:$A,0)),
""))))))),"")</f>
        <v>un</v>
      </c>
      <c r="F184" s="179">
        <f>VLOOKUP(A184,'MEMÓRIA DE CÁLCULO'!A:H,8,0)</f>
        <v>51</v>
      </c>
      <c r="G184" s="173">
        <f>IFERROR(
IF($B184="DER-ES",INDEX('CDER-ES'!$D:$D,MATCH($C184,'CDER-ES'!$A:$A,0)),
IF($B184="SINAPI",INDEX(CSINAPI!$D:$D,MATCH($C184,CSINAPI!$A:$A,0)),
IF($B184="CESAN",INDEX(CCESAN!$D:$D,MATCH($C184,CCESAN!$A:$A,0)),
IF($B184="SCORIO",INDEX(CSCORIO!$B:$B,MATCH($C184,CSCORIO!#REF!,0)),
IF($B184="MERC",INDEX(MERCADO!$E:$E,MATCH($C184,MERCADO!$A:$A,0)),
IF($B184="COMP",INDEX(COMPOSICAO!$H:$H,MATCH($C184,COMPOSICAO!$A:$A,0)),
0)))))),0)</f>
        <v>15.05</v>
      </c>
      <c r="H184" s="173">
        <f t="shared" si="171"/>
        <v>20.05</v>
      </c>
      <c r="I184" s="180">
        <f t="shared" si="172"/>
        <v>1022.55</v>
      </c>
      <c r="J184" s="194">
        <f>I184/I$179</f>
        <v>4.3940578912991156E-2</v>
      </c>
    </row>
    <row r="185" spans="1:10" ht="51">
      <c r="A185" s="175" t="s">
        <v>14726</v>
      </c>
      <c r="B185" s="176" t="s">
        <v>928</v>
      </c>
      <c r="C185" s="177">
        <v>89366</v>
      </c>
      <c r="D185" s="178" t="str">
        <f>IFERROR(PROPER(
IF($B185="DER-ES",INDEX('CDER-ES'!$B:$B,MATCH($C185,'CDER-ES'!$A:$A,0)),
IF($B185="SINAPI",INDEX(CSINAPI!$B:$B,MATCH($C185,CSINAPI!$A:$A,0)),
IF($B185="CESAN",INDEX(CCESAN!$B:$B,MATCH($C185,CCESAN!$A:$A,0)),
IF($B185="SCORIO",INDEX(CSCORIO!$B:$B,MATCH($C185,CSCORIO!$A:$A,0)),
IF($B185="MERC",INDEX(MERCADO!$B:$B,MATCH($C185,MERCADO!$A:$A,0)),
IF($B185="COMP",INDEX(COMPOSICAO!$B:$B,MATCH($C185,COMPOSICAO!$A:$A,0)),
""))))))),"*Verificar código*")</f>
        <v>Joelho 90 Graus Com Bucha De Latão, Pvc, Soldável, Dn 25Mm, X 3/4  Instalado Em Ramal Ou Sub-Ramal De Água - Fornecimento E Instalação. Af_06/2022</v>
      </c>
      <c r="E185" s="171" t="str">
        <f>IFERROR(LOWER(
IF($B185="DER-ES",INDEX('CDER-ES'!$C:$C,MATCH($C185,'CDER-ES'!$A:$A,0)),
IF($B185="SINAPI",INDEX(CSINAPI!$C:$C,MATCH($C185,CSINAPI!$A:$A,0)),
IF($B185="CESAN",INDEX(CCESAN!$C:$C,MATCH($C185,CCESAN!$A:$A,0)),
IF($B185="SCORIO",INDEX(CSCORIO!$A:$A,MATCH($C185,CSCORIO!#REF!,0)),
IF($B185="MERC",INDEX(MERCADO!$D:$D,MATCH($C185,MERCADO!$A:$A,0)),
IF($B185="COMP",INDEX(COMPOSICAO!$G:$G,MATCH($C185,COMPOSICAO!$A:$A,0)),
""))))))),"")</f>
        <v>un</v>
      </c>
      <c r="F185" s="179">
        <f>VLOOKUP(A185,'MEMÓRIA DE CÁLCULO'!A:H,8,0)</f>
        <v>33</v>
      </c>
      <c r="G185" s="173">
        <f>IFERROR(
IF($B185="DER-ES",INDEX('CDER-ES'!$D:$D,MATCH($C185,'CDER-ES'!$A:$A,0)),
IF($B185="SINAPI",INDEX(CSINAPI!$D:$D,MATCH($C185,CSINAPI!$A:$A,0)),
IF($B185="CESAN",INDEX(CCESAN!$D:$D,MATCH($C185,CCESAN!$A:$A,0)),
IF($B185="SCORIO",INDEX(CSCORIO!$B:$B,MATCH($C185,CSCORIO!#REF!,0)),
IF($B185="MERC",INDEX(MERCADO!$E:$E,MATCH($C185,MERCADO!$A:$A,0)),
IF($B185="COMP",INDEX(COMPOSICAO!$H:$H,MATCH($C185,COMPOSICAO!$A:$A,0)),
0)))))),0)</f>
        <v>17.989999999999998</v>
      </c>
      <c r="H185" s="173">
        <f t="shared" si="171"/>
        <v>23.97</v>
      </c>
      <c r="I185" s="180">
        <f t="shared" si="172"/>
        <v>791.01</v>
      </c>
      <c r="J185" s="194">
        <f t="shared" ref="J185:J186" si="174">I185/I$179</f>
        <v>3.3990941593042036E-2</v>
      </c>
    </row>
    <row r="186" spans="1:10" ht="38.25">
      <c r="A186" s="175" t="s">
        <v>14727</v>
      </c>
      <c r="B186" s="176" t="s">
        <v>928</v>
      </c>
      <c r="C186" s="177">
        <v>89579</v>
      </c>
      <c r="D186" s="178" t="str">
        <f>IFERROR(PROPER(
IF($B186="DER-ES",INDEX('CDER-ES'!$B:$B,MATCH($C186,'CDER-ES'!$A:$A,0)),
IF($B186="SINAPI",INDEX(CSINAPI!$B:$B,MATCH($C186,CSINAPI!$A:$A,0)),
IF($B186="CESAN",INDEX(CCESAN!$B:$B,MATCH($C186,CCESAN!$A:$A,0)),
IF($B186="SCORIO",INDEX(CSCORIO!$B:$B,MATCH($C186,CSCORIO!$A:$A,0)),
IF($B186="MERC",INDEX(MERCADO!$B:$B,MATCH($C186,MERCADO!$A:$A,0)),
IF($B186="COMP",INDEX(COMPOSICAO!$B:$B,MATCH($C186,COMPOSICAO!$A:$A,0)),
""))))))),"*Verificar código*")</f>
        <v>Luva De Redução, Pvc, Soldável, Dn 50Mm X 25Mm, Instalado Em Prumada De Água   Fornecimento E Instalação. Af_06/2022</v>
      </c>
      <c r="E186" s="171" t="str">
        <f>IFERROR(LOWER(
IF($B186="DER-ES",INDEX('CDER-ES'!$C:$C,MATCH($C186,'CDER-ES'!$A:$A,0)),
IF($B186="SINAPI",INDEX(CSINAPI!$C:$C,MATCH($C186,CSINAPI!$A:$A,0)),
IF($B186="CESAN",INDEX(CCESAN!$C:$C,MATCH($C186,CCESAN!$A:$A,0)),
IF($B186="SCORIO",INDEX(CSCORIO!$A:$A,MATCH($C186,CSCORIO!#REF!,0)),
IF($B186="MERC",INDEX(MERCADO!$D:$D,MATCH($C186,MERCADO!$A:$A,0)),
IF($B186="COMP",INDEX(COMPOSICAO!$G:$G,MATCH($C186,COMPOSICAO!$A:$A,0)),
""))))))),"")</f>
        <v>un</v>
      </c>
      <c r="F186" s="179">
        <f>VLOOKUP(A186,'MEMÓRIA DE CÁLCULO'!A:H,8,0)</f>
        <v>27</v>
      </c>
      <c r="G186" s="173">
        <f>IFERROR(
IF($B186="DER-ES",INDEX('CDER-ES'!$D:$D,MATCH($C186,'CDER-ES'!$A:$A,0)),
IF($B186="SINAPI",INDEX(CSINAPI!$D:$D,MATCH($C186,CSINAPI!$A:$A,0)),
IF($B186="CESAN",INDEX(CCESAN!$D:$D,MATCH($C186,CCESAN!$A:$A,0)),
IF($B186="SCORIO",INDEX(CSCORIO!$B:$B,MATCH($C186,CSCORIO!#REF!,0)),
IF($B186="MERC",INDEX(MERCADO!$E:$E,MATCH($C186,MERCADO!$A:$A,0)),
IF($B186="COMP",INDEX(COMPOSICAO!$H:$H,MATCH($C186,COMPOSICAO!$A:$A,0)),
0)))))),0)</f>
        <v>13.12</v>
      </c>
      <c r="H186" s="173">
        <f t="shared" si="171"/>
        <v>17.48</v>
      </c>
      <c r="I186" s="180">
        <f t="shared" si="172"/>
        <v>471.96</v>
      </c>
      <c r="J186" s="194">
        <f t="shared" si="174"/>
        <v>2.028086218158066E-2</v>
      </c>
    </row>
    <row r="187" spans="1:10" ht="51">
      <c r="A187" s="175" t="s">
        <v>14728</v>
      </c>
      <c r="B187" s="176" t="s">
        <v>928</v>
      </c>
      <c r="C187" s="177">
        <v>89381</v>
      </c>
      <c r="D187" s="178" t="str">
        <f>IFERROR(PROPER(
IF($B187="DER-ES",INDEX('CDER-ES'!$B:$B,MATCH($C187,'CDER-ES'!$A:$A,0)),
IF($B187="SINAPI",INDEX(CSINAPI!$B:$B,MATCH($C187,CSINAPI!$A:$A,0)),
IF($B187="CESAN",INDEX(CCESAN!$B:$B,MATCH($C187,CCESAN!$A:$A,0)),
IF($B187="SCORIO",INDEX(CSCORIO!$B:$B,MATCH($C187,CSCORIO!$A:$A,0)),
IF($B187="MERC",INDEX(MERCADO!$B:$B,MATCH($C187,MERCADO!$A:$A,0)),
IF($B187="COMP",INDEX(COMPOSICAO!$B:$B,MATCH($C187,COMPOSICAO!$A:$A,0)),
""))))))),"*Verificar código*")</f>
        <v>Luva Com Bucha De Latão, Pvc, Soldável, Dn 25Mm X 3/4 , Instalado Em Ramal Ou Sub-Ramal De Água - Fornecimento E Instalação. Af_06/2022</v>
      </c>
      <c r="E187" s="171" t="str">
        <f>IFERROR(LOWER(
IF($B187="DER-ES",INDEX('CDER-ES'!$C:$C,MATCH($C187,'CDER-ES'!$A:$A,0)),
IF($B187="SINAPI",INDEX(CSINAPI!$C:$C,MATCH($C187,CSINAPI!$A:$A,0)),
IF($B187="CESAN",INDEX(CCESAN!$C:$C,MATCH($C187,CCESAN!$A:$A,0)),
IF($B187="SCORIO",INDEX(CSCORIO!$A:$A,MATCH($C187,CSCORIO!#REF!,0)),
IF($B187="MERC",INDEX(MERCADO!$D:$D,MATCH($C187,MERCADO!$A:$A,0)),
IF($B187="COMP",INDEX(COMPOSICAO!$G:$G,MATCH($C187,COMPOSICAO!$A:$A,0)),
""))))))),"")</f>
        <v>un</v>
      </c>
      <c r="F187" s="179">
        <f>VLOOKUP(A187,'MEMÓRIA DE CÁLCULO'!A:H,8,0)</f>
        <v>7</v>
      </c>
      <c r="G187" s="173">
        <f>IFERROR(
IF($B187="DER-ES",INDEX('CDER-ES'!$D:$D,MATCH($C187,'CDER-ES'!$A:$A,0)),
IF($B187="SINAPI",INDEX(CSINAPI!$D:$D,MATCH($C187,CSINAPI!$A:$A,0)),
IF($B187="CESAN",INDEX(CCESAN!$D:$D,MATCH($C187,CCESAN!$A:$A,0)),
IF($B187="SCORIO",INDEX(CSCORIO!$B:$B,MATCH($C187,CSCORIO!#REF!,0)),
IF($B187="MERC",INDEX(MERCADO!$E:$E,MATCH($C187,MERCADO!$A:$A,0)),
IF($B187="COMP",INDEX(COMPOSICAO!$H:$H,MATCH($C187,COMPOSICAO!$A:$A,0)),
0)))))),0)</f>
        <v>13.9</v>
      </c>
      <c r="H187" s="173">
        <f t="shared" si="171"/>
        <v>18.52</v>
      </c>
      <c r="I187" s="180">
        <f t="shared" si="172"/>
        <v>129.63999999999999</v>
      </c>
      <c r="J187" s="194">
        <f>I187/I$179</f>
        <v>5.5708343360032983E-3</v>
      </c>
    </row>
    <row r="188" spans="1:10" ht="38.25">
      <c r="A188" s="175" t="s">
        <v>14729</v>
      </c>
      <c r="B188" s="176" t="s">
        <v>928</v>
      </c>
      <c r="C188" s="177">
        <v>89440</v>
      </c>
      <c r="D188" s="178" t="str">
        <f>IFERROR(PROPER(
IF($B188="DER-ES",INDEX('CDER-ES'!$B:$B,MATCH($C188,'CDER-ES'!$A:$A,0)),
IF($B188="SINAPI",INDEX(CSINAPI!$B:$B,MATCH($C188,CSINAPI!$A:$A,0)),
IF($B188="CESAN",INDEX(CCESAN!$B:$B,MATCH($C188,CCESAN!$A:$A,0)),
IF($B188="SCORIO",INDEX(CSCORIO!$B:$B,MATCH($C188,CSCORIO!$A:$A,0)),
IF($B188="MERC",INDEX(MERCADO!$B:$B,MATCH($C188,MERCADO!$A:$A,0)),
IF($B188="COMP",INDEX(COMPOSICAO!$B:$B,MATCH($C188,COMPOSICAO!$A:$A,0)),
""))))))),"*Verificar código*")</f>
        <v>Te, Pvc, Soldável, Dn 25Mm, Instalado Em Ramal De Distribuição De Água - Fornecimento E Instalação. Af_06/2022</v>
      </c>
      <c r="E188" s="171" t="str">
        <f>IFERROR(LOWER(
IF($B188="DER-ES",INDEX('CDER-ES'!$C:$C,MATCH($C188,'CDER-ES'!$A:$A,0)),
IF($B188="SINAPI",INDEX(CSINAPI!$C:$C,MATCH($C188,CSINAPI!$A:$A,0)),
IF($B188="CESAN",INDEX(CCESAN!$C:$C,MATCH($C188,CCESAN!$A:$A,0)),
IF($B188="SCORIO",INDEX(CSCORIO!$A:$A,MATCH($C188,CSCORIO!#REF!,0)),
IF($B188="MERC",INDEX(MERCADO!$D:$D,MATCH($C188,MERCADO!$A:$A,0)),
IF($B188="COMP",INDEX(COMPOSICAO!$G:$G,MATCH($C188,COMPOSICAO!$A:$A,0)),
""))))))),"")</f>
        <v>un</v>
      </c>
      <c r="F188" s="179">
        <f>VLOOKUP(A188,'MEMÓRIA DE CÁLCULO'!A:H,8,0)</f>
        <v>4</v>
      </c>
      <c r="G188" s="173">
        <f>IFERROR(
IF($B188="DER-ES",INDEX('CDER-ES'!$D:$D,MATCH($C188,'CDER-ES'!$A:$A,0)),
IF($B188="SINAPI",INDEX(CSINAPI!$D:$D,MATCH($C188,CSINAPI!$A:$A,0)),
IF($B188="CESAN",INDEX(CCESAN!$D:$D,MATCH($C188,CCESAN!$A:$A,0)),
IF($B188="SCORIO",INDEX(CSCORIO!$B:$B,MATCH($C188,CSCORIO!#REF!,0)),
IF($B188="MERC",INDEX(MERCADO!$E:$E,MATCH($C188,MERCADO!$A:$A,0)),
IF($B188="COMP",INDEX(COMPOSICAO!$H:$H,MATCH($C188,COMPOSICAO!$A:$A,0)),
0)))))),0)</f>
        <v>11.31</v>
      </c>
      <c r="H188" s="173">
        <f t="shared" si="168"/>
        <v>15.07</v>
      </c>
      <c r="I188" s="180">
        <f t="shared" si="169"/>
        <v>60.28</v>
      </c>
      <c r="J188" s="194">
        <f t="shared" si="170"/>
        <v>2.5903262401595099E-3</v>
      </c>
    </row>
    <row r="189" spans="1:10" ht="38.25">
      <c r="A189" s="175" t="s">
        <v>14730</v>
      </c>
      <c r="B189" s="176" t="s">
        <v>928</v>
      </c>
      <c r="C189" s="177">
        <v>89625</v>
      </c>
      <c r="D189" s="178" t="str">
        <f>IFERROR(PROPER(
IF($B189="DER-ES",INDEX('CDER-ES'!$B:$B,MATCH($C189,'CDER-ES'!$A:$A,0)),
IF($B189="SINAPI",INDEX(CSINAPI!$B:$B,MATCH($C189,CSINAPI!$A:$A,0)),
IF($B189="CESAN",INDEX(CCESAN!$B:$B,MATCH($C189,CCESAN!$A:$A,0)),
IF($B189="SCORIO",INDEX(CSCORIO!$B:$B,MATCH($C189,CSCORIO!$A:$A,0)),
IF($B189="MERC",INDEX(MERCADO!$B:$B,MATCH($C189,MERCADO!$A:$A,0)),
IF($B189="COMP",INDEX(COMPOSICAO!$B:$B,MATCH($C189,COMPOSICAO!$A:$A,0)),
""))))))),"*Verificar código*")</f>
        <v>Te, Pvc, Soldável, Dn 50Mm, Instalado Em Prumada De Água - Fornecimento E Instalação. Af_06/2022</v>
      </c>
      <c r="E189" s="171" t="str">
        <f>IFERROR(LOWER(
IF($B189="DER-ES",INDEX('CDER-ES'!$C:$C,MATCH($C189,'CDER-ES'!$A:$A,0)),
IF($B189="SINAPI",INDEX(CSINAPI!$C:$C,MATCH($C189,CSINAPI!$A:$A,0)),
IF($B189="CESAN",INDEX(CCESAN!$C:$C,MATCH($C189,CCESAN!$A:$A,0)),
IF($B189="SCORIO",INDEX(CSCORIO!$A:$A,MATCH($C189,CSCORIO!#REF!,0)),
IF($B189="MERC",INDEX(MERCADO!$D:$D,MATCH($C189,MERCADO!$A:$A,0)),
IF($B189="COMP",INDEX(COMPOSICAO!$G:$G,MATCH($C189,COMPOSICAO!$A:$A,0)),
""))))))),"")</f>
        <v>un</v>
      </c>
      <c r="F189" s="179">
        <f>VLOOKUP(A189,'MEMÓRIA DE CÁLCULO'!A:H,8,0)</f>
        <v>44</v>
      </c>
      <c r="G189" s="173">
        <f>IFERROR(
IF($B189="DER-ES",INDEX('CDER-ES'!$D:$D,MATCH($C189,'CDER-ES'!$A:$A,0)),
IF($B189="SINAPI",INDEX(CSINAPI!$D:$D,MATCH($C189,CSINAPI!$A:$A,0)),
IF($B189="CESAN",INDEX(CCESAN!$D:$D,MATCH($C189,CCESAN!$A:$A,0)),
IF($B189="SCORIO",INDEX(CSCORIO!$B:$B,MATCH($C189,CSCORIO!#REF!,0)),
IF($B189="MERC",INDEX(MERCADO!$E:$E,MATCH($C189,MERCADO!$A:$A,0)),
IF($B189="COMP",INDEX(COMPOSICAO!$H:$H,MATCH($C189,COMPOSICAO!$A:$A,0)),
0)))))),0)</f>
        <v>24.51</v>
      </c>
      <c r="H189" s="173">
        <f t="shared" si="168"/>
        <v>32.659999999999997</v>
      </c>
      <c r="I189" s="180">
        <f t="shared" si="169"/>
        <v>1437.04</v>
      </c>
      <c r="J189" s="194">
        <f t="shared" si="170"/>
        <v>6.1751864966138388E-2</v>
      </c>
    </row>
    <row r="190" spans="1:10" ht="38.25">
      <c r="A190" s="175" t="s">
        <v>14731</v>
      </c>
      <c r="B190" s="176" t="s">
        <v>928</v>
      </c>
      <c r="C190" s="177">
        <v>94489</v>
      </c>
      <c r="D190" s="178" t="str">
        <f>IFERROR(PROPER(
IF($B190="DER-ES",INDEX('CDER-ES'!$B:$B,MATCH($C190,'CDER-ES'!$A:$A,0)),
IF($B190="SINAPI",INDEX(CSINAPI!$B:$B,MATCH($C190,CSINAPI!$A:$A,0)),
IF($B190="CESAN",INDEX(CCESAN!$B:$B,MATCH($C190,CCESAN!$A:$A,0)),
IF($B190="SCORIO",INDEX(CSCORIO!$B:$B,MATCH($C190,CSCORIO!$A:$A,0)),
IF($B190="MERC",INDEX(MERCADO!$B:$B,MATCH($C190,MERCADO!$A:$A,0)),
IF($B190="COMP",INDEX(COMPOSICAO!$B:$B,MATCH($C190,COMPOSICAO!$A:$A,0)),
""))))))),"*Verificar código*")</f>
        <v>Registro De Esfera, Pvc, Soldável, Com Volante, Dn  25 Mm - Fornecimento E Instalação. Af_08/2021</v>
      </c>
      <c r="E190" s="171" t="str">
        <f>IFERROR(LOWER(
IF($B190="DER-ES",INDEX('CDER-ES'!$C:$C,MATCH($C190,'CDER-ES'!$A:$A,0)),
IF($B190="SINAPI",INDEX(CSINAPI!$C:$C,MATCH($C190,CSINAPI!$A:$A,0)),
IF($B190="CESAN",INDEX(CCESAN!$C:$C,MATCH($C190,CCESAN!$A:$A,0)),
IF($B190="SCORIO",INDEX(CSCORIO!$A:$A,MATCH($C190,CSCORIO!#REF!,0)),
IF($B190="MERC",INDEX(MERCADO!$D:$D,MATCH($C190,MERCADO!$A:$A,0)),
IF($B190="COMP",INDEX(COMPOSICAO!$G:$G,MATCH($C190,COMPOSICAO!$A:$A,0)),
""))))))),"")</f>
        <v>un</v>
      </c>
      <c r="F190" s="179">
        <f>VLOOKUP(A190,'MEMÓRIA DE CÁLCULO'!A:H,8,0)</f>
        <v>2</v>
      </c>
      <c r="G190" s="173">
        <f>IFERROR(
IF($B190="DER-ES",INDEX('CDER-ES'!$D:$D,MATCH($C190,'CDER-ES'!$A:$A,0)),
IF($B190="SINAPI",INDEX(CSINAPI!$D:$D,MATCH($C190,CSINAPI!$A:$A,0)),
IF($B190="CESAN",INDEX(CCESAN!$D:$D,MATCH($C190,CCESAN!$A:$A,0)),
IF($B190="SCORIO",INDEX(CSCORIO!$B:$B,MATCH($C190,CSCORIO!#REF!,0)),
IF($B190="MERC",INDEX(MERCADO!$E:$E,MATCH($C190,MERCADO!$A:$A,0)),
IF($B190="COMP",INDEX(COMPOSICAO!$H:$H,MATCH($C190,COMPOSICAO!$A:$A,0)),
0)))))),0)</f>
        <v>36.64</v>
      </c>
      <c r="H190" s="173">
        <f t="shared" ref="H190:H192" si="175">ROUND(G190*(1+$J$2),2)</f>
        <v>48.82</v>
      </c>
      <c r="I190" s="180">
        <f t="shared" ref="I190:I192" si="176">ROUND($H190*F190,2)</f>
        <v>97.64</v>
      </c>
      <c r="J190" s="194">
        <f t="shared" ref="J190:J191" si="177">I190/I$179</f>
        <v>4.1957440957062801E-3</v>
      </c>
    </row>
    <row r="191" spans="1:10" ht="38.25">
      <c r="A191" s="175" t="s">
        <v>14732</v>
      </c>
      <c r="B191" s="176" t="s">
        <v>928</v>
      </c>
      <c r="C191" s="177">
        <v>94492</v>
      </c>
      <c r="D191" s="178" t="str">
        <f>IFERROR(PROPER(
IF($B191="DER-ES",INDEX('CDER-ES'!$B:$B,MATCH($C191,'CDER-ES'!$A:$A,0)),
IF($B191="SINAPI",INDEX(CSINAPI!$B:$B,MATCH($C191,CSINAPI!$A:$A,0)),
IF($B191="CESAN",INDEX(CCESAN!$B:$B,MATCH($C191,CCESAN!$A:$A,0)),
IF($B191="SCORIO",INDEX(CSCORIO!$B:$B,MATCH($C191,CSCORIO!$A:$A,0)),
IF($B191="MERC",INDEX(MERCADO!$B:$B,MATCH($C191,MERCADO!$A:$A,0)),
IF($B191="COMP",INDEX(COMPOSICAO!$B:$B,MATCH($C191,COMPOSICAO!$A:$A,0)),
""))))))),"*Verificar código*")</f>
        <v>Registro De Esfera, Pvc, Soldável, Com Volante, Dn  50 Mm - Fornecimento E Instalação. Af_08/2021</v>
      </c>
      <c r="E191" s="171" t="str">
        <f>IFERROR(LOWER(
IF($B191="DER-ES",INDEX('CDER-ES'!$C:$C,MATCH($C191,'CDER-ES'!$A:$A,0)),
IF($B191="SINAPI",INDEX(CSINAPI!$C:$C,MATCH($C191,CSINAPI!$A:$A,0)),
IF($B191="CESAN",INDEX(CCESAN!$C:$C,MATCH($C191,CCESAN!$A:$A,0)),
IF($B191="SCORIO",INDEX(CSCORIO!$A:$A,MATCH($C191,CSCORIO!#REF!,0)),
IF($B191="MERC",INDEX(MERCADO!$D:$D,MATCH($C191,MERCADO!$A:$A,0)),
IF($B191="COMP",INDEX(COMPOSICAO!$G:$G,MATCH($C191,COMPOSICAO!$A:$A,0)),
""))))))),"")</f>
        <v>un</v>
      </c>
      <c r="F191" s="179">
        <f>VLOOKUP(A191,'MEMÓRIA DE CÁLCULO'!A:H,8,0)</f>
        <v>5</v>
      </c>
      <c r="G191" s="173">
        <f>IFERROR(
IF($B191="DER-ES",INDEX('CDER-ES'!$D:$D,MATCH($C191,'CDER-ES'!$A:$A,0)),
IF($B191="SINAPI",INDEX(CSINAPI!$D:$D,MATCH($C191,CSINAPI!$A:$A,0)),
IF($B191="CESAN",INDEX(CCESAN!$D:$D,MATCH($C191,CCESAN!$A:$A,0)),
IF($B191="SCORIO",INDEX(CSCORIO!$B:$B,MATCH($C191,CSCORIO!#REF!,0)),
IF($B191="MERC",INDEX(MERCADO!$E:$E,MATCH($C191,MERCADO!$A:$A,0)),
IF($B191="COMP",INDEX(COMPOSICAO!$H:$H,MATCH($C191,COMPOSICAO!$A:$A,0)),
0)))))),0)</f>
        <v>77.13</v>
      </c>
      <c r="H191" s="173">
        <f t="shared" si="175"/>
        <v>102.78</v>
      </c>
      <c r="I191" s="180">
        <f t="shared" si="176"/>
        <v>513.9</v>
      </c>
      <c r="J191" s="194">
        <f t="shared" si="177"/>
        <v>2.2083089827769943E-2</v>
      </c>
    </row>
    <row r="192" spans="1:10" ht="38.25">
      <c r="A192" s="175" t="s">
        <v>14733</v>
      </c>
      <c r="B192" s="176" t="s">
        <v>928</v>
      </c>
      <c r="C192" s="177">
        <v>89987</v>
      </c>
      <c r="D192" s="178" t="str">
        <f>IFERROR(PROPER(
IF($B192="DER-ES",INDEX('CDER-ES'!$B:$B,MATCH($C192,'CDER-ES'!$A:$A,0)),
IF($B192="SINAPI",INDEX(CSINAPI!$B:$B,MATCH($C192,CSINAPI!$A:$A,0)),
IF($B192="CESAN",INDEX(CCESAN!$B:$B,MATCH($C192,CCESAN!$A:$A,0)),
IF($B192="SCORIO",INDEX(CSCORIO!$B:$B,MATCH($C192,CSCORIO!$A:$A,0)),
IF($B192="MERC",INDEX(MERCADO!$B:$B,MATCH($C192,MERCADO!$A:$A,0)),
IF($B192="COMP",INDEX(COMPOSICAO!$B:$B,MATCH($C192,COMPOSICAO!$A:$A,0)),
""))))))),"*Verificar código*")</f>
        <v>Registro De Gaveta Bruto, Latão, Roscável, 3/4", Com Acabamento E Canopla Cromados - Fornecimento E Instalação. Af_08/2021</v>
      </c>
      <c r="E192" s="171" t="str">
        <f>IFERROR(LOWER(
IF($B192="DER-ES",INDEX('CDER-ES'!$C:$C,MATCH($C192,'CDER-ES'!$A:$A,0)),
IF($B192="SINAPI",INDEX(CSINAPI!$C:$C,MATCH($C192,CSINAPI!$A:$A,0)),
IF($B192="CESAN",INDEX(CCESAN!$C:$C,MATCH($C192,CCESAN!$A:$A,0)),
IF($B192="SCORIO",INDEX(CSCORIO!$A:$A,MATCH($C192,CSCORIO!#REF!,0)),
IF($B192="MERC",INDEX(MERCADO!$D:$D,MATCH($C192,MERCADO!$A:$A,0)),
IF($B192="COMP",INDEX(COMPOSICAO!$G:$G,MATCH($C192,COMPOSICAO!$A:$A,0)),
""))))))),"")</f>
        <v>un</v>
      </c>
      <c r="F192" s="179">
        <f>VLOOKUP(A192,'MEMÓRIA DE CÁLCULO'!A:H,8,0)</f>
        <v>3</v>
      </c>
      <c r="G192" s="173">
        <f>IFERROR(
IF($B192="DER-ES",INDEX('CDER-ES'!$D:$D,MATCH($C192,'CDER-ES'!$A:$A,0)),
IF($B192="SINAPI",INDEX(CSINAPI!$D:$D,MATCH($C192,CSINAPI!$A:$A,0)),
IF($B192="CESAN",INDEX(CCESAN!$D:$D,MATCH($C192,CCESAN!$A:$A,0)),
IF($B192="SCORIO",INDEX(CSCORIO!$B:$B,MATCH($C192,CSCORIO!#REF!,0)),
IF($B192="MERC",INDEX(MERCADO!$E:$E,MATCH($C192,MERCADO!$A:$A,0)),
IF($B192="COMP",INDEX(COMPOSICAO!$H:$H,MATCH($C192,COMPOSICAO!$A:$A,0)),
0)))))),0)</f>
        <v>106.3</v>
      </c>
      <c r="H192" s="173">
        <f t="shared" si="175"/>
        <v>141.63999999999999</v>
      </c>
      <c r="I192" s="180">
        <f t="shared" si="176"/>
        <v>424.92</v>
      </c>
      <c r="J192" s="194">
        <f>I192/I$179</f>
        <v>1.8259479528344044E-2</v>
      </c>
    </row>
    <row r="193" spans="1:10" ht="38.25">
      <c r="A193" s="175" t="s">
        <v>14734</v>
      </c>
      <c r="B193" s="176" t="s">
        <v>928</v>
      </c>
      <c r="C193" s="177">
        <v>94794</v>
      </c>
      <c r="D193" s="178" t="str">
        <f>IFERROR(PROPER(
IF($B193="DER-ES",INDEX('CDER-ES'!$B:$B,MATCH($C193,'CDER-ES'!$A:$A,0)),
IF($B193="SINAPI",INDEX(CSINAPI!$B:$B,MATCH($C193,CSINAPI!$A:$A,0)),
IF($B193="CESAN",INDEX(CCESAN!$B:$B,MATCH($C193,CCESAN!$A:$A,0)),
IF($B193="SCORIO",INDEX(CSCORIO!$B:$B,MATCH($C193,CSCORIO!$A:$A,0)),
IF($B193="MERC",INDEX(MERCADO!$B:$B,MATCH($C193,MERCADO!$A:$A,0)),
IF($B193="COMP",INDEX(COMPOSICAO!$B:$B,MATCH($C193,COMPOSICAO!$A:$A,0)),
""))))))),"*Verificar código*")</f>
        <v>Registro De Gaveta Bruto, Latão, Roscável, 1 1/2", Com Acabamento E Canopla Cromados - Fornecimento E Instalação. Af_08/2021</v>
      </c>
      <c r="E193" s="171" t="str">
        <f>IFERROR(LOWER(
IF($B193="DER-ES",INDEX('CDER-ES'!$C:$C,MATCH($C193,'CDER-ES'!$A:$A,0)),
IF($B193="SINAPI",INDEX(CSINAPI!$C:$C,MATCH($C193,CSINAPI!$A:$A,0)),
IF($B193="CESAN",INDEX(CCESAN!$C:$C,MATCH($C193,CCESAN!$A:$A,0)),
IF($B193="SCORIO",INDEX(CSCORIO!$A:$A,MATCH($C193,CSCORIO!#REF!,0)),
IF($B193="MERC",INDEX(MERCADO!$D:$D,MATCH($C193,MERCADO!$A:$A,0)),
IF($B193="COMP",INDEX(COMPOSICAO!$G:$G,MATCH($C193,COMPOSICAO!$A:$A,0)),
""))))))),"")</f>
        <v>un</v>
      </c>
      <c r="F193" s="179">
        <f>VLOOKUP(A193,'MEMÓRIA DE CÁLCULO'!A:H,8,0)</f>
        <v>6</v>
      </c>
      <c r="G193" s="173">
        <f>IFERROR(
IF($B193="DER-ES",INDEX('CDER-ES'!$D:$D,MATCH($C193,'CDER-ES'!$A:$A,0)),
IF($B193="SINAPI",INDEX(CSINAPI!$D:$D,MATCH($C193,CSINAPI!$A:$A,0)),
IF($B193="CESAN",INDEX(CCESAN!$D:$D,MATCH($C193,CCESAN!$A:$A,0)),
IF($B193="SCORIO",INDEX(CSCORIO!$B:$B,MATCH($C193,CSCORIO!#REF!,0)),
IF($B193="MERC",INDEX(MERCADO!$E:$E,MATCH($C193,MERCADO!$A:$A,0)),
IF($B193="COMP",INDEX(COMPOSICAO!$H:$H,MATCH($C193,COMPOSICAO!$A:$A,0)),
0)))))),0)</f>
        <v>188.36</v>
      </c>
      <c r="H193" s="173">
        <f t="shared" ref="H193:H199" si="178">ROUND(G193*(1+$J$2),2)</f>
        <v>250.99</v>
      </c>
      <c r="I193" s="180">
        <f t="shared" ref="I193:I199" si="179">ROUND($H193*F193,2)</f>
        <v>1505.94</v>
      </c>
      <c r="J193" s="194">
        <f t="shared" ref="J193:J194" si="180">I193/I$179</f>
        <v>6.4712606139777917E-2</v>
      </c>
    </row>
    <row r="194" spans="1:10" ht="38.25">
      <c r="A194" s="175" t="s">
        <v>14735</v>
      </c>
      <c r="B194" s="176" t="s">
        <v>928</v>
      </c>
      <c r="C194" s="177">
        <v>89985</v>
      </c>
      <c r="D194" s="178" t="str">
        <f>IFERROR(PROPER(
IF($B194="DER-ES",INDEX('CDER-ES'!$B:$B,MATCH($C194,'CDER-ES'!$A:$A,0)),
IF($B194="SINAPI",INDEX(CSINAPI!$B:$B,MATCH($C194,CSINAPI!$A:$A,0)),
IF($B194="CESAN",INDEX(CCESAN!$B:$B,MATCH($C194,CCESAN!$A:$A,0)),
IF($B194="SCORIO",INDEX(CSCORIO!$B:$B,MATCH($C194,CSCORIO!$A:$A,0)),
IF($B194="MERC",INDEX(MERCADO!$B:$B,MATCH($C194,MERCADO!$A:$A,0)),
IF($B194="COMP",INDEX(COMPOSICAO!$B:$B,MATCH($C194,COMPOSICAO!$A:$A,0)),
""))))))),"*Verificar código*")</f>
        <v>Registro De Pressão Bruto, Latão, Roscável, 3/4", Com Acabamento E Canopla Cromados - Fornecimento E Instalação. Af_08/2021</v>
      </c>
      <c r="E194" s="171" t="str">
        <f>IFERROR(LOWER(
IF($B194="DER-ES",INDEX('CDER-ES'!$C:$C,MATCH($C194,'CDER-ES'!$A:$A,0)),
IF($B194="SINAPI",INDEX(CSINAPI!$C:$C,MATCH($C194,CSINAPI!$A:$A,0)),
IF($B194="CESAN",INDEX(CCESAN!$C:$C,MATCH($C194,CCESAN!$A:$A,0)),
IF($B194="SCORIO",INDEX(CSCORIO!$A:$A,MATCH($C194,CSCORIO!#REF!,0)),
IF($B194="MERC",INDEX(MERCADO!$D:$D,MATCH($C194,MERCADO!$A:$A,0)),
IF($B194="COMP",INDEX(COMPOSICAO!$G:$G,MATCH($C194,COMPOSICAO!$A:$A,0)),
""))))))),"")</f>
        <v>un</v>
      </c>
      <c r="F194" s="179">
        <f>VLOOKUP(A194,'MEMÓRIA DE CÁLCULO'!A:H,8,0)</f>
        <v>7</v>
      </c>
      <c r="G194" s="173">
        <f>IFERROR(
IF($B194="DER-ES",INDEX('CDER-ES'!$D:$D,MATCH($C194,'CDER-ES'!$A:$A,0)),
IF($B194="SINAPI",INDEX(CSINAPI!$D:$D,MATCH($C194,CSINAPI!$A:$A,0)),
IF($B194="CESAN",INDEX(CCESAN!$D:$D,MATCH($C194,CCESAN!$A:$A,0)),
IF($B194="SCORIO",INDEX(CSCORIO!$B:$B,MATCH($C194,CSCORIO!#REF!,0)),
IF($B194="MERC",INDEX(MERCADO!$E:$E,MATCH($C194,MERCADO!$A:$A,0)),
IF($B194="COMP",INDEX(COMPOSICAO!$H:$H,MATCH($C194,COMPOSICAO!$A:$A,0)),
0)))))),0)</f>
        <v>100.82</v>
      </c>
      <c r="H194" s="173">
        <f t="shared" si="178"/>
        <v>134.34</v>
      </c>
      <c r="I194" s="180">
        <f t="shared" si="179"/>
        <v>940.38</v>
      </c>
      <c r="J194" s="194">
        <f t="shared" si="180"/>
        <v>4.0409605005328468E-2</v>
      </c>
    </row>
    <row r="195" spans="1:10" ht="38.25">
      <c r="A195" s="175" t="s">
        <v>14736</v>
      </c>
      <c r="B195" s="176" t="s">
        <v>928</v>
      </c>
      <c r="C195" s="177">
        <v>99635</v>
      </c>
      <c r="D195" s="178" t="str">
        <f>IFERROR(PROPER(
IF($B195="DER-ES",INDEX('CDER-ES'!$B:$B,MATCH($C195,'CDER-ES'!$A:$A,0)),
IF($B195="SINAPI",INDEX(CSINAPI!$B:$B,MATCH($C195,CSINAPI!$A:$A,0)),
IF($B195="CESAN",INDEX(CCESAN!$B:$B,MATCH($C195,CCESAN!$A:$A,0)),
IF($B195="SCORIO",INDEX(CSCORIO!$B:$B,MATCH($C195,CSCORIO!$A:$A,0)),
IF($B195="MERC",INDEX(MERCADO!$B:$B,MATCH($C195,MERCADO!$A:$A,0)),
IF($B195="COMP",INDEX(COMPOSICAO!$B:$B,MATCH($C195,COMPOSICAO!$A:$A,0)),
""))))))),"*Verificar código*")</f>
        <v>Válvula De Descarga Metálica, Base 1 1/2", Acabamento Metalico Cromado - Fornecimento E Instalação. Af_08/2021</v>
      </c>
      <c r="E195" s="171" t="str">
        <f>IFERROR(LOWER(
IF($B195="DER-ES",INDEX('CDER-ES'!$C:$C,MATCH($C195,'CDER-ES'!$A:$A,0)),
IF($B195="SINAPI",INDEX(CSINAPI!$C:$C,MATCH($C195,CSINAPI!$A:$A,0)),
IF($B195="CESAN",INDEX(CCESAN!$C:$C,MATCH($C195,CCESAN!$A:$A,0)),
IF($B195="SCORIO",INDEX(CSCORIO!$A:$A,MATCH($C195,CSCORIO!#REF!,0)),
IF($B195="MERC",INDEX(MERCADO!$D:$D,MATCH($C195,MERCADO!$A:$A,0)),
IF($B195="COMP",INDEX(COMPOSICAO!$G:$G,MATCH($C195,COMPOSICAO!$A:$A,0)),
""))))))),"")</f>
        <v>un</v>
      </c>
      <c r="F195" s="179">
        <f>VLOOKUP(A195,'MEMÓRIA DE CÁLCULO'!A:H,8,0)</f>
        <v>10</v>
      </c>
      <c r="G195" s="173">
        <f>IFERROR(
IF($B195="DER-ES",INDEX('CDER-ES'!$D:$D,MATCH($C195,'CDER-ES'!$A:$A,0)),
IF($B195="SINAPI",INDEX(CSINAPI!$D:$D,MATCH($C195,CSINAPI!$A:$A,0)),
IF($B195="CESAN",INDEX(CCESAN!$D:$D,MATCH($C195,CCESAN!$A:$A,0)),
IF($B195="SCORIO",INDEX(CSCORIO!$B:$B,MATCH($C195,CSCORIO!#REF!,0)),
IF($B195="MERC",INDEX(MERCADO!$E:$E,MATCH($C195,MERCADO!$A:$A,0)),
IF($B195="COMP",INDEX(COMPOSICAO!$H:$H,MATCH($C195,COMPOSICAO!$A:$A,0)),
0)))))),0)</f>
        <v>320.31</v>
      </c>
      <c r="H195" s="173">
        <f t="shared" ref="H195:H198" si="181">ROUND(G195*(1+$J$2),2)</f>
        <v>426.81</v>
      </c>
      <c r="I195" s="180">
        <f t="shared" ref="I195:I198" si="182">ROUND($H195*F195,2)</f>
        <v>4268.1000000000004</v>
      </c>
      <c r="J195" s="194">
        <f>I195/I$179</f>
        <v>0.18340695795661588</v>
      </c>
    </row>
    <row r="196" spans="1:10" ht="25.5">
      <c r="A196" s="175" t="s">
        <v>14737</v>
      </c>
      <c r="B196" s="176" t="s">
        <v>929</v>
      </c>
      <c r="C196" s="177">
        <v>7</v>
      </c>
      <c r="D196" s="178" t="str">
        <f>IFERROR(PROPER(
IF($B196="DER-ES",INDEX('CDER-ES'!$B:$B,MATCH($C196,'CDER-ES'!$A:$A,0)),
IF($B196="SINAPI",INDEX(CSINAPI!$B:$B,MATCH($C196,CSINAPI!$A:$A,0)),
IF($B196="CESAN",INDEX(CCESAN!$B:$B,MATCH($C196,CCESAN!$A:$A,0)),
IF($B196="SCORIO",INDEX(CSCORIO!$B:$B,MATCH($C196,CSCORIO!$A:$A,0)),
IF($B196="MERC",INDEX(MERCADO!$B:$B,MATCH($C196,MERCADO!$A:$A,0)),
IF($B196="COMP",INDEX(COMPOSICAO!$B:$B,MATCH($C196,COMPOSICAO!$A:$A,0)),
""))))))),"*Verificar código*")</f>
        <v>Tubo Vde Com Joelho 90° (Azul) Para Válvula De Descarga, Dn 38 Mm</v>
      </c>
      <c r="E196" s="171" t="str">
        <f>IFERROR(LOWER(
IF($B196="DER-ES",INDEX('CDER-ES'!$C:$C,MATCH($C196,'CDER-ES'!$A:$A,0)),
IF($B196="SINAPI",INDEX(CSINAPI!$C:$C,MATCH($C196,CSINAPI!$A:$A,0)),
IF($B196="CESAN",INDEX(CCESAN!$C:$C,MATCH($C196,CCESAN!$A:$A,0)),
IF($B196="SCORIO",INDEX(CSCORIO!$A:$A,MATCH($C196,CSCORIO!#REF!,0)),
IF($B196="MERC",INDEX(MERCADO!$D:$D,MATCH($C196,MERCADO!$A:$A,0)),
IF($B196="COMP",INDEX(COMPOSICAO!$G:$G,MATCH($C196,COMPOSICAO!$A:$A,0)),
""))))))),"")</f>
        <v>pç</v>
      </c>
      <c r="F196" s="179">
        <f>VLOOKUP(A196,'MEMÓRIA DE CÁLCULO'!A:H,8,0)</f>
        <v>10</v>
      </c>
      <c r="G196" s="173">
        <f>IFERROR(
IF($B196="DER-ES",INDEX('CDER-ES'!$D:$D,MATCH($C196,'CDER-ES'!$A:$A,0)),
IF($B196="SINAPI",INDEX(CSINAPI!$D:$D,MATCH($C196,CSINAPI!$A:$A,0)),
IF($B196="CESAN",INDEX(CCESAN!$D:$D,MATCH($C196,CCESAN!$A:$A,0)),
IF($B196="SCORIO",INDEX(CSCORIO!$B:$B,MATCH($C196,CSCORIO!#REF!,0)),
IF($B196="MERC",INDEX(MERCADO!$E:$E,MATCH($C196,MERCADO!$A:$A,0)),
IF($B196="COMP",INDEX(COMPOSICAO!$H:$H,MATCH($C196,COMPOSICAO!$A:$A,0)),
0)))))),0)</f>
        <v>21.38</v>
      </c>
      <c r="H196" s="173">
        <f t="shared" si="181"/>
        <v>28.49</v>
      </c>
      <c r="I196" s="180">
        <f t="shared" si="182"/>
        <v>284.89999999999998</v>
      </c>
      <c r="J196" s="194">
        <f t="shared" ref="J196:J197" si="183">I196/I$179</f>
        <v>1.2242600295644399E-2</v>
      </c>
    </row>
    <row r="197" spans="1:10" ht="38.25">
      <c r="A197" s="175" t="s">
        <v>14738</v>
      </c>
      <c r="B197" s="176" t="s">
        <v>928</v>
      </c>
      <c r="C197" s="177">
        <v>89402</v>
      </c>
      <c r="D197" s="178" t="str">
        <f>IFERROR(PROPER(
IF($B197="DER-ES",INDEX('CDER-ES'!$B:$B,MATCH($C197,'CDER-ES'!$A:$A,0)),
IF($B197="SINAPI",INDEX(CSINAPI!$B:$B,MATCH($C197,CSINAPI!$A:$A,0)),
IF($B197="CESAN",INDEX(CCESAN!$B:$B,MATCH($C197,CCESAN!$A:$A,0)),
IF($B197="SCORIO",INDEX(CSCORIO!$B:$B,MATCH($C197,CSCORIO!$A:$A,0)),
IF($B197="MERC",INDEX(MERCADO!$B:$B,MATCH($C197,MERCADO!$A:$A,0)),
IF($B197="COMP",INDEX(COMPOSICAO!$B:$B,MATCH($C197,COMPOSICAO!$A:$A,0)),
""))))))),"*Verificar código*")</f>
        <v>Tubo, Pvc, Soldável, Dn 25Mm, Instalado Em Ramal De Distribuição De Água - Fornecimento E Instalação. Af_06/2022</v>
      </c>
      <c r="E197" s="171" t="str">
        <f>IFERROR(LOWER(
IF($B197="DER-ES",INDEX('CDER-ES'!$C:$C,MATCH($C197,'CDER-ES'!$A:$A,0)),
IF($B197="SINAPI",INDEX(CSINAPI!$C:$C,MATCH($C197,CSINAPI!$A:$A,0)),
IF($B197="CESAN",INDEX(CCESAN!$C:$C,MATCH($C197,CCESAN!$A:$A,0)),
IF($B197="SCORIO",INDEX(CSCORIO!$A:$A,MATCH($C197,CSCORIO!#REF!,0)),
IF($B197="MERC",INDEX(MERCADO!$D:$D,MATCH($C197,MERCADO!$A:$A,0)),
IF($B197="COMP",INDEX(COMPOSICAO!$G:$G,MATCH($C197,COMPOSICAO!$A:$A,0)),
""))))))),"")</f>
        <v>m</v>
      </c>
      <c r="F197" s="179">
        <f>VLOOKUP(A197,'MEMÓRIA DE CÁLCULO'!A:H,8,0)</f>
        <v>112</v>
      </c>
      <c r="G197" s="173">
        <f>IFERROR(
IF($B197="DER-ES",INDEX('CDER-ES'!$D:$D,MATCH($C197,'CDER-ES'!$A:$A,0)),
IF($B197="SINAPI",INDEX(CSINAPI!$D:$D,MATCH($C197,CSINAPI!$A:$A,0)),
IF($B197="CESAN",INDEX(CCESAN!$D:$D,MATCH($C197,CCESAN!$A:$A,0)),
IF($B197="SCORIO",INDEX(CSCORIO!$B:$B,MATCH($C197,CSCORIO!#REF!,0)),
IF($B197="MERC",INDEX(MERCADO!$E:$E,MATCH($C197,MERCADO!$A:$A,0)),
IF($B197="COMP",INDEX(COMPOSICAO!$H:$H,MATCH($C197,COMPOSICAO!$A:$A,0)),
0)))))),0)</f>
        <v>12.92</v>
      </c>
      <c r="H197" s="173">
        <f t="shared" si="181"/>
        <v>17.22</v>
      </c>
      <c r="I197" s="180">
        <f t="shared" si="182"/>
        <v>1928.64</v>
      </c>
      <c r="J197" s="194">
        <f t="shared" si="183"/>
        <v>8.2876688782701352E-2</v>
      </c>
    </row>
    <row r="198" spans="1:10" ht="38.25">
      <c r="A198" s="175" t="s">
        <v>14739</v>
      </c>
      <c r="B198" s="176" t="s">
        <v>928</v>
      </c>
      <c r="C198" s="177">
        <v>89449</v>
      </c>
      <c r="D198" s="178" t="str">
        <f>IFERROR(PROPER(
IF($B198="DER-ES",INDEX('CDER-ES'!$B:$B,MATCH($C198,'CDER-ES'!$A:$A,0)),
IF($B198="SINAPI",INDEX(CSINAPI!$B:$B,MATCH($C198,CSINAPI!$A:$A,0)),
IF($B198="CESAN",INDEX(CCESAN!$B:$B,MATCH($C198,CCESAN!$A:$A,0)),
IF($B198="SCORIO",INDEX(CSCORIO!$B:$B,MATCH($C198,CSCORIO!$A:$A,0)),
IF($B198="MERC",INDEX(MERCADO!$B:$B,MATCH($C198,MERCADO!$A:$A,0)),
IF($B198="COMP",INDEX(COMPOSICAO!$B:$B,MATCH($C198,COMPOSICAO!$A:$A,0)),
""))))))),"*Verificar código*")</f>
        <v>Tubo, Pvc, Soldável, Dn 50Mm, Instalado Em Prumada De Água - Fornecimento E Instalação. Af_06/2022</v>
      </c>
      <c r="E198" s="171" t="str">
        <f>IFERROR(LOWER(
IF($B198="DER-ES",INDEX('CDER-ES'!$C:$C,MATCH($C198,'CDER-ES'!$A:$A,0)),
IF($B198="SINAPI",INDEX(CSINAPI!$C:$C,MATCH($C198,CSINAPI!$A:$A,0)),
IF($B198="CESAN",INDEX(CCESAN!$C:$C,MATCH($C198,CCESAN!$A:$A,0)),
IF($B198="SCORIO",INDEX(CSCORIO!$A:$A,MATCH($C198,CSCORIO!#REF!,0)),
IF($B198="MERC",INDEX(MERCADO!$D:$D,MATCH($C198,MERCADO!$A:$A,0)),
IF($B198="COMP",INDEX(COMPOSICAO!$G:$G,MATCH($C198,COMPOSICAO!$A:$A,0)),
""))))))),"")</f>
        <v>m</v>
      </c>
      <c r="F198" s="179">
        <f>VLOOKUP(A198,'MEMÓRIA DE CÁLCULO'!A:H,8,0)</f>
        <v>129</v>
      </c>
      <c r="G198" s="173">
        <f>IFERROR(
IF($B198="DER-ES",INDEX('CDER-ES'!$D:$D,MATCH($C198,'CDER-ES'!$A:$A,0)),
IF($B198="SINAPI",INDEX(CSINAPI!$D:$D,MATCH($C198,CSINAPI!$A:$A,0)),
IF($B198="CESAN",INDEX(CCESAN!$D:$D,MATCH($C198,CCESAN!$A:$A,0)),
IF($B198="SCORIO",INDEX(CSCORIO!$B:$B,MATCH($C198,CSCORIO!#REF!,0)),
IF($B198="MERC",INDEX(MERCADO!$E:$E,MATCH($C198,MERCADO!$A:$A,0)),
IF($B198="COMP",INDEX(COMPOSICAO!$H:$H,MATCH($C198,COMPOSICAO!$A:$A,0)),
0)))))),0)</f>
        <v>23.11</v>
      </c>
      <c r="H198" s="173">
        <f t="shared" si="181"/>
        <v>30.79</v>
      </c>
      <c r="I198" s="180">
        <f t="shared" si="182"/>
        <v>3971.91</v>
      </c>
      <c r="J198" s="194">
        <f>I198/I$179</f>
        <v>0.17067920863556668</v>
      </c>
    </row>
    <row r="199" spans="1:10" ht="38.25">
      <c r="A199" s="175" t="s">
        <v>14740</v>
      </c>
      <c r="B199" s="176" t="s">
        <v>928</v>
      </c>
      <c r="C199" s="177">
        <v>102615</v>
      </c>
      <c r="D199" s="178" t="str">
        <f>IFERROR(PROPER(
IF($B199="DER-ES",INDEX('CDER-ES'!$B:$B,MATCH($C199,'CDER-ES'!$A:$A,0)),
IF($B199="SINAPI",INDEX(CSINAPI!$B:$B,MATCH($C199,CSINAPI!$A:$A,0)),
IF($B199="CESAN",INDEX(CCESAN!$B:$B,MATCH($C199,CCESAN!$A:$A,0)),
IF($B199="SCORIO",INDEX(CSCORIO!$B:$B,MATCH($C199,CSCORIO!$A:$A,0)),
IF($B199="MERC",INDEX(MERCADO!$B:$B,MATCH($C199,MERCADO!$A:$A,0)),
IF($B199="COMP",INDEX(COMPOSICAO!$B:$B,MATCH($C199,COMPOSICAO!$A:$A,0)),
""))))))),"*Verificar código*")</f>
        <v>Caixa D´Água Em Poliéster Reforçado Com Fibra De Vidro, 2000 Litros - Fornecimento E Instalação. Af_06/2021</v>
      </c>
      <c r="E199" s="171" t="str">
        <f>IFERROR(LOWER(
IF($B199="DER-ES",INDEX('CDER-ES'!$C:$C,MATCH($C199,'CDER-ES'!$A:$A,0)),
IF($B199="SINAPI",INDEX(CSINAPI!$C:$C,MATCH($C199,CSINAPI!$A:$A,0)),
IF($B199="CESAN",INDEX(CCESAN!$C:$C,MATCH($C199,CCESAN!$A:$A,0)),
IF($B199="SCORIO",INDEX(CSCORIO!$A:$A,MATCH($C199,CSCORIO!#REF!,0)),
IF($B199="MERC",INDEX(MERCADO!$D:$D,MATCH($C199,MERCADO!$A:$A,0)),
IF($B199="COMP",INDEX(COMPOSICAO!$G:$G,MATCH($C199,COMPOSICAO!$A:$A,0)),
""))))))),"")</f>
        <v>un</v>
      </c>
      <c r="F199" s="179">
        <f>VLOOKUP(A199,'MEMÓRIA DE CÁLCULO'!A:H,8,0)</f>
        <v>2</v>
      </c>
      <c r="G199" s="173">
        <f>IFERROR(
IF($B199="DER-ES",INDEX('CDER-ES'!$D:$D,MATCH($C199,'CDER-ES'!$A:$A,0)),
IF($B199="SINAPI",INDEX(CSINAPI!$D:$D,MATCH($C199,CSINAPI!$A:$A,0)),
IF($B199="CESAN",INDEX(CCESAN!$D:$D,MATCH($C199,CCESAN!$A:$A,0)),
IF($B199="SCORIO",INDEX(CSCORIO!$B:$B,MATCH($C199,CSCORIO!#REF!,0)),
IF($B199="MERC",INDEX(MERCADO!$E:$E,MATCH($C199,MERCADO!$A:$A,0)),
IF($B199="COMP",INDEX(COMPOSICAO!$H:$H,MATCH($C199,COMPOSICAO!$A:$A,0)),
0)))))),0)</f>
        <v>1278.17</v>
      </c>
      <c r="H199" s="173">
        <f t="shared" si="178"/>
        <v>1703.16</v>
      </c>
      <c r="I199" s="180">
        <f t="shared" si="179"/>
        <v>3406.32</v>
      </c>
      <c r="J199" s="194">
        <f>I199/I$179</f>
        <v>0.14637491835401698</v>
      </c>
    </row>
    <row r="200" spans="1:10" ht="25.5">
      <c r="A200" s="175" t="s">
        <v>14741</v>
      </c>
      <c r="B200" s="176" t="s">
        <v>928</v>
      </c>
      <c r="C200" s="177">
        <v>94796</v>
      </c>
      <c r="D200" s="178" t="str">
        <f>IFERROR(PROPER(
IF($B200="DER-ES",INDEX('CDER-ES'!$B:$B,MATCH($C200,'CDER-ES'!$A:$A,0)),
IF($B200="SINAPI",INDEX(CSINAPI!$B:$B,MATCH($C200,CSINAPI!$A:$A,0)),
IF($B200="CESAN",INDEX(CCESAN!$B:$B,MATCH($C200,CCESAN!$A:$A,0)),
IF($B200="SCORIO",INDEX(CSCORIO!$B:$B,MATCH($C200,CSCORIO!$A:$A,0)),
IF($B200="MERC",INDEX(MERCADO!$B:$B,MATCH($C200,MERCADO!$A:$A,0)),
IF($B200="COMP",INDEX(COMPOSICAO!$B:$B,MATCH($C200,COMPOSICAO!$A:$A,0)),
""))))))),"*Verificar código*")</f>
        <v>Torneira De Boia Para Caixa D'Água, Roscável, 3/4" - Fornecimento E Instalação. Af_08/2021</v>
      </c>
      <c r="E200" s="171" t="str">
        <f>IFERROR(LOWER(
IF($B200="DER-ES",INDEX('CDER-ES'!$C:$C,MATCH($C200,'CDER-ES'!$A:$A,0)),
IF($B200="SINAPI",INDEX(CSINAPI!$C:$C,MATCH($C200,CSINAPI!$A:$A,0)),
IF($B200="CESAN",INDEX(CCESAN!$C:$C,MATCH($C200,CCESAN!$A:$A,0)),
IF($B200="SCORIO",INDEX(CSCORIO!$A:$A,MATCH($C200,CSCORIO!#REF!,0)),
IF($B200="MERC",INDEX(MERCADO!$D:$D,MATCH($C200,MERCADO!$A:$A,0)),
IF($B200="COMP",INDEX(COMPOSICAO!$G:$G,MATCH($C200,COMPOSICAO!$A:$A,0)),
""))))))),"")</f>
        <v>un</v>
      </c>
      <c r="F200" s="179">
        <f>VLOOKUP(A200,'MEMÓRIA DE CÁLCULO'!A:H,8,0)</f>
        <v>2</v>
      </c>
      <c r="G200" s="173">
        <f>IFERROR(
IF($B200="DER-ES",INDEX('CDER-ES'!$D:$D,MATCH($C200,'CDER-ES'!$A:$A,0)),
IF($B200="SINAPI",INDEX(CSINAPI!$D:$D,MATCH($C200,CSINAPI!$A:$A,0)),
IF($B200="CESAN",INDEX(CCESAN!$D:$D,MATCH($C200,CCESAN!$A:$A,0)),
IF($B200="SCORIO",INDEX(CSCORIO!$B:$B,MATCH($C200,CSCORIO!#REF!,0)),
IF($B200="MERC",INDEX(MERCADO!$E:$E,MATCH($C200,MERCADO!$A:$A,0)),
IF($B200="COMP",INDEX(COMPOSICAO!$H:$H,MATCH($C200,COMPOSICAO!$A:$A,0)),
0)))))),0)</f>
        <v>41.18</v>
      </c>
      <c r="H200" s="173">
        <f t="shared" si="168"/>
        <v>54.87</v>
      </c>
      <c r="I200" s="180">
        <f t="shared" si="169"/>
        <v>109.74</v>
      </c>
      <c r="J200" s="194">
        <f t="shared" si="170"/>
        <v>4.7157000928185902E-3</v>
      </c>
    </row>
    <row r="201" spans="1:10" ht="63.75">
      <c r="A201" s="175" t="s">
        <v>14742</v>
      </c>
      <c r="B201" s="176" t="s">
        <v>928</v>
      </c>
      <c r="C201" s="177">
        <v>94703</v>
      </c>
      <c r="D201" s="178" t="str">
        <f>IFERROR(PROPER(
IF($B201="DER-ES",INDEX('CDER-ES'!$B:$B,MATCH($C201,'CDER-ES'!$A:$A,0)),
IF($B201="SINAPI",INDEX(CSINAPI!$B:$B,MATCH($C201,CSINAPI!$A:$A,0)),
IF($B201="CESAN",INDEX(CCESAN!$B:$B,MATCH($C201,CCESAN!$A:$A,0)),
IF($B201="SCORIO",INDEX(CSCORIO!$B:$B,MATCH($C201,CSCORIO!$A:$A,0)),
IF($B201="MERC",INDEX(MERCADO!$B:$B,MATCH($C201,MERCADO!$A:$A,0)),
IF($B201="COMP",INDEX(COMPOSICAO!$B:$B,MATCH($C201,COMPOSICAO!$A:$A,0)),
""))))))),"*Verificar código*")</f>
        <v>Adaptador Com Flange E Anel De Vedação, Pvc, Soldável, Dn  25 Mm X 3/4 , Instalado Em Reservação De Água De Edificação Que Possua Reservatório De Fibra/Fibrocimento   Fornecimento E Instalação. Af_06/2016</v>
      </c>
      <c r="E201" s="171" t="str">
        <f>IFERROR(LOWER(
IF($B201="DER-ES",INDEX('CDER-ES'!$C:$C,MATCH($C201,'CDER-ES'!$A:$A,0)),
IF($B201="SINAPI",INDEX(CSINAPI!$C:$C,MATCH($C201,CSINAPI!$A:$A,0)),
IF($B201="CESAN",INDEX(CCESAN!$C:$C,MATCH($C201,CCESAN!$A:$A,0)),
IF($B201="SCORIO",INDEX(CSCORIO!$A:$A,MATCH($C201,CSCORIO!#REF!,0)),
IF($B201="MERC",INDEX(MERCADO!$D:$D,MATCH($C201,MERCADO!$A:$A,0)),
IF($B201="COMP",INDEX(COMPOSICAO!$G:$G,MATCH($C201,COMPOSICAO!$A:$A,0)),
""))))))),"")</f>
        <v>un</v>
      </c>
      <c r="F201" s="179">
        <f>VLOOKUP(A201,'MEMÓRIA DE CÁLCULO'!A:H,8,0)</f>
        <v>2</v>
      </c>
      <c r="G201" s="173">
        <f>IFERROR(
IF($B201="DER-ES",INDEX('CDER-ES'!$D:$D,MATCH($C201,'CDER-ES'!$A:$A,0)),
IF($B201="SINAPI",INDEX(CSINAPI!$D:$D,MATCH($C201,CSINAPI!$A:$A,0)),
IF($B201="CESAN",INDEX(CCESAN!$D:$D,MATCH($C201,CCESAN!$A:$A,0)),
IF($B201="SCORIO",INDEX(CSCORIO!$B:$B,MATCH($C201,CSCORIO!#REF!,0)),
IF($B201="MERC",INDEX(MERCADO!$E:$E,MATCH($C201,MERCADO!$A:$A,0)),
IF($B201="COMP",INDEX(COMPOSICAO!$H:$H,MATCH($C201,COMPOSICAO!$A:$A,0)),
0)))))),0)</f>
        <v>24.29</v>
      </c>
      <c r="H201" s="173">
        <f t="shared" si="168"/>
        <v>32.369999999999997</v>
      </c>
      <c r="I201" s="180">
        <f t="shared" si="169"/>
        <v>64.739999999999995</v>
      </c>
      <c r="J201" s="194">
        <f t="shared" si="170"/>
        <v>2.7819794424009067E-3</v>
      </c>
    </row>
    <row r="202" spans="1:10" ht="63.75">
      <c r="A202" s="175" t="s">
        <v>14743</v>
      </c>
      <c r="B202" s="176" t="s">
        <v>928</v>
      </c>
      <c r="C202" s="177">
        <v>94706</v>
      </c>
      <c r="D202" s="178" t="str">
        <f>IFERROR(PROPER(
IF($B202="DER-ES",INDEX('CDER-ES'!$B:$B,MATCH($C202,'CDER-ES'!$A:$A,0)),
IF($B202="SINAPI",INDEX(CSINAPI!$B:$B,MATCH($C202,CSINAPI!$A:$A,0)),
IF($B202="CESAN",INDEX(CCESAN!$B:$B,MATCH($C202,CCESAN!$A:$A,0)),
IF($B202="SCORIO",INDEX(CSCORIO!$B:$B,MATCH($C202,CSCORIO!$A:$A,0)),
IF($B202="MERC",INDEX(MERCADO!$B:$B,MATCH($C202,MERCADO!$A:$A,0)),
IF($B202="COMP",INDEX(COMPOSICAO!$B:$B,MATCH($C202,COMPOSICAO!$A:$A,0)),
""))))))),"*Verificar código*")</f>
        <v>Adaptador Com Flange E Anel De Vedação, Pvc, Soldável, Dn 50 Mm X 1 1/2 , Instalado Em Reservação De Água De Edificação Que Possua Reservatório De Fibra/Fibrocimento   Fornecimento E Instalação. Af_06/2016</v>
      </c>
      <c r="E202" s="171" t="str">
        <f>IFERROR(LOWER(
IF($B202="DER-ES",INDEX('CDER-ES'!$C:$C,MATCH($C202,'CDER-ES'!$A:$A,0)),
IF($B202="SINAPI",INDEX(CSINAPI!$C:$C,MATCH($C202,CSINAPI!$A:$A,0)),
IF($B202="CESAN",INDEX(CCESAN!$C:$C,MATCH($C202,CCESAN!$A:$A,0)),
IF($B202="SCORIO",INDEX(CSCORIO!$A:$A,MATCH($C202,CSCORIO!#REF!,0)),
IF($B202="MERC",INDEX(MERCADO!$D:$D,MATCH($C202,MERCADO!$A:$A,0)),
IF($B202="COMP",INDEX(COMPOSICAO!$G:$G,MATCH($C202,COMPOSICAO!$A:$A,0)),
""))))))),"")</f>
        <v>un</v>
      </c>
      <c r="F202" s="179">
        <f>VLOOKUP(A202,'MEMÓRIA DE CÁLCULO'!A:H,8,0)</f>
        <v>8</v>
      </c>
      <c r="G202" s="173">
        <f>IFERROR(
IF($B202="DER-ES",INDEX('CDER-ES'!$D:$D,MATCH($C202,'CDER-ES'!$A:$A,0)),
IF($B202="SINAPI",INDEX(CSINAPI!$D:$D,MATCH($C202,CSINAPI!$A:$A,0)),
IF($B202="CESAN",INDEX(CCESAN!$D:$D,MATCH($C202,CCESAN!$A:$A,0)),
IF($B202="SCORIO",INDEX(CSCORIO!$B:$B,MATCH($C202,CSCORIO!#REF!,0)),
IF($B202="MERC",INDEX(MERCADO!$E:$E,MATCH($C202,MERCADO!$A:$A,0)),
IF($B202="COMP",INDEX(COMPOSICAO!$H:$H,MATCH($C202,COMPOSICAO!$A:$A,0)),
0)))))),0)</f>
        <v>51.07</v>
      </c>
      <c r="H202" s="173">
        <f t="shared" ref="H202" si="184">ROUND(G202*(1+$J$2),2)</f>
        <v>68.05</v>
      </c>
      <c r="I202" s="180">
        <f t="shared" ref="I202" si="185">ROUND($H202*F202,2)</f>
        <v>544.4</v>
      </c>
      <c r="J202" s="194">
        <f>I202/I$179</f>
        <v>2.3393722713053039E-2</v>
      </c>
    </row>
    <row r="203" spans="1:10">
      <c r="A203" s="167" t="s">
        <v>12621</v>
      </c>
      <c r="B203" s="168"/>
      <c r="C203" s="169"/>
      <c r="D203" s="170" t="s">
        <v>13940</v>
      </c>
      <c r="E203" s="171"/>
      <c r="F203" s="172"/>
      <c r="G203" s="173"/>
      <c r="H203" s="173"/>
      <c r="I203" s="174">
        <f>SUBTOTAL(9,I205:I212)</f>
        <v>41318.07</v>
      </c>
      <c r="J203" s="174">
        <f>SUBTOTAL(9,J205:J212)</f>
        <v>1</v>
      </c>
    </row>
    <row r="204" spans="1:10">
      <c r="A204" s="167" t="s">
        <v>12622</v>
      </c>
      <c r="B204" s="168"/>
      <c r="C204" s="169"/>
      <c r="D204" s="170" t="s">
        <v>13941</v>
      </c>
      <c r="E204" s="171"/>
      <c r="F204" s="172"/>
      <c r="G204" s="173"/>
      <c r="H204" s="173"/>
      <c r="I204" s="174"/>
      <c r="J204" s="193"/>
    </row>
    <row r="205" spans="1:10" ht="51">
      <c r="A205" s="175" t="s">
        <v>13943</v>
      </c>
      <c r="B205" s="176" t="s">
        <v>928</v>
      </c>
      <c r="C205" s="177">
        <v>89681</v>
      </c>
      <c r="D205" s="178" t="str">
        <f>IFERROR(PROPER(
IF($B205="DER-ES",INDEX('CDER-ES'!$B:$B,MATCH($C205,'CDER-ES'!$A:$A,0)),
IF($B205="SINAPI",INDEX(CSINAPI!$B:$B,MATCH($C205,CSINAPI!$A:$A,0)),
IF($B205="CESAN",INDEX(CCESAN!$B:$B,MATCH($C205,CCESAN!$A:$A,0)),
IF($B205="SCORIO",INDEX(CSCORIO!$B:$B,MATCH($C205,CSCORIO!$A:$A,0)),
IF($B205="MERC",INDEX(MERCADO!$B:$B,MATCH($C205,MERCADO!$A:$A,0)),
IF($B205="COMP",INDEX(COMPOSICAO!$B:$B,MATCH($C205,COMPOSICAO!$A:$A,0)),
""))))))),"*Verificar código*")</f>
        <v>Redução Excêntrica, Pvc, Serie R, Água Pluvial, Dn 150 X 100 Mm, Junta Elástica, Fornecido E Instalado Em Condutores Verticais De Águas Pluviais. Af_06/2022</v>
      </c>
      <c r="E205" s="171" t="str">
        <f>IFERROR(LOWER(
IF($B205="DER-ES",INDEX('CDER-ES'!$C:$C,MATCH($C205,'CDER-ES'!$A:$A,0)),
IF($B205="SINAPI",INDEX(CSINAPI!$C:$C,MATCH($C205,CSINAPI!$A:$A,0)),
IF($B205="CESAN",INDEX(CCESAN!$C:$C,MATCH($C205,CCESAN!$A:$A,0)),
IF($B205="SCORIO",INDEX(CSCORIO!$A:$A,MATCH($C205,CSCORIO!#REF!,0)),
IF($B205="MERC",INDEX(MERCADO!$D:$D,MATCH($C205,MERCADO!$A:$A,0)),
IF($B205="COMP",INDEX(COMPOSICAO!$G:$G,MATCH($C205,COMPOSICAO!$A:$A,0)),
""))))))),"")</f>
        <v>un</v>
      </c>
      <c r="F205" s="179">
        <f>VLOOKUP(A205,'MEMÓRIA DE CÁLCULO'!A:H,8,0)</f>
        <v>23</v>
      </c>
      <c r="G205" s="173">
        <f>IFERROR(
IF($B205="DER-ES",INDEX('CDER-ES'!$D:$D,MATCH($C205,'CDER-ES'!$A:$A,0)),
IF($B205="SINAPI",INDEX(CSINAPI!$D:$D,MATCH($C205,CSINAPI!$A:$A,0)),
IF($B205="CESAN",INDEX(CCESAN!$D:$D,MATCH($C205,CCESAN!$A:$A,0)),
IF($B205="SCORIO",INDEX(CSCORIO!$B:$B,MATCH($C205,CSCORIO!#REF!,0)),
IF($B205="MERC",INDEX(MERCADO!$E:$E,MATCH($C205,MERCADO!$A:$A,0)),
IF($B205="COMP",INDEX(COMPOSICAO!$H:$H,MATCH($C205,COMPOSICAO!$A:$A,0)),
0)))))),0)</f>
        <v>100.9</v>
      </c>
      <c r="H205" s="173">
        <f t="shared" ref="H205:H209" si="186">ROUND(G205*(1+$J$2),2)</f>
        <v>134.44999999999999</v>
      </c>
      <c r="I205" s="180">
        <f t="shared" ref="I205:I209" si="187">ROUND($H205*F205,2)</f>
        <v>3092.35</v>
      </c>
      <c r="J205" s="194">
        <f>I205/I$203</f>
        <v>7.484255677963661E-2</v>
      </c>
    </row>
    <row r="206" spans="1:10" ht="51">
      <c r="A206" s="175" t="s">
        <v>13944</v>
      </c>
      <c r="B206" s="176" t="s">
        <v>928</v>
      </c>
      <c r="C206" s="177">
        <v>89585</v>
      </c>
      <c r="D206" s="178" t="str">
        <f>IFERROR(PROPER(
IF($B206="DER-ES",INDEX('CDER-ES'!$B:$B,MATCH($C206,'CDER-ES'!$A:$A,0)),
IF($B206="SINAPI",INDEX(CSINAPI!$B:$B,MATCH($C206,CSINAPI!$A:$A,0)),
IF($B206="CESAN",INDEX(CCESAN!$B:$B,MATCH($C206,CCESAN!$A:$A,0)),
IF($B206="SCORIO",INDEX(CSCORIO!$B:$B,MATCH($C206,CSCORIO!$A:$A,0)),
IF($B206="MERC",INDEX(MERCADO!$B:$B,MATCH($C206,MERCADO!$A:$A,0)),
IF($B206="COMP",INDEX(COMPOSICAO!$B:$B,MATCH($C206,COMPOSICAO!$A:$A,0)),
""))))))),"*Verificar código*")</f>
        <v>Joelho 45 Graus, Pvc, Serie R, Água Pluvial, Dn 100 Mm, Junta Elástica, Fornecido E Instalado Em Condutores Verticais De Águas Pluviais. Af_06/2022</v>
      </c>
      <c r="E206" s="171" t="str">
        <f>IFERROR(LOWER(
IF($B206="DER-ES",INDEX('CDER-ES'!$C:$C,MATCH($C206,'CDER-ES'!$A:$A,0)),
IF($B206="SINAPI",INDEX(CSINAPI!$C:$C,MATCH($C206,CSINAPI!$A:$A,0)),
IF($B206="CESAN",INDEX(CCESAN!$C:$C,MATCH($C206,CCESAN!$A:$A,0)),
IF($B206="SCORIO",INDEX(CSCORIO!$A:$A,MATCH($C206,CSCORIO!#REF!,0)),
IF($B206="MERC",INDEX(MERCADO!$D:$D,MATCH($C206,MERCADO!$A:$A,0)),
IF($B206="COMP",INDEX(COMPOSICAO!$G:$G,MATCH($C206,COMPOSICAO!$A:$A,0)),
""))))))),"")</f>
        <v>un</v>
      </c>
      <c r="F206" s="179">
        <f>VLOOKUP(A206,'MEMÓRIA DE CÁLCULO'!A:H,8,0)</f>
        <v>41</v>
      </c>
      <c r="G206" s="173">
        <f>IFERROR(
IF($B206="DER-ES",INDEX('CDER-ES'!$D:$D,MATCH($C206,'CDER-ES'!$A:$A,0)),
IF($B206="SINAPI",INDEX(CSINAPI!$D:$D,MATCH($C206,CSINAPI!$A:$A,0)),
IF($B206="CESAN",INDEX(CCESAN!$D:$D,MATCH($C206,CCESAN!$A:$A,0)),
IF($B206="SCORIO",INDEX(CSCORIO!$B:$B,MATCH($C206,CSCORIO!#REF!,0)),
IF($B206="MERC",INDEX(MERCADO!$E:$E,MATCH($C206,MERCADO!$A:$A,0)),
IF($B206="COMP",INDEX(COMPOSICAO!$H:$H,MATCH($C206,COMPOSICAO!$A:$A,0)),
0)))))),0)</f>
        <v>48.4</v>
      </c>
      <c r="H206" s="173">
        <f t="shared" ref="H206" si="188">ROUND(G206*(1+$J$2),2)</f>
        <v>64.489999999999995</v>
      </c>
      <c r="I206" s="180">
        <f t="shared" ref="I206" si="189">ROUND($H206*F206,2)</f>
        <v>2644.09</v>
      </c>
      <c r="J206" s="194">
        <f t="shared" ref="J206" si="190">I206/I$203</f>
        <v>6.3993550521599871E-2</v>
      </c>
    </row>
    <row r="207" spans="1:10" ht="51">
      <c r="A207" s="175" t="s">
        <v>13945</v>
      </c>
      <c r="B207" s="176" t="s">
        <v>928</v>
      </c>
      <c r="C207" s="177">
        <v>89584</v>
      </c>
      <c r="D207" s="178" t="str">
        <f>IFERROR(PROPER(
IF($B207="DER-ES",INDEX('CDER-ES'!$B:$B,MATCH($C207,'CDER-ES'!$A:$A,0)),
IF($B207="SINAPI",INDEX(CSINAPI!$B:$B,MATCH($C207,CSINAPI!$A:$A,0)),
IF($B207="CESAN",INDEX(CCESAN!$B:$B,MATCH($C207,CCESAN!$A:$A,0)),
IF($B207="SCORIO",INDEX(CSCORIO!$B:$B,MATCH($C207,CSCORIO!$A:$A,0)),
IF($B207="MERC",INDEX(MERCADO!$B:$B,MATCH($C207,MERCADO!$A:$A,0)),
IF($B207="COMP",INDEX(COMPOSICAO!$B:$B,MATCH($C207,COMPOSICAO!$A:$A,0)),
""))))))),"*Verificar código*")</f>
        <v>Joelho 90 Graus, Pvc, Serie R, Água Pluvial, Dn 100 Mm, Junta Elástica, Fornecido E Instalado Em Condutores Verticais De Águas Pluviais. Af_06/2022</v>
      </c>
      <c r="E207" s="171" t="str">
        <f>IFERROR(LOWER(
IF($B207="DER-ES",INDEX('CDER-ES'!$C:$C,MATCH($C207,'CDER-ES'!$A:$A,0)),
IF($B207="SINAPI",INDEX(CSINAPI!$C:$C,MATCH($C207,CSINAPI!$A:$A,0)),
IF($B207="CESAN",INDEX(CCESAN!$C:$C,MATCH($C207,CCESAN!$A:$A,0)),
IF($B207="SCORIO",INDEX(CSCORIO!$A:$A,MATCH($C207,CSCORIO!#REF!,0)),
IF($B207="MERC",INDEX(MERCADO!$D:$D,MATCH($C207,MERCADO!$A:$A,0)),
IF($B207="COMP",INDEX(COMPOSICAO!$G:$G,MATCH($C207,COMPOSICAO!$A:$A,0)),
""))))))),"")</f>
        <v>un</v>
      </c>
      <c r="F207" s="179">
        <f>VLOOKUP(A207,'MEMÓRIA DE CÁLCULO'!A:H,8,0)</f>
        <v>43</v>
      </c>
      <c r="G207" s="173">
        <f>IFERROR(
IF($B207="DER-ES",INDEX('CDER-ES'!$D:$D,MATCH($C207,'CDER-ES'!$A:$A,0)),
IF($B207="SINAPI",INDEX(CSINAPI!$D:$D,MATCH($C207,CSINAPI!$A:$A,0)),
IF($B207="CESAN",INDEX(CCESAN!$D:$D,MATCH($C207,CCESAN!$A:$A,0)),
IF($B207="SCORIO",INDEX(CSCORIO!$B:$B,MATCH($C207,CSCORIO!#REF!,0)),
IF($B207="MERC",INDEX(MERCADO!$E:$E,MATCH($C207,MERCADO!$A:$A,0)),
IF($B207="COMP",INDEX(COMPOSICAO!$H:$H,MATCH($C207,COMPOSICAO!$A:$A,0)),
0)))))),0)</f>
        <v>47.14</v>
      </c>
      <c r="H207" s="173">
        <f t="shared" si="186"/>
        <v>62.81</v>
      </c>
      <c r="I207" s="180">
        <f t="shared" si="187"/>
        <v>2700.83</v>
      </c>
      <c r="J207" s="194">
        <f>I207/I$203</f>
        <v>6.536679956251587E-2</v>
      </c>
    </row>
    <row r="208" spans="1:10" ht="51">
      <c r="A208" s="175" t="s">
        <v>13946</v>
      </c>
      <c r="B208" s="176" t="s">
        <v>928</v>
      </c>
      <c r="C208" s="177">
        <v>89669</v>
      </c>
      <c r="D208" s="178" t="str">
        <f>IFERROR(PROPER(
IF($B208="DER-ES",INDEX('CDER-ES'!$B:$B,MATCH($C208,'CDER-ES'!$A:$A,0)),
IF($B208="SINAPI",INDEX(CSINAPI!$B:$B,MATCH($C208,CSINAPI!$A:$A,0)),
IF($B208="CESAN",INDEX(CCESAN!$B:$B,MATCH($C208,CCESAN!$A:$A,0)),
IF($B208="SCORIO",INDEX(CSCORIO!$B:$B,MATCH($C208,CSCORIO!$A:$A,0)),
IF($B208="MERC",INDEX(MERCADO!$B:$B,MATCH($C208,MERCADO!$A:$A,0)),
IF($B208="COMP",INDEX(COMPOSICAO!$B:$B,MATCH($C208,COMPOSICAO!$A:$A,0)),
""))))))),"*Verificar código*")</f>
        <v>Luva Simples, Pvc, Serie R, Água Pluvial, Dn 100 Mm, Junta Elástica, Fornecido E Instalado Em Condutores Verticais De Águas Pluviais. Af_06/2022</v>
      </c>
      <c r="E208" s="171" t="str">
        <f>IFERROR(LOWER(
IF($B208="DER-ES",INDEX('CDER-ES'!$C:$C,MATCH($C208,'CDER-ES'!$A:$A,0)),
IF($B208="SINAPI",INDEX(CSINAPI!$C:$C,MATCH($C208,CSINAPI!$A:$A,0)),
IF($B208="CESAN",INDEX(CCESAN!$C:$C,MATCH($C208,CCESAN!$A:$A,0)),
IF($B208="SCORIO",INDEX(CSCORIO!$A:$A,MATCH($C208,CSCORIO!#REF!,0)),
IF($B208="MERC",INDEX(MERCADO!$D:$D,MATCH($C208,MERCADO!$A:$A,0)),
IF($B208="COMP",INDEX(COMPOSICAO!$G:$G,MATCH($C208,COMPOSICAO!$A:$A,0)),
""))))))),"")</f>
        <v>un</v>
      </c>
      <c r="F208" s="179">
        <f>VLOOKUP(A208,'MEMÓRIA DE CÁLCULO'!A:H,8,0)</f>
        <v>75</v>
      </c>
      <c r="G208" s="173">
        <f>IFERROR(
IF($B208="DER-ES",INDEX('CDER-ES'!$D:$D,MATCH($C208,'CDER-ES'!$A:$A,0)),
IF($B208="SINAPI",INDEX(CSINAPI!$D:$D,MATCH($C208,CSINAPI!$A:$A,0)),
IF($B208="CESAN",INDEX(CCESAN!$D:$D,MATCH($C208,CCESAN!$A:$A,0)),
IF($B208="SCORIO",INDEX(CSCORIO!$B:$B,MATCH($C208,CSCORIO!#REF!,0)),
IF($B208="MERC",INDEX(MERCADO!$E:$E,MATCH($C208,MERCADO!$A:$A,0)),
IF($B208="COMP",INDEX(COMPOSICAO!$H:$H,MATCH($C208,COMPOSICAO!$A:$A,0)),
0)))))),0)</f>
        <v>35.049999999999997</v>
      </c>
      <c r="H208" s="173">
        <f t="shared" si="186"/>
        <v>46.7</v>
      </c>
      <c r="I208" s="180">
        <f t="shared" si="187"/>
        <v>3502.5</v>
      </c>
      <c r="J208" s="194">
        <f>I208/I$203</f>
        <v>8.4769206306102879E-2</v>
      </c>
    </row>
    <row r="209" spans="1:10" ht="51">
      <c r="A209" s="175" t="s">
        <v>13947</v>
      </c>
      <c r="B209" s="176" t="s">
        <v>928</v>
      </c>
      <c r="C209" s="177">
        <v>89567</v>
      </c>
      <c r="D209" s="178" t="str">
        <f>IFERROR(PROPER(
IF($B209="DER-ES",INDEX('CDER-ES'!$B:$B,MATCH($C209,'CDER-ES'!$A:$A,0)),
IF($B209="SINAPI",INDEX(CSINAPI!$B:$B,MATCH($C209,CSINAPI!$A:$A,0)),
IF($B209="CESAN",INDEX(CCESAN!$B:$B,MATCH($C209,CCESAN!$A:$A,0)),
IF($B209="SCORIO",INDEX(CSCORIO!$B:$B,MATCH($C209,CSCORIO!$A:$A,0)),
IF($B209="MERC",INDEX(MERCADO!$B:$B,MATCH($C209,MERCADO!$A:$A,0)),
IF($B209="COMP",INDEX(COMPOSICAO!$B:$B,MATCH($C209,COMPOSICAO!$A:$A,0)),
""))))))),"*Verificar código*")</f>
        <v>Junção Simples, Pvc, Serie R, Água Pluvial, Dn 100 X 100 Mm, Junta Elástica, Fornecido E Instalado Em Ramal De Encaminhamento. Af_06/2022</v>
      </c>
      <c r="E209" s="171" t="str">
        <f>IFERROR(LOWER(
IF($B209="DER-ES",INDEX('CDER-ES'!$C:$C,MATCH($C209,'CDER-ES'!$A:$A,0)),
IF($B209="SINAPI",INDEX(CSINAPI!$C:$C,MATCH($C209,CSINAPI!$A:$A,0)),
IF($B209="CESAN",INDEX(CCESAN!$C:$C,MATCH($C209,CCESAN!$A:$A,0)),
IF($B209="SCORIO",INDEX(CSCORIO!$A:$A,MATCH($C209,CSCORIO!#REF!,0)),
IF($B209="MERC",INDEX(MERCADO!$D:$D,MATCH($C209,MERCADO!$A:$A,0)),
IF($B209="COMP",INDEX(COMPOSICAO!$G:$G,MATCH($C209,COMPOSICAO!$A:$A,0)),
""))))))),"")</f>
        <v>un</v>
      </c>
      <c r="F209" s="179">
        <f>VLOOKUP(A209,'MEMÓRIA DE CÁLCULO'!A:H,8,0)</f>
        <v>1</v>
      </c>
      <c r="G209" s="173">
        <f>IFERROR(
IF($B209="DER-ES",INDEX('CDER-ES'!$D:$D,MATCH($C209,'CDER-ES'!$A:$A,0)),
IF($B209="SINAPI",INDEX(CSINAPI!$D:$D,MATCH($C209,CSINAPI!$A:$A,0)),
IF($B209="CESAN",INDEX(CCESAN!$D:$D,MATCH($C209,CCESAN!$A:$A,0)),
IF($B209="SCORIO",INDEX(CSCORIO!$B:$B,MATCH($C209,CSCORIO!#REF!,0)),
IF($B209="MERC",INDEX(MERCADO!$E:$E,MATCH($C209,MERCADO!$A:$A,0)),
IF($B209="COMP",INDEX(COMPOSICAO!$H:$H,MATCH($C209,COMPOSICAO!$A:$A,0)),
0)))))),0)</f>
        <v>91.04</v>
      </c>
      <c r="H209" s="173">
        <f t="shared" si="186"/>
        <v>121.31</v>
      </c>
      <c r="I209" s="180">
        <f t="shared" si="187"/>
        <v>121.31</v>
      </c>
      <c r="J209" s="194">
        <f>I209/I$203</f>
        <v>2.9360035451801115E-3</v>
      </c>
    </row>
    <row r="210" spans="1:10" ht="38.25">
      <c r="A210" s="175" t="s">
        <v>13948</v>
      </c>
      <c r="B210" s="176" t="s">
        <v>928</v>
      </c>
      <c r="C210" s="177">
        <v>89578</v>
      </c>
      <c r="D210" s="178" t="str">
        <f>IFERROR(PROPER(
IF($B210="DER-ES",INDEX('CDER-ES'!$B:$B,MATCH($C210,'CDER-ES'!$A:$A,0)),
IF($B210="SINAPI",INDEX(CSINAPI!$B:$B,MATCH($C210,CSINAPI!$A:$A,0)),
IF($B210="CESAN",INDEX(CCESAN!$B:$B,MATCH($C210,CCESAN!$A:$A,0)),
IF($B210="SCORIO",INDEX(CSCORIO!$B:$B,MATCH($C210,CSCORIO!$A:$A,0)),
IF($B210="MERC",INDEX(MERCADO!$B:$B,MATCH($C210,MERCADO!$A:$A,0)),
IF($B210="COMP",INDEX(COMPOSICAO!$B:$B,MATCH($C210,COMPOSICAO!$A:$A,0)),
""))))))),"*Verificar código*")</f>
        <v>Tubo Pvc, Série R, Água Pluvial, Dn 100 Mm, Fornecido E Instalado Em Condutores Verticais De Águas Pluviais. Af_06/2022</v>
      </c>
      <c r="E210" s="171" t="str">
        <f>IFERROR(LOWER(
IF($B210="DER-ES",INDEX('CDER-ES'!$C:$C,MATCH($C210,'CDER-ES'!$A:$A,0)),
IF($B210="SINAPI",INDEX(CSINAPI!$C:$C,MATCH($C210,CSINAPI!$A:$A,0)),
IF($B210="CESAN",INDEX(CCESAN!$C:$C,MATCH($C210,CCESAN!$A:$A,0)),
IF($B210="SCORIO",INDEX(CSCORIO!$A:$A,MATCH($C210,CSCORIO!#REF!,0)),
IF($B210="MERC",INDEX(MERCADO!$D:$D,MATCH($C210,MERCADO!$A:$A,0)),
IF($B210="COMP",INDEX(COMPOSICAO!$G:$G,MATCH($C210,COMPOSICAO!$A:$A,0)),
""))))))),"")</f>
        <v>m</v>
      </c>
      <c r="F210" s="179">
        <f>VLOOKUP(A210,'MEMÓRIA DE CÁLCULO'!A:H,8,0)</f>
        <v>299</v>
      </c>
      <c r="G210" s="173">
        <f>IFERROR(
IF($B210="DER-ES",INDEX('CDER-ES'!$D:$D,MATCH($C210,'CDER-ES'!$A:$A,0)),
IF($B210="SINAPI",INDEX(CSINAPI!$D:$D,MATCH($C210,CSINAPI!$A:$A,0)),
IF($B210="CESAN",INDEX(CCESAN!$D:$D,MATCH($C210,CCESAN!$A:$A,0)),
IF($B210="SCORIO",INDEX(CSCORIO!$B:$B,MATCH($C210,CSCORIO!#REF!,0)),
IF($B210="MERC",INDEX(MERCADO!$E:$E,MATCH($C210,MERCADO!$A:$A,0)),
IF($B210="COMP",INDEX(COMPOSICAO!$H:$H,MATCH($C210,COMPOSICAO!$A:$A,0)),
0)))))),0)</f>
        <v>39.200000000000003</v>
      </c>
      <c r="H210" s="173">
        <f t="shared" ref="H210" si="191">ROUND(G210*(1+$J$2),2)</f>
        <v>52.23</v>
      </c>
      <c r="I210" s="180">
        <f t="shared" ref="I210" si="192">ROUND($H210*F210,2)</f>
        <v>15616.77</v>
      </c>
      <c r="J210" s="194">
        <f>I210/I$203</f>
        <v>0.37796465323767542</v>
      </c>
    </row>
    <row r="211" spans="1:10">
      <c r="A211" s="167" t="s">
        <v>12623</v>
      </c>
      <c r="B211" s="168"/>
      <c r="C211" s="169"/>
      <c r="D211" s="170" t="s">
        <v>14251</v>
      </c>
      <c r="E211" s="171"/>
      <c r="F211" s="172"/>
      <c r="G211" s="173"/>
      <c r="H211" s="173"/>
      <c r="I211" s="174"/>
      <c r="J211" s="193"/>
    </row>
    <row r="212" spans="1:10" ht="76.5">
      <c r="A212" s="175" t="s">
        <v>13949</v>
      </c>
      <c r="B212" s="176" t="s">
        <v>12617</v>
      </c>
      <c r="C212" s="177">
        <v>141102</v>
      </c>
      <c r="D212" s="178" t="str">
        <f>IFERROR(PROPER(
IF($B212="DER-ES",INDEX('CDER-ES'!$B:$B,MATCH($C212,'CDER-ES'!$A:$A,0)),
IF($B212="SINAPI",INDEX(CSINAPI!$B:$B,MATCH($C212,CSINAPI!$A:$A,0)),
IF($B212="CESAN",INDEX(CCESAN!$B:$B,MATCH($C212,CCESAN!$A:$A,0)),
IF($B212="SCORIO",INDEX(CSCORIO!$B:$B,MATCH($C212,CSCORIO!$A:$A,0)),
IF($B212="MERC",INDEX(MERCADO!$B:$B,MATCH($C212,MERCADO!$A:$A,0)),
IF($B212="COMP",INDEX(COMPOSICAO!$B:$B,MATCH($C212,COMPOSICAO!$A:$A,0)),
""))))))),"*Verificar código*")</f>
        <v>Caixa De Areia De Alvenaria De Blocos De Concreto 9X19X39Cm, Dim. 60X60Cm E Hmáx=1M, C/ Tampa Em Concreto Esp. 5Cm, Lastro Concreto Esp. 10Cm, Revestida Intern. C/ Chapisco E Reboco Impermeabilizante, Incl. Escavação E Reaterro</v>
      </c>
      <c r="E212" s="171" t="str">
        <f>IFERROR(LOWER(
IF($B212="DER-ES",INDEX('CDER-ES'!$C:$C,MATCH($C212,'CDER-ES'!$A:$A,0)),
IF($B212="SINAPI",INDEX(CSINAPI!$C:$C,MATCH($C212,CSINAPI!$A:$A,0)),
IF($B212="CESAN",INDEX(CCESAN!$C:$C,MATCH($C212,CCESAN!$A:$A,0)),
IF($B212="SCORIO",INDEX(CSCORIO!$A:$A,MATCH($C212,CSCORIO!#REF!,0)),
IF($B212="MERC",INDEX(MERCADO!$D:$D,MATCH($C212,MERCADO!$A:$A,0)),
IF($B212="COMP",INDEX(COMPOSICAO!$G:$G,MATCH($C212,COMPOSICAO!$A:$A,0)),
""))))))),"")</f>
        <v>und</v>
      </c>
      <c r="F212" s="179">
        <f>VLOOKUP(A212,'MEMÓRIA DE CÁLCULO'!A:H,8,0)</f>
        <v>18</v>
      </c>
      <c r="G212" s="173">
        <f>IFERROR(
IF($B212="DER-ES",INDEX('CDER-ES'!$D:$D,MATCH($C212,'CDER-ES'!$A:$A,0)),
IF($B212="SINAPI",INDEX(CSINAPI!$D:$D,MATCH($C212,CSINAPI!$A:$A,0)),
IF($B212="CESAN",INDEX(CCESAN!$D:$D,MATCH($C212,CCESAN!$A:$A,0)),
IF($B212="SCORIO",INDEX(CSCORIO!$B:$B,MATCH($C212,CSCORIO!#REF!,0)),
IF($B212="MERC",INDEX(MERCADO!$E:$E,MATCH($C212,MERCADO!$A:$A,0)),
IF($B212="COMP",INDEX(COMPOSICAO!$H:$H,MATCH($C212,COMPOSICAO!$A:$A,0)),
0)))))),0)</f>
        <v>568.70000000000005</v>
      </c>
      <c r="H212" s="173">
        <f t="shared" ref="H212" si="193">ROUND(G212*(1+$J$2),2)</f>
        <v>757.79</v>
      </c>
      <c r="I212" s="180">
        <f t="shared" ref="I212" si="194">ROUND($H212*F212,2)</f>
        <v>13640.22</v>
      </c>
      <c r="J212" s="194">
        <f>I212/I$203</f>
        <v>0.33012723004728922</v>
      </c>
    </row>
    <row r="213" spans="1:10">
      <c r="A213" s="167" t="s">
        <v>12624</v>
      </c>
      <c r="B213" s="168"/>
      <c r="C213" s="169"/>
      <c r="D213" s="170" t="s">
        <v>14474</v>
      </c>
      <c r="E213" s="171"/>
      <c r="F213" s="172"/>
      <c r="G213" s="173"/>
      <c r="H213" s="173"/>
      <c r="I213" s="174">
        <f>SUBTOTAL(9,I215:I234)</f>
        <v>19933.36</v>
      </c>
      <c r="J213" s="193">
        <f>SUBTOTAL(9,J214:J234)</f>
        <v>0.99999999999999989</v>
      </c>
    </row>
    <row r="214" spans="1:10">
      <c r="A214" s="167" t="s">
        <v>12625</v>
      </c>
      <c r="B214" s="168"/>
      <c r="C214" s="169"/>
      <c r="D214" s="170" t="s">
        <v>13942</v>
      </c>
      <c r="E214" s="171"/>
      <c r="F214" s="172"/>
      <c r="G214" s="173"/>
      <c r="H214" s="173"/>
      <c r="I214" s="174"/>
      <c r="J214" s="193"/>
    </row>
    <row r="215" spans="1:10" ht="38.25">
      <c r="A215" s="175" t="s">
        <v>14252</v>
      </c>
      <c r="B215" s="176" t="s">
        <v>928</v>
      </c>
      <c r="C215" s="177">
        <v>98110</v>
      </c>
      <c r="D215" s="178" t="str">
        <f>IFERROR(PROPER(
IF($B215="DER-ES",INDEX('CDER-ES'!$B:$B,MATCH($C215,'CDER-ES'!$A:$A,0)),
IF($B215="SINAPI",INDEX(CSINAPI!$B:$B,MATCH($C215,CSINAPI!$A:$A,0)),
IF($B215="CESAN",INDEX(CCESAN!$B:$B,MATCH($C215,CCESAN!$A:$A,0)),
IF($B215="SCORIO",INDEX(CSCORIO!$B:$B,MATCH($C215,CSCORIO!$A:$A,0)),
IF($B215="MERC",INDEX(MERCADO!$B:$B,MATCH($C215,MERCADO!$A:$A,0)),
IF($B215="COMP",INDEX(COMPOSICAO!$B:$B,MATCH($C215,COMPOSICAO!$A:$A,0)),
""))))))),"*Verificar código*")</f>
        <v>Caixa De Gordura Pequena (Capacidade: 19 L), Circular, Em Pvc, Diâmetro Interno= 0,3 M. Af_12/2020</v>
      </c>
      <c r="E215" s="171" t="str">
        <f>IFERROR(LOWER(
IF($B215="DER-ES",INDEX('CDER-ES'!$C:$C,MATCH($C215,'CDER-ES'!$A:$A,0)),
IF($B215="SINAPI",INDEX(CSINAPI!$C:$C,MATCH($C215,CSINAPI!$A:$A,0)),
IF($B215="CESAN",INDEX(CCESAN!$C:$C,MATCH($C215,CCESAN!$A:$A,0)),
IF($B215="SCORIO",INDEX(CSCORIO!$A:$A,MATCH($C215,CSCORIO!#REF!,0)),
IF($B215="MERC",INDEX(MERCADO!$D:$D,MATCH($C215,MERCADO!$A:$A,0)),
IF($B215="COMP",INDEX(COMPOSICAO!$G:$G,MATCH($C215,COMPOSICAO!$A:$A,0)),
""))))))),"")</f>
        <v>un</v>
      </c>
      <c r="F215" s="179">
        <f>VLOOKUP(A215,'MEMÓRIA DE CÁLCULO'!A:H,8,0)</f>
        <v>2</v>
      </c>
      <c r="G215" s="173">
        <f>IFERROR(
IF($B215="DER-ES",INDEX('CDER-ES'!$D:$D,MATCH($C215,'CDER-ES'!$A:$A,0)),
IF($B215="SINAPI",INDEX(CSINAPI!$D:$D,MATCH($C215,CSINAPI!$A:$A,0)),
IF($B215="CESAN",INDEX(CCESAN!$D:$D,MATCH($C215,CCESAN!$A:$A,0)),
IF($B215="SCORIO",INDEX(CSCORIO!$B:$B,MATCH($C215,CSCORIO!#REF!,0)),
IF($B215="MERC",INDEX(MERCADO!$E:$E,MATCH($C215,MERCADO!$A:$A,0)),
IF($B215="COMP",INDEX(COMPOSICAO!$H:$H,MATCH($C215,COMPOSICAO!$A:$A,0)),
0)))))),0)</f>
        <v>406.54</v>
      </c>
      <c r="H215" s="173">
        <f t="shared" ref="H215:H234" si="195">ROUND(G215*(1+$J$2),2)</f>
        <v>541.71</v>
      </c>
      <c r="I215" s="180">
        <f t="shared" ref="I215:I234" si="196">ROUND($H215*F215,2)</f>
        <v>1083.42</v>
      </c>
      <c r="J215" s="194">
        <f t="shared" ref="J215:J234" si="197">I215/I$213</f>
        <v>5.4352101201202409E-2</v>
      </c>
    </row>
    <row r="216" spans="1:10" ht="51">
      <c r="A216" s="175" t="s">
        <v>14253</v>
      </c>
      <c r="B216" s="176" t="s">
        <v>928</v>
      </c>
      <c r="C216" s="177">
        <v>89708</v>
      </c>
      <c r="D216" s="178" t="str">
        <f>IFERROR(PROPER(
IF($B216="DER-ES",INDEX('CDER-ES'!$B:$B,MATCH($C216,'CDER-ES'!$A:$A,0)),
IF($B216="SINAPI",INDEX(CSINAPI!$B:$B,MATCH($C216,CSINAPI!$A:$A,0)),
IF($B216="CESAN",INDEX(CCESAN!$B:$B,MATCH($C216,CCESAN!$A:$A,0)),
IF($B216="SCORIO",INDEX(CSCORIO!$B:$B,MATCH($C216,CSCORIO!$A:$A,0)),
IF($B216="MERC",INDEX(MERCADO!$B:$B,MATCH($C216,MERCADO!$A:$A,0)),
IF($B216="COMP",INDEX(COMPOSICAO!$B:$B,MATCH($C216,COMPOSICAO!$A:$A,0)),
""))))))),"*Verificar código*")</f>
        <v>Caixa Sifonada, Pvc, Dn 150 X 185 X 75 Mm, Junta Elástica, Fornecida E Instalada Em Ramal De Descarga Ou Em Ramal De Esgoto Sanitário. Af_08/2022</v>
      </c>
      <c r="E216" s="171" t="str">
        <f>IFERROR(LOWER(
IF($B216="DER-ES",INDEX('CDER-ES'!$C:$C,MATCH($C216,'CDER-ES'!$A:$A,0)),
IF($B216="SINAPI",INDEX(CSINAPI!$C:$C,MATCH($C216,CSINAPI!$A:$A,0)),
IF($B216="CESAN",INDEX(CCESAN!$C:$C,MATCH($C216,CCESAN!$A:$A,0)),
IF($B216="SCORIO",INDEX(CSCORIO!$A:$A,MATCH($C216,CSCORIO!#REF!,0)),
IF($B216="MERC",INDEX(MERCADO!$D:$D,MATCH($C216,MERCADO!$A:$A,0)),
IF($B216="COMP",INDEX(COMPOSICAO!$G:$G,MATCH($C216,COMPOSICAO!$A:$A,0)),
""))))))),"")</f>
        <v>un</v>
      </c>
      <c r="F216" s="179">
        <f>VLOOKUP(A216,'MEMÓRIA DE CÁLCULO'!A:H,8,0)</f>
        <v>19</v>
      </c>
      <c r="G216" s="173">
        <f>IFERROR(
IF($B216="DER-ES",INDEX('CDER-ES'!$D:$D,MATCH($C216,'CDER-ES'!$A:$A,0)),
IF($B216="SINAPI",INDEX(CSINAPI!$D:$D,MATCH($C216,CSINAPI!$A:$A,0)),
IF($B216="CESAN",INDEX(CCESAN!$D:$D,MATCH($C216,CCESAN!$A:$A,0)),
IF($B216="SCORIO",INDEX(CSCORIO!$B:$B,MATCH($C216,CSCORIO!#REF!,0)),
IF($B216="MERC",INDEX(MERCADO!$E:$E,MATCH($C216,MERCADO!$A:$A,0)),
IF($B216="COMP",INDEX(COMPOSICAO!$H:$H,MATCH($C216,COMPOSICAO!$A:$A,0)),
0)))))),0)</f>
        <v>104.48</v>
      </c>
      <c r="H216" s="173">
        <f t="shared" ref="H216" si="198">ROUND(G216*(1+$J$2),2)</f>
        <v>139.22</v>
      </c>
      <c r="I216" s="180">
        <f t="shared" ref="I216" si="199">ROUND($H216*F216,2)</f>
        <v>2645.18</v>
      </c>
      <c r="J216" s="194">
        <f t="shared" ref="J216" si="200">I216/I$213</f>
        <v>0.13270116026600631</v>
      </c>
    </row>
    <row r="217" spans="1:10" ht="51">
      <c r="A217" s="175" t="s">
        <v>14254</v>
      </c>
      <c r="B217" s="176" t="s">
        <v>928</v>
      </c>
      <c r="C217" s="177">
        <v>89726</v>
      </c>
      <c r="D217" s="178" t="str">
        <f>IFERROR(PROPER(
IF($B217="DER-ES",INDEX('CDER-ES'!$B:$B,MATCH($C217,'CDER-ES'!$A:$A,0)),
IF($B217="SINAPI",INDEX(CSINAPI!$B:$B,MATCH($C217,CSINAPI!$A:$A,0)),
IF($B217="CESAN",INDEX(CCESAN!$B:$B,MATCH($C217,CCESAN!$A:$A,0)),
IF($B217="SCORIO",INDEX(CSCORIO!$B:$B,MATCH($C217,CSCORIO!$A:$A,0)),
IF($B217="MERC",INDEX(MERCADO!$B:$B,MATCH($C217,MERCADO!$A:$A,0)),
IF($B217="COMP",INDEX(COMPOSICAO!$B:$B,MATCH($C217,COMPOSICAO!$A:$A,0)),
""))))))),"*Verificar código*")</f>
        <v>Joelho 45 Graus, Pvc, Serie Normal, Esgoto Predial, Dn 40 Mm, Junta Soldável, Fornecido E Instalado Em Ramal De Descarga Ou Ramal De Esgoto Sanitário. Af_08/2022</v>
      </c>
      <c r="E217" s="171" t="str">
        <f>IFERROR(LOWER(
IF($B217="DER-ES",INDEX('CDER-ES'!$C:$C,MATCH($C217,'CDER-ES'!$A:$A,0)),
IF($B217="SINAPI",INDEX(CSINAPI!$C:$C,MATCH($C217,CSINAPI!$A:$A,0)),
IF($B217="CESAN",INDEX(CCESAN!$C:$C,MATCH($C217,CCESAN!$A:$A,0)),
IF($B217="SCORIO",INDEX(CSCORIO!$A:$A,MATCH($C217,CSCORIO!#REF!,0)),
IF($B217="MERC",INDEX(MERCADO!$D:$D,MATCH($C217,MERCADO!$A:$A,0)),
IF($B217="COMP",INDEX(COMPOSICAO!$G:$G,MATCH($C217,COMPOSICAO!$A:$A,0)),
""))))))),"")</f>
        <v>un</v>
      </c>
      <c r="F217" s="179">
        <f>VLOOKUP(A217,'MEMÓRIA DE CÁLCULO'!A:H,8,0)</f>
        <v>16</v>
      </c>
      <c r="G217" s="173">
        <f>IFERROR(
IF($B217="DER-ES",INDEX('CDER-ES'!$D:$D,MATCH($C217,'CDER-ES'!$A:$A,0)),
IF($B217="SINAPI",INDEX(CSINAPI!$D:$D,MATCH($C217,CSINAPI!$A:$A,0)),
IF($B217="CESAN",INDEX(CCESAN!$D:$D,MATCH($C217,CCESAN!$A:$A,0)),
IF($B217="SCORIO",INDEX(CSCORIO!$B:$B,MATCH($C217,CSCORIO!#REF!,0)),
IF($B217="MERC",INDEX(MERCADO!$E:$E,MATCH($C217,MERCADO!$A:$A,0)),
IF($B217="COMP",INDEX(COMPOSICAO!$H:$H,MATCH($C217,COMPOSICAO!$A:$A,0)),
0)))))),0)</f>
        <v>10.26</v>
      </c>
      <c r="H217" s="173">
        <f t="shared" si="195"/>
        <v>13.67</v>
      </c>
      <c r="I217" s="180">
        <f t="shared" si="196"/>
        <v>218.72</v>
      </c>
      <c r="J217" s="194">
        <f t="shared" si="197"/>
        <v>1.0972560571825322E-2</v>
      </c>
    </row>
    <row r="218" spans="1:10" ht="51">
      <c r="A218" s="175" t="s">
        <v>14255</v>
      </c>
      <c r="B218" s="176" t="s">
        <v>928</v>
      </c>
      <c r="C218" s="177">
        <v>89732</v>
      </c>
      <c r="D218" s="178" t="str">
        <f>IFERROR(PROPER(
IF($B218="DER-ES",INDEX('CDER-ES'!$B:$B,MATCH($C218,'CDER-ES'!$A:$A,0)),
IF($B218="SINAPI",INDEX(CSINAPI!$B:$B,MATCH($C218,CSINAPI!$A:$A,0)),
IF($B218="CESAN",INDEX(CCESAN!$B:$B,MATCH($C218,CCESAN!$A:$A,0)),
IF($B218="SCORIO",INDEX(CSCORIO!$B:$B,MATCH($C218,CSCORIO!$A:$A,0)),
IF($B218="MERC",INDEX(MERCADO!$B:$B,MATCH($C218,MERCADO!$A:$A,0)),
IF($B218="COMP",INDEX(COMPOSICAO!$B:$B,MATCH($C218,COMPOSICAO!$A:$A,0)),
""))))))),"*Verificar código*")</f>
        <v>Joelho 45 Graus, Pvc, Serie Normal, Esgoto Predial, Dn 50 Mm, Junta Elástica, Fornecido E Instalado Em Ramal De Descarga Ou Ramal De Esgoto Sanitário. Af_08/2022</v>
      </c>
      <c r="E218" s="171" t="str">
        <f>IFERROR(LOWER(
IF($B218="DER-ES",INDEX('CDER-ES'!$C:$C,MATCH($C218,'CDER-ES'!$A:$A,0)),
IF($B218="SINAPI",INDEX(CSINAPI!$C:$C,MATCH($C218,CSINAPI!$A:$A,0)),
IF($B218="CESAN",INDEX(CCESAN!$C:$C,MATCH($C218,CCESAN!$A:$A,0)),
IF($B218="SCORIO",INDEX(CSCORIO!$A:$A,MATCH($C218,CSCORIO!#REF!,0)),
IF($B218="MERC",INDEX(MERCADO!$D:$D,MATCH($C218,MERCADO!$A:$A,0)),
IF($B218="COMP",INDEX(COMPOSICAO!$G:$G,MATCH($C218,COMPOSICAO!$A:$A,0)),
""))))))),"")</f>
        <v>un</v>
      </c>
      <c r="F218" s="179">
        <f>VLOOKUP(A218,'MEMÓRIA DE CÁLCULO'!A:H,8,0)</f>
        <v>18</v>
      </c>
      <c r="G218" s="173">
        <f>IFERROR(
IF($B218="DER-ES",INDEX('CDER-ES'!$D:$D,MATCH($C218,'CDER-ES'!$A:$A,0)),
IF($B218="SINAPI",INDEX(CSINAPI!$D:$D,MATCH($C218,CSINAPI!$A:$A,0)),
IF($B218="CESAN",INDEX(CCESAN!$D:$D,MATCH($C218,CCESAN!$A:$A,0)),
IF($B218="SCORIO",INDEX(CSCORIO!$B:$B,MATCH($C218,CSCORIO!#REF!,0)),
IF($B218="MERC",INDEX(MERCADO!$E:$E,MATCH($C218,MERCADO!$A:$A,0)),
IF($B218="COMP",INDEX(COMPOSICAO!$H:$H,MATCH($C218,COMPOSICAO!$A:$A,0)),
0)))))),0)</f>
        <v>15.99</v>
      </c>
      <c r="H218" s="173">
        <f t="shared" si="195"/>
        <v>21.31</v>
      </c>
      <c r="I218" s="180">
        <f t="shared" si="196"/>
        <v>383.58</v>
      </c>
      <c r="J218" s="194">
        <f t="shared" si="197"/>
        <v>1.9243118069407265E-2</v>
      </c>
    </row>
    <row r="219" spans="1:10" ht="51">
      <c r="A219" s="175" t="s">
        <v>14256</v>
      </c>
      <c r="B219" s="176" t="s">
        <v>928</v>
      </c>
      <c r="C219" s="177">
        <v>89746</v>
      </c>
      <c r="D219" s="178" t="str">
        <f>IFERROR(PROPER(
IF($B219="DER-ES",INDEX('CDER-ES'!$B:$B,MATCH($C219,'CDER-ES'!$A:$A,0)),
IF($B219="SINAPI",INDEX(CSINAPI!$B:$B,MATCH($C219,CSINAPI!$A:$A,0)),
IF($B219="CESAN",INDEX(CCESAN!$B:$B,MATCH($C219,CCESAN!$A:$A,0)),
IF($B219="SCORIO",INDEX(CSCORIO!$B:$B,MATCH($C219,CSCORIO!$A:$A,0)),
IF($B219="MERC",INDEX(MERCADO!$B:$B,MATCH($C219,MERCADO!$A:$A,0)),
IF($B219="COMP",INDEX(COMPOSICAO!$B:$B,MATCH($C219,COMPOSICAO!$A:$A,0)),
""))))))),"*Verificar código*")</f>
        <v>Joelho 45 Graus, Pvc, Serie Normal, Esgoto Predial, Dn 100 Mm, Junta Elástica, Fornecido E Instalado Em Ramal De Descarga Ou Ramal De Esgoto Sanitário. Af_08/2022</v>
      </c>
      <c r="E219" s="171" t="str">
        <f>IFERROR(LOWER(
IF($B219="DER-ES",INDEX('CDER-ES'!$C:$C,MATCH($C219,'CDER-ES'!$A:$A,0)),
IF($B219="SINAPI",INDEX(CSINAPI!$C:$C,MATCH($C219,CSINAPI!$A:$A,0)),
IF($B219="CESAN",INDEX(CCESAN!$C:$C,MATCH($C219,CCESAN!$A:$A,0)),
IF($B219="SCORIO",INDEX(CSCORIO!$A:$A,MATCH($C219,CSCORIO!#REF!,0)),
IF($B219="MERC",INDEX(MERCADO!$D:$D,MATCH($C219,MERCADO!$A:$A,0)),
IF($B219="COMP",INDEX(COMPOSICAO!$G:$G,MATCH($C219,COMPOSICAO!$A:$A,0)),
""))))))),"")</f>
        <v>un</v>
      </c>
      <c r="F219" s="179">
        <f>VLOOKUP(A219,'MEMÓRIA DE CÁLCULO'!A:H,8,0)</f>
        <v>6</v>
      </c>
      <c r="G219" s="173">
        <f>IFERROR(
IF($B219="DER-ES",INDEX('CDER-ES'!$D:$D,MATCH($C219,'CDER-ES'!$A:$A,0)),
IF($B219="SINAPI",INDEX(CSINAPI!$D:$D,MATCH($C219,CSINAPI!$A:$A,0)),
IF($B219="CESAN",INDEX(CCESAN!$D:$D,MATCH($C219,CCESAN!$A:$A,0)),
IF($B219="SCORIO",INDEX(CSCORIO!$B:$B,MATCH($C219,CSCORIO!#REF!,0)),
IF($B219="MERC",INDEX(MERCADO!$E:$E,MATCH($C219,MERCADO!$A:$A,0)),
IF($B219="COMP",INDEX(COMPOSICAO!$H:$H,MATCH($C219,COMPOSICAO!$A:$A,0)),
0)))))),0)</f>
        <v>29.78</v>
      </c>
      <c r="H219" s="173">
        <f t="shared" si="195"/>
        <v>39.68</v>
      </c>
      <c r="I219" s="180">
        <f t="shared" si="196"/>
        <v>238.08</v>
      </c>
      <c r="J219" s="194">
        <f t="shared" si="197"/>
        <v>1.1943796730706715E-2</v>
      </c>
    </row>
    <row r="220" spans="1:10" ht="51">
      <c r="A220" s="175" t="s">
        <v>14257</v>
      </c>
      <c r="B220" s="176" t="s">
        <v>928</v>
      </c>
      <c r="C220" s="177">
        <v>89724</v>
      </c>
      <c r="D220" s="178" t="str">
        <f>IFERROR(PROPER(
IF($B220="DER-ES",INDEX('CDER-ES'!$B:$B,MATCH($C220,'CDER-ES'!$A:$A,0)),
IF($B220="SINAPI",INDEX(CSINAPI!$B:$B,MATCH($C220,CSINAPI!$A:$A,0)),
IF($B220="CESAN",INDEX(CCESAN!$B:$B,MATCH($C220,CCESAN!$A:$A,0)),
IF($B220="SCORIO",INDEX(CSCORIO!$B:$B,MATCH($C220,CSCORIO!$A:$A,0)),
IF($B220="MERC",INDEX(MERCADO!$B:$B,MATCH($C220,MERCADO!$A:$A,0)),
IF($B220="COMP",INDEX(COMPOSICAO!$B:$B,MATCH($C220,COMPOSICAO!$A:$A,0)),
""))))))),"*Verificar código*")</f>
        <v>Joelho 90 Graus, Pvc, Serie Normal, Esgoto Predial, Dn 40 Mm, Junta Soldável, Fornecido E Instalado Em Ramal De Descarga Ou Ramal De Esgoto Sanitário. Af_08/2022</v>
      </c>
      <c r="E220" s="171" t="str">
        <f>IFERROR(LOWER(
IF($B220="DER-ES",INDEX('CDER-ES'!$C:$C,MATCH($C220,'CDER-ES'!$A:$A,0)),
IF($B220="SINAPI",INDEX(CSINAPI!$C:$C,MATCH($C220,CSINAPI!$A:$A,0)),
IF($B220="CESAN",INDEX(CCESAN!$C:$C,MATCH($C220,CCESAN!$A:$A,0)),
IF($B220="SCORIO",INDEX(CSCORIO!$A:$A,MATCH($C220,CSCORIO!#REF!,0)),
IF($B220="MERC",INDEX(MERCADO!$D:$D,MATCH($C220,MERCADO!$A:$A,0)),
IF($B220="COMP",INDEX(COMPOSICAO!$G:$G,MATCH($C220,COMPOSICAO!$A:$A,0)),
""))))))),"")</f>
        <v>un</v>
      </c>
      <c r="F220" s="179">
        <f>VLOOKUP(A220,'MEMÓRIA DE CÁLCULO'!A:H,8,0)</f>
        <v>49</v>
      </c>
      <c r="G220" s="173">
        <f>IFERROR(
IF($B220="DER-ES",INDEX('CDER-ES'!$D:$D,MATCH($C220,'CDER-ES'!$A:$A,0)),
IF($B220="SINAPI",INDEX(CSINAPI!$D:$D,MATCH($C220,CSINAPI!$A:$A,0)),
IF($B220="CESAN",INDEX(CCESAN!$D:$D,MATCH($C220,CCESAN!$A:$A,0)),
IF($B220="SCORIO",INDEX(CSCORIO!$B:$B,MATCH($C220,CSCORIO!#REF!,0)),
IF($B220="MERC",INDEX(MERCADO!$E:$E,MATCH($C220,MERCADO!$A:$A,0)),
IF($B220="COMP",INDEX(COMPOSICAO!$H:$H,MATCH($C220,COMPOSICAO!$A:$A,0)),
0)))))),0)</f>
        <v>9.98</v>
      </c>
      <c r="H220" s="173">
        <f t="shared" si="195"/>
        <v>13.3</v>
      </c>
      <c r="I220" s="180">
        <f t="shared" si="196"/>
        <v>651.70000000000005</v>
      </c>
      <c r="J220" s="194">
        <f t="shared" si="197"/>
        <v>3.2693936195403082E-2</v>
      </c>
    </row>
    <row r="221" spans="1:10" ht="51">
      <c r="A221" s="175" t="s">
        <v>14258</v>
      </c>
      <c r="B221" s="176" t="s">
        <v>928</v>
      </c>
      <c r="C221" s="177">
        <v>89731</v>
      </c>
      <c r="D221" s="178" t="str">
        <f>IFERROR(PROPER(
IF($B221="DER-ES",INDEX('CDER-ES'!$B:$B,MATCH($C221,'CDER-ES'!$A:$A,0)),
IF($B221="SINAPI",INDEX(CSINAPI!$B:$B,MATCH($C221,CSINAPI!$A:$A,0)),
IF($B221="CESAN",INDEX(CCESAN!$B:$B,MATCH($C221,CCESAN!$A:$A,0)),
IF($B221="SCORIO",INDEX(CSCORIO!$B:$B,MATCH($C221,CSCORIO!$A:$A,0)),
IF($B221="MERC",INDEX(MERCADO!$B:$B,MATCH($C221,MERCADO!$A:$A,0)),
IF($B221="COMP",INDEX(COMPOSICAO!$B:$B,MATCH($C221,COMPOSICAO!$A:$A,0)),
""))))))),"*Verificar código*")</f>
        <v>Joelho 90 Graus, Pvc, Serie Normal, Esgoto Predial, Dn 50 Mm, Junta Elástica, Fornecido E Instalado Em Ramal De Descarga Ou Ramal De Esgoto Sanitário. Af_08/2022</v>
      </c>
      <c r="E221" s="171" t="str">
        <f>IFERROR(LOWER(
IF($B221="DER-ES",INDEX('CDER-ES'!$C:$C,MATCH($C221,'CDER-ES'!$A:$A,0)),
IF($B221="SINAPI",INDEX(CSINAPI!$C:$C,MATCH($C221,CSINAPI!$A:$A,0)),
IF($B221="CESAN",INDEX(CCESAN!$C:$C,MATCH($C221,CCESAN!$A:$A,0)),
IF($B221="SCORIO",INDEX(CSCORIO!$A:$A,MATCH($C221,CSCORIO!#REF!,0)),
IF($B221="MERC",INDEX(MERCADO!$D:$D,MATCH($C221,MERCADO!$A:$A,0)),
IF($B221="COMP",INDEX(COMPOSICAO!$G:$G,MATCH($C221,COMPOSICAO!$A:$A,0)),
""))))))),"")</f>
        <v>un</v>
      </c>
      <c r="F221" s="179">
        <f>VLOOKUP(A221,'MEMÓRIA DE CÁLCULO'!A:H,8,0)</f>
        <v>26</v>
      </c>
      <c r="G221" s="173">
        <f>IFERROR(
IF($B221="DER-ES",INDEX('CDER-ES'!$D:$D,MATCH($C221,'CDER-ES'!$A:$A,0)),
IF($B221="SINAPI",INDEX(CSINAPI!$D:$D,MATCH($C221,CSINAPI!$A:$A,0)),
IF($B221="CESAN",INDEX(CCESAN!$D:$D,MATCH($C221,CCESAN!$A:$A,0)),
IF($B221="SCORIO",INDEX(CSCORIO!$B:$B,MATCH($C221,CSCORIO!#REF!,0)),
IF($B221="MERC",INDEX(MERCADO!$E:$E,MATCH($C221,MERCADO!$A:$A,0)),
IF($B221="COMP",INDEX(COMPOSICAO!$H:$H,MATCH($C221,COMPOSICAO!$A:$A,0)),
0)))))),0)</f>
        <v>15.1</v>
      </c>
      <c r="H221" s="173">
        <f t="shared" si="195"/>
        <v>20.12</v>
      </c>
      <c r="I221" s="180">
        <f t="shared" si="196"/>
        <v>523.12</v>
      </c>
      <c r="J221" s="194">
        <f t="shared" si="197"/>
        <v>2.6243443152584412E-2</v>
      </c>
    </row>
    <row r="222" spans="1:10" ht="51">
      <c r="A222" s="175" t="s">
        <v>14259</v>
      </c>
      <c r="B222" s="176" t="s">
        <v>928</v>
      </c>
      <c r="C222" s="177">
        <v>89744</v>
      </c>
      <c r="D222" s="178" t="str">
        <f>IFERROR(PROPER(
IF($B222="DER-ES",INDEX('CDER-ES'!$B:$B,MATCH($C222,'CDER-ES'!$A:$A,0)),
IF($B222="SINAPI",INDEX(CSINAPI!$B:$B,MATCH($C222,CSINAPI!$A:$A,0)),
IF($B222="CESAN",INDEX(CCESAN!$B:$B,MATCH($C222,CCESAN!$A:$A,0)),
IF($B222="SCORIO",INDEX(CSCORIO!$B:$B,MATCH($C222,CSCORIO!$A:$A,0)),
IF($B222="MERC",INDEX(MERCADO!$B:$B,MATCH($C222,MERCADO!$A:$A,0)),
IF($B222="COMP",INDEX(COMPOSICAO!$B:$B,MATCH($C222,COMPOSICAO!$A:$A,0)),
""))))))),"*Verificar código*")</f>
        <v>Joelho 90 Graus, Pvc, Serie Normal, Esgoto Predial, Dn 100 Mm, Junta Elástica, Fornecido E Instalado Em Ramal De Descarga Ou Ramal De Esgoto Sanitário. Af_08/2022</v>
      </c>
      <c r="E222" s="171" t="str">
        <f>IFERROR(LOWER(
IF($B222="DER-ES",INDEX('CDER-ES'!$C:$C,MATCH($C222,'CDER-ES'!$A:$A,0)),
IF($B222="SINAPI",INDEX(CSINAPI!$C:$C,MATCH($C222,CSINAPI!$A:$A,0)),
IF($B222="CESAN",INDEX(CCESAN!$C:$C,MATCH($C222,CCESAN!$A:$A,0)),
IF($B222="SCORIO",INDEX(CSCORIO!$A:$A,MATCH($C222,CSCORIO!#REF!,0)),
IF($B222="MERC",INDEX(MERCADO!$D:$D,MATCH($C222,MERCADO!$A:$A,0)),
IF($B222="COMP",INDEX(COMPOSICAO!$G:$G,MATCH($C222,COMPOSICAO!$A:$A,0)),
""))))))),"")</f>
        <v>un</v>
      </c>
      <c r="F222" s="179">
        <f>VLOOKUP(A222,'MEMÓRIA DE CÁLCULO'!A:H,8,0)</f>
        <v>16</v>
      </c>
      <c r="G222" s="173">
        <f>IFERROR(
IF($B222="DER-ES",INDEX('CDER-ES'!$D:$D,MATCH($C222,'CDER-ES'!$A:$A,0)),
IF($B222="SINAPI",INDEX(CSINAPI!$D:$D,MATCH($C222,CSINAPI!$A:$A,0)),
IF($B222="CESAN",INDEX(CCESAN!$D:$D,MATCH($C222,CCESAN!$A:$A,0)),
IF($B222="SCORIO",INDEX(CSCORIO!$B:$B,MATCH($C222,CSCORIO!#REF!,0)),
IF($B222="MERC",INDEX(MERCADO!$E:$E,MATCH($C222,MERCADO!$A:$A,0)),
IF($B222="COMP",INDEX(COMPOSICAO!$H:$H,MATCH($C222,COMPOSICAO!$A:$A,0)),
0)))))),0)</f>
        <v>28.75</v>
      </c>
      <c r="H222" s="173">
        <f t="shared" si="195"/>
        <v>38.31</v>
      </c>
      <c r="I222" s="180">
        <f t="shared" si="196"/>
        <v>612.96</v>
      </c>
      <c r="J222" s="194">
        <f t="shared" si="197"/>
        <v>3.0750460534500958E-2</v>
      </c>
    </row>
    <row r="223" spans="1:10" ht="51">
      <c r="A223" s="175" t="s">
        <v>14260</v>
      </c>
      <c r="B223" s="176" t="s">
        <v>928</v>
      </c>
      <c r="C223" s="177">
        <v>89785</v>
      </c>
      <c r="D223" s="178" t="str">
        <f>IFERROR(PROPER(
IF($B223="DER-ES",INDEX('CDER-ES'!$B:$B,MATCH($C223,'CDER-ES'!$A:$A,0)),
IF($B223="SINAPI",INDEX(CSINAPI!$B:$B,MATCH($C223,CSINAPI!$A:$A,0)),
IF($B223="CESAN",INDEX(CCESAN!$B:$B,MATCH($C223,CCESAN!$A:$A,0)),
IF($B223="SCORIO",INDEX(CSCORIO!$B:$B,MATCH($C223,CSCORIO!$A:$A,0)),
IF($B223="MERC",INDEX(MERCADO!$B:$B,MATCH($C223,MERCADO!$A:$A,0)),
IF($B223="COMP",INDEX(COMPOSICAO!$B:$B,MATCH($C223,COMPOSICAO!$A:$A,0)),
""))))))),"*Verificar código*")</f>
        <v>Junção Simples, Pvc, Serie Normal, Esgoto Predial, Dn 50 X 50 Mm, Junta Elástica, Fornecido E Instalado Em Ramal De Descarga Ou Ramal De Esgoto Sanitário. Af_08/2022</v>
      </c>
      <c r="E223" s="171" t="str">
        <f>IFERROR(LOWER(
IF($B223="DER-ES",INDEX('CDER-ES'!$C:$C,MATCH($C223,'CDER-ES'!$A:$A,0)),
IF($B223="SINAPI",INDEX(CSINAPI!$C:$C,MATCH($C223,CSINAPI!$A:$A,0)),
IF($B223="CESAN",INDEX(CCESAN!$C:$C,MATCH($C223,CCESAN!$A:$A,0)),
IF($B223="SCORIO",INDEX(CSCORIO!$A:$A,MATCH($C223,CSCORIO!#REF!,0)),
IF($B223="MERC",INDEX(MERCADO!$D:$D,MATCH($C223,MERCADO!$A:$A,0)),
IF($B223="COMP",INDEX(COMPOSICAO!$G:$G,MATCH($C223,COMPOSICAO!$A:$A,0)),
""))))))),"")</f>
        <v>un</v>
      </c>
      <c r="F223" s="179">
        <f>VLOOKUP(A223,'MEMÓRIA DE CÁLCULO'!A:H,8,0)</f>
        <v>7</v>
      </c>
      <c r="G223" s="173">
        <f>IFERROR(
IF($B223="DER-ES",INDEX('CDER-ES'!$D:$D,MATCH($C223,'CDER-ES'!$A:$A,0)),
IF($B223="SINAPI",INDEX(CSINAPI!$D:$D,MATCH($C223,CSINAPI!$A:$A,0)),
IF($B223="CESAN",INDEX(CCESAN!$D:$D,MATCH($C223,CCESAN!$A:$A,0)),
IF($B223="SCORIO",INDEX(CSCORIO!$B:$B,MATCH($C223,CSCORIO!#REF!,0)),
IF($B223="MERC",INDEX(MERCADO!$E:$E,MATCH($C223,MERCADO!$A:$A,0)),
IF($B223="COMP",INDEX(COMPOSICAO!$H:$H,MATCH($C223,COMPOSICAO!$A:$A,0)),
0)))))),0)</f>
        <v>28.12</v>
      </c>
      <c r="H223" s="173">
        <f t="shared" si="195"/>
        <v>37.47</v>
      </c>
      <c r="I223" s="180">
        <f t="shared" si="196"/>
        <v>262.29000000000002</v>
      </c>
      <c r="J223" s="194">
        <f t="shared" si="197"/>
        <v>1.3158343600878126E-2</v>
      </c>
    </row>
    <row r="224" spans="1:10" ht="51">
      <c r="A224" s="175" t="s">
        <v>14261</v>
      </c>
      <c r="B224" s="176" t="s">
        <v>928</v>
      </c>
      <c r="C224" s="177">
        <v>89797</v>
      </c>
      <c r="D224" s="178" t="str">
        <f>IFERROR(PROPER(
IF($B224="DER-ES",INDEX('CDER-ES'!$B:$B,MATCH($C224,'CDER-ES'!$A:$A,0)),
IF($B224="SINAPI",INDEX(CSINAPI!$B:$B,MATCH($C224,CSINAPI!$A:$A,0)),
IF($B224="CESAN",INDEX(CCESAN!$B:$B,MATCH($C224,CCESAN!$A:$A,0)),
IF($B224="SCORIO",INDEX(CSCORIO!$B:$B,MATCH($C224,CSCORIO!$A:$A,0)),
IF($B224="MERC",INDEX(MERCADO!$B:$B,MATCH($C224,MERCADO!$A:$A,0)),
IF($B224="COMP",INDEX(COMPOSICAO!$B:$B,MATCH($C224,COMPOSICAO!$A:$A,0)),
""))))))),"*Verificar código*")</f>
        <v>Junção Simples, Pvc, Serie Normal, Esgoto Predial, Dn 100 X 100 Mm, Junta Elástica, Fornecido E Instalado Em Ramal De Descarga Ou Ramal De Esgoto Sanitário. Af_08/2022</v>
      </c>
      <c r="E224" s="171" t="str">
        <f>IFERROR(LOWER(
IF($B224="DER-ES",INDEX('CDER-ES'!$C:$C,MATCH($C224,'CDER-ES'!$A:$A,0)),
IF($B224="SINAPI",INDEX(CSINAPI!$C:$C,MATCH($C224,CSINAPI!$A:$A,0)),
IF($B224="CESAN",INDEX(CCESAN!$C:$C,MATCH($C224,CCESAN!$A:$A,0)),
IF($B224="SCORIO",INDEX(CSCORIO!$A:$A,MATCH($C224,CSCORIO!#REF!,0)),
IF($B224="MERC",INDEX(MERCADO!$D:$D,MATCH($C224,MERCADO!$A:$A,0)),
IF($B224="COMP",INDEX(COMPOSICAO!$G:$G,MATCH($C224,COMPOSICAO!$A:$A,0)),
""))))))),"")</f>
        <v>un</v>
      </c>
      <c r="F224" s="179">
        <f>VLOOKUP(A224,'MEMÓRIA DE CÁLCULO'!A:H,8,0)</f>
        <v>11</v>
      </c>
      <c r="G224" s="173">
        <f>IFERROR(
IF($B224="DER-ES",INDEX('CDER-ES'!$D:$D,MATCH($C224,'CDER-ES'!$A:$A,0)),
IF($B224="SINAPI",INDEX(CSINAPI!$D:$D,MATCH($C224,CSINAPI!$A:$A,0)),
IF($B224="CESAN",INDEX(CCESAN!$D:$D,MATCH($C224,CCESAN!$A:$A,0)),
IF($B224="SCORIO",INDEX(CSCORIO!$B:$B,MATCH($C224,CSCORIO!#REF!,0)),
IF($B224="MERC",INDEX(MERCADO!$E:$E,MATCH($C224,MERCADO!$A:$A,0)),
IF($B224="COMP",INDEX(COMPOSICAO!$H:$H,MATCH($C224,COMPOSICAO!$A:$A,0)),
0)))))),0)</f>
        <v>55.93</v>
      </c>
      <c r="H224" s="173">
        <f t="shared" si="195"/>
        <v>74.53</v>
      </c>
      <c r="I224" s="180">
        <f t="shared" si="196"/>
        <v>819.83</v>
      </c>
      <c r="J224" s="194">
        <f t="shared" si="197"/>
        <v>4.1128540296267162E-2</v>
      </c>
    </row>
    <row r="225" spans="1:11" ht="25.5">
      <c r="A225" s="175" t="s">
        <v>14262</v>
      </c>
      <c r="B225" s="176" t="s">
        <v>929</v>
      </c>
      <c r="C225" s="177">
        <v>8</v>
      </c>
      <c r="D225" s="178" t="str">
        <f>IFERROR(PROPER(
IF($B225="DER-ES",INDEX('CDER-ES'!$B:$B,MATCH($C225,'CDER-ES'!$A:$A,0)),
IF($B225="SINAPI",INDEX(CSINAPI!$B:$B,MATCH($C225,CSINAPI!$A:$A,0)),
IF($B225="CESAN",INDEX(CCESAN!$B:$B,MATCH($C225,CCESAN!$A:$A,0)),
IF($B225="SCORIO",INDEX(CSCORIO!$B:$B,MATCH($C225,CSCORIO!$A:$A,0)),
IF($B225="MERC",INDEX(MERCADO!$B:$B,MATCH($C225,MERCADO!$A:$A,0)),
IF($B225="COMP",INDEX(COMPOSICAO!$B:$B,MATCH($C225,COMPOSICAO!$A:$A,0)),
""))))))),"*Verificar código*")</f>
        <v>Junção Simples, Pvc, Série Normal, Dn 100 X 50 Mm, Junta Elástica, Fornecido E Instalado</v>
      </c>
      <c r="E225" s="171" t="str">
        <f>IFERROR(LOWER(
IF($B225="DER-ES",INDEX('CDER-ES'!$C:$C,MATCH($C225,'CDER-ES'!$A:$A,0)),
IF($B225="SINAPI",INDEX(CSINAPI!$C:$C,MATCH($C225,CSINAPI!$A:$A,0)),
IF($B225="CESAN",INDEX(CCESAN!$C:$C,MATCH($C225,CCESAN!$A:$A,0)),
IF($B225="SCORIO",INDEX(CSCORIO!$A:$A,MATCH($C225,CSCORIO!#REF!,0)),
IF($B225="MERC",INDEX(MERCADO!$D:$D,MATCH($C225,MERCADO!$A:$A,0)),
IF($B225="COMP",INDEX(COMPOSICAO!$G:$G,MATCH($C225,COMPOSICAO!$A:$A,0)),
""))))))),"")</f>
        <v>und.</v>
      </c>
      <c r="F225" s="179">
        <f>VLOOKUP(A225,'MEMÓRIA DE CÁLCULO'!A:H,8,0)</f>
        <v>9</v>
      </c>
      <c r="G225" s="173">
        <f>IFERROR(
IF($B225="DER-ES",INDEX('CDER-ES'!$D:$D,MATCH($C225,'CDER-ES'!$A:$A,0)),
IF($B225="SINAPI",INDEX(CSINAPI!$D:$D,MATCH($C225,CSINAPI!$A:$A,0)),
IF($B225="CESAN",INDEX(CCESAN!$D:$D,MATCH($C225,CCESAN!$A:$A,0)),
IF($B225="SCORIO",INDEX(CSCORIO!$B:$B,MATCH($C225,CSCORIO!#REF!,0)),
IF($B225="MERC",INDEX(MERCADO!$E:$E,MATCH($C225,MERCADO!$A:$A,0)),
IF($B225="COMP",INDEX(COMPOSICAO!$H:$H,MATCH($C225,COMPOSICAO!$A:$A,0)),
0)))))),0)</f>
        <v>40.240000000000009</v>
      </c>
      <c r="H225" s="173">
        <f t="shared" si="195"/>
        <v>53.62</v>
      </c>
      <c r="I225" s="180">
        <f t="shared" si="196"/>
        <v>482.58</v>
      </c>
      <c r="J225" s="194">
        <f t="shared" si="197"/>
        <v>2.4209666609141658E-2</v>
      </c>
    </row>
    <row r="226" spans="1:11" ht="51">
      <c r="A226" s="175" t="s">
        <v>14263</v>
      </c>
      <c r="B226" s="176" t="s">
        <v>928</v>
      </c>
      <c r="C226" s="177">
        <v>89753</v>
      </c>
      <c r="D226" s="178" t="str">
        <f>IFERROR(PROPER(
IF($B226="DER-ES",INDEX('CDER-ES'!$B:$B,MATCH($C226,'CDER-ES'!$A:$A,0)),
IF($B226="SINAPI",INDEX(CSINAPI!$B:$B,MATCH($C226,CSINAPI!$A:$A,0)),
IF($B226="CESAN",INDEX(CCESAN!$B:$B,MATCH($C226,CCESAN!$A:$A,0)),
IF($B226="SCORIO",INDEX(CSCORIO!$B:$B,MATCH($C226,CSCORIO!$A:$A,0)),
IF($B226="MERC",INDEX(MERCADO!$B:$B,MATCH($C226,MERCADO!$A:$A,0)),
IF($B226="COMP",INDEX(COMPOSICAO!$B:$B,MATCH($C226,COMPOSICAO!$A:$A,0)),
""))))))),"*Verificar código*")</f>
        <v>Luva Simples, Pvc, Serie Normal, Esgoto Predial, Dn 50 Mm, Junta Elástica, Fornecido E Instalado Em Ramal De Descarga Ou Ramal De Esgoto Sanitário. Af_08/2022</v>
      </c>
      <c r="E226" s="171" t="str">
        <f>IFERROR(LOWER(
IF($B226="DER-ES",INDEX('CDER-ES'!$C:$C,MATCH($C226,'CDER-ES'!$A:$A,0)),
IF($B226="SINAPI",INDEX(CSINAPI!$C:$C,MATCH($C226,CSINAPI!$A:$A,0)),
IF($B226="CESAN",INDEX(CCESAN!$C:$C,MATCH($C226,CCESAN!$A:$A,0)),
IF($B226="SCORIO",INDEX(CSCORIO!$A:$A,MATCH($C226,CSCORIO!#REF!,0)),
IF($B226="MERC",INDEX(MERCADO!$D:$D,MATCH($C226,MERCADO!$A:$A,0)),
IF($B226="COMP",INDEX(COMPOSICAO!$G:$G,MATCH($C226,COMPOSICAO!$A:$A,0)),
""))))))),"")</f>
        <v>un</v>
      </c>
      <c r="F226" s="179">
        <f>VLOOKUP(A226,'MEMÓRIA DE CÁLCULO'!A:H,8,0)</f>
        <v>36</v>
      </c>
      <c r="G226" s="173">
        <f>IFERROR(
IF($B226="DER-ES",INDEX('CDER-ES'!$D:$D,MATCH($C226,'CDER-ES'!$A:$A,0)),
IF($B226="SINAPI",INDEX(CSINAPI!$D:$D,MATCH($C226,CSINAPI!$A:$A,0)),
IF($B226="CESAN",INDEX(CCESAN!$D:$D,MATCH($C226,CCESAN!$A:$A,0)),
IF($B226="SCORIO",INDEX(CSCORIO!$B:$B,MATCH($C226,CSCORIO!#REF!,0)),
IF($B226="MERC",INDEX(MERCADO!$E:$E,MATCH($C226,MERCADO!$A:$A,0)),
IF($B226="COMP",INDEX(COMPOSICAO!$H:$H,MATCH($C226,COMPOSICAO!$A:$A,0)),
0)))))),0)</f>
        <v>9.52</v>
      </c>
      <c r="H226" s="173">
        <f t="shared" si="195"/>
        <v>12.69</v>
      </c>
      <c r="I226" s="180">
        <f t="shared" si="196"/>
        <v>456.84</v>
      </c>
      <c r="J226" s="194">
        <f t="shared" si="197"/>
        <v>2.2918363988810714E-2</v>
      </c>
    </row>
    <row r="227" spans="1:11" ht="51">
      <c r="A227" s="175" t="s">
        <v>14264</v>
      </c>
      <c r="B227" s="176" t="s">
        <v>928</v>
      </c>
      <c r="C227" s="177">
        <v>89778</v>
      </c>
      <c r="D227" s="178" t="str">
        <f>IFERROR(PROPER(
IF($B227="DER-ES",INDEX('CDER-ES'!$B:$B,MATCH($C227,'CDER-ES'!$A:$A,0)),
IF($B227="SINAPI",INDEX(CSINAPI!$B:$B,MATCH($C227,CSINAPI!$A:$A,0)),
IF($B227="CESAN",INDEX(CCESAN!$B:$B,MATCH($C227,CCESAN!$A:$A,0)),
IF($B227="SCORIO",INDEX(CSCORIO!$B:$B,MATCH($C227,CSCORIO!$A:$A,0)),
IF($B227="MERC",INDEX(MERCADO!$B:$B,MATCH($C227,MERCADO!$A:$A,0)),
IF($B227="COMP",INDEX(COMPOSICAO!$B:$B,MATCH($C227,COMPOSICAO!$A:$A,0)),
""))))))),"*Verificar código*")</f>
        <v>Luva Simples, Pvc, Serie Normal, Esgoto Predial, Dn 100 Mm, Junta Elástica, Fornecido E Instalado Em Ramal De Descarga Ou Ramal De Esgoto Sanitário. Af_08/2022</v>
      </c>
      <c r="E227" s="171" t="str">
        <f>IFERROR(LOWER(
IF($B227="DER-ES",INDEX('CDER-ES'!$C:$C,MATCH($C227,'CDER-ES'!$A:$A,0)),
IF($B227="SINAPI",INDEX(CSINAPI!$C:$C,MATCH($C227,CSINAPI!$A:$A,0)),
IF($B227="CESAN",INDEX(CCESAN!$C:$C,MATCH($C227,CCESAN!$A:$A,0)),
IF($B227="SCORIO",INDEX(CSCORIO!$A:$A,MATCH($C227,CSCORIO!#REF!,0)),
IF($B227="MERC",INDEX(MERCADO!$D:$D,MATCH($C227,MERCADO!$A:$A,0)),
IF($B227="COMP",INDEX(COMPOSICAO!$G:$G,MATCH($C227,COMPOSICAO!$A:$A,0)),
""))))))),"")</f>
        <v>un</v>
      </c>
      <c r="F227" s="179">
        <f>VLOOKUP(A227,'MEMÓRIA DE CÁLCULO'!A:H,8,0)</f>
        <v>36</v>
      </c>
      <c r="G227" s="173">
        <f>IFERROR(
IF($B227="DER-ES",INDEX('CDER-ES'!$D:$D,MATCH($C227,'CDER-ES'!$A:$A,0)),
IF($B227="SINAPI",INDEX(CSINAPI!$D:$D,MATCH($C227,CSINAPI!$A:$A,0)),
IF($B227="CESAN",INDEX(CCESAN!$D:$D,MATCH($C227,CCESAN!$A:$A,0)),
IF($B227="SCORIO",INDEX(CSCORIO!$B:$B,MATCH($C227,CSCORIO!#REF!,0)),
IF($B227="MERC",INDEX(MERCADO!$E:$E,MATCH($C227,MERCADO!$A:$A,0)),
IF($B227="COMP",INDEX(COMPOSICAO!$H:$H,MATCH($C227,COMPOSICAO!$A:$A,0)),
0)))))),0)</f>
        <v>18.350000000000001</v>
      </c>
      <c r="H227" s="173">
        <f t="shared" si="195"/>
        <v>24.45</v>
      </c>
      <c r="I227" s="180">
        <f t="shared" si="196"/>
        <v>880.2</v>
      </c>
      <c r="J227" s="194">
        <f t="shared" si="197"/>
        <v>4.4157131562365802E-2</v>
      </c>
    </row>
    <row r="228" spans="1:11" ht="51">
      <c r="A228" s="175" t="s">
        <v>14265</v>
      </c>
      <c r="B228" s="176" t="s">
        <v>928</v>
      </c>
      <c r="C228" s="177">
        <v>89784</v>
      </c>
      <c r="D228" s="178" t="str">
        <f>IFERROR(PROPER(
IF($B228="DER-ES",INDEX('CDER-ES'!$B:$B,MATCH($C228,'CDER-ES'!$A:$A,0)),
IF($B228="SINAPI",INDEX(CSINAPI!$B:$B,MATCH($C228,CSINAPI!$A:$A,0)),
IF($B228="CESAN",INDEX(CCESAN!$B:$B,MATCH($C228,CCESAN!$A:$A,0)),
IF($B228="SCORIO",INDEX(CSCORIO!$B:$B,MATCH($C228,CSCORIO!$A:$A,0)),
IF($B228="MERC",INDEX(MERCADO!$B:$B,MATCH($C228,MERCADO!$A:$A,0)),
IF($B228="COMP",INDEX(COMPOSICAO!$B:$B,MATCH($C228,COMPOSICAO!$A:$A,0)),
""))))))),"*Verificar código*")</f>
        <v>Te, Pvc, Serie Normal, Esgoto Predial, Dn 50 X 50 Mm, Junta Elástica, Fornecido E Instalado Em Ramal De Descarga Ou Ramal De Esgoto Sanitário. Af_08/2022</v>
      </c>
      <c r="E228" s="171" t="str">
        <f>IFERROR(LOWER(
IF($B228="DER-ES",INDEX('CDER-ES'!$C:$C,MATCH($C228,'CDER-ES'!$A:$A,0)),
IF($B228="SINAPI",INDEX(CSINAPI!$C:$C,MATCH($C228,CSINAPI!$A:$A,0)),
IF($B228="CESAN",INDEX(CCESAN!$C:$C,MATCH($C228,CCESAN!$A:$A,0)),
IF($B228="SCORIO",INDEX(CSCORIO!$A:$A,MATCH($C228,CSCORIO!#REF!,0)),
IF($B228="MERC",INDEX(MERCADO!$D:$D,MATCH($C228,MERCADO!$A:$A,0)),
IF($B228="COMP",INDEX(COMPOSICAO!$G:$G,MATCH($C228,COMPOSICAO!$A:$A,0)),
""))))))),"")</f>
        <v>un</v>
      </c>
      <c r="F228" s="179">
        <f>VLOOKUP(A228,'MEMÓRIA DE CÁLCULO'!A:H,8,0)</f>
        <v>7</v>
      </c>
      <c r="G228" s="173">
        <f>IFERROR(
IF($B228="DER-ES",INDEX('CDER-ES'!$D:$D,MATCH($C228,'CDER-ES'!$A:$A,0)),
IF($B228="SINAPI",INDEX(CSINAPI!$D:$D,MATCH($C228,CSINAPI!$A:$A,0)),
IF($B228="CESAN",INDEX(CCESAN!$D:$D,MATCH($C228,CCESAN!$A:$A,0)),
IF($B228="SCORIO",INDEX(CSCORIO!$B:$B,MATCH($C228,CSCORIO!#REF!,0)),
IF($B228="MERC",INDEX(MERCADO!$E:$E,MATCH($C228,MERCADO!$A:$A,0)),
IF($B228="COMP",INDEX(COMPOSICAO!$H:$H,MATCH($C228,COMPOSICAO!$A:$A,0)),
0)))))),0)</f>
        <v>25.24</v>
      </c>
      <c r="H228" s="173">
        <f t="shared" si="195"/>
        <v>33.630000000000003</v>
      </c>
      <c r="I228" s="180">
        <f t="shared" si="196"/>
        <v>235.41</v>
      </c>
      <c r="J228" s="194">
        <f t="shared" si="197"/>
        <v>1.1809850421604786E-2</v>
      </c>
    </row>
    <row r="229" spans="1:11" ht="51">
      <c r="A229" s="175" t="s">
        <v>14266</v>
      </c>
      <c r="B229" s="176" t="s">
        <v>928</v>
      </c>
      <c r="C229" s="177">
        <v>89711</v>
      </c>
      <c r="D229" s="178" t="str">
        <f>IFERROR(PROPER(
IF($B229="DER-ES",INDEX('CDER-ES'!$B:$B,MATCH($C229,'CDER-ES'!$A:$A,0)),
IF($B229="SINAPI",INDEX(CSINAPI!$B:$B,MATCH($C229,CSINAPI!$A:$A,0)),
IF($B229="CESAN",INDEX(CCESAN!$B:$B,MATCH($C229,CCESAN!$A:$A,0)),
IF($B229="SCORIO",INDEX(CSCORIO!$B:$B,MATCH($C229,CSCORIO!$A:$A,0)),
IF($B229="MERC",INDEX(MERCADO!$B:$B,MATCH($C229,MERCADO!$A:$A,0)),
IF($B229="COMP",INDEX(COMPOSICAO!$B:$B,MATCH($C229,COMPOSICAO!$A:$A,0)),
""))))))),"*Verificar código*")</f>
        <v>Tubo Pvc, Serie Normal, Esgoto Predial, Dn 40 Mm, Fornecido E Instalado Em Ramal De Descarga Ou Ramal De Esgoto Sanitário. Af_08/2022</v>
      </c>
      <c r="E229" s="171" t="str">
        <f>IFERROR(LOWER(
IF($B229="DER-ES",INDEX('CDER-ES'!$C:$C,MATCH($C229,'CDER-ES'!$A:$A,0)),
IF($B229="SINAPI",INDEX(CSINAPI!$C:$C,MATCH($C229,CSINAPI!$A:$A,0)),
IF($B229="CESAN",INDEX(CCESAN!$C:$C,MATCH($C229,CCESAN!$A:$A,0)),
IF($B229="SCORIO",INDEX(CSCORIO!$A:$A,MATCH($C229,CSCORIO!#REF!,0)),
IF($B229="MERC",INDEX(MERCADO!$D:$D,MATCH($C229,MERCADO!$A:$A,0)),
IF($B229="COMP",INDEX(COMPOSICAO!$G:$G,MATCH($C229,COMPOSICAO!$A:$A,0)),
""))))))),"")</f>
        <v>m</v>
      </c>
      <c r="F229" s="179">
        <f>VLOOKUP(A229,'MEMÓRIA DE CÁLCULO'!A:H,8,0)</f>
        <v>35</v>
      </c>
      <c r="G229" s="173">
        <f>IFERROR(
IF($B229="DER-ES",INDEX('CDER-ES'!$D:$D,MATCH($C229,'CDER-ES'!$A:$A,0)),
IF($B229="SINAPI",INDEX(CSINAPI!$D:$D,MATCH($C229,CSINAPI!$A:$A,0)),
IF($B229="CESAN",INDEX(CCESAN!$D:$D,MATCH($C229,CCESAN!$A:$A,0)),
IF($B229="SCORIO",INDEX(CSCORIO!$B:$B,MATCH($C229,CSCORIO!#REF!,0)),
IF($B229="MERC",INDEX(MERCADO!$E:$E,MATCH($C229,MERCADO!$A:$A,0)),
IF($B229="COMP",INDEX(COMPOSICAO!$H:$H,MATCH($C229,COMPOSICAO!$A:$A,0)),
0)))))),0)</f>
        <v>21.46</v>
      </c>
      <c r="H229" s="173">
        <f t="shared" si="195"/>
        <v>28.6</v>
      </c>
      <c r="I229" s="180">
        <f t="shared" si="196"/>
        <v>1001</v>
      </c>
      <c r="J229" s="194">
        <f t="shared" si="197"/>
        <v>5.0217324123981104E-2</v>
      </c>
    </row>
    <row r="230" spans="1:11" ht="51">
      <c r="A230" s="175" t="s">
        <v>14267</v>
      </c>
      <c r="B230" s="176" t="s">
        <v>928</v>
      </c>
      <c r="C230" s="177">
        <v>89712</v>
      </c>
      <c r="D230" s="178" t="str">
        <f>IFERROR(PROPER(
IF($B230="DER-ES",INDEX('CDER-ES'!$B:$B,MATCH($C230,'CDER-ES'!$A:$A,0)),
IF($B230="SINAPI",INDEX(CSINAPI!$B:$B,MATCH($C230,CSINAPI!$A:$A,0)),
IF($B230="CESAN",INDEX(CCESAN!$B:$B,MATCH($C230,CCESAN!$A:$A,0)),
IF($B230="SCORIO",INDEX(CSCORIO!$B:$B,MATCH($C230,CSCORIO!$A:$A,0)),
IF($B230="MERC",INDEX(MERCADO!$B:$B,MATCH($C230,MERCADO!$A:$A,0)),
IF($B230="COMP",INDEX(COMPOSICAO!$B:$B,MATCH($C230,COMPOSICAO!$A:$A,0)),
""))))))),"*Verificar código*")</f>
        <v>Tubo Pvc, Serie Normal, Esgoto Predial, Dn 50 Mm, Fornecido E Instalado Em Ramal De Descarga Ou Ramal De Esgoto Sanitário. Af_08/2022</v>
      </c>
      <c r="E230" s="171" t="str">
        <f>IFERROR(LOWER(
IF($B230="DER-ES",INDEX('CDER-ES'!$C:$C,MATCH($C230,'CDER-ES'!$A:$A,0)),
IF($B230="SINAPI",INDEX(CSINAPI!$C:$C,MATCH($C230,CSINAPI!$A:$A,0)),
IF($B230="CESAN",INDEX(CCESAN!$C:$C,MATCH($C230,CCESAN!$A:$A,0)),
IF($B230="SCORIO",INDEX(CSCORIO!$A:$A,MATCH($C230,CSCORIO!#REF!,0)),
IF($B230="MERC",INDEX(MERCADO!$D:$D,MATCH($C230,MERCADO!$A:$A,0)),
IF($B230="COMP",INDEX(COMPOSICAO!$G:$G,MATCH($C230,COMPOSICAO!$A:$A,0)),
""))))))),"")</f>
        <v>m</v>
      </c>
      <c r="F230" s="179">
        <f>VLOOKUP(A230,'MEMÓRIA DE CÁLCULO'!A:H,8,0)</f>
        <v>62</v>
      </c>
      <c r="G230" s="173">
        <f>IFERROR(
IF($B230="DER-ES",INDEX('CDER-ES'!$D:$D,MATCH($C230,'CDER-ES'!$A:$A,0)),
IF($B230="SINAPI",INDEX(CSINAPI!$D:$D,MATCH($C230,CSINAPI!$A:$A,0)),
IF($B230="CESAN",INDEX(CCESAN!$D:$D,MATCH($C230,CCESAN!$A:$A,0)),
IF($B230="SCORIO",INDEX(CSCORIO!$B:$B,MATCH($C230,CSCORIO!#REF!,0)),
IF($B230="MERC",INDEX(MERCADO!$E:$E,MATCH($C230,MERCADO!$A:$A,0)),
IF($B230="COMP",INDEX(COMPOSICAO!$H:$H,MATCH($C230,COMPOSICAO!$A:$A,0)),
0)))))),0)</f>
        <v>28.08</v>
      </c>
      <c r="H230" s="173">
        <f t="shared" si="195"/>
        <v>37.42</v>
      </c>
      <c r="I230" s="180">
        <f t="shared" si="196"/>
        <v>2320.04</v>
      </c>
      <c r="J230" s="194">
        <f t="shared" si="197"/>
        <v>0.11638981084975136</v>
      </c>
    </row>
    <row r="231" spans="1:11" ht="51">
      <c r="A231" s="175" t="s">
        <v>14268</v>
      </c>
      <c r="B231" s="176" t="s">
        <v>928</v>
      </c>
      <c r="C231" s="177">
        <v>89714</v>
      </c>
      <c r="D231" s="178" t="str">
        <f>IFERROR(PROPER(
IF($B231="DER-ES",INDEX('CDER-ES'!$B:$B,MATCH($C231,'CDER-ES'!$A:$A,0)),
IF($B231="SINAPI",INDEX(CSINAPI!$B:$B,MATCH($C231,CSINAPI!$A:$A,0)),
IF($B231="CESAN",INDEX(CCESAN!$B:$B,MATCH($C231,CCESAN!$A:$A,0)),
IF($B231="SCORIO",INDEX(CSCORIO!$B:$B,MATCH($C231,CSCORIO!$A:$A,0)),
IF($B231="MERC",INDEX(MERCADO!$B:$B,MATCH($C231,MERCADO!$A:$A,0)),
IF($B231="COMP",INDEX(COMPOSICAO!$B:$B,MATCH($C231,COMPOSICAO!$A:$A,0)),
""))))))),"*Verificar código*")</f>
        <v>Tubo Pvc, Serie Normal, Esgoto Predial, Dn 100 Mm, Fornecido E Instalado Em Ramal De Descarga Ou Ramal De Esgoto Sanitário. Af_08/2022</v>
      </c>
      <c r="E231" s="171" t="str">
        <f>IFERROR(LOWER(
IF($B231="DER-ES",INDEX('CDER-ES'!$C:$C,MATCH($C231,'CDER-ES'!$A:$A,0)),
IF($B231="SINAPI",INDEX(CSINAPI!$C:$C,MATCH($C231,CSINAPI!$A:$A,0)),
IF($B231="CESAN",INDEX(CCESAN!$C:$C,MATCH($C231,CCESAN!$A:$A,0)),
IF($B231="SCORIO",INDEX(CSCORIO!$A:$A,MATCH($C231,CSCORIO!#REF!,0)),
IF($B231="MERC",INDEX(MERCADO!$D:$D,MATCH($C231,MERCADO!$A:$A,0)),
IF($B231="COMP",INDEX(COMPOSICAO!$G:$G,MATCH($C231,COMPOSICAO!$A:$A,0)),
""))))))),"")</f>
        <v>m</v>
      </c>
      <c r="F231" s="179">
        <f>VLOOKUP(A231,'MEMÓRIA DE CÁLCULO'!A:H,8,0)</f>
        <v>71</v>
      </c>
      <c r="G231" s="173">
        <f>IFERROR(
IF($B231="DER-ES",INDEX('CDER-ES'!$D:$D,MATCH($C231,'CDER-ES'!$A:$A,0)),
IF($B231="SINAPI",INDEX(CSINAPI!$D:$D,MATCH($C231,CSINAPI!$A:$A,0)),
IF($B231="CESAN",INDEX(CCESAN!$D:$D,MATCH($C231,CCESAN!$A:$A,0)),
IF($B231="SCORIO",INDEX(CSCORIO!$B:$B,MATCH($C231,CSCORIO!#REF!,0)),
IF($B231="MERC",INDEX(MERCADO!$E:$E,MATCH($C231,MERCADO!$A:$A,0)),
IF($B231="COMP",INDEX(COMPOSICAO!$H:$H,MATCH($C231,COMPOSICAO!$A:$A,0)),
0)))))),0)</f>
        <v>39.08</v>
      </c>
      <c r="H231" s="173">
        <f t="shared" si="195"/>
        <v>52.07</v>
      </c>
      <c r="I231" s="180">
        <f t="shared" si="196"/>
        <v>3696.97</v>
      </c>
      <c r="J231" s="194">
        <f t="shared" si="197"/>
        <v>0.18546647429234206</v>
      </c>
    </row>
    <row r="232" spans="1:11" ht="25.5">
      <c r="A232" s="175" t="s">
        <v>14269</v>
      </c>
      <c r="B232" s="176" t="s">
        <v>929</v>
      </c>
      <c r="C232" s="177">
        <v>9</v>
      </c>
      <c r="D232" s="178" t="str">
        <f>IFERROR(PROPER(
IF($B232="DER-ES",INDEX('CDER-ES'!$B:$B,MATCH($C232,'CDER-ES'!$A:$A,0)),
IF($B232="SINAPI",INDEX(CSINAPI!$B:$B,MATCH($C232,CSINAPI!$A:$A,0)),
IF($B232="CESAN",INDEX(CCESAN!$B:$B,MATCH($C232,CCESAN!$A:$A,0)),
IF($B232="SCORIO",INDEX(CSCORIO!$B:$B,MATCH($C232,CSCORIO!$A:$A,0)),
IF($B232="MERC",INDEX(MERCADO!$B:$B,MATCH($C232,MERCADO!$A:$A,0)),
IF($B232="COMP",INDEX(COMPOSICAO!$B:$B,MATCH($C232,COMPOSICAO!$A:$A,0)),
""))))))),"*Verificar código*")</f>
        <v>Terminal De Ventilação, Dn 100 Mm, Série Normal, Esgoto Predial, Fornecido E Instalado</v>
      </c>
      <c r="E232" s="171" t="str">
        <f>IFERROR(LOWER(
IF($B232="DER-ES",INDEX('CDER-ES'!$C:$C,MATCH($C232,'CDER-ES'!$A:$A,0)),
IF($B232="SINAPI",INDEX(CSINAPI!$C:$C,MATCH($C232,CSINAPI!$A:$A,0)),
IF($B232="CESAN",INDEX(CCESAN!$C:$C,MATCH($C232,CCESAN!$A:$A,0)),
IF($B232="SCORIO",INDEX(CSCORIO!$A:$A,MATCH($C232,CSCORIO!#REF!,0)),
IF($B232="MERC",INDEX(MERCADO!$D:$D,MATCH($C232,MERCADO!$A:$A,0)),
IF($B232="COMP",INDEX(COMPOSICAO!$G:$G,MATCH($C232,COMPOSICAO!$A:$A,0)),
""))))))),"")</f>
        <v>und.</v>
      </c>
      <c r="F232" s="179">
        <f>VLOOKUP(A232,'MEMÓRIA DE CÁLCULO'!A:H,8,0)</f>
        <v>7</v>
      </c>
      <c r="G232" s="173">
        <f>IFERROR(
IF($B232="DER-ES",INDEX('CDER-ES'!$D:$D,MATCH($C232,'CDER-ES'!$A:$A,0)),
IF($B232="SINAPI",INDEX(CSINAPI!$D:$D,MATCH($C232,CSINAPI!$A:$A,0)),
IF($B232="CESAN",INDEX(CCESAN!$D:$D,MATCH($C232,CCESAN!$A:$A,0)),
IF($B232="SCORIO",INDEX(CSCORIO!$B:$B,MATCH($C232,CSCORIO!#REF!,0)),
IF($B232="MERC",INDEX(MERCADO!$E:$E,MATCH($C232,MERCADO!$A:$A,0)),
IF($B232="COMP",INDEX(COMPOSICAO!$H:$H,MATCH($C232,COMPOSICAO!$A:$A,0)),
0)))))),0)</f>
        <v>36.979999999999997</v>
      </c>
      <c r="H232" s="173">
        <f t="shared" ref="H232" si="201">ROUND(G232*(1+$J$2),2)</f>
        <v>49.28</v>
      </c>
      <c r="I232" s="180">
        <f t="shared" ref="I232" si="202">ROUND($H232*F232,2)</f>
        <v>344.96</v>
      </c>
      <c r="J232" s="194">
        <f t="shared" ref="J232" si="203">I232/I$213</f>
        <v>1.7305662467341179E-2</v>
      </c>
    </row>
    <row r="233" spans="1:11">
      <c r="A233" s="167" t="s">
        <v>12626</v>
      </c>
      <c r="B233" s="168"/>
      <c r="C233" s="169"/>
      <c r="D233" s="170" t="s">
        <v>14251</v>
      </c>
      <c r="E233" s="171"/>
      <c r="F233" s="172"/>
      <c r="G233" s="173"/>
      <c r="H233" s="173"/>
      <c r="I233" s="174"/>
      <c r="J233" s="193"/>
    </row>
    <row r="234" spans="1:11" ht="76.5">
      <c r="A234" s="175" t="s">
        <v>14304</v>
      </c>
      <c r="B234" s="176" t="s">
        <v>12617</v>
      </c>
      <c r="C234" s="177">
        <v>141101</v>
      </c>
      <c r="D234" s="178" t="str">
        <f>IFERROR(PROPER(
IF($B234="DER-ES",INDEX('CDER-ES'!$B:$B,MATCH($C234,'CDER-ES'!$A:$A,0)),
IF($B234="SINAPI",INDEX(CSINAPI!$B:$B,MATCH($C234,CSINAPI!$A:$A,0)),
IF($B234="CESAN",INDEX(CCESAN!$B:$B,MATCH($C234,CCESAN!$A:$A,0)),
IF($B234="SCORIO",INDEX(CSCORIO!$B:$B,MATCH($C234,CSCORIO!$A:$A,0)),
IF($B234="MERC",INDEX(MERCADO!$B:$B,MATCH($C234,MERCADO!$A:$A,0)),
IF($B234="COMP",INDEX(COMPOSICAO!$B:$B,MATCH($C234,COMPOSICAO!$A:$A,0)),
""))))))),"*Verificar código*")</f>
        <v>Caixas De Inspeção De Alv. Blocos Concreto 9X19X39Cm, Dim, 60X60Cm E Hmáx = 1M, Com Tampa De Conc. Esp. 5Cm, Lastro De Conc. Esp. 10Cm, Revest Intern. C/ Chapisco E Reboco Impermeabilizado, Incl. Escavação, Reaterro E Enchimento</v>
      </c>
      <c r="E234" s="171" t="str">
        <f>IFERROR(LOWER(
IF($B234="DER-ES",INDEX('CDER-ES'!$C:$C,MATCH($C234,'CDER-ES'!$A:$A,0)),
IF($B234="SINAPI",INDEX(CSINAPI!$C:$C,MATCH($C234,CSINAPI!$A:$A,0)),
IF($B234="CESAN",INDEX(CCESAN!$C:$C,MATCH($C234,CCESAN!$A:$A,0)),
IF($B234="SCORIO",INDEX(CSCORIO!$A:$A,MATCH($C234,CSCORIO!#REF!,0)),
IF($B234="MERC",INDEX(MERCADO!$D:$D,MATCH($C234,MERCADO!$A:$A,0)),
IF($B234="COMP",INDEX(COMPOSICAO!$G:$G,MATCH($C234,COMPOSICAO!$A:$A,0)),
""))))))),"")</f>
        <v>und</v>
      </c>
      <c r="F234" s="179">
        <f>VLOOKUP(A234,'MEMÓRIA DE CÁLCULO'!A:H,8,0)</f>
        <v>4</v>
      </c>
      <c r="G234" s="173">
        <f>IFERROR(
IF($B234="DER-ES",INDEX('CDER-ES'!$D:$D,MATCH($C234,'CDER-ES'!$A:$A,0)),
IF($B234="SINAPI",INDEX(CSINAPI!$D:$D,MATCH($C234,CSINAPI!$A:$A,0)),
IF($B234="CESAN",INDEX(CCESAN!$D:$D,MATCH($C234,CCESAN!$A:$A,0)),
IF($B234="SCORIO",INDEX(CSCORIO!$B:$B,MATCH($C234,CSCORIO!#REF!,0)),
IF($B234="MERC",INDEX(MERCADO!$E:$E,MATCH($C234,MERCADO!$A:$A,0)),
IF($B234="COMP",INDEX(COMPOSICAO!$H:$H,MATCH($C234,COMPOSICAO!$A:$A,0)),
0)))))),0)</f>
        <v>577.20000000000005</v>
      </c>
      <c r="H234" s="173">
        <f t="shared" si="195"/>
        <v>769.12</v>
      </c>
      <c r="I234" s="180">
        <f t="shared" si="196"/>
        <v>3076.48</v>
      </c>
      <c r="J234" s="194">
        <f t="shared" si="197"/>
        <v>0.1543382550658795</v>
      </c>
    </row>
    <row r="235" spans="1:11" ht="25.5">
      <c r="A235" s="167" t="s">
        <v>12627</v>
      </c>
      <c r="B235" s="168"/>
      <c r="C235" s="169"/>
      <c r="D235" s="170" t="s">
        <v>14392</v>
      </c>
      <c r="E235" s="171"/>
      <c r="F235" s="172"/>
      <c r="G235" s="173"/>
      <c r="H235" s="173"/>
      <c r="I235" s="174">
        <f>SUBTOTAL(9,I237:I261)</f>
        <v>44052.049999999988</v>
      </c>
      <c r="J235" s="193">
        <f>SUBTOTAL(9,J237:J261)</f>
        <v>1.0000000000000002</v>
      </c>
    </row>
    <row r="236" spans="1:11">
      <c r="A236" s="167" t="s">
        <v>12628</v>
      </c>
      <c r="B236" s="168"/>
      <c r="C236" s="169"/>
      <c r="D236" s="170" t="s">
        <v>16571</v>
      </c>
      <c r="E236" s="171"/>
      <c r="F236" s="172"/>
      <c r="G236" s="173"/>
      <c r="H236" s="173"/>
      <c r="I236" s="174"/>
      <c r="J236" s="193"/>
    </row>
    <row r="237" spans="1:11" ht="51">
      <c r="A237" s="175" t="s">
        <v>14270</v>
      </c>
      <c r="B237" s="176" t="s">
        <v>928</v>
      </c>
      <c r="C237" s="177">
        <v>102253</v>
      </c>
      <c r="D237" s="178" t="str">
        <f>IFERROR(PROPER(
IF($B237="DER-ES",INDEX('CDER-ES'!$B:$B,MATCH($C237,'CDER-ES'!$A:$A,0)),
IF($B237="SINAPI",INDEX(CSINAPI!$B:$B,MATCH($C237,CSINAPI!$A:$A,0)),
IF($B237="CESAN",INDEX(CCESAN!$B:$B,MATCH($C237,CCESAN!$A:$A,0)),
IF($B237="SCORIO",INDEX(CSCORIO!$B:$B,MATCH($C237,CSCORIO!$A:$A,0)),
IF($B237="MERC",INDEX(MERCADO!$B:$B,MATCH($C237,MERCADO!$A:$A,0)),
IF($B237="COMP",INDEX(COMPOSICAO!$B:$B,MATCH($C237,COMPOSICAO!$A:$A,0)),
""))))))),"*Verificar código*")</f>
        <v>Divisoria Sanitária, Tipo Cabine, Em Granito Cinza Polido, Esp = 3Cm, Assentado Com Argamassa Colante Ac Iii-E, Exclusive Ferragens. Af_01/2021</v>
      </c>
      <c r="E237" s="171" t="str">
        <f>IFERROR(LOWER(
IF($B237="DER-ES",INDEX('CDER-ES'!$C:$C,MATCH($C237,'CDER-ES'!$A:$A,0)),
IF($B237="SINAPI",INDEX(CSINAPI!$C:$C,MATCH($C237,CSINAPI!$A:$A,0)),
IF($B237="CESAN",INDEX(CCESAN!$C:$C,MATCH($C237,CCESAN!$A:$A,0)),
IF($B237="SCORIO",INDEX(CSCORIO!$A:$A,MATCH($C237,CSCORIO!#REF!,0)),
IF($B237="MERC",INDEX(MERCADO!$D:$D,MATCH($C237,MERCADO!$A:$A,0)),
IF($B237="COMP",INDEX(COMPOSICAO!$G:$G,MATCH($C237,COMPOSICAO!$A:$A,0)),
""))))))),"")</f>
        <v>m2</v>
      </c>
      <c r="F237" s="179">
        <f>VLOOKUP(A237,'MEMÓRIA DE CÁLCULO'!A:H,8,0)</f>
        <v>21.08</v>
      </c>
      <c r="G237" s="173">
        <f>IFERROR(
IF($B237="DER-ES",INDEX('CDER-ES'!$D:$D,MATCH($C237,'CDER-ES'!$A:$A,0)),
IF($B237="SINAPI",INDEX(CSINAPI!$D:$D,MATCH($C237,CSINAPI!$A:$A,0)),
IF($B237="CESAN",INDEX(CCESAN!$D:$D,MATCH($C237,CCESAN!$A:$A,0)),
IF($B237="SCORIO",INDEX(CSCORIO!$B:$B,MATCH($C237,CSCORIO!#REF!,0)),
IF($B237="MERC",INDEX(MERCADO!$E:$E,MATCH($C237,MERCADO!$A:$A,0)),
IF($B237="COMP",INDEX(COMPOSICAO!$H:$H,MATCH($C237,COMPOSICAO!$A:$A,0)),
0)))))),0)</f>
        <v>536.26</v>
      </c>
      <c r="H237" s="173">
        <f t="shared" ref="H237" si="204">ROUND(G237*(1+$J$2),2)</f>
        <v>714.57</v>
      </c>
      <c r="I237" s="180">
        <f>ROUND($H237*F237,2)</f>
        <v>15063.14</v>
      </c>
      <c r="J237" s="194">
        <f>I237/I$235</f>
        <v>0.3419395919145648</v>
      </c>
    </row>
    <row r="238" spans="1:11">
      <c r="A238" s="175" t="s">
        <v>14271</v>
      </c>
      <c r="B238" s="176" t="s">
        <v>12617</v>
      </c>
      <c r="C238" s="177">
        <v>170220</v>
      </c>
      <c r="D238" s="178" t="str">
        <f>IFERROR(PROPER(
IF($B238="DER-ES",INDEX('CDER-ES'!$B:$B,MATCH($C238,'CDER-ES'!$A:$A,0)),
IF($B238="SINAPI",INDEX(CSINAPI!$B:$B,MATCH($C238,CSINAPI!$A:$A,0)),
IF($B238="CESAN",INDEX(CCESAN!$B:$B,MATCH($C238,CCESAN!$A:$A,0)),
IF($B238="SCORIO",INDEX(CSCORIO!$B:$B,MATCH($C238,CSCORIO!$A:$A,0)),
IF($B238="MERC",INDEX(MERCADO!$B:$B,MATCH($C238,MERCADO!$A:$A,0)),
IF($B238="COMP",INDEX(COMPOSICAO!$B:$B,MATCH($C238,COMPOSICAO!$A:$A,0)),
""))))))),"*Verificar código*")</f>
        <v>Bancada De Granito Com Espessura De 2 Cm</v>
      </c>
      <c r="E238" s="171" t="str">
        <f>IFERROR(LOWER(
IF($B238="DER-ES",INDEX('CDER-ES'!$C:$C,MATCH($C238,'CDER-ES'!$A:$A,0)),
IF($B238="SINAPI",INDEX(CSINAPI!$C:$C,MATCH($C238,CSINAPI!$A:$A,0)),
IF($B238="CESAN",INDEX(CCESAN!$C:$C,MATCH($C238,CCESAN!$A:$A,0)),
IF($B238="SCORIO",INDEX(CSCORIO!$A:$A,MATCH($C238,CSCORIO!#REF!,0)),
IF($B238="MERC",INDEX(MERCADO!$D:$D,MATCH($C238,MERCADO!$A:$A,0)),
IF($B238="COMP",INDEX(COMPOSICAO!$G:$G,MATCH($C238,COMPOSICAO!$A:$A,0)),
""))))))),"")</f>
        <v>m2</v>
      </c>
      <c r="F238" s="179">
        <f>VLOOKUP(A238,'MEMÓRIA DE CÁLCULO'!A:H,8,0)</f>
        <v>3.69</v>
      </c>
      <c r="G238" s="173">
        <f>IFERROR(
IF($B238="DER-ES",INDEX('CDER-ES'!$D:$D,MATCH($C238,'CDER-ES'!$A:$A,0)),
IF($B238="SINAPI",INDEX(CSINAPI!$D:$D,MATCH($C238,CSINAPI!$A:$A,0)),
IF($B238="CESAN",INDEX(CCESAN!$D:$D,MATCH($C238,CCESAN!$A:$A,0)),
IF($B238="SCORIO",INDEX(CSCORIO!$B:$B,MATCH($C238,CSCORIO!#REF!,0)),
IF($B238="MERC",INDEX(MERCADO!$E:$E,MATCH($C238,MERCADO!$A:$A,0)),
IF($B238="COMP",INDEX(COMPOSICAO!$H:$H,MATCH($C238,COMPOSICAO!$A:$A,0)),
0)))))),0)</f>
        <v>383.15</v>
      </c>
      <c r="H238" s="173">
        <f>ROUND(G238*(1+$J$2),2)</f>
        <v>510.55</v>
      </c>
      <c r="I238" s="180">
        <f>ROUND($H238*F238,2)</f>
        <v>1883.93</v>
      </c>
      <c r="J238" s="194">
        <f>I238/I$235</f>
        <v>4.2766000674202463E-2</v>
      </c>
    </row>
    <row r="239" spans="1:11" ht="38.25">
      <c r="A239" s="175" t="s">
        <v>14272</v>
      </c>
      <c r="B239" s="176" t="s">
        <v>12617</v>
      </c>
      <c r="C239" s="177">
        <v>120227</v>
      </c>
      <c r="D239" s="178" t="str">
        <f>IFERROR(PROPER(
IF($B239="DER-ES",INDEX('CDER-ES'!$B:$B,MATCH($C239,'CDER-ES'!$A:$A,0)),
IF($B239="SINAPI",INDEX(CSINAPI!$B:$B,MATCH($C239,CSINAPI!$A:$A,0)),
IF($B239="CESAN",INDEX(CCESAN!$B:$B,MATCH($C239,CCESAN!$A:$A,0)),
IF($B239="SCORIO",INDEX(CSCORIO!$B:$B,MATCH($C239,CSCORIO!$A:$A,0)),
IF($B239="MERC",INDEX(MERCADO!$B:$B,MATCH($C239,MERCADO!$A:$A,0)),
IF($B239="COMP",INDEX(COMPOSICAO!$B:$B,MATCH($C239,COMPOSICAO!$A:$A,0)),
""))))))),"*Verificar código*")</f>
        <v>Roda Parede Em Granito Cinza Andorinha 7X2Cm, Com Acabamento Abaulado Nos Dois Lados</v>
      </c>
      <c r="E239" s="171" t="str">
        <f>IFERROR(LOWER(
IF($B239="DER-ES",INDEX('CDER-ES'!$C:$C,MATCH($C239,'CDER-ES'!$A:$A,0)),
IF($B239="SINAPI",INDEX(CSINAPI!$C:$C,MATCH($C239,CSINAPI!$A:$A,0)),
IF($B239="CESAN",INDEX(CCESAN!$C:$C,MATCH($C239,CCESAN!$A:$A,0)),
IF($B239="SCORIO",INDEX(CSCORIO!$A:$A,MATCH($C239,CSCORIO!#REF!,0)),
IF($B239="MERC",INDEX(MERCADO!$D:$D,MATCH($C239,MERCADO!$A:$A,0)),
IF($B239="COMP",INDEX(COMPOSICAO!$G:$G,MATCH($C239,COMPOSICAO!$A:$A,0)),
""))))))),"")</f>
        <v>m</v>
      </c>
      <c r="F239" s="179">
        <f>VLOOKUP(A239,'MEMÓRIA DE CÁLCULO'!A:H,8,0)</f>
        <v>11.33</v>
      </c>
      <c r="G239" s="173">
        <f>IFERROR(
IF($B239="DER-ES",INDEX('CDER-ES'!$D:$D,MATCH($C239,'CDER-ES'!$A:$A,0)),
IF($B239="SINAPI",INDEX(CSINAPI!$D:$D,MATCH($C239,CSINAPI!$A:$A,0)),
IF($B239="CESAN",INDEX(CCESAN!$D:$D,MATCH($C239,CCESAN!$A:$A,0)),
IF($B239="SCORIO",INDEX(CSCORIO!$B:$B,MATCH($C239,CSCORIO!#REF!,0)),
IF($B239="MERC",INDEX(MERCADO!$E:$E,MATCH($C239,MERCADO!$A:$A,0)),
IF($B239="COMP",INDEX(COMPOSICAO!$H:$H,MATCH($C239,COMPOSICAO!$A:$A,0)),
0)))))),0)</f>
        <v>51.86</v>
      </c>
      <c r="H239" s="173">
        <f>ROUND(G239*(1+$J$2),2)</f>
        <v>69.099999999999994</v>
      </c>
      <c r="I239" s="180">
        <f>ROUND($H239*F239,2)</f>
        <v>782.9</v>
      </c>
      <c r="J239" s="194">
        <f>I239/I$235</f>
        <v>1.7772158162900481E-2</v>
      </c>
    </row>
    <row r="240" spans="1:11" ht="25.5">
      <c r="A240" s="175" t="s">
        <v>14273</v>
      </c>
      <c r="B240" s="176" t="s">
        <v>12617</v>
      </c>
      <c r="C240" s="177">
        <v>210210</v>
      </c>
      <c r="D240" s="178" t="str">
        <f>IFERROR(PROPER(
IF($B240="DER-ES",INDEX('CDER-ES'!$B:$B,MATCH($C240,'CDER-ES'!$A:$A,0)),
IF($B240="SINAPI",INDEX(CSINAPI!$B:$B,MATCH($C240,CSINAPI!$A:$A,0)),
IF($B240="CESAN",INDEX(CCESAN!$B:$B,MATCH($C240,CCESAN!$A:$A,0)),
IF($B240="SCORIO",INDEX(CSCORIO!$B:$B,MATCH($C240,CSCORIO!$A:$A,0)),
IF($B240="MERC",INDEX(MERCADO!$B:$B,MATCH($C240,MERCADO!$A:$A,0)),
IF($B240="COMP",INDEX(COMPOSICAO!$B:$B,MATCH($C240,COMPOSICAO!$A:$A,0)),
""))))))),"*Verificar código*")</f>
        <v>Prateleiras Em Granito Cinza Andorinha, Esp. 2Cm</v>
      </c>
      <c r="E240" s="171" t="str">
        <f>IFERROR(LOWER(
IF($B240="DER-ES",INDEX('CDER-ES'!$C:$C,MATCH($C240,'CDER-ES'!$A:$A,0)),
IF($B240="SINAPI",INDEX(CSINAPI!$C:$C,MATCH($C240,CSINAPI!$A:$A,0)),
IF($B240="CESAN",INDEX(CCESAN!$C:$C,MATCH($C240,CCESAN!$A:$A,0)),
IF($B240="SCORIO",INDEX(CSCORIO!$C:$C,MATCH($C240,CSCORIO!$A:$A,0)),
IF($B240="MERC",INDEX(MERCADO!$D:$D,MATCH($C240,MERCADO!$A:$A,0)),
IF($B240="COMP",INDEX(COMPOSICAO!$G:$G,MATCH($C240,COMPOSICAO!$A:$A,0)),
""))))))),"")</f>
        <v>m2</v>
      </c>
      <c r="F240" s="179">
        <f>VLOOKUP(A240,'MEMÓRIA DE CÁLCULO'!A:H,8,0)</f>
        <v>4.91</v>
      </c>
      <c r="G240" s="173">
        <f>IFERROR(
IF($B240="DER-ES",INDEX('CDER-ES'!$D:$D,MATCH($C240,'CDER-ES'!$A:$A,0)),
IF($B240="SINAPI",INDEX(CSINAPI!$D:$D,MATCH($C240,CSINAPI!$A:$A,0)),
IF($B240="CESAN",INDEX(CCESAN!$D:$D,MATCH($C240,CCESAN!$A:$A,0)),
IF($B240="SCORIO",INDEX(CSCORIO!$D:$D,MATCH($C240,CSCORIO!$A:$A,0)),
IF($B240="MERC",INDEX(MERCADO!$E:$E,MATCH($C240,MERCADO!$A:$A,0)),
IF($B240="COMP",INDEX(COMPOSICAO!$H:$H,MATCH($C240,COMPOSICAO!$A:$A,0)),
0)))))),0)</f>
        <v>408.75</v>
      </c>
      <c r="H240" s="173">
        <f>ROUND(G240*(1+$J$2),2)</f>
        <v>544.66</v>
      </c>
      <c r="I240" s="180">
        <f>ROUND($H240*F240,2)</f>
        <v>2674.28</v>
      </c>
      <c r="J240" s="194">
        <f>I240/I$235</f>
        <v>6.0707276959869085E-2</v>
      </c>
      <c r="K240" s="207"/>
    </row>
    <row r="241" spans="1:11">
      <c r="A241" s="175" t="s">
        <v>13883</v>
      </c>
      <c r="B241" s="176"/>
      <c r="C241" s="177"/>
      <c r="D241" s="178" t="s">
        <v>2062</v>
      </c>
      <c r="E241" s="171"/>
      <c r="F241" s="179"/>
      <c r="G241" s="173"/>
      <c r="H241" s="173"/>
      <c r="I241" s="180"/>
      <c r="J241" s="180"/>
    </row>
    <row r="242" spans="1:11" ht="51">
      <c r="A242" s="175" t="s">
        <v>14274</v>
      </c>
      <c r="B242" s="176" t="s">
        <v>928</v>
      </c>
      <c r="C242" s="177">
        <v>95470</v>
      </c>
      <c r="D242" s="178" t="str">
        <f>IFERROR(PROPER(
IF($B242="DER-ES",INDEX('CDER-ES'!$B:$B,MATCH($C242,'CDER-ES'!$A:$A,0)),
IF($B242="SINAPI",INDEX(CSINAPI!$B:$B,MATCH($C242,CSINAPI!$A:$A,0)),
IF($B242="CESAN",INDEX(CCESAN!$B:$B,MATCH($C242,CCESAN!$A:$A,0)),
IF($B242="SCORIO",INDEX(CSCORIO!$B:$B,MATCH($C242,CSCORIO!$A:$A,0)),
IF($B242="MERC",INDEX(MERCADO!$B:$B,MATCH($C242,MERCADO!$A:$A,0)),
IF($B242="COMP",INDEX(COMPOSICAO!$B:$B,MATCH($C242,COMPOSICAO!$A:$A,0)),
""))))))),"*Verificar código*")</f>
        <v>Vaso Sanitario Sifonado Convencional Com Louça Branca, Incluso Conjunto De Ligação Para Bacia Sanitária Ajustável - Fornecimento E Instalação. Af_10/2016</v>
      </c>
      <c r="E242" s="171" t="str">
        <f>IFERROR(LOWER(
IF($B242="DER-ES",INDEX('CDER-ES'!$C:$C,MATCH($C242,'CDER-ES'!$A:$A,0)),
IF($B242="SINAPI",INDEX(CSINAPI!$C:$C,MATCH($C242,CSINAPI!$A:$A,0)),
IF($B242="CESAN",INDEX(CCESAN!$C:$C,MATCH($C242,CCESAN!$A:$A,0)),
IF($B242="SCORIO",INDEX(CSCORIO!$A:$A,MATCH($C242,CSCORIO!#REF!,0)),
IF($B242="MERC",INDEX(MERCADO!$D:$D,MATCH($C242,MERCADO!$A:$A,0)),
IF($B242="COMP",INDEX(COMPOSICAO!$G:$G,MATCH($C242,COMPOSICAO!$A:$A,0)),
""))))))),"")</f>
        <v>un</v>
      </c>
      <c r="F242" s="179">
        <f>VLOOKUP(A242,'MEMÓRIA DE CÁLCULO'!A:H,8,0)</f>
        <v>10</v>
      </c>
      <c r="G242" s="173">
        <f>IFERROR(
IF($B242="DER-ES",INDEX('CDER-ES'!$D:$D,MATCH($C242,'CDER-ES'!$A:$A,0)),
IF($B242="SINAPI",INDEX(CSINAPI!$D:$D,MATCH($C242,CSINAPI!$A:$A,0)),
IF($B242="CESAN",INDEX(CCESAN!$D:$D,MATCH($C242,CCESAN!$A:$A,0)),
IF($B242="SCORIO",INDEX(CSCORIO!$B:$B,MATCH($C242,CSCORIO!#REF!,0)),
IF($B242="MERC",INDEX(MERCADO!$E:$E,MATCH($C242,MERCADO!$A:$A,0)),
IF($B242="COMP",INDEX(COMPOSICAO!$H:$H,MATCH($C242,COMPOSICAO!$A:$A,0)),
0)))))),0)</f>
        <v>291.27999999999997</v>
      </c>
      <c r="H242" s="173">
        <f t="shared" ref="H242" si="205">ROUND(G242*(1+$J$2),2)</f>
        <v>388.13</v>
      </c>
      <c r="I242" s="180">
        <f t="shared" ref="I242" si="206">ROUND($H242*F242,2)</f>
        <v>3881.3</v>
      </c>
      <c r="J242" s="194">
        <f>I242/I$235</f>
        <v>8.8107136898282853E-2</v>
      </c>
    </row>
    <row r="243" spans="1:11" ht="51">
      <c r="A243" s="175" t="s">
        <v>14275</v>
      </c>
      <c r="B243" s="176" t="s">
        <v>928</v>
      </c>
      <c r="C243" s="177">
        <v>95471</v>
      </c>
      <c r="D243" s="178" t="str">
        <f>IFERROR(PROPER(
IF($B243="DER-ES",INDEX('CDER-ES'!$B:$B,MATCH($C243,'CDER-ES'!$A:$A,0)),
IF($B243="SINAPI",INDEX(CSINAPI!$B:$B,MATCH($C243,CSINAPI!$A:$A,0)),
IF($B243="CESAN",INDEX(CCESAN!$B:$B,MATCH($C243,CCESAN!$A:$A,0)),
IF($B243="SCORIO",INDEX(CSCORIO!$B:$B,MATCH($C243,CSCORIO!$A:$A,0)),
IF($B243="MERC",INDEX(MERCADO!$B:$B,MATCH($C243,MERCADO!$A:$A,0)),
IF($B243="COMP",INDEX(COMPOSICAO!$B:$B,MATCH($C243,COMPOSICAO!$A:$A,0)),
""))))))),"*Verificar código*")</f>
        <v>Vaso Sanitario Sifonado Convencional Para Pcd Sem Furo Frontal Com  Louça Branca Sem Assento -  Fornecimento E Instalação. Af_01/2020</v>
      </c>
      <c r="E243" s="171" t="str">
        <f>IFERROR(LOWER(
IF($B243="DER-ES",INDEX('CDER-ES'!$C:$C,MATCH($C243,'CDER-ES'!$A:$A,0)),
IF($B243="SINAPI",INDEX(CSINAPI!$C:$C,MATCH($C243,CSINAPI!$A:$A,0)),
IF($B243="CESAN",INDEX(CCESAN!$C:$C,MATCH($C243,CCESAN!$A:$A,0)),
IF($B243="SCORIO",INDEX(CSCORIO!$A:$A,MATCH($C243,CSCORIO!#REF!,0)),
IF($B243="MERC",INDEX(MERCADO!$D:$D,MATCH($C243,MERCADO!$A:$A,0)),
IF($B243="COMP",INDEX(COMPOSICAO!$G:$G,MATCH($C243,COMPOSICAO!$A:$A,0)),
""))))))),"")</f>
        <v>un</v>
      </c>
      <c r="F243" s="179">
        <f>VLOOKUP(A243,'MEMÓRIA DE CÁLCULO'!A:H,8,0)</f>
        <v>1</v>
      </c>
      <c r="G243" s="173">
        <f>IFERROR(
IF($B243="DER-ES",INDEX('CDER-ES'!$D:$D,MATCH($C243,'CDER-ES'!$A:$A,0)),
IF($B243="SINAPI",INDEX(CSINAPI!$D:$D,MATCH($C243,CSINAPI!$A:$A,0)),
IF($B243="CESAN",INDEX(CCESAN!$D:$D,MATCH($C243,CCESAN!$A:$A,0)),
IF($B243="SCORIO",INDEX(CSCORIO!$B:$B,MATCH($C243,CSCORIO!#REF!,0)),
IF($B243="MERC",INDEX(MERCADO!$E:$E,MATCH($C243,MERCADO!$A:$A,0)),
IF($B243="COMP",INDEX(COMPOSICAO!$H:$H,MATCH($C243,COMPOSICAO!$A:$A,0)),
0)))))),0)</f>
        <v>730.8</v>
      </c>
      <c r="H243" s="173">
        <f t="shared" ref="H243:H254" si="207">ROUND(G243*(1+$J$2),2)</f>
        <v>973.79</v>
      </c>
      <c r="I243" s="180">
        <f t="shared" ref="I243:I254" si="208">ROUND($H243*F243,2)</f>
        <v>973.79</v>
      </c>
      <c r="J243" s="194">
        <f>I243/I$235</f>
        <v>2.2105441176971337E-2</v>
      </c>
    </row>
    <row r="244" spans="1:11" ht="38.25">
      <c r="A244" s="175" t="s">
        <v>14276</v>
      </c>
      <c r="B244" s="176" t="s">
        <v>928</v>
      </c>
      <c r="C244" s="177">
        <v>86904</v>
      </c>
      <c r="D244" s="178" t="str">
        <f>IFERROR(PROPER(
IF($B244="DER-ES",INDEX('CDER-ES'!$B:$B,MATCH($C244,'CDER-ES'!$A:$A,0)),
IF($B244="SINAPI",INDEX(CSINAPI!$B:$B,MATCH($C244,CSINAPI!$A:$A,0)),
IF($B244="CESAN",INDEX(CCESAN!$B:$B,MATCH($C244,CCESAN!$A:$A,0)),
IF($B244="SCORIO",INDEX(CSCORIO!$B:$B,MATCH($C244,CSCORIO!$A:$A,0)),
IF($B244="MERC",INDEX(MERCADO!$B:$B,MATCH($C244,MERCADO!$A:$A,0)),
IF($B244="COMP",INDEX(COMPOSICAO!$B:$B,MATCH($C244,COMPOSICAO!$A:$A,0)),
""))))))),"*Verificar código*")</f>
        <v>Lavatório Louça Branca Suspenso, 29,5 X 39Cm Ou Equivalente, Padrão Popular - Fornecimento E Instalação. Af_01/2020</v>
      </c>
      <c r="E244" s="171" t="str">
        <f>IFERROR(LOWER(
IF($B244="DER-ES",INDEX('CDER-ES'!$C:$C,MATCH($C244,'CDER-ES'!$A:$A,0)),
IF($B244="SINAPI",INDEX(CSINAPI!$C:$C,MATCH($C244,CSINAPI!$A:$A,0)),
IF($B244="CESAN",INDEX(CCESAN!$C:$C,MATCH($C244,CCESAN!$A:$A,0)),
IF($B244="SCORIO",INDEX(CSCORIO!$A:$A,MATCH($C244,CSCORIO!#REF!,0)),
IF($B244="MERC",INDEX(MERCADO!$D:$D,MATCH($C244,MERCADO!$A:$A,0)),
IF($B244="COMP",INDEX(COMPOSICAO!$G:$G,MATCH($C244,COMPOSICAO!$A:$A,0)),
""))))))),"")</f>
        <v>un</v>
      </c>
      <c r="F244" s="179">
        <f>VLOOKUP(A244,'MEMÓRIA DE CÁLCULO'!A:H,8,0)</f>
        <v>14</v>
      </c>
      <c r="G244" s="173">
        <f>IFERROR(
IF($B244="DER-ES",INDEX('CDER-ES'!$D:$D,MATCH($C244,'CDER-ES'!$A:$A,0)),
IF($B244="SINAPI",INDEX(CSINAPI!$D:$D,MATCH($C244,CSINAPI!$A:$A,0)),
IF($B244="CESAN",INDEX(CCESAN!$D:$D,MATCH($C244,CCESAN!$A:$A,0)),
IF($B244="SCORIO",INDEX(CSCORIO!$B:$B,MATCH($C244,CSCORIO!#REF!,0)),
IF($B244="MERC",INDEX(MERCADO!$E:$E,MATCH($C244,MERCADO!$A:$A,0)),
IF($B244="COMP",INDEX(COMPOSICAO!$H:$H,MATCH($C244,COMPOSICAO!$A:$A,0)),
0)))))),0)</f>
        <v>139.13</v>
      </c>
      <c r="H244" s="173">
        <f>ROUND(G244*(1+$J$2),2)</f>
        <v>185.39</v>
      </c>
      <c r="I244" s="180">
        <f>ROUND($H244*F244,2)</f>
        <v>2595.46</v>
      </c>
      <c r="J244" s="194">
        <f>I244/I$235</f>
        <v>5.8918029921422518E-2</v>
      </c>
    </row>
    <row r="245" spans="1:11" ht="25.5">
      <c r="A245" s="175" t="s">
        <v>14277</v>
      </c>
      <c r="B245" s="176" t="s">
        <v>12617</v>
      </c>
      <c r="C245" s="177">
        <v>170546</v>
      </c>
      <c r="D245" s="178" t="str">
        <f>IFERROR(PROPER(
IF($B245="DER-ES",INDEX('CDER-ES'!$B:$B,MATCH($C245,'CDER-ES'!$A:$A,0)),
IF($B245="SINAPI",INDEX(CSINAPI!$B:$B,MATCH($C245,CSINAPI!$A:$A,0)),
IF($B245="CESAN",INDEX(CCESAN!$B:$B,MATCH($C245,CCESAN!$A:$A,0)),
IF($B245="SCORIO",INDEX(CSCORIO!$B:$B,MATCH($C245,CSCORIO!$A:$A,0)),
IF($B245="MERC",INDEX(MERCADO!$B:$B,MATCH($C245,MERCADO!$A:$A,0)),
IF($B245="COMP",INDEX(COMPOSICAO!$B:$B,MATCH($C245,COMPOSICAO!$A:$A,0)),
""))))))),"*Verificar código*")</f>
        <v>Tanque Em Mármore Sintético Com 2 Bojos, Inclusive Válvula E Sifão Em Pvc</v>
      </c>
      <c r="E245" s="171" t="str">
        <f>IFERROR(LOWER(
IF($B245="DER-ES",INDEX('CDER-ES'!$C:$C,MATCH($C245,'CDER-ES'!$A:$A,0)),
IF($B245="SINAPI",INDEX(CSINAPI!$C:$C,MATCH($C245,CSINAPI!$A:$A,0)),
IF($B245="CESAN",INDEX(CCESAN!$C:$C,MATCH($C245,CCESAN!$A:$A,0)),
IF($B245="SCORIO",INDEX(CSCORIO!$A:$A,MATCH($C245,CSCORIO!#REF!,0)),
IF($B245="MERC",INDEX(MERCADO!$D:$D,MATCH($C245,MERCADO!$A:$A,0)),
IF($B245="COMP",INDEX(COMPOSICAO!$G:$G,MATCH($C245,COMPOSICAO!$A:$A,0)),
""))))))),"")</f>
        <v>und</v>
      </c>
      <c r="F245" s="179">
        <f>VLOOKUP(A245,'MEMÓRIA DE CÁLCULO'!A:H,8,0)</f>
        <v>1</v>
      </c>
      <c r="G245" s="173">
        <f>IFERROR(
IF($B245="DER-ES",INDEX('CDER-ES'!$D:$D,MATCH($C245,'CDER-ES'!$A:$A,0)),
IF($B245="SINAPI",INDEX(CSINAPI!$D:$D,MATCH($C245,CSINAPI!$A:$A,0)),
IF($B245="CESAN",INDEX(CCESAN!$D:$D,MATCH($C245,CCESAN!$A:$A,0)),
IF($B245="SCORIO",INDEX(CSCORIO!$B:$B,MATCH($C245,CSCORIO!#REF!,0)),
IF($B245="MERC",INDEX(MERCADO!$E:$E,MATCH($C245,MERCADO!$A:$A,0)),
IF($B245="COMP",INDEX(COMPOSICAO!$H:$H,MATCH($C245,COMPOSICAO!$A:$A,0)),
0)))))),0)</f>
        <v>378.7</v>
      </c>
      <c r="H245" s="173">
        <f>ROUND(G245*(1+$J$2),2)</f>
        <v>504.62</v>
      </c>
      <c r="I245" s="180">
        <f>ROUND($H245*F245,2)</f>
        <v>504.62</v>
      </c>
      <c r="J245" s="194">
        <f>I245/I$235</f>
        <v>1.1455085518154096E-2</v>
      </c>
    </row>
    <row r="246" spans="1:11" ht="38.25">
      <c r="A246" s="175" t="s">
        <v>14278</v>
      </c>
      <c r="B246" s="176" t="s">
        <v>12617</v>
      </c>
      <c r="C246" s="177">
        <v>170107</v>
      </c>
      <c r="D246" s="178" t="str">
        <f>IFERROR(PROPER(
IF($B246="DER-ES",INDEX('CDER-ES'!$B:$B,MATCH($C246,'CDER-ES'!$A:$A,0)),
IF($B246="SINAPI",INDEX(CSINAPI!$B:$B,MATCH($C246,CSINAPI!$A:$A,0)),
IF($B246="CESAN",INDEX(CCESAN!$B:$B,MATCH($C246,CCESAN!$A:$A,0)),
IF($B246="SCORIO",INDEX(CSCORIO!$B:$B,MATCH($C246,CSCORIO!$A:$A,0)),
IF($B246="MERC",INDEX(MERCADO!$B:$B,MATCH($C246,MERCADO!$A:$A,0)),
IF($B246="COMP",INDEX(COMPOSICAO!$B:$B,MATCH($C246,COMPOSICAO!$A:$A,0)),
""))))))),"*Verificar código*")</f>
        <v>Mictório De Louça Branca, Marcas De Referência Deca, Celite Ou Ideal Standard, Inclusive Engates Cromados</v>
      </c>
      <c r="E246" s="171" t="str">
        <f>IFERROR(LOWER(
IF($B246="DER-ES",INDEX('CDER-ES'!$C:$C,MATCH($C246,'CDER-ES'!$A:$A,0)),
IF($B246="SINAPI",INDEX(CSINAPI!$C:$C,MATCH($C246,CSINAPI!$A:$A,0)),
IF($B246="CESAN",INDEX(CCESAN!$C:$C,MATCH($C246,CCESAN!$A:$A,0)),
IF($B246="SCORIO",INDEX(CSCORIO!$A:$A,MATCH($C246,CSCORIO!#REF!,0)),
IF($B246="MERC",INDEX(MERCADO!$D:$D,MATCH($C246,MERCADO!$A:$A,0)),
IF($B246="COMP",INDEX(COMPOSICAO!$G:$G,MATCH($C246,COMPOSICAO!$A:$A,0)),
""))))))),"")</f>
        <v>und</v>
      </c>
      <c r="F246" s="179">
        <f>VLOOKUP(A246,'MEMÓRIA DE CÁLCULO'!A:H,8,0)</f>
        <v>2</v>
      </c>
      <c r="G246" s="173">
        <f>IFERROR(
IF($B246="DER-ES",INDEX('CDER-ES'!$D:$D,MATCH($C246,'CDER-ES'!$A:$A,0)),
IF($B246="SINAPI",INDEX(CSINAPI!$D:$D,MATCH($C246,CSINAPI!$A:$A,0)),
IF($B246="CESAN",INDEX(CCESAN!$D:$D,MATCH($C246,CCESAN!$A:$A,0)),
IF($B246="SCORIO",INDEX(CSCORIO!$B:$B,MATCH($C246,CSCORIO!#REF!,0)),
IF($B246="MERC",INDEX(MERCADO!$E:$E,MATCH($C246,MERCADO!$A:$A,0)),
IF($B246="COMP",INDEX(COMPOSICAO!$H:$H,MATCH($C246,COMPOSICAO!$A:$A,0)),
0)))))),0)</f>
        <v>604.23</v>
      </c>
      <c r="H246" s="173">
        <f>ROUND(G246*(1+$J$2),2)</f>
        <v>805.14</v>
      </c>
      <c r="I246" s="180">
        <f>ROUND($H246*F246,2)</f>
        <v>1610.28</v>
      </c>
      <c r="J246" s="194">
        <f>I246/I$235</f>
        <v>3.6554030970181874E-2</v>
      </c>
    </row>
    <row r="247" spans="1:11">
      <c r="A247" s="175" t="s">
        <v>14115</v>
      </c>
      <c r="B247" s="176"/>
      <c r="C247" s="177"/>
      <c r="D247" s="178" t="s">
        <v>14217</v>
      </c>
      <c r="E247" s="171"/>
      <c r="F247" s="179"/>
      <c r="G247" s="173"/>
      <c r="H247" s="173"/>
      <c r="I247" s="180"/>
      <c r="J247" s="180"/>
    </row>
    <row r="248" spans="1:11" ht="25.5">
      <c r="A248" s="175" t="s">
        <v>14279</v>
      </c>
      <c r="B248" s="176" t="s">
        <v>928</v>
      </c>
      <c r="C248" s="177">
        <v>100849</v>
      </c>
      <c r="D248" s="178" t="str">
        <f>IFERROR(PROPER(
IF($B248="DER-ES",INDEX('CDER-ES'!$B:$B,MATCH($C248,'CDER-ES'!$A:$A,0)),
IF($B248="SINAPI",INDEX(CSINAPI!$B:$B,MATCH($C248,CSINAPI!$A:$A,0)),
IF($B248="CESAN",INDEX(CCESAN!$B:$B,MATCH($C248,CCESAN!$A:$A,0)),
IF($B248="SCORIO",INDEX(CSCORIO!$B:$B,MATCH($C248,CSCORIO!$A:$A,0)),
IF($B248="MERC",INDEX(MERCADO!$B:$B,MATCH($C248,MERCADO!$A:$A,0)),
IF($B248="COMP",INDEX(COMPOSICAO!$B:$B,MATCH($C248,COMPOSICAO!$A:$A,0)),
""))))))),"*Verificar código*")</f>
        <v>Assento Sanitário Convencional - Fornecimento E Instalacao. Af_01/2020</v>
      </c>
      <c r="E248" s="171" t="str">
        <f>IFERROR(LOWER(
IF($B248="DER-ES",INDEX('CDER-ES'!$C:$C,MATCH($C248,'CDER-ES'!$A:$A,0)),
IF($B248="SINAPI",INDEX(CSINAPI!$C:$C,MATCH($C248,CSINAPI!$A:$A,0)),
IF($B248="CESAN",INDEX(CCESAN!$C:$C,MATCH($C248,CCESAN!$A:$A,0)),
IF($B248="SCORIO",INDEX(CSCORIO!$A:$A,MATCH($C248,CSCORIO!#REF!,0)),
IF($B248="MERC",INDEX(MERCADO!$D:$D,MATCH($C248,MERCADO!$A:$A,0)),
IF($B248="COMP",INDEX(COMPOSICAO!$G:$G,MATCH($C248,COMPOSICAO!$A:$A,0)),
""))))))),"")</f>
        <v>un</v>
      </c>
      <c r="F248" s="179">
        <f>VLOOKUP(A248,'MEMÓRIA DE CÁLCULO'!A:H,8,0)</f>
        <v>11</v>
      </c>
      <c r="G248" s="173">
        <f>IFERROR(
IF($B248="DER-ES",INDEX('CDER-ES'!$D:$D,MATCH($C248,'CDER-ES'!$A:$A,0)),
IF($B248="SINAPI",INDEX(CSINAPI!$D:$D,MATCH($C248,CSINAPI!$A:$A,0)),
IF($B248="CESAN",INDEX(CCESAN!$D:$D,MATCH($C248,CCESAN!$A:$A,0)),
IF($B248="SCORIO",INDEX(CSCORIO!$B:$B,MATCH($C248,CSCORIO!#REF!,0)),
IF($B248="MERC",INDEX(MERCADO!$E:$E,MATCH($C248,MERCADO!$A:$A,0)),
IF($B248="COMP",INDEX(COMPOSICAO!$H:$H,MATCH($C248,COMPOSICAO!$A:$A,0)),
0)))))),0)</f>
        <v>44.89</v>
      </c>
      <c r="H248" s="173">
        <f t="shared" ref="H248" si="209">ROUND(G248*(1+$J$2),2)</f>
        <v>59.82</v>
      </c>
      <c r="I248" s="180">
        <f t="shared" ref="I248" si="210">ROUND($H248*F248,2)</f>
        <v>658.02</v>
      </c>
      <c r="J248" s="194">
        <f>I248/I$235</f>
        <v>1.493732981779509E-2</v>
      </c>
    </row>
    <row r="249" spans="1:11" ht="25.5">
      <c r="A249" s="175" t="s">
        <v>14280</v>
      </c>
      <c r="B249" s="176" t="s">
        <v>928</v>
      </c>
      <c r="C249" s="177">
        <v>100860</v>
      </c>
      <c r="D249" s="178" t="str">
        <f>IFERROR(PROPER(
IF($B249="DER-ES",INDEX('CDER-ES'!$B:$B,MATCH($C249,'CDER-ES'!$A:$A,0)),
IF($B249="SINAPI",INDEX(CSINAPI!$B:$B,MATCH($C249,CSINAPI!$A:$A,0)),
IF($B249="CESAN",INDEX(CCESAN!$B:$B,MATCH($C249,CCESAN!$A:$A,0)),
IF($B249="SCORIO",INDEX(CSCORIO!$B:$B,MATCH($C249,CSCORIO!$A:$A,0)),
IF($B249="MERC",INDEX(MERCADO!$B:$B,MATCH($C249,MERCADO!$A:$A,0)),
IF($B249="COMP",INDEX(COMPOSICAO!$B:$B,MATCH($C249,COMPOSICAO!$A:$A,0)),
""))))))),"*Verificar código*")</f>
        <v>Chuveiro Elétrico Comum Corpo Plástico, Tipo Ducha  Fornecimento E Instalação. Af_01/2020</v>
      </c>
      <c r="E249" s="171" t="str">
        <f>IFERROR(LOWER(
IF($B249="DER-ES",INDEX('CDER-ES'!$C:$C,MATCH($C249,'CDER-ES'!$A:$A,0)),
IF($B249="SINAPI",INDEX(CSINAPI!$C:$C,MATCH($C249,CSINAPI!$A:$A,0)),
IF($B249="CESAN",INDEX(CCESAN!$C:$C,MATCH($C249,CCESAN!$A:$A,0)),
IF($B249="SCORIO",INDEX(CSCORIO!$A:$A,MATCH($C249,CSCORIO!#REF!,0)),
IF($B249="MERC",INDEX(MERCADO!$D:$D,MATCH($C249,MERCADO!$A:$A,0)),
IF($B249="COMP",INDEX(COMPOSICAO!$G:$G,MATCH($C249,COMPOSICAO!$A:$A,0)),
""))))))),"")</f>
        <v>un</v>
      </c>
      <c r="F249" s="179">
        <f>VLOOKUP(A249,'MEMÓRIA DE CÁLCULO'!A:H,8,0)</f>
        <v>7</v>
      </c>
      <c r="G249" s="173">
        <f>IFERROR(
IF($B249="DER-ES",INDEX('CDER-ES'!$D:$D,MATCH($C249,'CDER-ES'!$A:$A,0)),
IF($B249="SINAPI",INDEX(CSINAPI!$D:$D,MATCH($C249,CSINAPI!$A:$A,0)),
IF($B249="CESAN",INDEX(CCESAN!$D:$D,MATCH($C249,CCESAN!$A:$A,0)),
IF($B249="SCORIO",INDEX(CSCORIO!$B:$B,MATCH($C249,CSCORIO!#REF!,0)),
IF($B249="MERC",INDEX(MERCADO!$E:$E,MATCH($C249,MERCADO!$A:$A,0)),
IF($B249="COMP",INDEX(COMPOSICAO!$H:$H,MATCH($C249,COMPOSICAO!$A:$A,0)),
0)))))),0)</f>
        <v>89.83</v>
      </c>
      <c r="H249" s="173">
        <f>ROUND(G249*(1+$J$2),2)</f>
        <v>119.7</v>
      </c>
      <c r="I249" s="180">
        <f>ROUND($H249*F249,2)</f>
        <v>837.9</v>
      </c>
      <c r="J249" s="194">
        <f>I249/I$235</f>
        <v>1.9020681216878676E-2</v>
      </c>
    </row>
    <row r="250" spans="1:11" ht="38.25">
      <c r="A250" s="175" t="s">
        <v>14281</v>
      </c>
      <c r="B250" s="176" t="s">
        <v>928</v>
      </c>
      <c r="C250" s="177">
        <v>100861</v>
      </c>
      <c r="D250" s="178" t="str">
        <f>IFERROR(PROPER(
IF($B250="DER-ES",INDEX('CDER-ES'!$B:$B,MATCH($C250,'CDER-ES'!$A:$A,0)),
IF($B250="SINAPI",INDEX(CSINAPI!$B:$B,MATCH($C250,CSINAPI!$A:$A,0)),
IF($B250="CESAN",INDEX(CCESAN!$B:$B,MATCH($C250,CCESAN!$A:$A,0)),
IF($B250="SCORIO",INDEX(CSCORIO!$B:$B,MATCH($C250,CSCORIO!$A:$A,0)),
IF($B250="MERC",INDEX(MERCADO!$B:$B,MATCH($C250,MERCADO!$A:$A,0)),
IF($B250="COMP",INDEX(COMPOSICAO!$B:$B,MATCH($C250,COMPOSICAO!$A:$A,0)),
""))))))),"*Verificar código*")</f>
        <v>Suporte Mão Francesa Em Aço, Abas Iguais 30 Cm, Capacidade Minima 60 Kg, Branco - Fornecimento E Instalação. Af_01/2020</v>
      </c>
      <c r="E250" s="171" t="str">
        <f>IFERROR(LOWER(
IF($B250="DER-ES",INDEX('CDER-ES'!$C:$C,MATCH($C250,'CDER-ES'!$A:$A,0)),
IF($B250="SINAPI",INDEX(CSINAPI!$C:$C,MATCH($C250,CSINAPI!$A:$A,0)),
IF($B250="CESAN",INDEX(CCESAN!$C:$C,MATCH($C250,CCESAN!$A:$A,0)),
IF($B250="SCORIO",INDEX(CSCORIO!$C:$C,MATCH($C250,CSCORIO!$A:$A,0)),
IF($B250="MERC",INDEX(MERCADO!$D:$D,MATCH($C250,MERCADO!$A:$A,0)),
IF($B250="COMP",INDEX(COMPOSICAO!$G:$G,MATCH($C250,COMPOSICAO!$A:$A,0)),
""))))))),"")</f>
        <v>un</v>
      </c>
      <c r="F250" s="179">
        <f>VLOOKUP(A250,'MEMÓRIA DE CÁLCULO'!A:H,8,0)</f>
        <v>25</v>
      </c>
      <c r="G250" s="173">
        <f>IFERROR(
IF($B250="DER-ES",INDEX('CDER-ES'!$D:$D,MATCH($C250,'CDER-ES'!$A:$A,0)),
IF($B250="SINAPI",INDEX(CSINAPI!$D:$D,MATCH($C250,CSINAPI!$A:$A,0)),
IF($B250="CESAN",INDEX(CCESAN!$D:$D,MATCH($C250,CCESAN!$A:$A,0)),
IF($B250="SCORIO",INDEX(CSCORIO!$D:$D,MATCH($C250,CSCORIO!$A:$A,0)),
IF($B250="MERC",INDEX(MERCADO!$E:$E,MATCH($C250,MERCADO!$A:$A,0)),
IF($B250="COMP",INDEX(COMPOSICAO!$H:$H,MATCH($C250,COMPOSICAO!$A:$A,0)),
0)))))),0)</f>
        <v>31.39</v>
      </c>
      <c r="H250" s="173">
        <f>ROUND(G250*(1+$J$2),2)</f>
        <v>41.83</v>
      </c>
      <c r="I250" s="180">
        <f>ROUND($H250*F250,2)</f>
        <v>1045.75</v>
      </c>
      <c r="J250" s="194">
        <f>I250/I$235</f>
        <v>2.3738963339958077E-2</v>
      </c>
      <c r="K250" s="207"/>
    </row>
    <row r="251" spans="1:11">
      <c r="A251" s="175" t="s">
        <v>14116</v>
      </c>
      <c r="B251" s="176"/>
      <c r="C251" s="177"/>
      <c r="D251" s="178" t="s">
        <v>14127</v>
      </c>
      <c r="E251" s="171"/>
      <c r="F251" s="179"/>
      <c r="G251" s="173"/>
      <c r="H251" s="173"/>
      <c r="I251" s="180"/>
      <c r="J251" s="180"/>
    </row>
    <row r="252" spans="1:11" ht="25.5">
      <c r="A252" s="175" t="s">
        <v>14282</v>
      </c>
      <c r="B252" s="176" t="s">
        <v>928</v>
      </c>
      <c r="C252" s="177">
        <v>95544</v>
      </c>
      <c r="D252" s="178" t="str">
        <f>IFERROR(PROPER(
IF($B252="DER-ES",INDEX('CDER-ES'!$B:$B,MATCH($C252,'CDER-ES'!$A:$A,0)),
IF($B252="SINAPI",INDEX(CSINAPI!$B:$B,MATCH($C252,CSINAPI!$A:$A,0)),
IF($B252="CESAN",INDEX(CCESAN!$B:$B,MATCH($C252,CCESAN!$A:$A,0)),
IF($B252="SCORIO",INDEX(CSCORIO!$B:$B,MATCH($C252,CSCORIO!$A:$A,0)),
IF($B252="MERC",INDEX(MERCADO!$B:$B,MATCH($C252,MERCADO!$A:$A,0)),
IF($B252="COMP",INDEX(COMPOSICAO!$B:$B,MATCH($C252,COMPOSICAO!$A:$A,0)),
""))))))),"*Verificar código*")</f>
        <v>Papeleira De Parede Em Metal Cromado Sem Tampa, Incluso Fixação. Af_01/2020</v>
      </c>
      <c r="E252" s="171" t="str">
        <f>IFERROR(LOWER(
IF($B252="DER-ES",INDEX('CDER-ES'!$C:$C,MATCH($C252,'CDER-ES'!$A:$A,0)),
IF($B252="SINAPI",INDEX(CSINAPI!$C:$C,MATCH($C252,CSINAPI!$A:$A,0)),
IF($B252="CESAN",INDEX(CCESAN!$C:$C,MATCH($C252,CCESAN!$A:$A,0)),
IF($B252="SCORIO",INDEX(CSCORIO!$A:$A,MATCH($C252,CSCORIO!#REF!,0)),
IF($B252="MERC",INDEX(MERCADO!$D:$D,MATCH($C252,MERCADO!$A:$A,0)),
IF($B252="COMP",INDEX(COMPOSICAO!$G:$G,MATCH($C252,COMPOSICAO!$A:$A,0)),
""))))))),"")</f>
        <v>un</v>
      </c>
      <c r="F252" s="179">
        <f>VLOOKUP(A252,'MEMÓRIA DE CÁLCULO'!A:H,8,0)</f>
        <v>11</v>
      </c>
      <c r="G252" s="173">
        <f>IFERROR(
IF($B252="DER-ES",INDEX('CDER-ES'!$D:$D,MATCH($C252,'CDER-ES'!$A:$A,0)),
IF($B252="SINAPI",INDEX(CSINAPI!$D:$D,MATCH($C252,CSINAPI!$A:$A,0)),
IF($B252="CESAN",INDEX(CCESAN!$D:$D,MATCH($C252,CCESAN!$A:$A,0)),
IF($B252="SCORIO",INDEX(CSCORIO!$B:$B,MATCH($C252,CSCORIO!#REF!,0)),
IF($B252="MERC",INDEX(MERCADO!$E:$E,MATCH($C252,MERCADO!$A:$A,0)),
IF($B252="COMP",INDEX(COMPOSICAO!$H:$H,MATCH($C252,COMPOSICAO!$A:$A,0)),
0)))))),0)</f>
        <v>42.69</v>
      </c>
      <c r="H252" s="173">
        <f t="shared" ref="H252" si="211">ROUND(G252*(1+$J$2),2)</f>
        <v>56.88</v>
      </c>
      <c r="I252" s="180">
        <f t="shared" ref="I252" si="212">ROUND($H252*F252,2)</f>
        <v>625.67999999999995</v>
      </c>
      <c r="J252" s="194">
        <f t="shared" ref="J252:J261" si="213">I252/I$235</f>
        <v>1.4203198262055912E-2</v>
      </c>
    </row>
    <row r="253" spans="1:11" ht="25.5">
      <c r="A253" s="175" t="s">
        <v>14283</v>
      </c>
      <c r="B253" s="176" t="s">
        <v>929</v>
      </c>
      <c r="C253" s="177">
        <v>10</v>
      </c>
      <c r="D253" s="178" t="str">
        <f>IFERROR(PROPER(
IF($B253="DER-ES",INDEX('CDER-ES'!$B:$B,MATCH($C253,'CDER-ES'!$A:$A,0)),
IF($B253="SINAPI",INDEX(CSINAPI!$B:$B,MATCH($C253,CSINAPI!$A:$A,0)),
IF($B253="CESAN",INDEX(CCESAN!$B:$B,MATCH($C253,CCESAN!$A:$A,0)),
IF($B253="SCORIO",INDEX(CSCORIO!$B:$B,MATCH($C253,CSCORIO!$A:$A,0)),
IF($B253="MERC",INDEX(MERCADO!$B:$B,MATCH($C253,MERCADO!$A:$A,0)),
IF($B253="COMP",INDEX(COMPOSICAO!$B:$B,MATCH($C253,COMPOSICAO!$A:$A,0)),
""))))))),"*Verificar código*")</f>
        <v>Ducha Manual Higiênica, Plástica, Com Registro Metálico</v>
      </c>
      <c r="E253" s="171" t="str">
        <f>IFERROR(LOWER(
IF($B253="DER-ES",INDEX('CDER-ES'!$C:$C,MATCH($C253,'CDER-ES'!$A:$A,0)),
IF($B253="SINAPI",INDEX(CSINAPI!$C:$C,MATCH($C253,CSINAPI!$A:$A,0)),
IF($B253="CESAN",INDEX(CCESAN!$C:$C,MATCH($C253,CCESAN!$A:$A,0)),
IF($B253="SCORIO",INDEX(CSCORIO!$A:$A,MATCH($C253,CSCORIO!#REF!,0)),
IF($B253="MERC",INDEX(MERCADO!$D:$D,MATCH($C253,MERCADO!$A:$A,0)),
IF($B253="COMP",INDEX(COMPOSICAO!$G:$G,MATCH($C253,COMPOSICAO!$A:$A,0)),
""))))))),"")</f>
        <v>und.</v>
      </c>
      <c r="F253" s="179">
        <f>VLOOKUP(A253,'MEMÓRIA DE CÁLCULO'!A:H,8,0)</f>
        <v>2</v>
      </c>
      <c r="G253" s="173">
        <f>IFERROR(
IF($B253="DER-ES",INDEX('CDER-ES'!$D:$D,MATCH($C253,'CDER-ES'!$A:$A,0)),
IF($B253="SINAPI",INDEX(CSINAPI!$D:$D,MATCH($C253,CSINAPI!$A:$A,0)),
IF($B253="CESAN",INDEX(CCESAN!$D:$D,MATCH($C253,CCESAN!$A:$A,0)),
IF($B253="SCORIO",INDEX(CSCORIO!$B:$B,MATCH($C253,CSCORIO!#REF!,0)),
IF($B253="MERC",INDEX(MERCADO!$E:$E,MATCH($C253,MERCADO!$A:$A,0)),
IF($B253="COMP",INDEX(COMPOSICAO!$H:$H,MATCH($C253,COMPOSICAO!$A:$A,0)),
0)))))),0)</f>
        <v>126.37</v>
      </c>
      <c r="H253" s="173">
        <f>ROUND(G253*(1+$J$2),2)</f>
        <v>168.39</v>
      </c>
      <c r="I253" s="180">
        <f>ROUND($H253*F253,2)</f>
        <v>336.78</v>
      </c>
      <c r="J253" s="194">
        <f t="shared" si="213"/>
        <v>7.6450471657959181E-3</v>
      </c>
    </row>
    <row r="254" spans="1:11" ht="38.25">
      <c r="A254" s="175" t="s">
        <v>14284</v>
      </c>
      <c r="B254" s="176" t="s">
        <v>928</v>
      </c>
      <c r="C254" s="177">
        <v>100852</v>
      </c>
      <c r="D254" s="178" t="str">
        <f>IFERROR(PROPER(
IF($B254="DER-ES",INDEX('CDER-ES'!$B:$B,MATCH($C254,'CDER-ES'!$A:$A,0)),
IF($B254="SINAPI",INDEX(CSINAPI!$B:$B,MATCH($C254,CSINAPI!$A:$A,0)),
IF($B254="CESAN",INDEX(CCESAN!$B:$B,MATCH($C254,CCESAN!$A:$A,0)),
IF($B254="SCORIO",INDEX(CSCORIO!$B:$B,MATCH($C254,CSCORIO!$A:$A,0)),
IF($B254="MERC",INDEX(MERCADO!$B:$B,MATCH($C254,MERCADO!$A:$A,0)),
IF($B254="COMP",INDEX(COMPOSICAO!$B:$B,MATCH($C254,COMPOSICAO!$A:$A,0)),
""))))))),"*Verificar código*")</f>
        <v>Cuba De Embutir Retangular De Aço Inoxidável, 56 X 33 X 12 Cm - Fornecimento E Instalação. Af_01/2020</v>
      </c>
      <c r="E254" s="171" t="str">
        <f>IFERROR(LOWER(
IF($B254="DER-ES",INDEX('CDER-ES'!$C:$C,MATCH($C254,'CDER-ES'!$A:$A,0)),
IF($B254="SINAPI",INDEX(CSINAPI!$C:$C,MATCH($C254,CSINAPI!$A:$A,0)),
IF($B254="CESAN",INDEX(CCESAN!$C:$C,MATCH($C254,CCESAN!$A:$A,0)),
IF($B254="SCORIO",INDEX(CSCORIO!$A:$A,MATCH($C254,CSCORIO!#REF!,0)),
IF($B254="MERC",INDEX(MERCADO!$D:$D,MATCH($C254,MERCADO!$A:$A,0)),
IF($B254="COMP",INDEX(COMPOSICAO!$G:$G,MATCH($C254,COMPOSICAO!$A:$A,0)),
""))))))),"")</f>
        <v>un</v>
      </c>
      <c r="F254" s="179">
        <f>VLOOKUP(A254,'MEMÓRIA DE CÁLCULO'!A:H,8,0)</f>
        <v>2</v>
      </c>
      <c r="G254" s="173">
        <f>IFERROR(
IF($B254="DER-ES",INDEX('CDER-ES'!$D:$D,MATCH($C254,'CDER-ES'!$A:$A,0)),
IF($B254="SINAPI",INDEX(CSINAPI!$D:$D,MATCH($C254,CSINAPI!$A:$A,0)),
IF($B254="CESAN",INDEX(CCESAN!$D:$D,MATCH($C254,CCESAN!$A:$A,0)),
IF($B254="SCORIO",INDEX(CSCORIO!$B:$B,MATCH($C254,CSCORIO!#REF!,0)),
IF($B254="MERC",INDEX(MERCADO!$E:$E,MATCH($C254,MERCADO!$A:$A,0)),
IF($B254="COMP",INDEX(COMPOSICAO!$H:$H,MATCH($C254,COMPOSICAO!$A:$A,0)),
0)))))),0)</f>
        <v>244.93</v>
      </c>
      <c r="H254" s="173">
        <f t="shared" si="207"/>
        <v>326.37</v>
      </c>
      <c r="I254" s="180">
        <f t="shared" si="208"/>
        <v>652.74</v>
      </c>
      <c r="J254" s="194">
        <f t="shared" si="213"/>
        <v>1.4817471604613183E-2</v>
      </c>
    </row>
    <row r="255" spans="1:11" ht="38.25">
      <c r="A255" s="175" t="s">
        <v>14285</v>
      </c>
      <c r="B255" s="176" t="s">
        <v>928</v>
      </c>
      <c r="C255" s="177">
        <v>86909</v>
      </c>
      <c r="D255" s="178" t="str">
        <f>IFERROR(PROPER(
IF($B255="DER-ES",INDEX('CDER-ES'!$B:$B,MATCH($C255,'CDER-ES'!$A:$A,0)),
IF($B255="SINAPI",INDEX(CSINAPI!$B:$B,MATCH($C255,CSINAPI!$A:$A,0)),
IF($B255="CESAN",INDEX(CCESAN!$B:$B,MATCH($C255,CCESAN!$A:$A,0)),
IF($B255="SCORIO",INDEX(CSCORIO!$B:$B,MATCH($C255,CSCORIO!$A:$A,0)),
IF($B255="MERC",INDEX(MERCADO!$B:$B,MATCH($C255,MERCADO!$A:$A,0)),
IF($B255="COMP",INDEX(COMPOSICAO!$B:$B,MATCH($C255,COMPOSICAO!$A:$A,0)),
""))))))),"*Verificar código*")</f>
        <v>Torneira Cromada Tubo Móvel, De Mesa, 1/2 Ou 3/4, Para Pia De Cozinha, Padrão Alto - Fornecimento E Instalação. Af_01/2020</v>
      </c>
      <c r="E255" s="171" t="str">
        <f>IFERROR(LOWER(
IF($B255="DER-ES",INDEX('CDER-ES'!$C:$C,MATCH($C255,'CDER-ES'!$A:$A,0)),
IF($B255="SINAPI",INDEX(CSINAPI!$C:$C,MATCH($C255,CSINAPI!$A:$A,0)),
IF($B255="CESAN",INDEX(CCESAN!$C:$C,MATCH($C255,CCESAN!$A:$A,0)),
IF($B255="SCORIO",INDEX(CSCORIO!$A:$A,MATCH($C255,CSCORIO!#REF!,0)),
IF($B255="MERC",INDEX(MERCADO!$D:$D,MATCH($C255,MERCADO!$A:$A,0)),
IF($B255="COMP",INDEX(COMPOSICAO!$G:$G,MATCH($C255,COMPOSICAO!$A:$A,0)),
""))))))),"")</f>
        <v>un</v>
      </c>
      <c r="F255" s="179">
        <f>VLOOKUP(A255,'MEMÓRIA DE CÁLCULO'!A:H,8,0)</f>
        <v>2</v>
      </c>
      <c r="G255" s="173">
        <f>IFERROR(
IF($B255="DER-ES",INDEX('CDER-ES'!$D:$D,MATCH($C255,'CDER-ES'!$A:$A,0)),
IF($B255="SINAPI",INDEX(CSINAPI!$D:$D,MATCH($C255,CSINAPI!$A:$A,0)),
IF($B255="CESAN",INDEX(CCESAN!$D:$D,MATCH($C255,CCESAN!$A:$A,0)),
IF($B255="SCORIO",INDEX(CSCORIO!$B:$B,MATCH($C255,CSCORIO!#REF!,0)),
IF($B255="MERC",INDEX(MERCADO!$E:$E,MATCH($C255,MERCADO!$A:$A,0)),
IF($B255="COMP",INDEX(COMPOSICAO!$H:$H,MATCH($C255,COMPOSICAO!$A:$A,0)),
0)))))),0)</f>
        <v>102.53</v>
      </c>
      <c r="H255" s="173">
        <f t="shared" ref="H255" si="214">ROUND(G255*(1+$J$2),2)</f>
        <v>136.62</v>
      </c>
      <c r="I255" s="180">
        <f t="shared" ref="I255" si="215">ROUND($H255*F255,2)</f>
        <v>273.24</v>
      </c>
      <c r="J255" s="194">
        <f t="shared" si="213"/>
        <v>6.202662532163658E-3</v>
      </c>
    </row>
    <row r="256" spans="1:11" ht="38.25">
      <c r="A256" s="175" t="s">
        <v>14286</v>
      </c>
      <c r="B256" s="176" t="s">
        <v>928</v>
      </c>
      <c r="C256" s="177">
        <v>86913</v>
      </c>
      <c r="D256" s="178" t="str">
        <f>IFERROR(PROPER(
IF($B256="DER-ES",INDEX('CDER-ES'!$B:$B,MATCH($C256,'CDER-ES'!$A:$A,0)),
IF($B256="SINAPI",INDEX(CSINAPI!$B:$B,MATCH($C256,CSINAPI!$A:$A,0)),
IF($B256="CESAN",INDEX(CCESAN!$B:$B,MATCH($C256,CCESAN!$A:$A,0)),
IF($B256="SCORIO",INDEX(CSCORIO!$B:$B,MATCH($C256,CSCORIO!$A:$A,0)),
IF($B256="MERC",INDEX(MERCADO!$B:$B,MATCH($C256,MERCADO!$A:$A,0)),
IF($B256="COMP",INDEX(COMPOSICAO!$B:$B,MATCH($C256,COMPOSICAO!$A:$A,0)),
""))))))),"*Verificar código*")</f>
        <v>Torneira Cromada 1/2 Ou 3/4 Para Tanque, Padrão Popular - Fornecimento E Instalação. Af_01/2020</v>
      </c>
      <c r="E256" s="171" t="str">
        <f>IFERROR(LOWER(
IF($B256="DER-ES",INDEX('CDER-ES'!$C:$C,MATCH($C256,'CDER-ES'!$A:$A,0)),
IF($B256="SINAPI",INDEX(CSINAPI!$C:$C,MATCH($C256,CSINAPI!$A:$A,0)),
IF($B256="CESAN",INDEX(CCESAN!$C:$C,MATCH($C256,CCESAN!$A:$A,0)),
IF($B256="SCORIO",INDEX(CSCORIO!$A:$A,MATCH($C256,CSCORIO!#REF!,0)),
IF($B256="MERC",INDEX(MERCADO!$D:$D,MATCH($C256,MERCADO!$A:$A,0)),
IF($B256="COMP",INDEX(COMPOSICAO!$G:$G,MATCH($C256,COMPOSICAO!$A:$A,0)),
""))))))),"")</f>
        <v>un</v>
      </c>
      <c r="F256" s="179">
        <f>VLOOKUP(A256,'MEMÓRIA DE CÁLCULO'!A:H,8,0)</f>
        <v>4</v>
      </c>
      <c r="G256" s="173">
        <f>IFERROR(
IF($B256="DER-ES",INDEX('CDER-ES'!$D:$D,MATCH($C256,'CDER-ES'!$A:$A,0)),
IF($B256="SINAPI",INDEX(CSINAPI!$D:$D,MATCH($C256,CSINAPI!$A:$A,0)),
IF($B256="CESAN",INDEX(CCESAN!$D:$D,MATCH($C256,CCESAN!$A:$A,0)),
IF($B256="SCORIO",INDEX(CSCORIO!$B:$B,MATCH($C256,CSCORIO!#REF!,0)),
IF($B256="MERC",INDEX(MERCADO!$E:$E,MATCH($C256,MERCADO!$A:$A,0)),
IF($B256="COMP",INDEX(COMPOSICAO!$H:$H,MATCH($C256,COMPOSICAO!$A:$A,0)),
0)))))),0)</f>
        <v>43.63</v>
      </c>
      <c r="H256" s="173">
        <f t="shared" ref="H256:H258" si="216">ROUND(G256*(1+$J$2),2)</f>
        <v>58.14</v>
      </c>
      <c r="I256" s="180">
        <f t="shared" ref="I256:I258" si="217">ROUND($H256*F256,2)</f>
        <v>232.56</v>
      </c>
      <c r="J256" s="194">
        <f t="shared" si="213"/>
        <v>5.2792094806030608E-3</v>
      </c>
    </row>
    <row r="257" spans="1:10" ht="25.5">
      <c r="A257" s="175" t="s">
        <v>14287</v>
      </c>
      <c r="B257" s="176" t="s">
        <v>928</v>
      </c>
      <c r="C257" s="177">
        <v>100853</v>
      </c>
      <c r="D257" s="178" t="str">
        <f>IFERROR(PROPER(
IF($B257="DER-ES",INDEX('CDER-ES'!$B:$B,MATCH($C257,'CDER-ES'!$A:$A,0)),
IF($B257="SINAPI",INDEX(CSINAPI!$B:$B,MATCH($C257,CSINAPI!$A:$A,0)),
IF($B257="CESAN",INDEX(CCESAN!$B:$B,MATCH($C257,CCESAN!$A:$A,0)),
IF($B257="SCORIO",INDEX(CSCORIO!$B:$B,MATCH($C257,CSCORIO!$A:$A,0)),
IF($B257="MERC",INDEX(MERCADO!$B:$B,MATCH($C257,MERCADO!$A:$A,0)),
IF($B257="COMP",INDEX(COMPOSICAO!$B:$B,MATCH($C257,COMPOSICAO!$A:$A,0)),
""))))))),"*Verificar código*")</f>
        <v>Torneira Cromada De Mesa Para Lavatorio, Tipo Monocomando. Af_01/2020</v>
      </c>
      <c r="E257" s="171" t="str">
        <f>IFERROR(LOWER(
IF($B257="DER-ES",INDEX('CDER-ES'!$C:$C,MATCH($C257,'CDER-ES'!$A:$A,0)),
IF($B257="SINAPI",INDEX(CSINAPI!$C:$C,MATCH($C257,CSINAPI!$A:$A,0)),
IF($B257="CESAN",INDEX(CCESAN!$C:$C,MATCH($C257,CCESAN!$A:$A,0)),
IF($B257="SCORIO",INDEX(CSCORIO!$A:$A,MATCH($C257,CSCORIO!#REF!,0)),
IF($B257="MERC",INDEX(MERCADO!$D:$D,MATCH($C257,MERCADO!$A:$A,0)),
IF($B257="COMP",INDEX(COMPOSICAO!$G:$G,MATCH($C257,COMPOSICAO!$A:$A,0)),
""))))))),"")</f>
        <v>un</v>
      </c>
      <c r="F257" s="179">
        <f>VLOOKUP(A257,'MEMÓRIA DE CÁLCULO'!A:H,8,0)</f>
        <v>14</v>
      </c>
      <c r="G257" s="173">
        <f>IFERROR(
IF($B257="DER-ES",INDEX('CDER-ES'!$D:$D,MATCH($C257,'CDER-ES'!$A:$A,0)),
IF($B257="SINAPI",INDEX(CSINAPI!$D:$D,MATCH($C257,CSINAPI!$A:$A,0)),
IF($B257="CESAN",INDEX(CCESAN!$D:$D,MATCH($C257,CCESAN!$A:$A,0)),
IF($B257="SCORIO",INDEX(CSCORIO!$B:$B,MATCH($C257,CSCORIO!#REF!,0)),
IF($B257="MERC",INDEX(MERCADO!$E:$E,MATCH($C257,MERCADO!$A:$A,0)),
IF($B257="COMP",INDEX(COMPOSICAO!$H:$H,MATCH($C257,COMPOSICAO!$A:$A,0)),
0)))))),0)</f>
        <v>271.35000000000002</v>
      </c>
      <c r="H257" s="173">
        <f t="shared" ref="H257" si="218">ROUND(G257*(1+$J$2),2)</f>
        <v>361.57</v>
      </c>
      <c r="I257" s="180">
        <f t="shared" ref="I257" si="219">ROUND($H257*F257,2)</f>
        <v>5061.9799999999996</v>
      </c>
      <c r="J257" s="194">
        <f t="shared" si="213"/>
        <v>0.11490906779593688</v>
      </c>
    </row>
    <row r="258" spans="1:10" ht="38.25">
      <c r="A258" s="175" t="s">
        <v>14288</v>
      </c>
      <c r="B258" s="176" t="s">
        <v>928</v>
      </c>
      <c r="C258" s="177">
        <v>95547</v>
      </c>
      <c r="D258" s="178" t="str">
        <f>IFERROR(PROPER(
IF($B258="DER-ES",INDEX('CDER-ES'!$B:$B,MATCH($C258,'CDER-ES'!$A:$A,0)),
IF($B258="SINAPI",INDEX(CSINAPI!$B:$B,MATCH($C258,CSINAPI!$A:$A,0)),
IF($B258="CESAN",INDEX(CCESAN!$B:$B,MATCH($C258,CCESAN!$A:$A,0)),
IF($B258="SCORIO",INDEX(CSCORIO!$B:$B,MATCH($C258,CSCORIO!$A:$A,0)),
IF($B258="MERC",INDEX(MERCADO!$B:$B,MATCH($C258,MERCADO!$A:$A,0)),
IF($B258="COMP",INDEX(COMPOSICAO!$B:$B,MATCH($C258,COMPOSICAO!$A:$A,0)),
""))))))),"*Verificar código*")</f>
        <v>Saboneteira Plastica Tipo Dispenser Para Sabonete Liquido Com Reservatorio 800 A 1500 Ml, Incluso Fixação. Af_01/2020</v>
      </c>
      <c r="E258" s="171" t="str">
        <f>IFERROR(LOWER(
IF($B258="DER-ES",INDEX('CDER-ES'!$C:$C,MATCH($C258,'CDER-ES'!$A:$A,0)),
IF($B258="SINAPI",INDEX(CSINAPI!$C:$C,MATCH($C258,CSINAPI!$A:$A,0)),
IF($B258="CESAN",INDEX(CCESAN!$C:$C,MATCH($C258,CCESAN!$A:$A,0)),
IF($B258="SCORIO",INDEX(CSCORIO!$A:$A,MATCH($C258,CSCORIO!#REF!,0)),
IF($B258="MERC",INDEX(MERCADO!$D:$D,MATCH($C258,MERCADO!$A:$A,0)),
IF($B258="COMP",INDEX(COMPOSICAO!$G:$G,MATCH($C258,COMPOSICAO!$A:$A,0)),
""))))))),"")</f>
        <v>un</v>
      </c>
      <c r="F258" s="179">
        <f>VLOOKUP(A258,'MEMÓRIA DE CÁLCULO'!A:H,8,0)</f>
        <v>10</v>
      </c>
      <c r="G258" s="173">
        <f>IFERROR(
IF($B258="DER-ES",INDEX('CDER-ES'!$D:$D,MATCH($C258,'CDER-ES'!$A:$A,0)),
IF($B258="SINAPI",INDEX(CSINAPI!$D:$D,MATCH($C258,CSINAPI!$A:$A,0)),
IF($B258="CESAN",INDEX(CCESAN!$D:$D,MATCH($C258,CCESAN!$A:$A,0)),
IF($B258="SCORIO",INDEX(CSCORIO!$B:$B,MATCH($C258,CSCORIO!#REF!,0)),
IF($B258="MERC",INDEX(MERCADO!$E:$E,MATCH($C258,MERCADO!$A:$A,0)),
IF($B258="COMP",INDEX(COMPOSICAO!$H:$H,MATCH($C258,COMPOSICAO!$A:$A,0)),
0)))))),0)</f>
        <v>78.39</v>
      </c>
      <c r="H258" s="173">
        <f t="shared" si="216"/>
        <v>104.45</v>
      </c>
      <c r="I258" s="180">
        <f t="shared" si="217"/>
        <v>1044.5</v>
      </c>
      <c r="J258" s="194">
        <f t="shared" si="213"/>
        <v>2.371058781600403E-2</v>
      </c>
    </row>
    <row r="259" spans="1:10" ht="25.5">
      <c r="A259" s="175" t="s">
        <v>14289</v>
      </c>
      <c r="B259" s="176" t="s">
        <v>929</v>
      </c>
      <c r="C259" s="177">
        <v>11</v>
      </c>
      <c r="D259" s="178" t="str">
        <f>IFERROR(PROPER(
IF($B259="DER-ES",INDEX('CDER-ES'!$B:$B,MATCH($C259,'CDER-ES'!$A:$A,0)),
IF($B259="SINAPI",INDEX(CSINAPI!$B:$B,MATCH($C259,CSINAPI!$A:$A,0)),
IF($B259="CESAN",INDEX(CCESAN!$B:$B,MATCH($C259,CCESAN!$A:$A,0)),
IF($B259="SCORIO",INDEX(CSCORIO!$B:$B,MATCH($C259,CSCORIO!$A:$A,0)),
IF($B259="MERC",INDEX(MERCADO!$B:$B,MATCH($C259,MERCADO!$A:$A,0)),
IF($B259="COMP",INDEX(COMPOSICAO!$B:$B,MATCH($C259,COMPOSICAO!$A:$A,0)),
""))))))),"*Verificar código*")</f>
        <v>Toalheiro Plástico Tipo Dispenser Para Papel Toalha Interfolhado, Inclusive Fixação</v>
      </c>
      <c r="E259" s="171" t="str">
        <f>IFERROR(LOWER(
IF($B259="DER-ES",INDEX('CDER-ES'!$C:$C,MATCH($C259,'CDER-ES'!$A:$A,0)),
IF($B259="SINAPI",INDEX(CSINAPI!$C:$C,MATCH($C259,CSINAPI!$A:$A,0)),
IF($B259="CESAN",INDEX(CCESAN!$C:$C,MATCH($C259,CCESAN!$A:$A,0)),
IF($B259="SCORIO",INDEX(CSCORIO!$A:$A,MATCH($C259,CSCORIO!#REF!,0)),
IF($B259="MERC",INDEX(MERCADO!$D:$D,MATCH($C259,MERCADO!$A:$A,0)),
IF($B259="COMP",INDEX(COMPOSICAO!$G:$G,MATCH($C259,COMPOSICAO!$A:$A,0)),
""))))))),"")</f>
        <v>und.</v>
      </c>
      <c r="F259" s="179">
        <f>VLOOKUP(A259,'MEMÓRIA DE CÁLCULO'!A:H,8,0)</f>
        <v>10</v>
      </c>
      <c r="G259" s="173">
        <f>IFERROR(
IF($B259="DER-ES",INDEX('CDER-ES'!$D:$D,MATCH($C259,'CDER-ES'!$A:$A,0)),
IF($B259="SINAPI",INDEX(CSINAPI!$D:$D,MATCH($C259,CSINAPI!$A:$A,0)),
IF($B259="CESAN",INDEX(CCESAN!$D:$D,MATCH($C259,CCESAN!$A:$A,0)),
IF($B259="SCORIO",INDEX(CSCORIO!$B:$B,MATCH($C259,CSCORIO!#REF!,0)),
IF($B259="MERC",INDEX(MERCADO!$E:$E,MATCH($C259,MERCADO!$A:$A,0)),
IF($B259="COMP",INDEX(COMPOSICAO!$H:$H,MATCH($C259,COMPOSICAO!$A:$A,0)),
0)))))),0)</f>
        <v>81.459999999999994</v>
      </c>
      <c r="H259" s="173">
        <f t="shared" ref="H259:H260" si="220">ROUND(G259*(1+$J$2),2)</f>
        <v>108.55</v>
      </c>
      <c r="I259" s="180">
        <f t="shared" ref="I259:I260" si="221">ROUND($H259*F259,2)</f>
        <v>1085.5</v>
      </c>
      <c r="J259" s="194">
        <f t="shared" si="213"/>
        <v>2.4641305001696864E-2</v>
      </c>
    </row>
    <row r="260" spans="1:10" ht="38.25">
      <c r="A260" s="175" t="s">
        <v>14290</v>
      </c>
      <c r="B260" s="176" t="s">
        <v>928</v>
      </c>
      <c r="C260" s="177">
        <v>100868</v>
      </c>
      <c r="D260" s="178" t="str">
        <f>IFERROR(PROPER(
IF($B260="DER-ES",INDEX('CDER-ES'!$B:$B,MATCH($C260,'CDER-ES'!$A:$A,0)),
IF($B260="SINAPI",INDEX(CSINAPI!$B:$B,MATCH($C260,CSINAPI!$A:$A,0)),
IF($B260="CESAN",INDEX(CCESAN!$B:$B,MATCH($C260,CCESAN!$A:$A,0)),
IF($B260="SCORIO",INDEX(CSCORIO!$B:$B,MATCH($C260,CSCORIO!$A:$A,0)),
IF($B260="MERC",INDEX(MERCADO!$B:$B,MATCH($C260,MERCADO!$A:$A,0)),
IF($B260="COMP",INDEX(COMPOSICAO!$B:$B,MATCH($C260,COMPOSICAO!$A:$A,0)),
""))))))),"*Verificar código*")</f>
        <v>Barra De Apoio Reta, Em Aco Inox Polido, Comprimento 80 Cm,  Fixada Na Parede - Fornecimento E Instalação. Af_01/2020</v>
      </c>
      <c r="E260" s="171" t="str">
        <f>IFERROR(LOWER(
IF($B260="DER-ES",INDEX('CDER-ES'!$C:$C,MATCH($C260,'CDER-ES'!$A:$A,0)),
IF($B260="SINAPI",INDEX(CSINAPI!$C:$C,MATCH($C260,CSINAPI!$A:$A,0)),
IF($B260="CESAN",INDEX(CCESAN!$C:$C,MATCH($C260,CCESAN!$A:$A,0)),
IF($B260="SCORIO",INDEX(CSCORIO!$A:$A,MATCH($C260,CSCORIO!#REF!,0)),
IF($B260="MERC",INDEX(MERCADO!$D:$D,MATCH($C260,MERCADO!$A:$A,0)),
IF($B260="COMP",INDEX(COMPOSICAO!$G:$G,MATCH($C260,COMPOSICAO!$A:$A,0)),
""))))))),"")</f>
        <v>un</v>
      </c>
      <c r="F260" s="179">
        <f>VLOOKUP(A260,'MEMÓRIA DE CÁLCULO'!A:H,8,0)</f>
        <v>3</v>
      </c>
      <c r="G260" s="173">
        <f>IFERROR(
IF($B260="DER-ES",INDEX('CDER-ES'!$D:$D,MATCH($C260,'CDER-ES'!$A:$A,0)),
IF($B260="SINAPI",INDEX(CSINAPI!$D:$D,MATCH($C260,CSINAPI!$A:$A,0)),
IF($B260="CESAN",INDEX(CCESAN!$D:$D,MATCH($C260,CCESAN!$A:$A,0)),
IF($B260="SCORIO",INDEX(CSCORIO!$B:$B,MATCH($C260,CSCORIO!#REF!,0)),
IF($B260="MERC",INDEX(MERCADO!$E:$E,MATCH($C260,MERCADO!$A:$A,0)),
IF($B260="COMP",INDEX(COMPOSICAO!$H:$H,MATCH($C260,COMPOSICAO!$A:$A,0)),
0)))))),0)</f>
        <v>348.05</v>
      </c>
      <c r="H260" s="173">
        <f t="shared" si="220"/>
        <v>463.78</v>
      </c>
      <c r="I260" s="180">
        <f t="shared" si="221"/>
        <v>1391.34</v>
      </c>
      <c r="J260" s="194">
        <f t="shared" si="213"/>
        <v>3.1584001198582137E-2</v>
      </c>
    </row>
    <row r="261" spans="1:10" ht="38.25">
      <c r="A261" s="175" t="s">
        <v>14291</v>
      </c>
      <c r="B261" s="176" t="s">
        <v>928</v>
      </c>
      <c r="C261" s="177">
        <v>100866</v>
      </c>
      <c r="D261" s="178" t="str">
        <f>IFERROR(PROPER(
IF($B261="DER-ES",INDEX('CDER-ES'!$B:$B,MATCH($C261,'CDER-ES'!$A:$A,0)),
IF($B261="SINAPI",INDEX(CSINAPI!$B:$B,MATCH($C261,CSINAPI!$A:$A,0)),
IF($B261="CESAN",INDEX(CCESAN!$B:$B,MATCH($C261,CCESAN!$A:$A,0)),
IF($B261="SCORIO",INDEX(CSCORIO!$B:$B,MATCH($C261,CSCORIO!$A:$A,0)),
IF($B261="MERC",INDEX(MERCADO!$B:$B,MATCH($C261,MERCADO!$A:$A,0)),
IF($B261="COMP",INDEX(COMPOSICAO!$B:$B,MATCH($C261,COMPOSICAO!$A:$A,0)),
""))))))),"*Verificar código*")</f>
        <v>Barra De Apoio Reta, Em Aco Inox Polido, Comprimento 60Cm, Fixada Na Parede - Fornecimento E Instalação. Af_01/2020</v>
      </c>
      <c r="E261" s="171" t="str">
        <f>IFERROR(LOWER(
IF($B261="DER-ES",INDEX('CDER-ES'!$C:$C,MATCH($C261,'CDER-ES'!$A:$A,0)),
IF($B261="SINAPI",INDEX(CSINAPI!$C:$C,MATCH($C261,CSINAPI!$A:$A,0)),
IF($B261="CESAN",INDEX(CCESAN!$C:$C,MATCH($C261,CCESAN!$A:$A,0)),
IF($B261="SCORIO",INDEX(CSCORIO!$A:$A,MATCH($C261,CSCORIO!#REF!,0)),
IF($B261="MERC",INDEX(MERCADO!$D:$D,MATCH($C261,MERCADO!$A:$A,0)),
IF($B261="COMP",INDEX(COMPOSICAO!$G:$G,MATCH($C261,COMPOSICAO!$A:$A,0)),
""))))))),"")</f>
        <v>un</v>
      </c>
      <c r="F261" s="179">
        <f>VLOOKUP(A261,'MEMÓRIA DE CÁLCULO'!A:H,8,0)</f>
        <v>2</v>
      </c>
      <c r="G261" s="173">
        <f>IFERROR(
IF($B261="DER-ES",INDEX('CDER-ES'!$D:$D,MATCH($C261,'CDER-ES'!$A:$A,0)),
IF($B261="SINAPI",INDEX(CSINAPI!$D:$D,MATCH($C261,CSINAPI!$A:$A,0)),
IF($B261="CESAN",INDEX(CCESAN!$D:$D,MATCH($C261,CCESAN!$A:$A,0)),
IF($B261="SCORIO",INDEX(CSCORIO!$B:$B,MATCH($C261,CSCORIO!#REF!,0)),
IF($B261="MERC",INDEX(MERCADO!$E:$E,MATCH($C261,MERCADO!$A:$A,0)),
IF($B261="COMP",INDEX(COMPOSICAO!$H:$H,MATCH($C261,COMPOSICAO!$A:$A,0)),
0)))))),0)</f>
        <v>313.83</v>
      </c>
      <c r="H261" s="173">
        <f t="shared" ref="H261" si="222">ROUND(G261*(1+$J$2),2)</f>
        <v>418.18</v>
      </c>
      <c r="I261" s="180">
        <f t="shared" ref="I261" si="223">ROUND($H261*F261,2)</f>
        <v>836.36</v>
      </c>
      <c r="J261" s="194">
        <f t="shared" si="213"/>
        <v>1.8985722571367287E-2</v>
      </c>
    </row>
    <row r="262" spans="1:10">
      <c r="A262" s="167" t="s">
        <v>12629</v>
      </c>
      <c r="B262" s="168"/>
      <c r="C262" s="169"/>
      <c r="D262" s="235" t="s">
        <v>14117</v>
      </c>
      <c r="E262" s="171"/>
      <c r="F262" s="172"/>
      <c r="G262" s="173"/>
      <c r="H262" s="173"/>
      <c r="I262" s="174">
        <f>SUBTOTAL(9,I264:I281)</f>
        <v>9823.4700000000012</v>
      </c>
      <c r="J262" s="193">
        <f>SUBTOTAL(9,J264:J281)</f>
        <v>0.99999999999999989</v>
      </c>
    </row>
    <row r="263" spans="1:10">
      <c r="A263" s="167" t="s">
        <v>12630</v>
      </c>
      <c r="B263" s="168"/>
      <c r="C263" s="169"/>
      <c r="D263" s="170" t="s">
        <v>14119</v>
      </c>
      <c r="E263" s="171"/>
      <c r="F263" s="172"/>
      <c r="G263" s="173"/>
      <c r="H263" s="173"/>
      <c r="I263" s="174"/>
      <c r="J263" s="193"/>
    </row>
    <row r="264" spans="1:10" ht="45" customHeight="1">
      <c r="A264" s="175" t="s">
        <v>14118</v>
      </c>
      <c r="B264" s="176" t="s">
        <v>928</v>
      </c>
      <c r="C264" s="177">
        <v>101909</v>
      </c>
      <c r="D264" s="178" t="str">
        <f>IFERROR(PROPER(
IF($B264="DER-ES",INDEX('CDER-ES'!$B:$B,MATCH($C264,'CDER-ES'!$A:$A,0)),
IF($B264="SINAPI",INDEX(CSINAPI!$B:$B,MATCH($C264,CSINAPI!$A:$A,0)),
IF($B264="CESAN",INDEX(CCESAN!$B:$B,MATCH($C264,CCESAN!$A:$A,0)),
IF($B264="SCORIO",INDEX(CSCORIO!$B:$B,MATCH($C264,CSCORIO!$A:$A,0)),
IF($B264="MERC",INDEX(MERCADO!$B:$B,MATCH($C264,MERCADO!$A:$A,0)),
IF($B264="COMP",INDEX(COMPOSICAO!$B:$B,MATCH($C264,COMPOSICAO!$A:$A,0)),
""))))))),"*Verificar código*")</f>
        <v>Extintor De Incêndio Portátil Com Carga De Pqs De 6 Kg, Classe Bc - Fornecimento E Instalação. Af_10/2020_Pe</v>
      </c>
      <c r="E264" s="171" t="str">
        <f>IFERROR(LOWER(
IF($B264="DER-ES",INDEX('CDER-ES'!$C:$C,MATCH($C264,'CDER-ES'!$A:$A,0)),
IF($B264="SINAPI",INDEX(CSINAPI!$C:$C,MATCH($C264,CSINAPI!$A:$A,0)),
IF($B264="CESAN",INDEX(CCESAN!$C:$C,MATCH($C264,CCESAN!$A:$A,0)),
IF($B264="SCORIO",INDEX(CSCORIO!$C:$C,MATCH($C264,CSCORIO!$A:$A,0)),
IF($B264="MERC",INDEX(MERCADO!$D:$D,MATCH($C264,MERCADO!$A:$A,0)),
IF($B264="COMP",INDEX(COMPOSICAO!$G:$G,MATCH($C264,COMPOSICAO!$A:$A,0)),
""))))))),"")</f>
        <v>un</v>
      </c>
      <c r="F264" s="179">
        <f>VLOOKUP(A264,'MEMÓRIA DE CÁLCULO'!A:H,8,0)</f>
        <v>3</v>
      </c>
      <c r="G264" s="173">
        <f>IFERROR(
IF($B264="DER-ES",INDEX('CDER-ES'!$D:$D,MATCH($C264,'CDER-ES'!$A:$A,0)),
IF($B264="SINAPI",INDEX(CSINAPI!$D:$D,MATCH($C264,CSINAPI!$A:$A,0)),
IF($B264="CESAN",INDEX(CCESAN!$D:$D,MATCH($C264,CCESAN!$A:$A,0)),
IF($B264="SCORIO",INDEX(CSCORIO!$D:$D,MATCH($C264,CSCORIO!$A:$A,0)),
IF($B264="MERC",INDEX(MERCADO!$E:$E,MATCH($C264,MERCADO!$A:$A,0)),
IF($B264="COMP",INDEX(COMPOSICAO!$H:$H,MATCH($C264,COMPOSICAO!$A:$A,0)),
0)))))),0)</f>
        <v>241.52</v>
      </c>
      <c r="H264" s="173">
        <f t="shared" ref="H264" si="224">ROUND(G264*(1+$J$2),2)</f>
        <v>321.83</v>
      </c>
      <c r="I264" s="180">
        <f t="shared" ref="I264" si="225">ROUND($H264*F264,2)</f>
        <v>965.49</v>
      </c>
      <c r="J264" s="194">
        <f>I264/I$262</f>
        <v>9.8284007585914129E-2</v>
      </c>
    </row>
    <row r="265" spans="1:10">
      <c r="A265" s="167" t="s">
        <v>12631</v>
      </c>
      <c r="B265" s="168"/>
      <c r="C265" s="169"/>
      <c r="D265" s="170" t="s">
        <v>14128</v>
      </c>
      <c r="E265" s="171"/>
      <c r="F265" s="172"/>
      <c r="G265" s="173"/>
      <c r="H265" s="173"/>
      <c r="I265" s="174"/>
      <c r="J265" s="193"/>
    </row>
    <row r="266" spans="1:10" ht="63.75">
      <c r="A266" s="175" t="s">
        <v>14120</v>
      </c>
      <c r="B266" s="176" t="s">
        <v>928</v>
      </c>
      <c r="C266" s="177">
        <v>94473</v>
      </c>
      <c r="D266" s="178" t="str">
        <f>IFERROR(PROPER(
IF($B266="DER-ES",INDEX('CDER-ES'!$B:$B,MATCH($C266,'CDER-ES'!$A:$A,0)),
IF($B266="SINAPI",INDEX(CSINAPI!$B:$B,MATCH($C266,CSINAPI!$A:$A,0)),
IF($B266="CESAN",INDEX(CCESAN!$B:$B,MATCH($C266,CCESAN!$A:$A,0)),
IF($B266="SCORIO",INDEX(CSCORIO!$B:$B,MATCH($C266,CSCORIO!$A:$A,0)),
IF($B266="MERC",INDEX(MERCADO!$B:$B,MATCH($C266,MERCADO!$A:$A,0)),
IF($B266="COMP",INDEX(COMPOSICAO!$B:$B,MATCH($C266,COMPOSICAO!$A:$A,0)),
""))))))),"*Verificar código*")</f>
        <v>Cotovelo 90 Graus, Em Ferro Galvanizado, Conexão Rosqueada, Dn 65 (2 1/2), Instalado Em Reservação De Água De Edificação Que Possua Reservatório De Fibra/Fibrocimento  Fornecimento E Instalação. Af_06/2016</v>
      </c>
      <c r="E266" s="171" t="str">
        <f>IFERROR(LOWER(
IF($B266="DER-ES",INDEX('CDER-ES'!$C:$C,MATCH($C266,'CDER-ES'!$A:$A,0)),
IF($B266="SINAPI",INDEX(CSINAPI!$C:$C,MATCH($C266,CSINAPI!$A:$A,0)),
IF($B266="CESAN",INDEX(CCESAN!$C:$C,MATCH($C266,CCESAN!$A:$A,0)),
IF($B266="SCORIO",INDEX(CSCORIO!$C:$C,MATCH($C266,CSCORIO!$A:$A,0)),
IF($B266="MERC",INDEX(MERCADO!$D:$D,MATCH($C266,MERCADO!$A:$A,0)),
IF($B266="COMP",INDEX(COMPOSICAO!$G:$G,MATCH($C266,COMPOSICAO!$A:$A,0)),
""))))))),"")</f>
        <v>un</v>
      </c>
      <c r="F266" s="179">
        <f>VLOOKUP(A266,'MEMÓRIA DE CÁLCULO'!A:H,8,0)</f>
        <v>6</v>
      </c>
      <c r="G266" s="173">
        <f>IFERROR(
IF($B266="DER-ES",INDEX('CDER-ES'!$D:$D,MATCH($C266,'CDER-ES'!$A:$A,0)),
IF($B266="SINAPI",INDEX(CSINAPI!$D:$D,MATCH($C266,CSINAPI!$A:$A,0)),
IF($B266="CESAN",INDEX(CCESAN!$D:$D,MATCH($C266,CCESAN!$A:$A,0)),
IF($B266="SCORIO",INDEX(CSCORIO!$D:$D,MATCH($C266,CSCORIO!$A:$A,0)),
IF($B266="MERC",INDEX(MERCADO!$E:$E,MATCH($C266,MERCADO!$A:$A,0)),
IF($B266="COMP",INDEX(COMPOSICAO!$H:$H,MATCH($C266,COMPOSICAO!$A:$A,0)),
0)))))),0)</f>
        <v>124.89</v>
      </c>
      <c r="H266" s="173">
        <f t="shared" ref="H266:H267" si="226">ROUND(G266*(1+$J$2),2)</f>
        <v>166.42</v>
      </c>
      <c r="I266" s="180">
        <f t="shared" ref="I266:I267" si="227">ROUND($H266*F266,2)</f>
        <v>998.52</v>
      </c>
      <c r="J266" s="194">
        <f t="shared" ref="J266:J269" si="228">I266/I$262</f>
        <v>0.10164636325046036</v>
      </c>
    </row>
    <row r="267" spans="1:10" ht="51">
      <c r="A267" s="175" t="s">
        <v>14121</v>
      </c>
      <c r="B267" s="176" t="s">
        <v>928</v>
      </c>
      <c r="C267" s="177">
        <v>97488</v>
      </c>
      <c r="D267" s="178" t="str">
        <f>IFERROR(PROPER(
IF($B267="DER-ES",INDEX('CDER-ES'!$B:$B,MATCH($C267,'CDER-ES'!$A:$A,0)),
IF($B267="SINAPI",INDEX(CSINAPI!$B:$B,MATCH($C267,CSINAPI!$A:$A,0)),
IF($B267="CESAN",INDEX(CCESAN!$B:$B,MATCH($C267,CCESAN!$A:$A,0)),
IF($B267="SCORIO",INDEX(CSCORIO!$B:$B,MATCH($C267,CSCORIO!$A:$A,0)),
IF($B267="MERC",INDEX(MERCADO!$B:$B,MATCH($C267,MERCADO!$A:$A,0)),
IF($B267="COMP",INDEX(COMPOSICAO!$B:$B,MATCH($C267,COMPOSICAO!$A:$A,0)),
""))))))),"*Verificar código*")</f>
        <v>Curva 90 Graus, Em Aço, Conexão Soldada, Dn 65 (2 1/2"), Instalado Em Rede De Alimentação Para Hidrante - Fornecimento E Instalação. Af_10/2020</v>
      </c>
      <c r="E267" s="171" t="str">
        <f>IFERROR(LOWER(
IF($B267="DER-ES",INDEX('CDER-ES'!$C:$C,MATCH($C267,'CDER-ES'!$A:$A,0)),
IF($B267="SINAPI",INDEX(CSINAPI!$C:$C,MATCH($C267,CSINAPI!$A:$A,0)),
IF($B267="CESAN",INDEX(CCESAN!$C:$C,MATCH($C267,CCESAN!$A:$A,0)),
IF($B267="SCORIO",INDEX(CSCORIO!$C:$C,MATCH($C267,CSCORIO!$A:$A,0)),
IF($B267="MERC",INDEX(MERCADO!$D:$D,MATCH($C267,MERCADO!$A:$A,0)),
IF($B267="COMP",INDEX(COMPOSICAO!$G:$G,MATCH($C267,COMPOSICAO!$A:$A,0)),
""))))))),"")</f>
        <v>un</v>
      </c>
      <c r="F267" s="179">
        <f>VLOOKUP(A267,'MEMÓRIA DE CÁLCULO'!A:H,8,0)</f>
        <v>1</v>
      </c>
      <c r="G267" s="173">
        <f>IFERROR(
IF($B267="DER-ES",INDEX('CDER-ES'!$D:$D,MATCH($C267,'CDER-ES'!$A:$A,0)),
IF($B267="SINAPI",INDEX(CSINAPI!$D:$D,MATCH($C267,CSINAPI!$A:$A,0)),
IF($B267="CESAN",INDEX(CCESAN!$D:$D,MATCH($C267,CCESAN!$A:$A,0)),
IF($B267="SCORIO",INDEX(CSCORIO!$D:$D,MATCH($C267,CSCORIO!$A:$A,0)),
IF($B267="MERC",INDEX(MERCADO!$E:$E,MATCH($C267,MERCADO!$A:$A,0)),
IF($B267="COMP",INDEX(COMPOSICAO!$H:$H,MATCH($C267,COMPOSICAO!$A:$A,0)),
0)))))),0)</f>
        <v>390.56</v>
      </c>
      <c r="H267" s="173">
        <f t="shared" si="226"/>
        <v>520.41999999999996</v>
      </c>
      <c r="I267" s="180">
        <f t="shared" si="227"/>
        <v>520.41999999999996</v>
      </c>
      <c r="J267" s="194">
        <f t="shared" si="228"/>
        <v>5.297720662861493E-2</v>
      </c>
    </row>
    <row r="268" spans="1:10" ht="51">
      <c r="A268" s="175" t="s">
        <v>14122</v>
      </c>
      <c r="B268" s="176" t="s">
        <v>928</v>
      </c>
      <c r="C268" s="177">
        <v>92377</v>
      </c>
      <c r="D268" s="178" t="str">
        <f>IFERROR(PROPER(
IF($B268="DER-ES",INDEX('CDER-ES'!$B:$B,MATCH($C268,'CDER-ES'!$A:$A,0)),
IF($B268="SINAPI",INDEX(CSINAPI!$B:$B,MATCH($C268,CSINAPI!$A:$A,0)),
IF($B268="CESAN",INDEX(CCESAN!$B:$B,MATCH($C268,CCESAN!$A:$A,0)),
IF($B268="SCORIO",INDEX(CSCORIO!$B:$B,MATCH($C268,CSCORIO!$A:$A,0)),
IF($B268="MERC",INDEX(MERCADO!$B:$B,MATCH($C268,MERCADO!$A:$A,0)),
IF($B268="COMP",INDEX(COMPOSICAO!$B:$B,MATCH($C268,COMPOSICAO!$A:$A,0)),
""))))))),"*Verificar código*")</f>
        <v>Niple, Em Ferro Galvanizado, Dn 65 (2 1/2"), Conexão Rosqueada, Instalado Em Rede De Alimentação Para Hidrante - Fornecimento E Instalação. Af_10/2020</v>
      </c>
      <c r="E268" s="171" t="str">
        <f>IFERROR(LOWER(
IF($B268="DER-ES",INDEX('CDER-ES'!$C:$C,MATCH($C268,'CDER-ES'!$A:$A,0)),
IF($B268="SINAPI",INDEX(CSINAPI!$C:$C,MATCH($C268,CSINAPI!$A:$A,0)),
IF($B268="CESAN",INDEX(CCESAN!$C:$C,MATCH($C268,CCESAN!$A:$A,0)),
IF($B268="SCORIO",INDEX(CSCORIO!$C:$C,MATCH($C268,CSCORIO!$A:$A,0)),
IF($B268="MERC",INDEX(MERCADO!$D:$D,MATCH($C268,MERCADO!$A:$A,0)),
IF($B268="COMP",INDEX(COMPOSICAO!$G:$G,MATCH($C268,COMPOSICAO!$A:$A,0)),
""))))))),"")</f>
        <v>un</v>
      </c>
      <c r="F268" s="179">
        <f>VLOOKUP(A268,'MEMÓRIA DE CÁLCULO'!A:H,8,0)</f>
        <v>2</v>
      </c>
      <c r="G268" s="173">
        <f>IFERROR(
IF($B268="DER-ES",INDEX('CDER-ES'!$D:$D,MATCH($C268,'CDER-ES'!$A:$A,0)),
IF($B268="SINAPI",INDEX(CSINAPI!$D:$D,MATCH($C268,CSINAPI!$A:$A,0)),
IF($B268="CESAN",INDEX(CCESAN!$D:$D,MATCH($C268,CCESAN!$A:$A,0)),
IF($B268="SCORIO",INDEX(CSCORIO!$D:$D,MATCH($C268,CSCORIO!$A:$A,0)),
IF($B268="MERC",INDEX(MERCADO!$E:$E,MATCH($C268,MERCADO!$A:$A,0)),
IF($B268="COMP",INDEX(COMPOSICAO!$H:$H,MATCH($C268,COMPOSICAO!$A:$A,0)),
0)))))),0)</f>
        <v>93.26</v>
      </c>
      <c r="H268" s="173">
        <f t="shared" ref="H268:H269" si="229">ROUND(G268*(1+$J$2),2)</f>
        <v>124.27</v>
      </c>
      <c r="I268" s="180">
        <f t="shared" ref="I268:I269" si="230">ROUND($H268*F268,2)</f>
        <v>248.54</v>
      </c>
      <c r="J268" s="194">
        <f t="shared" si="228"/>
        <v>2.5300632057714836E-2</v>
      </c>
    </row>
    <row r="269" spans="1:10" ht="51">
      <c r="A269" s="175" t="s">
        <v>14123</v>
      </c>
      <c r="B269" s="176" t="s">
        <v>928</v>
      </c>
      <c r="C269" s="177">
        <v>92367</v>
      </c>
      <c r="D269" s="178" t="str">
        <f>IFERROR(PROPER(
IF($B269="DER-ES",INDEX('CDER-ES'!$B:$B,MATCH($C269,'CDER-ES'!$A:$A,0)),
IF($B269="SINAPI",INDEX(CSINAPI!$B:$B,MATCH($C269,CSINAPI!$A:$A,0)),
IF($B269="CESAN",INDEX(CCESAN!$B:$B,MATCH($C269,CCESAN!$A:$A,0)),
IF($B269="SCORIO",INDEX(CSCORIO!$B:$B,MATCH($C269,CSCORIO!$A:$A,0)),
IF($B269="MERC",INDEX(MERCADO!$B:$B,MATCH($C269,MERCADO!$A:$A,0)),
IF($B269="COMP",INDEX(COMPOSICAO!$B:$B,MATCH($C269,COMPOSICAO!$A:$A,0)),
""))))))),"*Verificar código*")</f>
        <v>Tubo De Aço Galvanizado Com Costura, Classe Média, Dn 65 (2 1/2"), Conexão Rosqueada, Instalado Em Rede De Alimentação Para Hidrante - Fornecimento E Instalação. Af_10/2020</v>
      </c>
      <c r="E269" s="171" t="str">
        <f>IFERROR(LOWER(
IF($B269="DER-ES",INDEX('CDER-ES'!$C:$C,MATCH($C269,'CDER-ES'!$A:$A,0)),
IF($B269="SINAPI",INDEX(CSINAPI!$C:$C,MATCH($C269,CSINAPI!$A:$A,0)),
IF($B269="CESAN",INDEX(CCESAN!$C:$C,MATCH($C269,CCESAN!$A:$A,0)),
IF($B269="SCORIO",INDEX(CSCORIO!$C:$C,MATCH($C269,CSCORIO!$A:$A,0)),
IF($B269="MERC",INDEX(MERCADO!$D:$D,MATCH($C269,MERCADO!$A:$A,0)),
IF($B269="COMP",INDEX(COMPOSICAO!$G:$G,MATCH($C269,COMPOSICAO!$A:$A,0)),
""))))))),"")</f>
        <v>m</v>
      </c>
      <c r="F269" s="179">
        <f>VLOOKUP(A269,'MEMÓRIA DE CÁLCULO'!A:H,8,0)</f>
        <v>6</v>
      </c>
      <c r="G269" s="173">
        <f>IFERROR(
IF($B269="DER-ES",INDEX('CDER-ES'!$D:$D,MATCH($C269,'CDER-ES'!$A:$A,0)),
IF($B269="SINAPI",INDEX(CSINAPI!$D:$D,MATCH($C269,CSINAPI!$A:$A,0)),
IF($B269="CESAN",INDEX(CCESAN!$D:$D,MATCH($C269,CCESAN!$A:$A,0)),
IF($B269="SCORIO",INDEX(CSCORIO!$D:$D,MATCH($C269,CSCORIO!$A:$A,0)),
IF($B269="MERC",INDEX(MERCADO!$E:$E,MATCH($C269,MERCADO!$A:$A,0)),
IF($B269="COMP",INDEX(COMPOSICAO!$H:$H,MATCH($C269,COMPOSICAO!$A:$A,0)),
0)))))),0)</f>
        <v>175.74</v>
      </c>
      <c r="H269" s="173">
        <f t="shared" si="229"/>
        <v>234.17</v>
      </c>
      <c r="I269" s="180">
        <f t="shared" si="230"/>
        <v>1405.02</v>
      </c>
      <c r="J269" s="194">
        <f t="shared" si="228"/>
        <v>0.14302685303665608</v>
      </c>
    </row>
    <row r="270" spans="1:10">
      <c r="A270" s="167" t="s">
        <v>14124</v>
      </c>
      <c r="B270" s="168"/>
      <c r="C270" s="169"/>
      <c r="D270" s="170" t="s">
        <v>14127</v>
      </c>
      <c r="E270" s="171"/>
      <c r="F270" s="172"/>
      <c r="G270" s="173"/>
      <c r="H270" s="173"/>
      <c r="I270" s="174"/>
      <c r="J270" s="193"/>
    </row>
    <row r="271" spans="1:10" ht="48" customHeight="1">
      <c r="A271" s="175" t="s">
        <v>14125</v>
      </c>
      <c r="B271" s="176" t="s">
        <v>928</v>
      </c>
      <c r="C271" s="177">
        <v>94499</v>
      </c>
      <c r="D271" s="178" t="str">
        <f>IFERROR(PROPER(
IF($B271="DER-ES",INDEX('CDER-ES'!$B:$B,MATCH($C271,'CDER-ES'!$A:$A,0)),
IF($B271="SINAPI",INDEX(CSINAPI!$B:$B,MATCH($C271,CSINAPI!$A:$A,0)),
IF($B271="CESAN",INDEX(CCESAN!$B:$B,MATCH($C271,CCESAN!$A:$A,0)),
IF($B271="SCORIO",INDEX(CSCORIO!$B:$B,MATCH($C271,CSCORIO!$A:$A,0)),
IF($B271="MERC",INDEX(MERCADO!$B:$B,MATCH($C271,MERCADO!$A:$A,0)),
IF($B271="COMP",INDEX(COMPOSICAO!$B:$B,MATCH($C271,COMPOSICAO!$A:$A,0)),
""))))))),"*Verificar código*")</f>
        <v>Registro De Gaveta Bruto, Latão, Roscável, 2 1/2" - Fornecimento E Instalação. Af_08/2021</v>
      </c>
      <c r="E271" s="171" t="str">
        <f>IFERROR(LOWER(
IF($B271="DER-ES",INDEX('CDER-ES'!$C:$C,MATCH($C271,'CDER-ES'!$A:$A,0)),
IF($B271="SINAPI",INDEX(CSINAPI!$C:$C,MATCH($C271,CSINAPI!$A:$A,0)),
IF($B271="CESAN",INDEX(CCESAN!$C:$C,MATCH($C271,CCESAN!$A:$A,0)),
IF($B271="SCORIO",INDEX(CSCORIO!$C:$C,MATCH($C271,CSCORIO!$A:$A,0)),
IF($B271="MERC",INDEX(MERCADO!$D:$D,MATCH($C271,MERCADO!$A:$A,0)),
IF($B271="COMP",INDEX(COMPOSICAO!$G:$G,MATCH($C271,COMPOSICAO!$A:$A,0)),
""))))))),"")</f>
        <v>un</v>
      </c>
      <c r="F271" s="179">
        <f>VLOOKUP(A271,'MEMÓRIA DE CÁLCULO'!A:H,8,0)</f>
        <v>1</v>
      </c>
      <c r="G271" s="173">
        <f>IFERROR(
IF($B271="DER-ES",INDEX('CDER-ES'!$D:$D,MATCH($C271,'CDER-ES'!$A:$A,0)),
IF($B271="SINAPI",INDEX(CSINAPI!$D:$D,MATCH($C271,CSINAPI!$A:$A,0)),
IF($B271="CESAN",INDEX(CCESAN!$D:$D,MATCH($C271,CCESAN!$A:$A,0)),
IF($B271="SCORIO",INDEX(CSCORIO!$D:$D,MATCH($C271,CSCORIO!$A:$A,0)),
IF($B271="MERC",INDEX(MERCADO!$E:$E,MATCH($C271,MERCADO!$A:$A,0)),
IF($B271="COMP",INDEX(COMPOSICAO!$H:$H,MATCH($C271,COMPOSICAO!$A:$A,0)),
0)))))),0)</f>
        <v>330.42</v>
      </c>
      <c r="H271" s="173">
        <f t="shared" ref="H271:H272" si="231">ROUND(G271*(1+$J$2),2)</f>
        <v>440.28</v>
      </c>
      <c r="I271" s="180">
        <f t="shared" ref="I271:I272" si="232">ROUND($H271*F271,2)</f>
        <v>440.28</v>
      </c>
      <c r="J271" s="194">
        <f>I271/I$262</f>
        <v>4.4819193217875142E-2</v>
      </c>
    </row>
    <row r="272" spans="1:10" ht="48" customHeight="1">
      <c r="A272" s="175" t="s">
        <v>14126</v>
      </c>
      <c r="B272" s="176" t="s">
        <v>928</v>
      </c>
      <c r="C272" s="177">
        <v>99624</v>
      </c>
      <c r="D272" s="178" t="str">
        <f>IFERROR(PROPER(
IF($B272="DER-ES",INDEX('CDER-ES'!$B:$B,MATCH($C272,'CDER-ES'!$A:$A,0)),
IF($B272="SINAPI",INDEX(CSINAPI!$B:$B,MATCH($C272,CSINAPI!$A:$A,0)),
IF($B272="CESAN",INDEX(CCESAN!$B:$B,MATCH($C272,CCESAN!$A:$A,0)),
IF($B272="SCORIO",INDEX(CSCORIO!$B:$B,MATCH($C272,CSCORIO!$A:$A,0)),
IF($B272="MERC",INDEX(MERCADO!$B:$B,MATCH($C272,MERCADO!$A:$A,0)),
IF($B272="COMP",INDEX(COMPOSICAO!$B:$B,MATCH($C272,COMPOSICAO!$A:$A,0)),
""))))))),"*Verificar código*")</f>
        <v>Válvula De Retenção Horizontal, De Bronze, Roscável, 2 1/2" - Fornecimento E Instalação. Af_08/2021</v>
      </c>
      <c r="E272" s="171" t="str">
        <f>IFERROR(LOWER(
IF($B272="DER-ES",INDEX('CDER-ES'!$C:$C,MATCH($C272,'CDER-ES'!$A:$A,0)),
IF($B272="SINAPI",INDEX(CSINAPI!$C:$C,MATCH($C272,CSINAPI!$A:$A,0)),
IF($B272="CESAN",INDEX(CCESAN!$C:$C,MATCH($C272,CCESAN!$A:$A,0)),
IF($B272="SCORIO",INDEX(CSCORIO!$C:$C,MATCH($C272,CSCORIO!$A:$A,0)),
IF($B272="MERC",INDEX(MERCADO!$D:$D,MATCH($C272,MERCADO!$A:$A,0)),
IF($B272="COMP",INDEX(COMPOSICAO!$G:$G,MATCH($C272,COMPOSICAO!$A:$A,0)),
""))))))),"")</f>
        <v>un</v>
      </c>
      <c r="F272" s="179">
        <f>VLOOKUP(A272,'MEMÓRIA DE CÁLCULO'!A:H,8,0)</f>
        <v>1</v>
      </c>
      <c r="G272" s="173">
        <f>IFERROR(
IF($B272="DER-ES",INDEX('CDER-ES'!$D:$D,MATCH($C272,'CDER-ES'!$A:$A,0)),
IF($B272="SINAPI",INDEX(CSINAPI!$D:$D,MATCH($C272,CSINAPI!$A:$A,0)),
IF($B272="CESAN",INDEX(CCESAN!$D:$D,MATCH($C272,CCESAN!$A:$A,0)),
IF($B272="SCORIO",INDEX(CSCORIO!$D:$D,MATCH($C272,CSCORIO!$A:$A,0)),
IF($B272="MERC",INDEX(MERCADO!$E:$E,MATCH($C272,MERCADO!$A:$A,0)),
IF($B272="COMP",INDEX(COMPOSICAO!$H:$H,MATCH($C272,COMPOSICAO!$A:$A,0)),
0)))))),0)</f>
        <v>416.26</v>
      </c>
      <c r="H272" s="173">
        <f t="shared" si="231"/>
        <v>554.66999999999996</v>
      </c>
      <c r="I272" s="180">
        <f t="shared" si="232"/>
        <v>554.66999999999996</v>
      </c>
      <c r="J272" s="194">
        <f>I272/I$262</f>
        <v>5.6463754661031172E-2</v>
      </c>
    </row>
    <row r="273" spans="1:10">
      <c r="A273" s="167" t="s">
        <v>14131</v>
      </c>
      <c r="B273" s="168"/>
      <c r="C273" s="169"/>
      <c r="D273" s="170" t="s">
        <v>14129</v>
      </c>
      <c r="E273" s="171"/>
      <c r="F273" s="172"/>
      <c r="G273" s="173"/>
      <c r="H273" s="173"/>
      <c r="I273" s="174"/>
      <c r="J273" s="193"/>
    </row>
    <row r="274" spans="1:10" ht="76.5">
      <c r="A274" s="175" t="s">
        <v>14132</v>
      </c>
      <c r="B274" s="176" t="s">
        <v>928</v>
      </c>
      <c r="C274" s="177">
        <v>96765</v>
      </c>
      <c r="D274" s="178" t="str">
        <f>IFERROR(PROPER(
IF($B274="DER-ES",INDEX('CDER-ES'!$B:$B,MATCH($C274,'CDER-ES'!$A:$A,0)),
IF($B274="SINAPI",INDEX(CSINAPI!$B:$B,MATCH($C274,CSINAPI!$A:$A,0)),
IF($B274="CESAN",INDEX(CCESAN!$B:$B,MATCH($C274,CCESAN!$A:$A,0)),
IF($B274="SCORIO",INDEX(CSCORIO!$B:$B,MATCH($C274,CSCORIO!$A:$A,0)),
IF($B274="MERC",INDEX(MERCADO!$B:$B,MATCH($C274,MERCADO!$A:$A,0)),
IF($B274="COMP",INDEX(COMPOSICAO!$B:$B,MATCH($C274,COMPOSICAO!$A:$A,0)),
""))))))),"*Verificar código*")</f>
        <v>Abrigo Para Hidrante, 90X60X17Cm, Com Registro Globo Angular 45 Graus 2 1/2", Adaptador Storz 2 1/2", Mangueira De Incêndio 20M, Redução 2 1/2" X 1 1/2" E Esguicho Em Latão 1 1/2" - Fornecimento E Instalação. Af_10/2020</v>
      </c>
      <c r="E274" s="171" t="str">
        <f>IFERROR(LOWER(
IF($B274="DER-ES",INDEX('CDER-ES'!$C:$C,MATCH($C274,'CDER-ES'!$A:$A,0)),
IF($B274="SINAPI",INDEX(CSINAPI!$C:$C,MATCH($C274,CSINAPI!$A:$A,0)),
IF($B274="CESAN",INDEX(CCESAN!$C:$C,MATCH($C274,CCESAN!$A:$A,0)),
IF($B274="SCORIO",INDEX(CSCORIO!$C:$C,MATCH($C274,CSCORIO!$A:$A,0)),
IF($B274="MERC",INDEX(MERCADO!$D:$D,MATCH($C274,MERCADO!$A:$A,0)),
IF($B274="COMP",INDEX(COMPOSICAO!$G:$G,MATCH($C274,COMPOSICAO!$A:$A,0)),
""))))))),"")</f>
        <v>un</v>
      </c>
      <c r="F274" s="179">
        <f>VLOOKUP(A274,'MEMÓRIA DE CÁLCULO'!A:H,8,0)</f>
        <v>1</v>
      </c>
      <c r="G274" s="173">
        <f>IFERROR(
IF($B274="DER-ES",INDEX('CDER-ES'!$D:$D,MATCH($C274,'CDER-ES'!$A:$A,0)),
IF($B274="SINAPI",INDEX(CSINAPI!$D:$D,MATCH($C274,CSINAPI!$A:$A,0)),
IF($B274="CESAN",INDEX(CCESAN!$D:$D,MATCH($C274,CCESAN!$A:$A,0)),
IF($B274="SCORIO",INDEX(CSCORIO!$D:$D,MATCH($C274,CSCORIO!$A:$A,0)),
IF($B274="MERC",INDEX(MERCADO!$E:$E,MATCH($C274,MERCADO!$A:$A,0)),
IF($B274="COMP",INDEX(COMPOSICAO!$H:$H,MATCH($C274,COMPOSICAO!$A:$A,0)),
0)))))),0)</f>
        <v>1602.79</v>
      </c>
      <c r="H274" s="173">
        <f t="shared" ref="H274" si="233">ROUND(G274*(1+$J$2),2)</f>
        <v>2135.7199999999998</v>
      </c>
      <c r="I274" s="180">
        <f t="shared" ref="I274" si="234">ROUND($H274*F274,2)</f>
        <v>2135.7199999999998</v>
      </c>
      <c r="J274" s="194">
        <f>I274/I$262</f>
        <v>0.21740993762896405</v>
      </c>
    </row>
    <row r="275" spans="1:10" ht="63.75">
      <c r="A275" s="175" t="s">
        <v>14133</v>
      </c>
      <c r="B275" s="176" t="s">
        <v>12617</v>
      </c>
      <c r="C275" s="177">
        <v>160625</v>
      </c>
      <c r="D275" s="178" t="str">
        <f>IFERROR(PROPER(
IF($B275="DER-ES",INDEX('CDER-ES'!$B:$B,MATCH($C275,'CDER-ES'!$A:$A,0)),
IF($B275="SINAPI",INDEX(CSINAPI!$B:$B,MATCH($C275,CSINAPI!$A:$A,0)),
IF($B275="CESAN",INDEX(CCESAN!$B:$B,MATCH($C275,CCESAN!$A:$A,0)),
IF($B275="SCORIO",INDEX(CSCORIO!$B:$B,MATCH($C275,CSCORIO!$A:$A,0)),
IF($B275="MERC",INDEX(MERCADO!$B:$B,MATCH($C275,MERCADO!$A:$A,0)),
IF($B275="COMP",INDEX(COMPOSICAO!$B:$B,MATCH($C275,COMPOSICAO!$A:$A,0)),
""))))))),"*Verificar código*")</f>
        <v>Abrigo Para Hidrante De Recalque No Passeio Em Caixa De Alvenaria 60X40Cm Em Bloco De Concreto Inclusive Registro De Recalque Ø 65 Mm (2 1/2") E Tampa De Ferro Fundido 40X40Cm Com Inscrição Incêndio</v>
      </c>
      <c r="E275" s="171" t="str">
        <f>IFERROR(LOWER(
IF($B275="DER-ES",INDEX('CDER-ES'!$C:$C,MATCH($C275,'CDER-ES'!$A:$A,0)),
IF($B275="SINAPI",INDEX(CSINAPI!$C:$C,MATCH($C275,CSINAPI!$A:$A,0)),
IF($B275="CESAN",INDEX(CCESAN!$C:$C,MATCH($C275,CCESAN!$A:$A,0)),
IF($B275="SCORIO",INDEX(CSCORIO!$C:$C,MATCH($C275,CSCORIO!$A:$A,0)),
IF($B275="MERC",INDEX(MERCADO!$D:$D,MATCH($C275,MERCADO!$A:$A,0)),
IF($B275="COMP",INDEX(COMPOSICAO!$G:$G,MATCH($C275,COMPOSICAO!$A:$A,0)),
""))))))),"")</f>
        <v>und</v>
      </c>
      <c r="F275" s="179">
        <f>VLOOKUP(A275,'MEMÓRIA DE CÁLCULO'!A:H,8,0)</f>
        <v>1</v>
      </c>
      <c r="G275" s="173">
        <f>IFERROR(
IF($B275="DER-ES",INDEX('CDER-ES'!$D:$D,MATCH($C275,'CDER-ES'!$A:$A,0)),
IF($B275="SINAPI",INDEX(CSINAPI!$D:$D,MATCH($C275,CSINAPI!$A:$A,0)),
IF($B275="CESAN",INDEX(CCESAN!$D:$D,MATCH($C275,CCESAN!$A:$A,0)),
IF($B275="SCORIO",INDEX(CSCORIO!$D:$D,MATCH($C275,CSCORIO!$A:$A,0)),
IF($B275="MERC",INDEX(MERCADO!$E:$E,MATCH($C275,MERCADO!$A:$A,0)),
IF($B275="COMP",INDEX(COMPOSICAO!$H:$H,MATCH($C275,COMPOSICAO!$A:$A,0)),
0)))))),0)</f>
        <v>825.22</v>
      </c>
      <c r="H275" s="173">
        <f t="shared" ref="H275" si="235">ROUND(G275*(1+$J$2),2)</f>
        <v>1099.6099999999999</v>
      </c>
      <c r="I275" s="180">
        <f t="shared" ref="I275" si="236">ROUND($H275*F275,2)</f>
        <v>1099.6099999999999</v>
      </c>
      <c r="J275" s="194">
        <f>I275/I$262</f>
        <v>0.11193702428978759</v>
      </c>
    </row>
    <row r="276" spans="1:10">
      <c r="A276" s="167" t="s">
        <v>14130</v>
      </c>
      <c r="B276" s="168"/>
      <c r="C276" s="169"/>
      <c r="D276" s="170" t="s">
        <v>14137</v>
      </c>
      <c r="E276" s="171"/>
      <c r="F276" s="172"/>
      <c r="G276" s="173"/>
      <c r="H276" s="173"/>
      <c r="I276" s="174"/>
      <c r="J276" s="193"/>
    </row>
    <row r="277" spans="1:10" ht="38.25">
      <c r="A277" s="175" t="s">
        <v>14134</v>
      </c>
      <c r="B277" s="176" t="s">
        <v>12617</v>
      </c>
      <c r="C277" s="177">
        <v>160612</v>
      </c>
      <c r="D277" s="178" t="str">
        <f>IFERROR(PROPER(
IF($B277="DER-ES",INDEX('CDER-ES'!$B:$B,MATCH($C277,'CDER-ES'!$A:$A,0)),
IF($B277="SINAPI",INDEX(CSINAPI!$B:$B,MATCH($C277,CSINAPI!$A:$A,0)),
IF($B277="CESAN",INDEX(CCESAN!$B:$B,MATCH($C277,CCESAN!$A:$A,0)),
IF($B277="SCORIO",INDEX(CSCORIO!$B:$B,MATCH($C277,CSCORIO!$A:$A,0)),
IF($B277="MERC",INDEX(MERCADO!$B:$B,MATCH($C277,MERCADO!$A:$A,0)),
IF($B277="COMP",INDEX(COMPOSICAO!$B:$B,MATCH($C277,COMPOSICAO!$A:$A,0)),
""))))))),"*Verificar código*")</f>
        <v>Placa De Sinalização De Segurança Codigo 14 - 315/158(Nbr 13.434); Código S3(Nt 14/2010-Es) ("Saida De Emergência" - Seta Vertical)</v>
      </c>
      <c r="E277" s="171" t="str">
        <f>IFERROR(LOWER(
IF($B277="DER-ES",INDEX('CDER-ES'!$C:$C,MATCH($C277,'CDER-ES'!$A:$A,0)),
IF($B277="SINAPI",INDEX(CSINAPI!$C:$C,MATCH($C277,CSINAPI!$A:$A,0)),
IF($B277="CESAN",INDEX(CCESAN!$C:$C,MATCH($C277,CCESAN!$A:$A,0)),
IF($B277="SCORIO",INDEX(CSCORIO!$C:$C,MATCH($C277,CSCORIO!$A:$A,0)),
IF($B277="MERC",INDEX(MERCADO!$D:$D,MATCH($C277,MERCADO!$A:$A,0)),
IF($B277="COMP",INDEX(COMPOSICAO!$G:$G,MATCH($C277,COMPOSICAO!$A:$A,0)),
""))))))),"")</f>
        <v>und</v>
      </c>
      <c r="F277" s="179">
        <f>VLOOKUP(A277,'MEMÓRIA DE CÁLCULO'!A:H,8,0)</f>
        <v>22</v>
      </c>
      <c r="G277" s="173">
        <f>IFERROR(
IF($B277="DER-ES",INDEX('CDER-ES'!$D:$D,MATCH($C277,'CDER-ES'!$A:$A,0)),
IF($B277="SINAPI",INDEX(CSINAPI!$D:$D,MATCH($C277,CSINAPI!$A:$A,0)),
IF($B277="CESAN",INDEX(CCESAN!$D:$D,MATCH($C277,CCESAN!$A:$A,0)),
IF($B277="SCORIO",INDEX(CSCORIO!$D:$D,MATCH($C277,CSCORIO!$A:$A,0)),
IF($B277="MERC",INDEX(MERCADO!$E:$E,MATCH($C277,MERCADO!$A:$A,0)),
IF($B277="COMP",INDEX(COMPOSICAO!$H:$H,MATCH($C277,COMPOSICAO!$A:$A,0)),
0)))))),0)</f>
        <v>27.27</v>
      </c>
      <c r="H277" s="173">
        <f t="shared" ref="H277:H281" si="237">ROUND(G277*(1+$J$2),2)</f>
        <v>36.340000000000003</v>
      </c>
      <c r="I277" s="180">
        <f t="shared" ref="I277:I281" si="238">ROUND($H277*F277,2)</f>
        <v>799.48</v>
      </c>
      <c r="J277" s="194">
        <f>I277/I$262</f>
        <v>8.1384683823536891E-2</v>
      </c>
    </row>
    <row r="278" spans="1:10" ht="38.25">
      <c r="A278" s="175" t="s">
        <v>14135</v>
      </c>
      <c r="B278" s="176" t="s">
        <v>928</v>
      </c>
      <c r="C278" s="177">
        <v>102513</v>
      </c>
      <c r="D278" s="178" t="str">
        <f>IFERROR(PROPER(
IF($B278="DER-ES",INDEX('CDER-ES'!$B:$B,MATCH($C278,'CDER-ES'!$A:$A,0)),
IF($B278="SINAPI",INDEX(CSINAPI!$B:$B,MATCH($C278,CSINAPI!$A:$A,0)),
IF($B278="CESAN",INDEX(CCESAN!$B:$B,MATCH($C278,CCESAN!$A:$A,0)),
IF($B278="SCORIO",INDEX(CSCORIO!$B:$B,MATCH($C278,CSCORIO!$A:$A,0)),
IF($B278="MERC",INDEX(MERCADO!$B:$B,MATCH($C278,MERCADO!$A:$A,0)),
IF($B278="COMP",INDEX(COMPOSICAO!$B:$B,MATCH($C278,COMPOSICAO!$A:$A,0)),
""))))))),"*Verificar código*")</f>
        <v>Pintura De Símbolos E Textos Com Tinta Acrílica, Demarcação Com Fita Adesiva E Aplicação Com Rolo. Af_05/2021</v>
      </c>
      <c r="E278" s="171" t="str">
        <f>IFERROR(LOWER(
IF($B278="DER-ES",INDEX('CDER-ES'!$C:$C,MATCH($C278,'CDER-ES'!$A:$A,0)),
IF($B278="SINAPI",INDEX(CSINAPI!$C:$C,MATCH($C278,CSINAPI!$A:$A,0)),
IF($B278="CESAN",INDEX(CCESAN!$C:$C,MATCH($C278,CCESAN!$A:$A,0)),
IF($B278="SCORIO",INDEX(CSCORIO!$C:$C,MATCH($C278,CSCORIO!$A:$A,0)),
IF($B278="MERC",INDEX(MERCADO!$D:$D,MATCH($C278,MERCADO!$A:$A,0)),
IF($B278="COMP",INDEX(COMPOSICAO!$G:$G,MATCH($C278,COMPOSICAO!$A:$A,0)),
""))))))),"")</f>
        <v>m2</v>
      </c>
      <c r="F278" s="179">
        <f>VLOOKUP(A278,'MEMÓRIA DE CÁLCULO'!A:H,8,0)</f>
        <v>3</v>
      </c>
      <c r="G278" s="173">
        <f>IFERROR(
IF($B278="DER-ES",INDEX('CDER-ES'!$D:$D,MATCH($C278,'CDER-ES'!$A:$A,0)),
IF($B278="SINAPI",INDEX(CSINAPI!$D:$D,MATCH($C278,CSINAPI!$A:$A,0)),
IF($B278="CESAN",INDEX(CCESAN!$D:$D,MATCH($C278,CCESAN!$A:$A,0)),
IF($B278="SCORIO",INDEX(CSCORIO!$D:$D,MATCH($C278,CSCORIO!$A:$A,0)),
IF($B278="MERC",INDEX(MERCADO!$E:$E,MATCH($C278,MERCADO!$A:$A,0)),
IF($B278="COMP",INDEX(COMPOSICAO!$H:$H,MATCH($C278,COMPOSICAO!$A:$A,0)),
0)))))),0)</f>
        <v>46.08</v>
      </c>
      <c r="H278" s="173">
        <f t="shared" ref="H278:H279" si="239">ROUND(G278*(1+$J$2),2)</f>
        <v>61.4</v>
      </c>
      <c r="I278" s="180">
        <f t="shared" ref="I278:I279" si="240">ROUND($H278*F278,2)</f>
        <v>184.2</v>
      </c>
      <c r="J278" s="194">
        <f>I278/I$262</f>
        <v>1.8751011607914512E-2</v>
      </c>
    </row>
    <row r="279" spans="1:10" ht="38.25">
      <c r="A279" s="175" t="s">
        <v>14136</v>
      </c>
      <c r="B279" s="176" t="s">
        <v>12617</v>
      </c>
      <c r="C279" s="177">
        <v>160674</v>
      </c>
      <c r="D279" s="178" t="str">
        <f>IFERROR(PROPER(
IF($B279="DER-ES",INDEX('CDER-ES'!$B:$B,MATCH($C279,'CDER-ES'!$A:$A,0)),
IF($B279="SINAPI",INDEX(CSINAPI!$B:$B,MATCH($C279,CSINAPI!$A:$A,0)),
IF($B279="CESAN",INDEX(CCESAN!$B:$B,MATCH($C279,CCESAN!$A:$A,0)),
IF($B279="SCORIO",INDEX(CSCORIO!$B:$B,MATCH($C279,CSCORIO!$A:$A,0)),
IF($B279="MERC",INDEX(MERCADO!$B:$B,MATCH($C279,MERCADO!$A:$A,0)),
IF($B279="COMP",INDEX(COMPOSICAO!$B:$B,MATCH($C279,COMPOSICAO!$A:$A,0)),
""))))))),"*Verificar código*")</f>
        <v>Fornecimento E Instalação De Acionador Manual De Alarme De Incêndio Endereçavel, Tipo Quebra Vidro</v>
      </c>
      <c r="E279" s="171" t="str">
        <f>IFERROR(LOWER(
IF($B279="DER-ES",INDEX('CDER-ES'!$C:$C,MATCH($C279,'CDER-ES'!$A:$A,0)),
IF($B279="SINAPI",INDEX(CSINAPI!$C:$C,MATCH($C279,CSINAPI!$A:$A,0)),
IF($B279="CESAN",INDEX(CCESAN!$C:$C,MATCH($C279,CCESAN!$A:$A,0)),
IF($B279="SCORIO",INDEX(CSCORIO!$C:$C,MATCH($C279,CSCORIO!$A:$A,0)),
IF($B279="MERC",INDEX(MERCADO!$D:$D,MATCH($C279,MERCADO!$A:$A,0)),
IF($B279="COMP",INDEX(COMPOSICAO!$G:$G,MATCH($C279,COMPOSICAO!$A:$A,0)),
""))))))),"")</f>
        <v>und</v>
      </c>
      <c r="F279" s="179">
        <f>VLOOKUP(A279,'MEMÓRIA DE CÁLCULO'!A:H,8,0)</f>
        <v>1</v>
      </c>
      <c r="G279" s="173">
        <f>IFERROR(
IF($B279="DER-ES",INDEX('CDER-ES'!$D:$D,MATCH($C279,'CDER-ES'!$A:$A,0)),
IF($B279="SINAPI",INDEX(CSINAPI!$D:$D,MATCH($C279,CSINAPI!$A:$A,0)),
IF($B279="CESAN",INDEX(CCESAN!$D:$D,MATCH($C279,CCESAN!$A:$A,0)),
IF($B279="SCORIO",INDEX(CSCORIO!$D:$D,MATCH($C279,CSCORIO!$A:$A,0)),
IF($B279="MERC",INDEX(MERCADO!$E:$E,MATCH($C279,MERCADO!$A:$A,0)),
IF($B279="COMP",INDEX(COMPOSICAO!$H:$H,MATCH($C279,COMPOSICAO!$A:$A,0)),
0)))))),0)</f>
        <v>119.63</v>
      </c>
      <c r="H279" s="173">
        <f t="shared" si="239"/>
        <v>159.41</v>
      </c>
      <c r="I279" s="180">
        <f t="shared" si="240"/>
        <v>159.41</v>
      </c>
      <c r="J279" s="194">
        <f>I279/I$262</f>
        <v>1.6227463411605064E-2</v>
      </c>
    </row>
    <row r="280" spans="1:10" ht="38.25">
      <c r="A280" s="175" t="s">
        <v>14697</v>
      </c>
      <c r="B280" s="176" t="s">
        <v>12617</v>
      </c>
      <c r="C280" s="177">
        <v>160674</v>
      </c>
      <c r="D280" s="178" t="str">
        <f>IFERROR(PROPER(
IF($B280="DER-ES",INDEX('CDER-ES'!$B:$B,MATCH($C280,'CDER-ES'!$A:$A,0)),
IF($B280="SINAPI",INDEX(CSINAPI!$B:$B,MATCH($C280,CSINAPI!$A:$A,0)),
IF($B280="CESAN",INDEX(CCESAN!$B:$B,MATCH($C280,CCESAN!$A:$A,0)),
IF($B280="SCORIO",INDEX(CSCORIO!$B:$B,MATCH($C280,CSCORIO!$A:$A,0)),
IF($B280="MERC",INDEX(MERCADO!$B:$B,MATCH($C280,MERCADO!$A:$A,0)),
IF($B280="COMP",INDEX(COMPOSICAO!$B:$B,MATCH($C280,COMPOSICAO!$A:$A,0)),
""))))))),"*Verificar código*")</f>
        <v>Fornecimento E Instalação De Acionador Manual De Alarme De Incêndio Endereçavel, Tipo Quebra Vidro</v>
      </c>
      <c r="E280" s="171" t="str">
        <f>IFERROR(LOWER(
IF($B280="DER-ES",INDEX('CDER-ES'!$C:$C,MATCH($C280,'CDER-ES'!$A:$A,0)),
IF($B280="SINAPI",INDEX(CSINAPI!$C:$C,MATCH($C280,CSINAPI!$A:$A,0)),
IF($B280="CESAN",INDEX(CCESAN!$C:$C,MATCH($C280,CCESAN!$A:$A,0)),
IF($B280="SCORIO",INDEX(CSCORIO!$C:$C,MATCH($C280,CSCORIO!$A:$A,0)),
IF($B280="MERC",INDEX(MERCADO!$D:$D,MATCH($C280,MERCADO!$A:$A,0)),
IF($B280="COMP",INDEX(COMPOSICAO!$G:$G,MATCH($C280,COMPOSICAO!$A:$A,0)),
""))))))),"")</f>
        <v>und</v>
      </c>
      <c r="F280" s="179">
        <f>VLOOKUP(A280,'MEMÓRIA DE CÁLCULO'!A:H,8,0)</f>
        <v>1</v>
      </c>
      <c r="G280" s="173">
        <f>IFERROR(
IF($B280="DER-ES",INDEX('CDER-ES'!$D:$D,MATCH($C280,'CDER-ES'!$A:$A,0)),
IF($B280="SINAPI",INDEX(CSINAPI!$D:$D,MATCH($C280,CSINAPI!$A:$A,0)),
IF($B280="CESAN",INDEX(CCESAN!$D:$D,MATCH($C280,CCESAN!$A:$A,0)),
IF($B280="SCORIO",INDEX(CSCORIO!$D:$D,MATCH($C280,CSCORIO!$A:$A,0)),
IF($B280="MERC",INDEX(MERCADO!$E:$E,MATCH($C280,MERCADO!$A:$A,0)),
IF($B280="COMP",INDEX(COMPOSICAO!$H:$H,MATCH($C280,COMPOSICAO!$A:$A,0)),
0)))))),0)</f>
        <v>119.63</v>
      </c>
      <c r="H280" s="173">
        <f t="shared" si="237"/>
        <v>159.41</v>
      </c>
      <c r="I280" s="180">
        <f t="shared" si="238"/>
        <v>159.41</v>
      </c>
      <c r="J280" s="194">
        <f>I280/I$262</f>
        <v>1.6227463411605064E-2</v>
      </c>
    </row>
    <row r="281" spans="1:10" ht="25.5">
      <c r="A281" s="175" t="s">
        <v>14698</v>
      </c>
      <c r="B281" s="176" t="s">
        <v>12617</v>
      </c>
      <c r="C281" s="177">
        <v>160676</v>
      </c>
      <c r="D281" s="178" t="str">
        <f>IFERROR(PROPER(
IF($B281="DER-ES",INDEX('CDER-ES'!$B:$B,MATCH($C281,'CDER-ES'!$A:$A,0)),
IF($B281="SINAPI",INDEX(CSINAPI!$B:$B,MATCH($C281,CSINAPI!$A:$A,0)),
IF($B281="CESAN",INDEX(CCESAN!$B:$B,MATCH($C281,CCESAN!$A:$A,0)),
IF($B281="SCORIO",INDEX(CSCORIO!$B:$B,MATCH($C281,CSCORIO!$A:$A,0)),
IF($B281="MERC",INDEX(MERCADO!$B:$B,MATCH($C281,MERCADO!$A:$A,0)),
IF($B281="COMP",INDEX(COMPOSICAO!$B:$B,MATCH($C281,COMPOSICAO!$A:$A,0)),
""))))))),"*Verificar código*")</f>
        <v>Fornecimento E Instalação De Sirene Eletronica Média Tipo Corneta</v>
      </c>
      <c r="E281" s="171" t="str">
        <f>IFERROR(LOWER(
IF($B281="DER-ES",INDEX('CDER-ES'!$C:$C,MATCH($C281,'CDER-ES'!$A:$A,0)),
IF($B281="SINAPI",INDEX(CSINAPI!$C:$C,MATCH($C281,CSINAPI!$A:$A,0)),
IF($B281="CESAN",INDEX(CCESAN!$C:$C,MATCH($C281,CCESAN!$A:$A,0)),
IF($B281="SCORIO",INDEX(CSCORIO!$C:$C,MATCH($C281,CSCORIO!$A:$A,0)),
IF($B281="MERC",INDEX(MERCADO!$D:$D,MATCH($C281,MERCADO!$A:$A,0)),
IF($B281="COMP",INDEX(COMPOSICAO!$G:$G,MATCH($C281,COMPOSICAO!$A:$A,0)),
""))))))),"")</f>
        <v>und</v>
      </c>
      <c r="F281" s="179">
        <f>VLOOKUP(A281,'MEMÓRIA DE CÁLCULO'!A:H,8,0)</f>
        <v>1</v>
      </c>
      <c r="G281" s="173">
        <f>IFERROR(
IF($B281="DER-ES",INDEX('CDER-ES'!$D:$D,MATCH($C281,'CDER-ES'!$A:$A,0)),
IF($B281="SINAPI",INDEX(CSINAPI!$D:$D,MATCH($C281,CSINAPI!$A:$A,0)),
IF($B281="CESAN",INDEX(CCESAN!$D:$D,MATCH($C281,CCESAN!$A:$A,0)),
IF($B281="SCORIO",INDEX(CSCORIO!$D:$D,MATCH($C281,CSCORIO!$A:$A,0)),
IF($B281="MERC",INDEX(MERCADO!$E:$E,MATCH($C281,MERCADO!$A:$A,0)),
IF($B281="COMP",INDEX(COMPOSICAO!$H:$H,MATCH($C281,COMPOSICAO!$A:$A,0)),
0)))))),0)</f>
        <v>114.6</v>
      </c>
      <c r="H281" s="173">
        <f t="shared" si="237"/>
        <v>152.69999999999999</v>
      </c>
      <c r="I281" s="180">
        <f t="shared" si="238"/>
        <v>152.69999999999999</v>
      </c>
      <c r="J281" s="194">
        <f>I281/I$262</f>
        <v>1.5544405388320011E-2</v>
      </c>
    </row>
    <row r="282" spans="1:10">
      <c r="A282" s="167" t="s">
        <v>12632</v>
      </c>
      <c r="B282" s="168"/>
      <c r="C282" s="169"/>
      <c r="D282" s="170" t="s">
        <v>14138</v>
      </c>
      <c r="E282" s="171"/>
      <c r="F282" s="172"/>
      <c r="G282" s="173"/>
      <c r="H282" s="173"/>
      <c r="I282" s="174">
        <f>SUBTOTAL(9,I283:I326)</f>
        <v>137515.18000000002</v>
      </c>
      <c r="J282" s="193">
        <f>SUBTOTAL(9,J283:J326)</f>
        <v>0.99999999999999956</v>
      </c>
    </row>
    <row r="283" spans="1:10">
      <c r="A283" s="167" t="s">
        <v>13884</v>
      </c>
      <c r="B283" s="168"/>
      <c r="C283" s="169"/>
      <c r="D283" s="170" t="s">
        <v>14781</v>
      </c>
      <c r="E283" s="171"/>
      <c r="F283" s="172"/>
      <c r="G283" s="173"/>
      <c r="H283" s="173"/>
      <c r="I283" s="174"/>
      <c r="J283" s="193"/>
    </row>
    <row r="284" spans="1:10" ht="63.75">
      <c r="A284" s="175" t="s">
        <v>14139</v>
      </c>
      <c r="B284" s="176" t="s">
        <v>12617</v>
      </c>
      <c r="C284" s="177">
        <v>151707</v>
      </c>
      <c r="D284" s="178" t="str">
        <f>IFERROR(PROPER(
IF($B284="DER-ES",INDEX('CDER-ES'!$B:$B,MATCH($C284,'CDER-ES'!$A:$A,0)),
IF($B284="SINAPI",INDEX(CSINAPI!$B:$B,MATCH($C284,CSINAPI!$A:$A,0)),
IF($B284="CESAN",INDEX(CCESAN!$B:$B,MATCH($C284,CCESAN!$A:$A,0)),
IF($B284="SCORIO",INDEX(CSCORIO!$B:$B,MATCH($C284,CSCORIO!$A:$A,0)),
IF($B284="MERC",INDEX(MERCADO!$B:$B,MATCH($C284,MERCADO!$A:$A,0)),
IF($B284="COMP",INDEX(COMPOSICAO!$B:$B,MATCH($C284,COMPOSICAO!$A:$A,0)),
""))))))),"*Verificar código*")</f>
        <v>Padrão De Entrada De Energia Elétrica, Trifásico, Entrada Subterrânea, A 4 Fios, Carga Instalada Em Muro De 41001 Até 57000W - 220/127V, Exclusive Derivação De Ramal De Entrada Subterrânea</v>
      </c>
      <c r="E284" s="171" t="str">
        <f>IFERROR(LOWER(
IF($B284="DER-ES",INDEX('CDER-ES'!$C:$C,MATCH($C284,'CDER-ES'!$A:$A,0)),
IF($B284="SINAPI",INDEX(CSINAPI!$C:$C,MATCH($C284,CSINAPI!$A:$A,0)),
IF($B284="CESAN",INDEX(CCESAN!$C:$C,MATCH($C284,CCESAN!$A:$A,0)),
IF($B284="SCORIO",INDEX(CSCORIO!$A:$A,MATCH($C284,CSCORIO!#REF!,0)),
IF($B284="MERC",INDEX(MERCADO!$D:$D,MATCH($C284,MERCADO!$A:$A,0)),
IF($B284="COMP",INDEX(COMPOSICAO!$G:$G,MATCH($C284,COMPOSICAO!$A:$A,0)),
""))))))),"")</f>
        <v>und</v>
      </c>
      <c r="F284" s="179">
        <f>VLOOKUP(A284,'MEMÓRIA DE CÁLCULO'!A:H,8,0)</f>
        <v>1</v>
      </c>
      <c r="G284" s="173">
        <f>IFERROR(
IF($B284="DER-ES",INDEX('CDER-ES'!$D:$D,MATCH($C284,'CDER-ES'!$A:$A,0)),
IF($B284="SINAPI",INDEX(CSINAPI!$D:$D,MATCH($C284,CSINAPI!$A:$A,0)),
IF($B284="CESAN",INDEX(CCESAN!$D:$D,MATCH($C284,CCESAN!$A:$A,0)),
IF($B284="SCORIO",INDEX(CSCORIO!$B:$B,MATCH($C284,CSCORIO!#REF!,0)),
IF($B284="MERC",INDEX(MERCADO!$E:$E,MATCH($C284,MERCADO!$A:$A,0)),
IF($B284="COMP",INDEX(COMPOSICAO!$H:$H,MATCH($C284,COMPOSICAO!$A:$A,0)),
0)))))),0)</f>
        <v>4718.57</v>
      </c>
      <c r="H284" s="173">
        <f t="shared" ref="H284" si="241">ROUND(G284*(1+$J$2),2)</f>
        <v>6287.49</v>
      </c>
      <c r="I284" s="180">
        <f t="shared" ref="I284" si="242">ROUND($H284*F284,2)</f>
        <v>6287.49</v>
      </c>
      <c r="J284" s="194">
        <f t="shared" ref="J284:J289" si="243">I284/I$282</f>
        <v>4.5722152274388896E-2</v>
      </c>
    </row>
    <row r="285" spans="1:10" ht="25.5">
      <c r="A285" s="175" t="s">
        <v>14140</v>
      </c>
      <c r="B285" s="176" t="s">
        <v>12617</v>
      </c>
      <c r="C285" s="177">
        <v>150635</v>
      </c>
      <c r="D285" s="178" t="str">
        <f>IFERROR(PROPER(
IF($B285="DER-ES",INDEX('CDER-ES'!$B:$B,MATCH($C285,'CDER-ES'!$A:$A,0)),
IF($B285="SINAPI",INDEX(CSINAPI!$B:$B,MATCH($C285,CSINAPI!$A:$A,0)),
IF($B285="CESAN",INDEX(CCESAN!$B:$B,MATCH($C285,CCESAN!$A:$A,0)),
IF($B285="SCORIO",INDEX(CSCORIO!$B:$B,MATCH($C285,CSCORIO!$A:$A,0)),
IF($B285="MERC",INDEX(MERCADO!$B:$B,MATCH($C285,MERCADO!$A:$A,0)),
IF($B285="COMP",INDEX(COMPOSICAO!$B:$B,MATCH($C285,COMPOSICAO!$A:$A,0)),
""))))))),"*Verificar código*")</f>
        <v>Caixa De Passagem 400X400X120Mm, Chapa 18, Com Tampa Parafusada</v>
      </c>
      <c r="E285" s="171" t="str">
        <f>IFERROR(LOWER(
IF($B285="DER-ES",INDEX('CDER-ES'!$C:$C,MATCH($C285,'CDER-ES'!$A:$A,0)),
IF($B285="SINAPI",INDEX(CSINAPI!$C:$C,MATCH($C285,CSINAPI!$A:$A,0)),
IF($B285="CESAN",INDEX(CCESAN!$C:$C,MATCH($C285,CCESAN!$A:$A,0)),
IF($B285="SCORIO",INDEX(CSCORIO!$A:$A,MATCH($C285,CSCORIO!#REF!,0)),
IF($B285="MERC",INDEX(MERCADO!$D:$D,MATCH($C285,MERCADO!$A:$A,0)),
IF($B285="COMP",INDEX(COMPOSICAO!$G:$G,MATCH($C285,COMPOSICAO!$A:$A,0)),
""))))))),"")</f>
        <v>und</v>
      </c>
      <c r="F285" s="179">
        <f>VLOOKUP(A285,'MEMÓRIA DE CÁLCULO'!A:H,8,0)</f>
        <v>3</v>
      </c>
      <c r="G285" s="173">
        <f>IFERROR(
IF($B285="DER-ES",INDEX('CDER-ES'!$D:$D,MATCH($C285,'CDER-ES'!$A:$A,0)),
IF($B285="SINAPI",INDEX(CSINAPI!$D:$D,MATCH($C285,CSINAPI!$A:$A,0)),
IF($B285="CESAN",INDEX(CCESAN!$D:$D,MATCH($C285,CCESAN!$A:$A,0)),
IF($B285="SCORIO",INDEX(CSCORIO!$B:$B,MATCH($C285,CSCORIO!#REF!,0)),
IF($B285="MERC",INDEX(MERCADO!$E:$E,MATCH($C285,MERCADO!$A:$A,0)),
IF($B285="COMP",INDEX(COMPOSICAO!$H:$H,MATCH($C285,COMPOSICAO!$A:$A,0)),
0)))))),0)</f>
        <v>243.37</v>
      </c>
      <c r="H285" s="173">
        <f t="shared" ref="H285:H286" si="244">ROUND(G285*(1+$J$2),2)</f>
        <v>324.29000000000002</v>
      </c>
      <c r="I285" s="180">
        <f t="shared" ref="I285:I286" si="245">ROUND($H285*F285,2)</f>
        <v>972.87</v>
      </c>
      <c r="J285" s="194">
        <f t="shared" si="243"/>
        <v>7.0746371418777178E-3</v>
      </c>
    </row>
    <row r="286" spans="1:10" ht="63.75">
      <c r="A286" s="175" t="s">
        <v>14141</v>
      </c>
      <c r="B286" s="176" t="s">
        <v>12617</v>
      </c>
      <c r="C286" s="177">
        <v>150616</v>
      </c>
      <c r="D286" s="178" t="str">
        <f>IFERROR(PROPER(
IF($B286="DER-ES",INDEX('CDER-ES'!$B:$B,MATCH($C286,'CDER-ES'!$A:$A,0)),
IF($B286="SINAPI",INDEX(CSINAPI!$B:$B,MATCH($C286,CSINAPI!$A:$A,0)),
IF($B286="CESAN",INDEX(CCESAN!$B:$B,MATCH($C286,CCESAN!$A:$A,0)),
IF($B286="SCORIO",INDEX(CSCORIO!$B:$B,MATCH($C286,CSCORIO!$A:$A,0)),
IF($B286="MERC",INDEX(MERCADO!$B:$B,MATCH($C286,MERCADO!$A:$A,0)),
IF($B286="COMP",INDEX(COMPOSICAO!$B:$B,MATCH($C286,COMPOSICAO!$A:$A,0)),
""))))))),"*Verificar código*")</f>
        <v>Caixa De Passagem De Alvenaria De Blocos De Concreto 9X19X39Cm, Dimensões De 50X50X50Cm, Com Revestimento Interno Em Chapisco E Reboco, Tampa De Concreto Esp.5Cm E Lastro De Brita 5 Cm</v>
      </c>
      <c r="E286" s="171" t="str">
        <f>IFERROR(LOWER(
IF($B286="DER-ES",INDEX('CDER-ES'!$C:$C,MATCH($C286,'CDER-ES'!$A:$A,0)),
IF($B286="SINAPI",INDEX(CSINAPI!$C:$C,MATCH($C286,CSINAPI!$A:$A,0)),
IF($B286="CESAN",INDEX(CCESAN!$C:$C,MATCH($C286,CCESAN!$A:$A,0)),
IF($B286="SCORIO",INDEX(CSCORIO!$A:$A,MATCH($C286,CSCORIO!#REF!,0)),
IF($B286="MERC",INDEX(MERCADO!$D:$D,MATCH($C286,MERCADO!$A:$A,0)),
IF($B286="COMP",INDEX(COMPOSICAO!$G:$G,MATCH($C286,COMPOSICAO!$A:$A,0)),
""))))))),"")</f>
        <v>und</v>
      </c>
      <c r="F286" s="179">
        <f>VLOOKUP(A286,'MEMÓRIA DE CÁLCULO'!A:H,8,0)</f>
        <v>2</v>
      </c>
      <c r="G286" s="173">
        <f>IFERROR(
IF($B286="DER-ES",INDEX('CDER-ES'!$D:$D,MATCH($C286,'CDER-ES'!$A:$A,0)),
IF($B286="SINAPI",INDEX(CSINAPI!$D:$D,MATCH($C286,CSINAPI!$A:$A,0)),
IF($B286="CESAN",INDEX(CCESAN!$D:$D,MATCH($C286,CCESAN!$A:$A,0)),
IF($B286="SCORIO",INDEX(CSCORIO!$B:$B,MATCH($C286,CSCORIO!#REF!,0)),
IF($B286="MERC",INDEX(MERCADO!$E:$E,MATCH($C286,MERCADO!$A:$A,0)),
IF($B286="COMP",INDEX(COMPOSICAO!$H:$H,MATCH($C286,COMPOSICAO!$A:$A,0)),
0)))))),0)</f>
        <v>263.32</v>
      </c>
      <c r="H286" s="173">
        <f t="shared" si="244"/>
        <v>350.87</v>
      </c>
      <c r="I286" s="180">
        <f t="shared" si="245"/>
        <v>701.74</v>
      </c>
      <c r="J286" s="194">
        <f t="shared" si="243"/>
        <v>5.1030002651343649E-3</v>
      </c>
    </row>
    <row r="287" spans="1:10" ht="38.25">
      <c r="A287" s="175" t="s">
        <v>14142</v>
      </c>
      <c r="B287" s="176" t="s">
        <v>928</v>
      </c>
      <c r="C287" s="177">
        <v>97668</v>
      </c>
      <c r="D287" s="178" t="str">
        <f>IFERROR(PROPER(
IF($B287="DER-ES",INDEX('CDER-ES'!$B:$B,MATCH($C287,'CDER-ES'!$A:$A,0)),
IF($B287="SINAPI",INDEX(CSINAPI!$B:$B,MATCH($C287,CSINAPI!$A:$A,0)),
IF($B287="CESAN",INDEX(CCESAN!$B:$B,MATCH($C287,CCESAN!$A:$A,0)),
IF($B287="SCORIO",INDEX(CSCORIO!$B:$B,MATCH($C287,CSCORIO!$A:$A,0)),
IF($B287="MERC",INDEX(MERCADO!$B:$B,MATCH($C287,MERCADO!$A:$A,0)),
IF($B287="COMP",INDEX(COMPOSICAO!$B:$B,MATCH($C287,COMPOSICAO!$A:$A,0)),
""))))))),"*Verificar código*")</f>
        <v>Eletroduto Flexível Corrugado, Pead, Dn 63 (2"), Para Rede Enterrada De Distribuição De Energia Elétrica - Fornecimento E Instalação. Af_12/2021</v>
      </c>
      <c r="E287" s="171" t="str">
        <f>IFERROR(LOWER(
IF($B287="DER-ES",INDEX('CDER-ES'!$C:$C,MATCH($C287,'CDER-ES'!$A:$A,0)),
IF($B287="SINAPI",INDEX(CSINAPI!$C:$C,MATCH($C287,CSINAPI!$A:$A,0)),
IF($B287="CESAN",INDEX(CCESAN!$C:$C,MATCH($C287,CCESAN!$A:$A,0)),
IF($B287="SCORIO",INDEX(CSCORIO!$A:$A,MATCH($C287,CSCORIO!#REF!,0)),
IF($B287="MERC",INDEX(MERCADO!$D:$D,MATCH($C287,MERCADO!$A:$A,0)),
IF($B287="COMP",INDEX(COMPOSICAO!$G:$G,MATCH($C287,COMPOSICAO!$A:$A,0)),
""))))))),"")</f>
        <v>m</v>
      </c>
      <c r="F287" s="179">
        <f>VLOOKUP(A287,'MEMÓRIA DE CÁLCULO'!A:H,8,0)</f>
        <v>6</v>
      </c>
      <c r="G287" s="173">
        <f>IFERROR(
IF($B287="DER-ES",INDEX('CDER-ES'!$D:$D,MATCH($C287,'CDER-ES'!$A:$A,0)),
IF($B287="SINAPI",INDEX(CSINAPI!$D:$D,MATCH($C287,CSINAPI!$A:$A,0)),
IF($B287="CESAN",INDEX(CCESAN!$D:$D,MATCH($C287,CCESAN!$A:$A,0)),
IF($B287="SCORIO",INDEX(CSCORIO!$B:$B,MATCH($C287,CSCORIO!#REF!,0)),
IF($B287="MERC",INDEX(MERCADO!$E:$E,MATCH($C287,MERCADO!$A:$A,0)),
IF($B287="COMP",INDEX(COMPOSICAO!$H:$H,MATCH($C287,COMPOSICAO!$A:$A,0)),
0)))))),0)</f>
        <v>13.3</v>
      </c>
      <c r="H287" s="173">
        <f t="shared" ref="H287:H289" si="246">ROUND(G287*(1+$J$2),2)</f>
        <v>17.72</v>
      </c>
      <c r="I287" s="180">
        <f t="shared" ref="I287:I289" si="247">ROUND($H287*F287,2)</f>
        <v>106.32</v>
      </c>
      <c r="J287" s="194">
        <f t="shared" si="243"/>
        <v>7.7315100776510618E-4</v>
      </c>
    </row>
    <row r="288" spans="1:10" ht="63.75">
      <c r="A288" s="175" t="s">
        <v>14143</v>
      </c>
      <c r="B288" s="176" t="s">
        <v>12617</v>
      </c>
      <c r="C288" s="177">
        <v>150701</v>
      </c>
      <c r="D288" s="178" t="str">
        <f>IFERROR(PROPER(
IF($B288="DER-ES",INDEX('CDER-ES'!$B:$B,MATCH($C288,'CDER-ES'!$A:$A,0)),
IF($B288="SINAPI",INDEX(CSINAPI!$B:$B,MATCH($C288,CSINAPI!$A:$A,0)),
IF($B288="CESAN",INDEX(CCESAN!$B:$B,MATCH($C288,CCESAN!$A:$A,0)),
IF($B288="SCORIO",INDEX(CSCORIO!$B:$B,MATCH($C288,CSCORIO!$A:$A,0)),
IF($B288="MERC",INDEX(MERCADO!$B:$B,MATCH($C288,MERCADO!$A:$A,0)),
IF($B288="COMP",INDEX(COMPOSICAO!$B:$B,MATCH($C288,COMPOSICAO!$A:$A,0)),
""))))))),"*Verificar código*")</f>
        <v>Envelopamento De Concreto Simples Com Consumo Mínimo De Cimento De 250Kg/M3, Inclusive Escavação Para Profundidade Mínima Do Eletroduto De 50 Cm, De 25 X 25 Cm, Para 1 Eletroduto</v>
      </c>
      <c r="E288" s="171" t="str">
        <f>IFERROR(LOWER(
IF($B288="DER-ES",INDEX('CDER-ES'!$C:$C,MATCH($C288,'CDER-ES'!$A:$A,0)),
IF($B288="SINAPI",INDEX(CSINAPI!$C:$C,MATCH($C288,CSINAPI!$A:$A,0)),
IF($B288="CESAN",INDEX(CCESAN!$C:$C,MATCH($C288,CCESAN!$A:$A,0)),
IF($B288="SCORIO",INDEX(CSCORIO!$A:$A,MATCH($C288,CSCORIO!#REF!,0)),
IF($B288="MERC",INDEX(MERCADO!$D:$D,MATCH($C288,MERCADO!$A:$A,0)),
IF($B288="COMP",INDEX(COMPOSICAO!$G:$G,MATCH($C288,COMPOSICAO!$A:$A,0)),
""))))))),"")</f>
        <v>m</v>
      </c>
      <c r="F288" s="179">
        <f>VLOOKUP(A288,'MEMÓRIA DE CÁLCULO'!A:H,8,0)</f>
        <v>6</v>
      </c>
      <c r="G288" s="173">
        <f>IFERROR(
IF($B288="DER-ES",INDEX('CDER-ES'!$D:$D,MATCH($C288,'CDER-ES'!$A:$A,0)),
IF($B288="SINAPI",INDEX(CSINAPI!$D:$D,MATCH($C288,CSINAPI!$A:$A,0)),
IF($B288="CESAN",INDEX(CCESAN!$D:$D,MATCH($C288,CCESAN!$A:$A,0)),
IF($B288="SCORIO",INDEX(CSCORIO!$B:$B,MATCH($C288,CSCORIO!#REF!,0)),
IF($B288="MERC",INDEX(MERCADO!$E:$E,MATCH($C288,MERCADO!$A:$A,0)),
IF($B288="COMP",INDEX(COMPOSICAO!$H:$H,MATCH($C288,COMPOSICAO!$A:$A,0)),
0)))))),0)</f>
        <v>57.11</v>
      </c>
      <c r="H288" s="173">
        <f t="shared" ref="H288" si="248">ROUND(G288*(1+$J$2),2)</f>
        <v>76.099999999999994</v>
      </c>
      <c r="I288" s="180">
        <f t="shared" ref="I288" si="249">ROUND($H288*F288,2)</f>
        <v>456.6</v>
      </c>
      <c r="J288" s="194">
        <f t="shared" si="243"/>
        <v>3.3203607049054509E-3</v>
      </c>
    </row>
    <row r="289" spans="1:10" ht="63.75">
      <c r="A289" s="175" t="s">
        <v>14782</v>
      </c>
      <c r="B289" s="176" t="s">
        <v>12617</v>
      </c>
      <c r="C289" s="177">
        <v>151905</v>
      </c>
      <c r="D289" s="178" t="str">
        <f>IFERROR(PROPER(
IF($B289="DER-ES",INDEX('CDER-ES'!$B:$B,MATCH($C289,'CDER-ES'!$A:$A,0)),
IF($B289="SINAPI",INDEX(CSINAPI!$B:$B,MATCH($C289,CSINAPI!$A:$A,0)),
IF($B289="CESAN",INDEX(CCESAN!$B:$B,MATCH($C289,CCESAN!$A:$A,0)),
IF($B289="SCORIO",INDEX(CSCORIO!$B:$B,MATCH($C289,CSCORIO!$A:$A,0)),
IF($B289="MERC",INDEX(MERCADO!$B:$B,MATCH($C289,MERCADO!$A:$A,0)),
IF($B289="COMP",INDEX(COMPOSICAO!$B:$B,MATCH($C289,COMPOSICAO!$A:$A,0)),
""))))))),"*Verificar código*")</f>
        <v>Quadro Distrib. Energia, Embutido Ou Semi Embutido, Capac. P/ 54 Disj. Din, C/Barram Trif. 100A Barra. Neutro E Terra, Fab. Em Chapa De Aço 12 Usg Com Porta, Espelho, Trinco Com Fechad Ch Yale, Ref. Qdtn Ii-54Din-Cemar</v>
      </c>
      <c r="E289" s="171" t="str">
        <f>IFERROR(LOWER(
IF($B289="DER-ES",INDEX('CDER-ES'!$C:$C,MATCH($C289,'CDER-ES'!$A:$A,0)),
IF($B289="SINAPI",INDEX(CSINAPI!$C:$C,MATCH($C289,CSINAPI!$A:$A,0)),
IF($B289="CESAN",INDEX(CCESAN!$C:$C,MATCH($C289,CCESAN!$A:$A,0)),
IF($B289="SCORIO",INDEX(CSCORIO!$A:$A,MATCH($C289,CSCORIO!#REF!,0)),
IF($B289="MERC",INDEX(MERCADO!$D:$D,MATCH($C289,MERCADO!$A:$A,0)),
IF($B289="COMP",INDEX(COMPOSICAO!$G:$G,MATCH($C289,COMPOSICAO!$A:$A,0)),
""))))))),"")</f>
        <v>und</v>
      </c>
      <c r="F289" s="179">
        <f>VLOOKUP(A289,'MEMÓRIA DE CÁLCULO'!A:H,8,0)</f>
        <v>1</v>
      </c>
      <c r="G289" s="173">
        <f>IFERROR(
IF($B289="DER-ES",INDEX('CDER-ES'!$D:$D,MATCH($C289,'CDER-ES'!$A:$A,0)),
IF($B289="SINAPI",INDEX(CSINAPI!$D:$D,MATCH($C289,CSINAPI!$A:$A,0)),
IF($B289="CESAN",INDEX(CCESAN!$D:$D,MATCH($C289,CCESAN!$A:$A,0)),
IF($B289="SCORIO",INDEX(CSCORIO!$B:$B,MATCH($C289,CSCORIO!#REF!,0)),
IF($B289="MERC",INDEX(MERCADO!$E:$E,MATCH($C289,MERCADO!$A:$A,0)),
IF($B289="COMP",INDEX(COMPOSICAO!$H:$H,MATCH($C289,COMPOSICAO!$A:$A,0)),
0)))))),0)</f>
        <v>1272.6400000000001</v>
      </c>
      <c r="H289" s="173">
        <f t="shared" si="246"/>
        <v>1695.79</v>
      </c>
      <c r="I289" s="180">
        <f t="shared" si="247"/>
        <v>1695.79</v>
      </c>
      <c r="J289" s="194">
        <f t="shared" si="243"/>
        <v>1.2331656766911113E-2</v>
      </c>
    </row>
    <row r="290" spans="1:10">
      <c r="A290" s="167" t="s">
        <v>13885</v>
      </c>
      <c r="B290" s="168"/>
      <c r="C290" s="169"/>
      <c r="D290" s="170" t="s">
        <v>13</v>
      </c>
      <c r="E290" s="171"/>
      <c r="F290" s="172"/>
      <c r="G290" s="173"/>
      <c r="H290" s="173"/>
      <c r="I290" s="174"/>
      <c r="J290" s="193"/>
    </row>
    <row r="291" spans="1:10" ht="25.5">
      <c r="A291" s="175" t="s">
        <v>14144</v>
      </c>
      <c r="B291" s="176" t="s">
        <v>928</v>
      </c>
      <c r="C291" s="177">
        <v>93653</v>
      </c>
      <c r="D291" s="178" t="str">
        <f>IFERROR(PROPER(
IF($B291="DER-ES",INDEX('CDER-ES'!$B:$B,MATCH($C291,'CDER-ES'!$A:$A,0)),
IF($B291="SINAPI",INDEX(CSINAPI!$B:$B,MATCH($C291,CSINAPI!$A:$A,0)),
IF($B291="CESAN",INDEX(CCESAN!$B:$B,MATCH($C291,CCESAN!$A:$A,0)),
IF($B291="SCORIO",INDEX(CSCORIO!$B:$B,MATCH($C291,CSCORIO!$A:$A,0)),
IF($B291="MERC",INDEX(MERCADO!$B:$B,MATCH($C291,MERCADO!$A:$A,0)),
IF($B291="COMP",INDEX(COMPOSICAO!$B:$B,MATCH($C291,COMPOSICAO!$A:$A,0)),
""))))))),"*Verificar código*")</f>
        <v>Disjuntor Monopolar Tipo Din, Corrente Nominal De 10A - Fornecimento E Instalação. Af_10/2020</v>
      </c>
      <c r="E291" s="171" t="str">
        <f>IFERROR(LOWER(
IF($B291="DER-ES",INDEX('CDER-ES'!$C:$C,MATCH($C291,'CDER-ES'!$A:$A,0)),
IF($B291="SINAPI",INDEX(CSINAPI!$C:$C,MATCH($C291,CSINAPI!$A:$A,0)),
IF($B291="CESAN",INDEX(CCESAN!$C:$C,MATCH($C291,CCESAN!$A:$A,0)),
IF($B291="SCORIO",INDEX(CSCORIO!$A:$A,MATCH($C291,CSCORIO!#REF!,0)),
IF($B291="MERC",INDEX(MERCADO!$D:$D,MATCH($C291,MERCADO!$A:$A,0)),
IF($B291="COMP",INDEX(COMPOSICAO!$G:$G,MATCH($C291,COMPOSICAO!$A:$A,0)),
""))))))),"")</f>
        <v>un</v>
      </c>
      <c r="F291" s="179">
        <f>VLOOKUP(A291,'MEMÓRIA DE CÁLCULO'!A:H,8,0)</f>
        <v>9</v>
      </c>
      <c r="G291" s="173">
        <f>IFERROR(
IF($B291="DER-ES",INDEX('CDER-ES'!$D:$D,MATCH($C291,'CDER-ES'!$A:$A,0)),
IF($B291="SINAPI",INDEX(CSINAPI!$D:$D,MATCH($C291,CSINAPI!$A:$A,0)),
IF($B291="CESAN",INDEX(CCESAN!$D:$D,MATCH($C291,CCESAN!$A:$A,0)),
IF($B291="SCORIO",INDEX(CSCORIO!$B:$B,MATCH($C291,CSCORIO!#REF!,0)),
IF($B291="MERC",INDEX(MERCADO!$E:$E,MATCH($C291,MERCADO!$A:$A,0)),
IF($B291="COMP",INDEX(COMPOSICAO!$H:$H,MATCH($C291,COMPOSICAO!$A:$A,0)),
0)))))),0)</f>
        <v>10.53</v>
      </c>
      <c r="H291" s="173">
        <f t="shared" ref="H291:H297" si="250">ROUND(G291*(1+$J$2),2)</f>
        <v>14.03</v>
      </c>
      <c r="I291" s="180">
        <f t="shared" ref="I291:I297" si="251">ROUND($H291*F291,2)</f>
        <v>126.27</v>
      </c>
      <c r="J291" s="194">
        <f t="shared" ref="J291:J298" si="252">I291/I$282</f>
        <v>9.1822590058784762E-4</v>
      </c>
    </row>
    <row r="292" spans="1:10" ht="25.5">
      <c r="A292" s="175" t="s">
        <v>14145</v>
      </c>
      <c r="B292" s="176" t="s">
        <v>928</v>
      </c>
      <c r="C292" s="177">
        <v>93654</v>
      </c>
      <c r="D292" s="178" t="str">
        <f>IFERROR(PROPER(
IF($B292="DER-ES",INDEX('CDER-ES'!$B:$B,MATCH($C292,'CDER-ES'!$A:$A,0)),
IF($B292="SINAPI",INDEX(CSINAPI!$B:$B,MATCH($C292,CSINAPI!$A:$A,0)),
IF($B292="CESAN",INDEX(CCESAN!$B:$B,MATCH($C292,CCESAN!$A:$A,0)),
IF($B292="SCORIO",INDEX(CSCORIO!$B:$B,MATCH($C292,CSCORIO!$A:$A,0)),
IF($B292="MERC",INDEX(MERCADO!$B:$B,MATCH($C292,MERCADO!$A:$A,0)),
IF($B292="COMP",INDEX(COMPOSICAO!$B:$B,MATCH($C292,COMPOSICAO!$A:$A,0)),
""))))))),"*Verificar código*")</f>
        <v>Disjuntor Monopolar Tipo Din, Corrente Nominal De 16A - Fornecimento E Instalação. Af_10/2020</v>
      </c>
      <c r="E292" s="171" t="str">
        <f>IFERROR(LOWER(
IF($B292="DER-ES",INDEX('CDER-ES'!$C:$C,MATCH($C292,'CDER-ES'!$A:$A,0)),
IF($B292="SINAPI",INDEX(CSINAPI!$C:$C,MATCH($C292,CSINAPI!$A:$A,0)),
IF($B292="CESAN",INDEX(CCESAN!$C:$C,MATCH($C292,CCESAN!$A:$A,0)),
IF($B292="SCORIO",INDEX(CSCORIO!$A:$A,MATCH($C292,CSCORIO!#REF!,0)),
IF($B292="MERC",INDEX(MERCADO!$D:$D,MATCH($C292,MERCADO!$A:$A,0)),
IF($B292="COMP",INDEX(COMPOSICAO!$G:$G,MATCH($C292,COMPOSICAO!$A:$A,0)),
""))))))),"")</f>
        <v>un</v>
      </c>
      <c r="F292" s="179">
        <f>VLOOKUP(A292,'MEMÓRIA DE CÁLCULO'!A:H,8,0)</f>
        <v>6</v>
      </c>
      <c r="G292" s="173">
        <f>IFERROR(
IF($B292="DER-ES",INDEX('CDER-ES'!$D:$D,MATCH($C292,'CDER-ES'!$A:$A,0)),
IF($B292="SINAPI",INDEX(CSINAPI!$D:$D,MATCH($C292,CSINAPI!$A:$A,0)),
IF($B292="CESAN",INDEX(CCESAN!$D:$D,MATCH($C292,CCESAN!$A:$A,0)),
IF($B292="SCORIO",INDEX(CSCORIO!$B:$B,MATCH($C292,CSCORIO!#REF!,0)),
IF($B292="MERC",INDEX(MERCADO!$E:$E,MATCH($C292,MERCADO!$A:$A,0)),
IF($B292="COMP",INDEX(COMPOSICAO!$H:$H,MATCH($C292,COMPOSICAO!$A:$A,0)),
0)))))),0)</f>
        <v>11.17</v>
      </c>
      <c r="H292" s="173">
        <f t="shared" si="250"/>
        <v>14.88</v>
      </c>
      <c r="I292" s="180">
        <f t="shared" si="251"/>
        <v>89.28</v>
      </c>
      <c r="J292" s="194">
        <f t="shared" si="252"/>
        <v>6.4923741509846395E-4</v>
      </c>
    </row>
    <row r="293" spans="1:10" ht="25.5">
      <c r="A293" s="175" t="s">
        <v>14146</v>
      </c>
      <c r="B293" s="176" t="s">
        <v>928</v>
      </c>
      <c r="C293" s="177">
        <v>93655</v>
      </c>
      <c r="D293" s="178" t="str">
        <f>IFERROR(PROPER(
IF($B293="DER-ES",INDEX('CDER-ES'!$B:$B,MATCH($C293,'CDER-ES'!$A:$A,0)),
IF($B293="SINAPI",INDEX(CSINAPI!$B:$B,MATCH($C293,CSINAPI!$A:$A,0)),
IF($B293="CESAN",INDEX(CCESAN!$B:$B,MATCH($C293,CCESAN!$A:$A,0)),
IF($B293="SCORIO",INDEX(CSCORIO!$B:$B,MATCH($C293,CSCORIO!$A:$A,0)),
IF($B293="MERC",INDEX(MERCADO!$B:$B,MATCH($C293,MERCADO!$A:$A,0)),
IF($B293="COMP",INDEX(COMPOSICAO!$B:$B,MATCH($C293,COMPOSICAO!$A:$A,0)),
""))))))),"*Verificar código*")</f>
        <v>Disjuntor Monopolar Tipo Din, Corrente Nominal De 20A - Fornecimento E Instalação. Af_10/2020</v>
      </c>
      <c r="E293" s="171" t="str">
        <f>IFERROR(LOWER(
IF($B293="DER-ES",INDEX('CDER-ES'!$C:$C,MATCH($C293,'CDER-ES'!$A:$A,0)),
IF($B293="SINAPI",INDEX(CSINAPI!$C:$C,MATCH($C293,CSINAPI!$A:$A,0)),
IF($B293="CESAN",INDEX(CCESAN!$C:$C,MATCH($C293,CCESAN!$A:$A,0)),
IF($B293="SCORIO",INDEX(CSCORIO!$A:$A,MATCH($C293,CSCORIO!#REF!,0)),
IF($B293="MERC",INDEX(MERCADO!$D:$D,MATCH($C293,MERCADO!$A:$A,0)),
IF($B293="COMP",INDEX(COMPOSICAO!$G:$G,MATCH($C293,COMPOSICAO!$A:$A,0)),
""))))))),"")</f>
        <v>un</v>
      </c>
      <c r="F293" s="179">
        <f>VLOOKUP(A293,'MEMÓRIA DE CÁLCULO'!A:H,8,0)</f>
        <v>1</v>
      </c>
      <c r="G293" s="173">
        <f>IFERROR(
IF($B293="DER-ES",INDEX('CDER-ES'!$D:$D,MATCH($C293,'CDER-ES'!$A:$A,0)),
IF($B293="SINAPI",INDEX(CSINAPI!$D:$D,MATCH($C293,CSINAPI!$A:$A,0)),
IF($B293="CESAN",INDEX(CCESAN!$D:$D,MATCH($C293,CCESAN!$A:$A,0)),
IF($B293="SCORIO",INDEX(CSCORIO!$B:$B,MATCH($C293,CSCORIO!#REF!,0)),
IF($B293="MERC",INDEX(MERCADO!$E:$E,MATCH($C293,MERCADO!$A:$A,0)),
IF($B293="COMP",INDEX(COMPOSICAO!$H:$H,MATCH($C293,COMPOSICAO!$A:$A,0)),
0)))))),0)</f>
        <v>12.41</v>
      </c>
      <c r="H293" s="173">
        <f t="shared" si="250"/>
        <v>16.54</v>
      </c>
      <c r="I293" s="180">
        <f t="shared" si="251"/>
        <v>16.54</v>
      </c>
      <c r="J293" s="194">
        <f t="shared" si="252"/>
        <v>1.2027763044050843E-4</v>
      </c>
    </row>
    <row r="294" spans="1:10" ht="25.5">
      <c r="A294" s="175" t="s">
        <v>14147</v>
      </c>
      <c r="B294" s="176" t="s">
        <v>928</v>
      </c>
      <c r="C294" s="177">
        <v>93659</v>
      </c>
      <c r="D294" s="178" t="str">
        <f>IFERROR(PROPER(
IF($B294="DER-ES",INDEX('CDER-ES'!$B:$B,MATCH($C294,'CDER-ES'!$A:$A,0)),
IF($B294="SINAPI",INDEX(CSINAPI!$B:$B,MATCH($C294,CSINAPI!$A:$A,0)),
IF($B294="CESAN",INDEX(CCESAN!$B:$B,MATCH($C294,CCESAN!$A:$A,0)),
IF($B294="SCORIO",INDEX(CSCORIO!$B:$B,MATCH($C294,CSCORIO!$A:$A,0)),
IF($B294="MERC",INDEX(MERCADO!$B:$B,MATCH($C294,MERCADO!$A:$A,0)),
IF($B294="COMP",INDEX(COMPOSICAO!$B:$B,MATCH($C294,COMPOSICAO!$A:$A,0)),
""))))))),"*Verificar código*")</f>
        <v>Disjuntor Monopolar Tipo Din, Corrente Nominal De 50A - Fornecimento E Instalação. Af_10/2020</v>
      </c>
      <c r="E294" s="171" t="str">
        <f>IFERROR(LOWER(
IF($B294="DER-ES",INDEX('CDER-ES'!$C:$C,MATCH($C294,'CDER-ES'!$A:$A,0)),
IF($B294="SINAPI",INDEX(CSINAPI!$C:$C,MATCH($C294,CSINAPI!$A:$A,0)),
IF($B294="CESAN",INDEX(CCESAN!$C:$C,MATCH($C294,CCESAN!$A:$A,0)),
IF($B294="SCORIO",INDEX(CSCORIO!$A:$A,MATCH($C294,CSCORIO!#REF!,0)),
IF($B294="MERC",INDEX(MERCADO!$D:$D,MATCH($C294,MERCADO!$A:$A,0)),
IF($B294="COMP",INDEX(COMPOSICAO!$G:$G,MATCH($C294,COMPOSICAO!$A:$A,0)),
""))))))),"")</f>
        <v>un</v>
      </c>
      <c r="F294" s="179">
        <f>VLOOKUP(A294,'MEMÓRIA DE CÁLCULO'!A:H,8,0)</f>
        <v>1</v>
      </c>
      <c r="G294" s="173">
        <f>IFERROR(
IF($B294="DER-ES",INDEX('CDER-ES'!$D:$D,MATCH($C294,'CDER-ES'!$A:$A,0)),
IF($B294="SINAPI",INDEX(CSINAPI!$D:$D,MATCH($C294,CSINAPI!$A:$A,0)),
IF($B294="CESAN",INDEX(CCESAN!$D:$D,MATCH($C294,CCESAN!$A:$A,0)),
IF($B294="SCORIO",INDEX(CSCORIO!$B:$B,MATCH($C294,CSCORIO!#REF!,0)),
IF($B294="MERC",INDEX(MERCADO!$E:$E,MATCH($C294,MERCADO!$A:$A,0)),
IF($B294="COMP",INDEX(COMPOSICAO!$H:$H,MATCH($C294,COMPOSICAO!$A:$A,0)),
0)))))),0)</f>
        <v>23.11</v>
      </c>
      <c r="H294" s="173">
        <f t="shared" si="250"/>
        <v>30.79</v>
      </c>
      <c r="I294" s="180">
        <f t="shared" si="251"/>
        <v>30.79</v>
      </c>
      <c r="J294" s="194">
        <f t="shared" si="252"/>
        <v>2.2390255388532375E-4</v>
      </c>
    </row>
    <row r="295" spans="1:10" ht="38.25">
      <c r="A295" s="175" t="s">
        <v>14148</v>
      </c>
      <c r="B295" s="176" t="s">
        <v>12617</v>
      </c>
      <c r="C295" s="177">
        <v>151330</v>
      </c>
      <c r="D295" s="178" t="str">
        <f>IFERROR(PROPER(
IF($B295="DER-ES",INDEX('CDER-ES'!$B:$B,MATCH($C295,'CDER-ES'!$A:$A,0)),
IF($B295="SINAPI",INDEX(CSINAPI!$B:$B,MATCH($C295,CSINAPI!$A:$A,0)),
IF($B295="CESAN",INDEX(CCESAN!$B:$B,MATCH($C295,CCESAN!$A:$A,0)),
IF($B295="SCORIO",INDEX(CSCORIO!$B:$B,MATCH($C295,CSCORIO!$A:$A,0)),
IF($B295="MERC",INDEX(MERCADO!$B:$B,MATCH($C295,MERCADO!$A:$A,0)),
IF($B295="COMP",INDEX(COMPOSICAO!$B:$B,MATCH($C295,COMPOSICAO!$A:$A,0)),
""))))))),"*Verificar código*")</f>
        <v>Mini-Disjuntor Tripolar 63 A, Curva C - 5Ka 220/127Vca (Nbr Iec 60947-2), Ref. Siemens, Ge, Schneider Ou Equivalente</v>
      </c>
      <c r="E295" s="171" t="str">
        <f>IFERROR(LOWER(
IF($B295="DER-ES",INDEX('CDER-ES'!$C:$C,MATCH($C295,'CDER-ES'!$A:$A,0)),
IF($B295="SINAPI",INDEX(CSINAPI!$C:$C,MATCH($C295,CSINAPI!$A:$A,0)),
IF($B295="CESAN",INDEX(CCESAN!$C:$C,MATCH($C295,CCESAN!$A:$A,0)),
IF($B295="SCORIO",INDEX(CSCORIO!$A:$A,MATCH($C295,CSCORIO!#REF!,0)),
IF($B295="MERC",INDEX(MERCADO!$D:$D,MATCH($C295,MERCADO!$A:$A,0)),
IF($B295="COMP",INDEX(COMPOSICAO!$G:$G,MATCH($C295,COMPOSICAO!$A:$A,0)),
""))))))),"")</f>
        <v>und</v>
      </c>
      <c r="F295" s="179">
        <f>VLOOKUP(A295,'MEMÓRIA DE CÁLCULO'!A:H,8,0)</f>
        <v>1</v>
      </c>
      <c r="G295" s="173">
        <f>IFERROR(
IF($B295="DER-ES",INDEX('CDER-ES'!$D:$D,MATCH($C295,'CDER-ES'!$A:$A,0)),
IF($B295="SINAPI",INDEX(CSINAPI!$D:$D,MATCH($C295,CSINAPI!$A:$A,0)),
IF($B295="CESAN",INDEX(CCESAN!$D:$D,MATCH($C295,CCESAN!$A:$A,0)),
IF($B295="SCORIO",INDEX(CSCORIO!$B:$B,MATCH($C295,CSCORIO!#REF!,0)),
IF($B295="MERC",INDEX(MERCADO!$E:$E,MATCH($C295,MERCADO!$A:$A,0)),
IF($B295="COMP",INDEX(COMPOSICAO!$H:$H,MATCH($C295,COMPOSICAO!$A:$A,0)),
0)))))),0)</f>
        <v>128.09</v>
      </c>
      <c r="H295" s="173">
        <f t="shared" si="250"/>
        <v>170.68</v>
      </c>
      <c r="I295" s="180">
        <f t="shared" si="251"/>
        <v>170.68</v>
      </c>
      <c r="J295" s="194">
        <f t="shared" si="252"/>
        <v>1.2411720655130581E-3</v>
      </c>
    </row>
    <row r="296" spans="1:10">
      <c r="A296" s="175" t="s">
        <v>14149</v>
      </c>
      <c r="B296" s="176" t="s">
        <v>12617</v>
      </c>
      <c r="C296" s="177">
        <v>151357</v>
      </c>
      <c r="D296" s="178" t="str">
        <f>IFERROR(PROPER(
IF($B296="DER-ES",INDEX('CDER-ES'!$B:$B,MATCH($C296,'CDER-ES'!$A:$A,0)),
IF($B296="SINAPI",INDEX(CSINAPI!$B:$B,MATCH($C296,CSINAPI!$A:$A,0)),
IF($B296="CESAN",INDEX(CCESAN!$B:$B,MATCH($C296,CCESAN!$A:$A,0)),
IF($B296="SCORIO",INDEX(CSCORIO!$B:$B,MATCH($C296,CSCORIO!$A:$A,0)),
IF($B296="MERC",INDEX(MERCADO!$B:$B,MATCH($C296,MERCADO!$A:$A,0)),
IF($B296="COMP",INDEX(COMPOSICAO!$B:$B,MATCH($C296,COMPOSICAO!$A:$A,0)),
""))))))),"*Verificar código*")</f>
        <v>Interruptor Diferencial Dr 40A, 30Ma, 2 Modulos</v>
      </c>
      <c r="E296" s="171" t="str">
        <f>IFERROR(LOWER(
IF($B296="DER-ES",INDEX('CDER-ES'!$C:$C,MATCH($C296,'CDER-ES'!$A:$A,0)),
IF($B296="SINAPI",INDEX(CSINAPI!$C:$C,MATCH($C296,CSINAPI!$A:$A,0)),
IF($B296="CESAN",INDEX(CCESAN!$C:$C,MATCH($C296,CCESAN!$A:$A,0)),
IF($B296="SCORIO",INDEX(CSCORIO!$A:$A,MATCH($C296,CSCORIO!#REF!,0)),
IF($B296="MERC",INDEX(MERCADO!$D:$D,MATCH($C296,MERCADO!$A:$A,0)),
IF($B296="COMP",INDEX(COMPOSICAO!$G:$G,MATCH($C296,COMPOSICAO!$A:$A,0)),
""))))))),"")</f>
        <v>und</v>
      </c>
      <c r="F296" s="179">
        <f>VLOOKUP(A296,'MEMÓRIA DE CÁLCULO'!A:H,8,0)</f>
        <v>6</v>
      </c>
      <c r="G296" s="173">
        <f>IFERROR(
IF($B296="DER-ES",INDEX('CDER-ES'!$D:$D,MATCH($C296,'CDER-ES'!$A:$A,0)),
IF($B296="SINAPI",INDEX(CSINAPI!$D:$D,MATCH($C296,CSINAPI!$A:$A,0)),
IF($B296="CESAN",INDEX(CCESAN!$D:$D,MATCH($C296,CCESAN!$A:$A,0)),
IF($B296="SCORIO",INDEX(CSCORIO!$B:$B,MATCH($C296,CSCORIO!#REF!,0)),
IF($B296="MERC",INDEX(MERCADO!$E:$E,MATCH($C296,MERCADO!$A:$A,0)),
IF($B296="COMP",INDEX(COMPOSICAO!$H:$H,MATCH($C296,COMPOSICAO!$A:$A,0)),
0)))))),0)</f>
        <v>128.24</v>
      </c>
      <c r="H296" s="173">
        <f t="shared" si="250"/>
        <v>170.88</v>
      </c>
      <c r="I296" s="180">
        <f t="shared" si="251"/>
        <v>1025.28</v>
      </c>
      <c r="J296" s="194">
        <f t="shared" si="252"/>
        <v>7.4557587024210699E-3</v>
      </c>
    </row>
    <row r="297" spans="1:10" ht="38.25">
      <c r="A297" s="175" t="s">
        <v>14150</v>
      </c>
      <c r="B297" s="176" t="s">
        <v>12617</v>
      </c>
      <c r="C297" s="177">
        <v>151337</v>
      </c>
      <c r="D297" s="178" t="str">
        <f>IFERROR(PROPER(
IF($B297="DER-ES",INDEX('CDER-ES'!$B:$B,MATCH($C297,'CDER-ES'!$A:$A,0)),
IF($B297="SINAPI",INDEX(CSINAPI!$B:$B,MATCH($C297,CSINAPI!$A:$A,0)),
IF($B297="CESAN",INDEX(CCESAN!$B:$B,MATCH($C297,CCESAN!$A:$A,0)),
IF($B297="SCORIO",INDEX(CSCORIO!$B:$B,MATCH($C297,CSCORIO!$A:$A,0)),
IF($B297="MERC",INDEX(MERCADO!$B:$B,MATCH($C297,MERCADO!$A:$A,0)),
IF($B297="COMP",INDEX(COMPOSICAO!$B:$B,MATCH($C297,COMPOSICAO!$A:$A,0)),
""))))))),"*Verificar código*")</f>
        <v>Dispositivo De Proteção Contra Surto (Dps) Bipolar, Tensão Nominal Máxima 275Vca, Corente De Surto Máxima 40Ka.</v>
      </c>
      <c r="E297" s="171" t="str">
        <f>IFERROR(LOWER(
IF($B297="DER-ES",INDEX('CDER-ES'!$C:$C,MATCH($C297,'CDER-ES'!$A:$A,0)),
IF($B297="SINAPI",INDEX(CSINAPI!$C:$C,MATCH($C297,CSINAPI!$A:$A,0)),
IF($B297="CESAN",INDEX(CCESAN!$C:$C,MATCH($C297,CCESAN!$A:$A,0)),
IF($B297="SCORIO",INDEX(CSCORIO!$A:$A,MATCH($C297,CSCORIO!#REF!,0)),
IF($B297="MERC",INDEX(MERCADO!$D:$D,MATCH($C297,MERCADO!$A:$A,0)),
IF($B297="COMP",INDEX(COMPOSICAO!$G:$G,MATCH($C297,COMPOSICAO!$A:$A,0)),
""))))))),"")</f>
        <v>und</v>
      </c>
      <c r="F297" s="179">
        <f>VLOOKUP(A297,'MEMÓRIA DE CÁLCULO'!A:H,8,0)</f>
        <v>4</v>
      </c>
      <c r="G297" s="173">
        <f>IFERROR(
IF($B297="DER-ES",INDEX('CDER-ES'!$D:$D,MATCH($C297,'CDER-ES'!$A:$A,0)),
IF($B297="SINAPI",INDEX(CSINAPI!$D:$D,MATCH($C297,CSINAPI!$A:$A,0)),
IF($B297="CESAN",INDEX(CCESAN!$D:$D,MATCH($C297,CCESAN!$A:$A,0)),
IF($B297="SCORIO",INDEX(CSCORIO!$B:$B,MATCH($C297,CSCORIO!#REF!,0)),
IF($B297="MERC",INDEX(MERCADO!$E:$E,MATCH($C297,MERCADO!$A:$A,0)),
IF($B297="COMP",INDEX(COMPOSICAO!$H:$H,MATCH($C297,COMPOSICAO!$A:$A,0)),
0)))))),0)</f>
        <v>167.96</v>
      </c>
      <c r="H297" s="173">
        <f t="shared" si="250"/>
        <v>223.81</v>
      </c>
      <c r="I297" s="180">
        <f t="shared" si="251"/>
        <v>895.24</v>
      </c>
      <c r="J297" s="194">
        <f t="shared" si="252"/>
        <v>6.5101176466481727E-3</v>
      </c>
    </row>
    <row r="298" spans="1:10" ht="38.25">
      <c r="A298" s="175" t="s">
        <v>14151</v>
      </c>
      <c r="B298" s="176" t="s">
        <v>12617</v>
      </c>
      <c r="C298" s="177">
        <v>151339</v>
      </c>
      <c r="D298" s="178" t="str">
        <f>IFERROR(PROPER(
IF($B298="DER-ES",INDEX('CDER-ES'!$B:$B,MATCH($C298,'CDER-ES'!$A:$A,0)),
IF($B298="SINAPI",INDEX(CSINAPI!$B:$B,MATCH($C298,CSINAPI!$A:$A,0)),
IF($B298="CESAN",INDEX(CCESAN!$B:$B,MATCH($C298,CCESAN!$A:$A,0)),
IF($B298="SCORIO",INDEX(CSCORIO!$B:$B,MATCH($C298,CSCORIO!$A:$A,0)),
IF($B298="MERC",INDEX(MERCADO!$B:$B,MATCH($C298,MERCADO!$A:$A,0)),
IF($B298="COMP",INDEX(COMPOSICAO!$B:$B,MATCH($C298,COMPOSICAO!$A:$A,0)),
""))))))),"*Verificar código*")</f>
        <v>Mini-Disjuntor Tripolar 125 A, Curva C - 15Ka 240Vca (Nbr Iec 60947-2), Ref. Siemens, Ge, Schneider Ou Equivalente</v>
      </c>
      <c r="E298" s="171" t="str">
        <f>IFERROR(LOWER(
IF($B298="DER-ES",INDEX('CDER-ES'!$C:$C,MATCH($C298,'CDER-ES'!$A:$A,0)),
IF($B298="SINAPI",INDEX(CSINAPI!$C:$C,MATCH($C298,CSINAPI!$A:$A,0)),
IF($B298="CESAN",INDEX(CCESAN!$C:$C,MATCH($C298,CCESAN!$A:$A,0)),
IF($B298="SCORIO",INDEX(CSCORIO!$A:$A,MATCH($C298,CSCORIO!#REF!,0)),
IF($B298="MERC",INDEX(MERCADO!$D:$D,MATCH($C298,MERCADO!$A:$A,0)),
IF($B298="COMP",INDEX(COMPOSICAO!$G:$G,MATCH($C298,COMPOSICAO!$A:$A,0)),
""))))))),"")</f>
        <v>und</v>
      </c>
      <c r="F298" s="179">
        <f>VLOOKUP(A298,'MEMÓRIA DE CÁLCULO'!A:H,8,0)</f>
        <v>1</v>
      </c>
      <c r="G298" s="173">
        <f>IFERROR(
IF($B298="DER-ES",INDEX('CDER-ES'!$D:$D,MATCH($C298,'CDER-ES'!$A:$A,0)),
IF($B298="SINAPI",INDEX(CSINAPI!$D:$D,MATCH($C298,CSINAPI!$A:$A,0)),
IF($B298="CESAN",INDEX(CCESAN!$D:$D,MATCH($C298,CCESAN!$A:$A,0)),
IF($B298="SCORIO",INDEX(CSCORIO!$B:$B,MATCH($C298,CSCORIO!#REF!,0)),
IF($B298="MERC",INDEX(MERCADO!$E:$E,MATCH($C298,MERCADO!$A:$A,0)),
IF($B298="COMP",INDEX(COMPOSICAO!$H:$H,MATCH($C298,COMPOSICAO!$A:$A,0)),
0)))))),0)</f>
        <v>384.21</v>
      </c>
      <c r="H298" s="173">
        <f t="shared" ref="H298" si="253">ROUND(G298*(1+$J$2),2)</f>
        <v>511.96</v>
      </c>
      <c r="I298" s="180">
        <f t="shared" ref="I298" si="254">ROUND($H298*F298,2)</f>
        <v>511.96</v>
      </c>
      <c r="J298" s="194">
        <f t="shared" si="252"/>
        <v>3.7229344425829926E-3</v>
      </c>
    </row>
    <row r="299" spans="1:10">
      <c r="A299" s="167" t="s">
        <v>14159</v>
      </c>
      <c r="B299" s="168"/>
      <c r="C299" s="169"/>
      <c r="D299" s="170" t="s">
        <v>14160</v>
      </c>
      <c r="E299" s="171"/>
      <c r="F299" s="172"/>
      <c r="G299" s="173"/>
      <c r="H299" s="173"/>
      <c r="I299" s="174"/>
      <c r="J299" s="193"/>
    </row>
    <row r="300" spans="1:10" ht="25.5">
      <c r="A300" s="175" t="s">
        <v>14161</v>
      </c>
      <c r="B300" s="176" t="s">
        <v>12617</v>
      </c>
      <c r="C300" s="177">
        <v>150837</v>
      </c>
      <c r="D300" s="178" t="str">
        <f>IFERROR(PROPER(
IF($B300="DER-ES",INDEX('CDER-ES'!$B:$B,MATCH($C300,'CDER-ES'!$A:$A,0)),
IF($B300="SINAPI",INDEX(CSINAPI!$B:$B,MATCH($C300,CSINAPI!$A:$A,0)),
IF($B300="CESAN",INDEX(CCESAN!$B:$B,MATCH($C300,CCESAN!$A:$A,0)),
IF($B300="SCORIO",INDEX(CSCORIO!$B:$B,MATCH($C300,CSCORIO!$A:$A,0)),
IF($B300="MERC",INDEX(MERCADO!$B:$B,MATCH($C300,MERCADO!$A:$A,0)),
IF($B300="COMP",INDEX(COMPOSICAO!$B:$B,MATCH($C300,COMPOSICAO!$A:$A,0)),
""))))))),"*Verificar código*")</f>
        <v>Eletrocalha Perfurada Em Chapa De Aço Galvanizado Nº16, 300X100Mm, Sem Tampa</v>
      </c>
      <c r="E300" s="171" t="str">
        <f>IFERROR(LOWER(
IF($B300="DER-ES",INDEX('CDER-ES'!$C:$C,MATCH($C300,'CDER-ES'!$A:$A,0)),
IF($B300="SINAPI",INDEX(CSINAPI!$C:$C,MATCH($C300,CSINAPI!$A:$A,0)),
IF($B300="CESAN",INDEX(CCESAN!$C:$C,MATCH($C300,CCESAN!$A:$A,0)),
IF($B300="SCORIO",INDEX(CSCORIO!$A:$A,MATCH($C300,CSCORIO!#REF!,0)),
IF($B300="MERC",INDEX(MERCADO!$D:$D,MATCH($C300,MERCADO!$A:$A,0)),
IF($B300="COMP",INDEX(COMPOSICAO!$G:$G,MATCH($C300,COMPOSICAO!$A:$A,0)),
""))))))),"")</f>
        <v>m</v>
      </c>
      <c r="F300" s="179">
        <f>VLOOKUP(A300,'MEMÓRIA DE CÁLCULO'!A:H,8,0)</f>
        <v>87</v>
      </c>
      <c r="G300" s="173">
        <f>IFERROR(
IF($B300="DER-ES",INDEX('CDER-ES'!$D:$D,MATCH($C300,'CDER-ES'!$A:$A,0)),
IF($B300="SINAPI",INDEX(CSINAPI!$D:$D,MATCH($C300,CSINAPI!$A:$A,0)),
IF($B300="CESAN",INDEX(CCESAN!$D:$D,MATCH($C300,CCESAN!$A:$A,0)),
IF($B300="SCORIO",INDEX(CSCORIO!$B:$B,MATCH($C300,CSCORIO!#REF!,0)),
IF($B300="MERC",INDEX(MERCADO!$E:$E,MATCH($C300,MERCADO!$A:$A,0)),
IF($B300="COMP",INDEX(COMPOSICAO!$H:$H,MATCH($C300,COMPOSICAO!$A:$A,0)),
0)))))),0)</f>
        <v>152.44</v>
      </c>
      <c r="H300" s="173">
        <f t="shared" ref="H300:H308" si="255">ROUND(G300*(1+$J$2),2)</f>
        <v>203.13</v>
      </c>
      <c r="I300" s="180">
        <f t="shared" ref="I300:I308" si="256">ROUND($H300*F300,2)</f>
        <v>17672.310000000001</v>
      </c>
      <c r="J300" s="194">
        <f t="shared" ref="J300:J308" si="257">I300/I$282</f>
        <v>0.12851170321705574</v>
      </c>
    </row>
    <row r="301" spans="1:10" ht="25.5">
      <c r="A301" s="175" t="s">
        <v>14162</v>
      </c>
      <c r="B301" s="176" t="s">
        <v>12617</v>
      </c>
      <c r="C301" s="177">
        <v>150862</v>
      </c>
      <c r="D301" s="178" t="str">
        <f>IFERROR(PROPER(
IF($B301="DER-ES",INDEX('CDER-ES'!$B:$B,MATCH($C301,'CDER-ES'!$A:$A,0)),
IF($B301="SINAPI",INDEX(CSINAPI!$B:$B,MATCH($C301,CSINAPI!$A:$A,0)),
IF($B301="CESAN",INDEX(CCESAN!$B:$B,MATCH($C301,CCESAN!$A:$A,0)),
IF($B301="SCORIO",INDEX(CSCORIO!$B:$B,MATCH($C301,CSCORIO!$A:$A,0)),
IF($B301="MERC",INDEX(MERCADO!$B:$B,MATCH($C301,MERCADO!$A:$A,0)),
IF($B301="COMP",INDEX(COMPOSICAO!$B:$B,MATCH($C301,COMPOSICAO!$A:$A,0)),
""))))))),"*Verificar código*")</f>
        <v>Tampa De Encaixe Para Eletrocalha Em Chapa De Aço Galvanizada 18, Dim. 300Mm</v>
      </c>
      <c r="E301" s="171" t="str">
        <f>IFERROR(LOWER(
IF($B301="DER-ES",INDEX('CDER-ES'!$C:$C,MATCH($C301,'CDER-ES'!$A:$A,0)),
IF($B301="SINAPI",INDEX(CSINAPI!$C:$C,MATCH($C301,CSINAPI!$A:$A,0)),
IF($B301="CESAN",INDEX(CCESAN!$C:$C,MATCH($C301,CCESAN!$A:$A,0)),
IF($B301="SCORIO",INDEX(CSCORIO!$A:$A,MATCH($C301,CSCORIO!#REF!,0)),
IF($B301="MERC",INDEX(MERCADO!$D:$D,MATCH($C301,MERCADO!$A:$A,0)),
IF($B301="COMP",INDEX(COMPOSICAO!$G:$G,MATCH($C301,COMPOSICAO!$A:$A,0)),
""))))))),"")</f>
        <v>und</v>
      </c>
      <c r="F301" s="179">
        <f>VLOOKUP(A301,'MEMÓRIA DE CÁLCULO'!A:H,8,0)</f>
        <v>87</v>
      </c>
      <c r="G301" s="173">
        <f>IFERROR(
IF($B301="DER-ES",INDEX('CDER-ES'!$D:$D,MATCH($C301,'CDER-ES'!$A:$A,0)),
IF($B301="SINAPI",INDEX(CSINAPI!$D:$D,MATCH($C301,CSINAPI!$A:$A,0)),
IF($B301="CESAN",INDEX(CCESAN!$D:$D,MATCH($C301,CCESAN!$A:$A,0)),
IF($B301="SCORIO",INDEX(CSCORIO!$B:$B,MATCH($C301,CSCORIO!#REF!,0)),
IF($B301="MERC",INDEX(MERCADO!$E:$E,MATCH($C301,MERCADO!$A:$A,0)),
IF($B301="COMP",INDEX(COMPOSICAO!$H:$H,MATCH($C301,COMPOSICAO!$A:$A,0)),
0)))))),0)</f>
        <v>73.44</v>
      </c>
      <c r="H301" s="173">
        <f t="shared" si="255"/>
        <v>97.86</v>
      </c>
      <c r="I301" s="180">
        <f t="shared" si="256"/>
        <v>8513.82</v>
      </c>
      <c r="J301" s="194">
        <f t="shared" si="257"/>
        <v>6.1911855840206136E-2</v>
      </c>
    </row>
    <row r="302" spans="1:10" ht="38.25">
      <c r="A302" s="175" t="s">
        <v>14163</v>
      </c>
      <c r="B302" s="176" t="s">
        <v>12617</v>
      </c>
      <c r="C302" s="177">
        <v>150871</v>
      </c>
      <c r="D302" s="178" t="str">
        <f>IFERROR(PROPER(
IF($B302="DER-ES",INDEX('CDER-ES'!$B:$B,MATCH($C302,'CDER-ES'!$A:$A,0)),
IF($B302="SINAPI",INDEX(CSINAPI!$B:$B,MATCH($C302,CSINAPI!$A:$A,0)),
IF($B302="CESAN",INDEX(CCESAN!$B:$B,MATCH($C302,CCESAN!$A:$A,0)),
IF($B302="SCORIO",INDEX(CSCORIO!$B:$B,MATCH($C302,CSCORIO!$A:$A,0)),
IF($B302="MERC",INDEX(MERCADO!$B:$B,MATCH($C302,MERCADO!$A:$A,0)),
IF($B302="COMP",INDEX(COMPOSICAO!$B:$B,MATCH($C302,COMPOSICAO!$A:$A,0)),
""))))))),"*Verificar código*")</f>
        <v>Tê Horizontal 90º Para Eletrocalha Metálica 300X100Mm, Galvanizada, Ref. Mega Mg 2570 Ou Equivalente</v>
      </c>
      <c r="E302" s="171" t="str">
        <f>IFERROR(LOWER(
IF($B302="DER-ES",INDEX('CDER-ES'!$C:$C,MATCH($C302,'CDER-ES'!$A:$A,0)),
IF($B302="SINAPI",INDEX(CSINAPI!$C:$C,MATCH($C302,CSINAPI!$A:$A,0)),
IF($B302="CESAN",INDEX(CCESAN!$C:$C,MATCH($C302,CCESAN!$A:$A,0)),
IF($B302="SCORIO",INDEX(CSCORIO!$A:$A,MATCH($C302,CSCORIO!#REF!,0)),
IF($B302="MERC",INDEX(MERCADO!$D:$D,MATCH($C302,MERCADO!$A:$A,0)),
IF($B302="COMP",INDEX(COMPOSICAO!$G:$G,MATCH($C302,COMPOSICAO!$A:$A,0)),
""))))))),"")</f>
        <v>und</v>
      </c>
      <c r="F302" s="179">
        <f>VLOOKUP(A302,'MEMÓRIA DE CÁLCULO'!A:H,8,0)</f>
        <v>6</v>
      </c>
      <c r="G302" s="173">
        <f>IFERROR(
IF($B302="DER-ES",INDEX('CDER-ES'!$D:$D,MATCH($C302,'CDER-ES'!$A:$A,0)),
IF($B302="SINAPI",INDEX(CSINAPI!$D:$D,MATCH($C302,CSINAPI!$A:$A,0)),
IF($B302="CESAN",INDEX(CCESAN!$D:$D,MATCH($C302,CCESAN!$A:$A,0)),
IF($B302="SCORIO",INDEX(CSCORIO!$B:$B,MATCH($C302,CSCORIO!#REF!,0)),
IF($B302="MERC",INDEX(MERCADO!$E:$E,MATCH($C302,MERCADO!$A:$A,0)),
IF($B302="COMP",INDEX(COMPOSICAO!$H:$H,MATCH($C302,COMPOSICAO!$A:$A,0)),
0)))))),0)</f>
        <v>141.94999999999999</v>
      </c>
      <c r="H302" s="173">
        <f t="shared" si="255"/>
        <v>189.15</v>
      </c>
      <c r="I302" s="180">
        <f t="shared" si="256"/>
        <v>1134.9000000000001</v>
      </c>
      <c r="J302" s="194">
        <f t="shared" si="257"/>
        <v>8.2529070608786601E-3</v>
      </c>
    </row>
    <row r="303" spans="1:10" ht="25.5">
      <c r="A303" s="175" t="s">
        <v>14164</v>
      </c>
      <c r="B303" s="176" t="s">
        <v>12617</v>
      </c>
      <c r="C303" s="177">
        <v>150876</v>
      </c>
      <c r="D303" s="178" t="str">
        <f>IFERROR(PROPER(
IF($B303="DER-ES",INDEX('CDER-ES'!$B:$B,MATCH($C303,'CDER-ES'!$A:$A,0)),
IF($B303="SINAPI",INDEX(CSINAPI!$B:$B,MATCH($C303,CSINAPI!$A:$A,0)),
IF($B303="CESAN",INDEX(CCESAN!$B:$B,MATCH($C303,CCESAN!$A:$A,0)),
IF($B303="SCORIO",INDEX(CSCORIO!$B:$B,MATCH($C303,CSCORIO!$A:$A,0)),
IF($B303="MERC",INDEX(MERCADO!$B:$B,MATCH($C303,MERCADO!$A:$A,0)),
IF($B303="COMP",INDEX(COMPOSICAO!$B:$B,MATCH($C303,COMPOSICAO!$A:$A,0)),
""))))))),"*Verificar código*")</f>
        <v>Curva Horizontal 90º Para Eletrocalha Metálica, 300X100Mm, Galvanizada, Ref. Mega Mg 2510</v>
      </c>
      <c r="E303" s="171" t="str">
        <f>IFERROR(LOWER(
IF($B303="DER-ES",INDEX('CDER-ES'!$C:$C,MATCH($C303,'CDER-ES'!$A:$A,0)),
IF($B303="SINAPI",INDEX(CSINAPI!$C:$C,MATCH($C303,CSINAPI!$A:$A,0)),
IF($B303="CESAN",INDEX(CCESAN!$C:$C,MATCH($C303,CCESAN!$A:$A,0)),
IF($B303="SCORIO",INDEX(CSCORIO!$A:$A,MATCH($C303,CSCORIO!#REF!,0)),
IF($B303="MERC",INDEX(MERCADO!$D:$D,MATCH($C303,MERCADO!$A:$A,0)),
IF($B303="COMP",INDEX(COMPOSICAO!$G:$G,MATCH($C303,COMPOSICAO!$A:$A,0)),
""))))))),"")</f>
        <v>und</v>
      </c>
      <c r="F303" s="179">
        <f>VLOOKUP(A303,'MEMÓRIA DE CÁLCULO'!A:H,8,0)</f>
        <v>2</v>
      </c>
      <c r="G303" s="173">
        <f>IFERROR(
IF($B303="DER-ES",INDEX('CDER-ES'!$D:$D,MATCH($C303,'CDER-ES'!$A:$A,0)),
IF($B303="SINAPI",INDEX(CSINAPI!$D:$D,MATCH($C303,CSINAPI!$A:$A,0)),
IF($B303="CESAN",INDEX(CCESAN!$D:$D,MATCH($C303,CCESAN!$A:$A,0)),
IF($B303="SCORIO",INDEX(CSCORIO!$B:$B,MATCH($C303,CSCORIO!#REF!,0)),
IF($B303="MERC",INDEX(MERCADO!$E:$E,MATCH($C303,MERCADO!$A:$A,0)),
IF($B303="COMP",INDEX(COMPOSICAO!$H:$H,MATCH($C303,COMPOSICAO!$A:$A,0)),
0)))))),0)</f>
        <v>115.87</v>
      </c>
      <c r="H303" s="173">
        <f t="shared" si="255"/>
        <v>154.4</v>
      </c>
      <c r="I303" s="180">
        <f t="shared" si="256"/>
        <v>308.8</v>
      </c>
      <c r="J303" s="194">
        <f t="shared" si="257"/>
        <v>2.2455702708602788E-3</v>
      </c>
    </row>
    <row r="304" spans="1:10" ht="51">
      <c r="A304" s="175" t="s">
        <v>14165</v>
      </c>
      <c r="B304" s="176" t="s">
        <v>12617</v>
      </c>
      <c r="C304" s="177">
        <v>150882</v>
      </c>
      <c r="D304" s="178" t="str">
        <f>IFERROR(PROPER(
IF($B304="DER-ES",INDEX('CDER-ES'!$B:$B,MATCH($C304,'CDER-ES'!$A:$A,0)),
IF($B304="SINAPI",INDEX(CSINAPI!$B:$B,MATCH($C304,CSINAPI!$A:$A,0)),
IF($B304="CESAN",INDEX(CCESAN!$B:$B,MATCH($C304,CCESAN!$A:$A,0)),
IF($B304="SCORIO",INDEX(CSCORIO!$B:$B,MATCH($C304,CSCORIO!$A:$A,0)),
IF($B304="MERC",INDEX(MERCADO!$B:$B,MATCH($C304,MERCADO!$A:$A,0)),
IF($B304="COMP",INDEX(COMPOSICAO!$B:$B,MATCH($C304,COMPOSICAO!$A:$A,0)),
""))))))),"*Verificar código*")</f>
        <v>Suporte De Fixação De Eletrocalha De 300X100Mm, Na Parede, Através De Suporte Tipo Mão Francesa Reforçada (1 Und), Parafuso E Bucha S8 (2 Und)</v>
      </c>
      <c r="E304" s="171" t="str">
        <f>IFERROR(LOWER(
IF($B304="DER-ES",INDEX('CDER-ES'!$C:$C,MATCH($C304,'CDER-ES'!$A:$A,0)),
IF($B304="SINAPI",INDEX(CSINAPI!$C:$C,MATCH($C304,CSINAPI!$A:$A,0)),
IF($B304="CESAN",INDEX(CCESAN!$C:$C,MATCH($C304,CCESAN!$A:$A,0)),
IF($B304="SCORIO",INDEX(CSCORIO!$A:$A,MATCH($C304,CSCORIO!#REF!,0)),
IF($B304="MERC",INDEX(MERCADO!$D:$D,MATCH($C304,MERCADO!$A:$A,0)),
IF($B304="COMP",INDEX(COMPOSICAO!$G:$G,MATCH($C304,COMPOSICAO!$A:$A,0)),
""))))))),"")</f>
        <v>und</v>
      </c>
      <c r="F304" s="179">
        <f>VLOOKUP(A304,'MEMÓRIA DE CÁLCULO'!A:H,8,0)</f>
        <v>85</v>
      </c>
      <c r="G304" s="173">
        <f>IFERROR(
IF($B304="DER-ES",INDEX('CDER-ES'!$D:$D,MATCH($C304,'CDER-ES'!$A:$A,0)),
IF($B304="SINAPI",INDEX(CSINAPI!$D:$D,MATCH($C304,CSINAPI!$A:$A,0)),
IF($B304="CESAN",INDEX(CCESAN!$D:$D,MATCH($C304,CCESAN!$A:$A,0)),
IF($B304="SCORIO",INDEX(CSCORIO!$B:$B,MATCH($C304,CSCORIO!#REF!,0)),
IF($B304="MERC",INDEX(MERCADO!$E:$E,MATCH($C304,MERCADO!$A:$A,0)),
IF($B304="COMP",INDEX(COMPOSICAO!$H:$H,MATCH($C304,COMPOSICAO!$A:$A,0)),
0)))))),0)</f>
        <v>64.38</v>
      </c>
      <c r="H304" s="173">
        <f t="shared" si="255"/>
        <v>85.79</v>
      </c>
      <c r="I304" s="180">
        <f t="shared" si="256"/>
        <v>7292.15</v>
      </c>
      <c r="J304" s="194">
        <f t="shared" si="257"/>
        <v>5.3027963894604208E-2</v>
      </c>
    </row>
    <row r="305" spans="1:10" ht="76.5">
      <c r="A305" s="175" t="s">
        <v>14166</v>
      </c>
      <c r="B305" s="176" t="s">
        <v>12617</v>
      </c>
      <c r="C305" s="177">
        <v>150885</v>
      </c>
      <c r="D305" s="178" t="str">
        <f>IFERROR(PROPER(
IF($B305="DER-ES",INDEX('CDER-ES'!$B:$B,MATCH($C305,'CDER-ES'!$A:$A,0)),
IF($B305="SINAPI",INDEX(CSINAPI!$B:$B,MATCH($C305,CSINAPI!$A:$A,0)),
IF($B305="CESAN",INDEX(CCESAN!$B:$B,MATCH($C305,CCESAN!$A:$A,0)),
IF($B305="SCORIO",INDEX(CSCORIO!$B:$B,MATCH($C305,CSCORIO!$A:$A,0)),
IF($B305="MERC",INDEX(MERCADO!$B:$B,MATCH($C305,MERCADO!$A:$A,0)),
IF($B305="COMP",INDEX(COMPOSICAO!$B:$B,MATCH($C305,COMPOSICAO!$A:$A,0)),
""))))))),"*Verificar código*")</f>
        <v>Suporte De Fixação De Eletrocalha De 300X100Mm, No Teto, Através De Suporte Angular (1 Und), Porca Sextavada E Arruela 1/4  (4 Und) , Vergalhão Com Rosca Total 1/4" (H=60Cm), Cantoneira Zz (2 Und) E Parafuso E Bucha S8 (2 Und)</v>
      </c>
      <c r="E305" s="171" t="str">
        <f>IFERROR(LOWER(
IF($B305="DER-ES",INDEX('CDER-ES'!$C:$C,MATCH($C305,'CDER-ES'!$A:$A,0)),
IF($B305="SINAPI",INDEX(CSINAPI!$C:$C,MATCH($C305,CSINAPI!$A:$A,0)),
IF($B305="CESAN",INDEX(CCESAN!$C:$C,MATCH($C305,CCESAN!$A:$A,0)),
IF($B305="SCORIO",INDEX(CSCORIO!$A:$A,MATCH($C305,CSCORIO!#REF!,0)),
IF($B305="MERC",INDEX(MERCADO!$D:$D,MATCH($C305,MERCADO!$A:$A,0)),
IF($B305="COMP",INDEX(COMPOSICAO!$G:$G,MATCH($C305,COMPOSICAO!$A:$A,0)),
""))))))),"")</f>
        <v>und</v>
      </c>
      <c r="F305" s="179">
        <f>VLOOKUP(A305,'MEMÓRIA DE CÁLCULO'!A:H,8,0)</f>
        <v>131</v>
      </c>
      <c r="G305" s="173">
        <f>IFERROR(
IF($B305="DER-ES",INDEX('CDER-ES'!$D:$D,MATCH($C305,'CDER-ES'!$A:$A,0)),
IF($B305="SINAPI",INDEX(CSINAPI!$D:$D,MATCH($C305,CSINAPI!$A:$A,0)),
IF($B305="CESAN",INDEX(CCESAN!$D:$D,MATCH($C305,CCESAN!$A:$A,0)),
IF($B305="SCORIO",INDEX(CSCORIO!$B:$B,MATCH($C305,CSCORIO!#REF!,0)),
IF($B305="MERC",INDEX(MERCADO!$E:$E,MATCH($C305,MERCADO!$A:$A,0)),
IF($B305="COMP",INDEX(COMPOSICAO!$H:$H,MATCH($C305,COMPOSICAO!$A:$A,0)),
0)))))),0)</f>
        <v>61.39</v>
      </c>
      <c r="H305" s="173">
        <f t="shared" si="255"/>
        <v>81.8</v>
      </c>
      <c r="I305" s="180">
        <f t="shared" si="256"/>
        <v>10715.8</v>
      </c>
      <c r="J305" s="194">
        <f t="shared" si="257"/>
        <v>7.7924488045610654E-2</v>
      </c>
    </row>
    <row r="306" spans="1:10" ht="38.25">
      <c r="A306" s="175" t="s">
        <v>14167</v>
      </c>
      <c r="B306" s="176" t="s">
        <v>928</v>
      </c>
      <c r="C306" s="177">
        <v>91873</v>
      </c>
      <c r="D306" s="178" t="str">
        <f>IFERROR(PROPER(
IF($B306="DER-ES",INDEX('CDER-ES'!$B:$B,MATCH($C306,'CDER-ES'!$A:$A,0)),
IF($B306="SINAPI",INDEX(CSINAPI!$B:$B,MATCH($C306,CSINAPI!$A:$A,0)),
IF($B306="CESAN",INDEX(CCESAN!$B:$B,MATCH($C306,CCESAN!$A:$A,0)),
IF($B306="SCORIO",INDEX(CSCORIO!$B:$B,MATCH($C306,CSCORIO!$A:$A,0)),
IF($B306="MERC",INDEX(MERCADO!$B:$B,MATCH($C306,MERCADO!$A:$A,0)),
IF($B306="COMP",INDEX(COMPOSICAO!$B:$B,MATCH($C306,COMPOSICAO!$A:$A,0)),
""))))))),"*Verificar código*")</f>
        <v>Eletroduto Rígido Roscável, Pvc, Dn 40 Mm (1 1/4"), Para Circuitos Terminais, Instalado Em Parede - Fornecimento E Instalação. Af_03/2023</v>
      </c>
      <c r="E306" s="171" t="str">
        <f>IFERROR(LOWER(
IF($B306="DER-ES",INDEX('CDER-ES'!$C:$C,MATCH($C306,'CDER-ES'!$A:$A,0)),
IF($B306="SINAPI",INDEX(CSINAPI!$C:$C,MATCH($C306,CSINAPI!$A:$A,0)),
IF($B306="CESAN",INDEX(CCESAN!$C:$C,MATCH($C306,CCESAN!$A:$A,0)),
IF($B306="SCORIO",INDEX(CSCORIO!$A:$A,MATCH($C306,CSCORIO!#REF!,0)),
IF($B306="MERC",INDEX(MERCADO!$D:$D,MATCH($C306,MERCADO!$A:$A,0)),
IF($B306="COMP",INDEX(COMPOSICAO!$G:$G,MATCH($C306,COMPOSICAO!$A:$A,0)),
""))))))),"")</f>
        <v>m</v>
      </c>
      <c r="F306" s="179">
        <f>VLOOKUP(A306,'MEMÓRIA DE CÁLCULO'!A:H,8,0)</f>
        <v>149.4</v>
      </c>
      <c r="G306" s="173">
        <f>IFERROR(
IF($B306="DER-ES",INDEX('CDER-ES'!$D:$D,MATCH($C306,'CDER-ES'!$A:$A,0)),
IF($B306="SINAPI",INDEX(CSINAPI!$D:$D,MATCH($C306,CSINAPI!$A:$A,0)),
IF($B306="CESAN",INDEX(CCESAN!$D:$D,MATCH($C306,CCESAN!$A:$A,0)),
IF($B306="SCORIO",INDEX(CSCORIO!$B:$B,MATCH($C306,CSCORIO!#REF!,0)),
IF($B306="MERC",INDEX(MERCADO!$E:$E,MATCH($C306,MERCADO!$A:$A,0)),
IF($B306="COMP",INDEX(COMPOSICAO!$H:$H,MATCH($C306,COMPOSICAO!$A:$A,0)),
0)))))),0)</f>
        <v>19.670000000000002</v>
      </c>
      <c r="H306" s="173">
        <f t="shared" si="255"/>
        <v>26.21</v>
      </c>
      <c r="I306" s="180">
        <f t="shared" si="256"/>
        <v>3915.77</v>
      </c>
      <c r="J306" s="194">
        <f t="shared" si="257"/>
        <v>2.8475183612456451E-2</v>
      </c>
    </row>
    <row r="307" spans="1:10" ht="51">
      <c r="A307" s="175" t="s">
        <v>14168</v>
      </c>
      <c r="B307" s="176" t="s">
        <v>928</v>
      </c>
      <c r="C307" s="177">
        <v>91920</v>
      </c>
      <c r="D307" s="178" t="str">
        <f>IFERROR(PROPER(
IF($B307="DER-ES",INDEX('CDER-ES'!$B:$B,MATCH($C307,'CDER-ES'!$A:$A,0)),
IF($B307="SINAPI",INDEX(CSINAPI!$B:$B,MATCH($C307,CSINAPI!$A:$A,0)),
IF($B307="CESAN",INDEX(CCESAN!$B:$B,MATCH($C307,CCESAN!$A:$A,0)),
IF($B307="SCORIO",INDEX(CSCORIO!$B:$B,MATCH($C307,CSCORIO!$A:$A,0)),
IF($B307="MERC",INDEX(MERCADO!$B:$B,MATCH($C307,MERCADO!$A:$A,0)),
IF($B307="COMP",INDEX(COMPOSICAO!$B:$B,MATCH($C307,COMPOSICAO!$A:$A,0)),
""))))))),"*Verificar código*")</f>
        <v>Curva 90 Graus Para Eletroduto, Pvc, Roscável, Dn 40 Mm (1 1/4"), Para Circuitos Terminais, Instalada Em Parede - Fornecimento E Instalação. Af_03/2023</v>
      </c>
      <c r="E307" s="171" t="str">
        <f>IFERROR(LOWER(
IF($B307="DER-ES",INDEX('CDER-ES'!$C:$C,MATCH($C307,'CDER-ES'!$A:$A,0)),
IF($B307="SINAPI",INDEX(CSINAPI!$C:$C,MATCH($C307,CSINAPI!$A:$A,0)),
IF($B307="CESAN",INDEX(CCESAN!$C:$C,MATCH($C307,CCESAN!$A:$A,0)),
IF($B307="SCORIO",INDEX(CSCORIO!$A:$A,MATCH($C307,CSCORIO!#REF!,0)),
IF($B307="MERC",INDEX(MERCADO!$D:$D,MATCH($C307,MERCADO!$A:$A,0)),
IF($B307="COMP",INDEX(COMPOSICAO!$G:$G,MATCH($C307,COMPOSICAO!$A:$A,0)),
""))))))),"")</f>
        <v>un</v>
      </c>
      <c r="F307" s="179">
        <f>VLOOKUP(A307,'MEMÓRIA DE CÁLCULO'!A:H,8,0)</f>
        <v>3</v>
      </c>
      <c r="G307" s="173">
        <f>IFERROR(
IF($B307="DER-ES",INDEX('CDER-ES'!$D:$D,MATCH($C307,'CDER-ES'!$A:$A,0)),
IF($B307="SINAPI",INDEX(CSINAPI!$D:$D,MATCH($C307,CSINAPI!$A:$A,0)),
IF($B307="CESAN",INDEX(CCESAN!$D:$D,MATCH($C307,CCESAN!$A:$A,0)),
IF($B307="SCORIO",INDEX(CSCORIO!$B:$B,MATCH($C307,CSCORIO!#REF!,0)),
IF($B307="MERC",INDEX(MERCADO!$E:$E,MATCH($C307,MERCADO!$A:$A,0)),
IF($B307="COMP",INDEX(COMPOSICAO!$H:$H,MATCH($C307,COMPOSICAO!$A:$A,0)),
0)))))),0)</f>
        <v>23.59</v>
      </c>
      <c r="H307" s="173">
        <f t="shared" ref="H307" si="258">ROUND(G307*(1+$J$2),2)</f>
        <v>31.43</v>
      </c>
      <c r="I307" s="180">
        <f t="shared" ref="I307" si="259">ROUND($H307*F307,2)</f>
        <v>94.29</v>
      </c>
      <c r="J307" s="194">
        <f t="shared" ref="J307" si="260">I307/I$282</f>
        <v>6.8566975660432539E-4</v>
      </c>
    </row>
    <row r="308" spans="1:10" ht="38.25">
      <c r="A308" s="175" t="s">
        <v>16574</v>
      </c>
      <c r="B308" s="176" t="s">
        <v>12617</v>
      </c>
      <c r="C308" s="177">
        <v>150803</v>
      </c>
      <c r="D308" s="178" t="str">
        <f>IFERROR(PROPER(
IF($B308="DER-ES",INDEX('CDER-ES'!$B:$B,MATCH($C308,'CDER-ES'!$A:$A,0)),
IF($B308="SINAPI",INDEX(CSINAPI!$B:$B,MATCH($C308,CSINAPI!$A:$A,0)),
IF($B308="CESAN",INDEX(CCESAN!$B:$B,MATCH($C308,CCESAN!$A:$A,0)),
IF($B308="SCORIO",INDEX(CSCORIO!$B:$B,MATCH($C308,CSCORIO!$A:$A,0)),
IF($B308="MERC",INDEX(MERCADO!$B:$B,MATCH($C308,MERCADO!$A:$A,0)),
IF($B308="COMP",INDEX(COMPOSICAO!$B:$B,MATCH($C308,COMPOSICAO!$A:$A,0)),
""))))))),"*Verificar código*")</f>
        <v>Caixa De Ligação De Alumínio Silício, Tipo Conduletes, Sem Rosca, No Formato T, Inclusive Tampa Com Vedação, Diâmetro 3/4"</v>
      </c>
      <c r="E308" s="171" t="str">
        <f>IFERROR(LOWER(
IF($B308="DER-ES",INDEX('CDER-ES'!$C:$C,MATCH($C308,'CDER-ES'!$A:$A,0)),
IF($B308="SINAPI",INDEX(CSINAPI!$C:$C,MATCH($C308,CSINAPI!$A:$A,0)),
IF($B308="CESAN",INDEX(CCESAN!$C:$C,MATCH($C308,CCESAN!$A:$A,0)),
IF($B308="SCORIO",INDEX(CSCORIO!$A:$A,MATCH($C308,CSCORIO!#REF!,0)),
IF($B308="MERC",INDEX(MERCADO!$D:$D,MATCH($C308,MERCADO!$A:$A,0)),
IF($B308="COMP",INDEX(COMPOSICAO!$G:$G,MATCH($C308,COMPOSICAO!$A:$A,0)),
""))))))),"")</f>
        <v>und</v>
      </c>
      <c r="F308" s="179">
        <f>VLOOKUP(A308,'MEMÓRIA DE CÁLCULO'!A:H,8,0)</f>
        <v>24</v>
      </c>
      <c r="G308" s="173">
        <f>IFERROR(
IF($B308="DER-ES",INDEX('CDER-ES'!$D:$D,MATCH($C308,'CDER-ES'!$A:$A,0)),
IF($B308="SINAPI",INDEX(CSINAPI!$D:$D,MATCH($C308,CSINAPI!$A:$A,0)),
IF($B308="CESAN",INDEX(CCESAN!$D:$D,MATCH($C308,CCESAN!$A:$A,0)),
IF($B308="SCORIO",INDEX(CSCORIO!$B:$B,MATCH($C308,CSCORIO!#REF!,0)),
IF($B308="MERC",INDEX(MERCADO!$E:$E,MATCH($C308,MERCADO!$A:$A,0)),
IF($B308="COMP",INDEX(COMPOSICAO!$H:$H,MATCH($C308,COMPOSICAO!$A:$A,0)),
0)))))),0)</f>
        <v>28.46</v>
      </c>
      <c r="H308" s="173">
        <f t="shared" si="255"/>
        <v>37.92</v>
      </c>
      <c r="I308" s="180">
        <f t="shared" si="256"/>
        <v>910.08</v>
      </c>
      <c r="J308" s="194">
        <f t="shared" si="257"/>
        <v>6.6180330055198265E-3</v>
      </c>
    </row>
    <row r="309" spans="1:10">
      <c r="A309" s="167" t="s">
        <v>14170</v>
      </c>
      <c r="B309" s="168"/>
      <c r="C309" s="169"/>
      <c r="D309" s="170" t="s">
        <v>14187</v>
      </c>
      <c r="E309" s="171"/>
      <c r="F309" s="172"/>
      <c r="G309" s="173"/>
      <c r="H309" s="173"/>
      <c r="I309" s="174"/>
      <c r="J309" s="193"/>
    </row>
    <row r="310" spans="1:10" ht="51">
      <c r="A310" s="175" t="s">
        <v>14169</v>
      </c>
      <c r="B310" s="176" t="s">
        <v>928</v>
      </c>
      <c r="C310" s="177">
        <v>97586</v>
      </c>
      <c r="D310" s="178" t="str">
        <f>IFERROR(PROPER(
IF($B310="DER-ES",INDEX('CDER-ES'!$B:$B,MATCH($C310,'CDER-ES'!$A:$A,0)),
IF($B310="SINAPI",INDEX(CSINAPI!$B:$B,MATCH($C310,CSINAPI!$A:$A,0)),
IF($B310="CESAN",INDEX(CCESAN!$B:$B,MATCH($C310,CCESAN!$A:$A,0)),
IF($B310="SCORIO",INDEX(CSCORIO!$B:$B,MATCH($C310,CSCORIO!$A:$A,0)),
IF($B310="MERC",INDEX(MERCADO!$B:$B,MATCH($C310,MERCADO!$A:$A,0)),
IF($B310="COMP",INDEX(COMPOSICAO!$B:$B,MATCH($C310,COMPOSICAO!$A:$A,0)),
""))))))),"*Verificar código*")</f>
        <v>Luminária Tipo Calha, De Sobrepor, Com 2 Lâmpadas Tubulares Fluorescentes De 36 W, Com Reator De Partida Rápida - Fornecimento E Instalação. Af_02/2020</v>
      </c>
      <c r="E310" s="171" t="str">
        <f>IFERROR(LOWER(
IF($B310="DER-ES",INDEX('CDER-ES'!$C:$C,MATCH($C310,'CDER-ES'!$A:$A,0)),
IF($B310="SINAPI",INDEX(CSINAPI!$C:$C,MATCH($C310,CSINAPI!$A:$A,0)),
IF($B310="CESAN",INDEX(CCESAN!$C:$C,MATCH($C310,CCESAN!$A:$A,0)),
IF($B310="SCORIO",INDEX(CSCORIO!$A:$A,MATCH($C310,CSCORIO!#REF!,0)),
IF($B310="MERC",INDEX(MERCADO!$D:$D,MATCH($C310,MERCADO!$A:$A,0)),
IF($B310="COMP",INDEX(COMPOSICAO!$G:$G,MATCH($C310,COMPOSICAO!$A:$A,0)),
""))))))),"")</f>
        <v>un</v>
      </c>
      <c r="F310" s="179">
        <f>VLOOKUP(A310,'MEMÓRIA DE CÁLCULO'!A:H,8,0)</f>
        <v>26</v>
      </c>
      <c r="G310" s="173">
        <f>IFERROR(
IF($B310="DER-ES",INDEX('CDER-ES'!$D:$D,MATCH($C310,'CDER-ES'!$A:$A,0)),
IF($B310="SINAPI",INDEX(CSINAPI!$D:$D,MATCH($C310,CSINAPI!$A:$A,0)),
IF($B310="CESAN",INDEX(CCESAN!$D:$D,MATCH($C310,CCESAN!$A:$A,0)),
IF($B310="SCORIO",INDEX(CSCORIO!$B:$B,MATCH($C310,CSCORIO!#REF!,0)),
IF($B310="MERC",INDEX(MERCADO!$E:$E,MATCH($C310,MERCADO!$A:$A,0)),
IF($B310="COMP",INDEX(COMPOSICAO!$H:$H,MATCH($C310,COMPOSICAO!$A:$A,0)),
0)))))),0)</f>
        <v>173.81</v>
      </c>
      <c r="H310" s="173">
        <f t="shared" ref="H310:H317" si="261">ROUND(G310*(1+$J$2),2)</f>
        <v>231.6</v>
      </c>
      <c r="I310" s="180">
        <f t="shared" ref="I310:I317" si="262">ROUND($H310*F310,2)</f>
        <v>6021.6</v>
      </c>
      <c r="J310" s="194">
        <f t="shared" ref="J310:J317" si="263">I310/I$282</f>
        <v>4.378862028177543E-2</v>
      </c>
    </row>
    <row r="311" spans="1:10" ht="38.25">
      <c r="A311" s="175" t="s">
        <v>14171</v>
      </c>
      <c r="B311" s="176" t="s">
        <v>928</v>
      </c>
      <c r="C311" s="177">
        <v>97589</v>
      </c>
      <c r="D311" s="178" t="str">
        <f>IFERROR(PROPER(
IF($B311="DER-ES",INDEX('CDER-ES'!$B:$B,MATCH($C311,'CDER-ES'!$A:$A,0)),
IF($B311="SINAPI",INDEX(CSINAPI!$B:$B,MATCH($C311,CSINAPI!$A:$A,0)),
IF($B311="CESAN",INDEX(CCESAN!$B:$B,MATCH($C311,CCESAN!$A:$A,0)),
IF($B311="SCORIO",INDEX(CSCORIO!$B:$B,MATCH($C311,CSCORIO!$A:$A,0)),
IF($B311="MERC",INDEX(MERCADO!$B:$B,MATCH($C311,MERCADO!$A:$A,0)),
IF($B311="COMP",INDEX(COMPOSICAO!$B:$B,MATCH($C311,COMPOSICAO!$A:$A,0)),
""))))))),"*Verificar código*")</f>
        <v>Luminária Tipo Plafon Em Plástico, De Sobrepor, Com 1 Lâmpada Fluorescente De 15 W, Sem Reator - Fornecimento E Instalação. Af_02/2020</v>
      </c>
      <c r="E311" s="171" t="str">
        <f>IFERROR(LOWER(
IF($B311="DER-ES",INDEX('CDER-ES'!$C:$C,MATCH($C311,'CDER-ES'!$A:$A,0)),
IF($B311="SINAPI",INDEX(CSINAPI!$C:$C,MATCH($C311,CSINAPI!$A:$A,0)),
IF($B311="CESAN",INDEX(CCESAN!$C:$C,MATCH($C311,CCESAN!$A:$A,0)),
IF($B311="SCORIO",INDEX(CSCORIO!$A:$A,MATCH($C311,CSCORIO!#REF!,0)),
IF($B311="MERC",INDEX(MERCADO!$D:$D,MATCH($C311,MERCADO!$A:$A,0)),
IF($B311="COMP",INDEX(COMPOSICAO!$G:$G,MATCH($C311,COMPOSICAO!$A:$A,0)),
""))))))),"")</f>
        <v>un</v>
      </c>
      <c r="F311" s="179">
        <f>VLOOKUP(A311,'MEMÓRIA DE CÁLCULO'!A:H,8,0)</f>
        <v>1</v>
      </c>
      <c r="G311" s="173">
        <f>IFERROR(
IF($B311="DER-ES",INDEX('CDER-ES'!$D:$D,MATCH($C311,'CDER-ES'!$A:$A,0)),
IF($B311="SINAPI",INDEX(CSINAPI!$D:$D,MATCH($C311,CSINAPI!$A:$A,0)),
IF($B311="CESAN",INDEX(CCESAN!$D:$D,MATCH($C311,CCESAN!$A:$A,0)),
IF($B311="SCORIO",INDEX(CSCORIO!$B:$B,MATCH($C311,CSCORIO!#REF!,0)),
IF($B311="MERC",INDEX(MERCADO!$E:$E,MATCH($C311,MERCADO!$A:$A,0)),
IF($B311="COMP",INDEX(COMPOSICAO!$H:$H,MATCH($C311,COMPOSICAO!$A:$A,0)),
0)))))),0)</f>
        <v>44.73</v>
      </c>
      <c r="H311" s="173">
        <f t="shared" si="261"/>
        <v>59.6</v>
      </c>
      <c r="I311" s="180">
        <f t="shared" si="262"/>
        <v>59.6</v>
      </c>
      <c r="J311" s="194">
        <f t="shared" si="263"/>
        <v>4.334066973551574E-4</v>
      </c>
    </row>
    <row r="312" spans="1:10" ht="38.25">
      <c r="A312" s="175" t="s">
        <v>14172</v>
      </c>
      <c r="B312" s="176" t="s">
        <v>928</v>
      </c>
      <c r="C312" s="177">
        <v>101666</v>
      </c>
      <c r="D312" s="178" t="str">
        <f>IFERROR(PROPER(
IF($B312="DER-ES",INDEX('CDER-ES'!$B:$B,MATCH($C312,'CDER-ES'!$A:$A,0)),
IF($B312="SINAPI",INDEX(CSINAPI!$B:$B,MATCH($C312,CSINAPI!$A:$A,0)),
IF($B312="CESAN",INDEX(CCESAN!$B:$B,MATCH($C312,CCESAN!$A:$A,0)),
IF($B312="SCORIO",INDEX(CSCORIO!$B:$B,MATCH($C312,CSCORIO!$A:$A,0)),
IF($B312="MERC",INDEX(MERCADO!$B:$B,MATCH($C312,MERCADO!$A:$A,0)),
IF($B312="COMP",INDEX(COMPOSICAO!$B:$B,MATCH($C312,COMPOSICAO!$A:$A,0)),
""))))))),"*Verificar código*")</f>
        <v>Refletor Retangular Fechado, Com Lâmpada Vapor Metálico 400 W - Fornecimento E Instalação. Af_08/2020</v>
      </c>
      <c r="E312" s="171" t="str">
        <f>IFERROR(LOWER(
IF($B312="DER-ES",INDEX('CDER-ES'!$C:$C,MATCH($C312,'CDER-ES'!$A:$A,0)),
IF($B312="SINAPI",INDEX(CSINAPI!$C:$C,MATCH($C312,CSINAPI!$A:$A,0)),
IF($B312="CESAN",INDEX(CCESAN!$C:$C,MATCH($C312,CCESAN!$A:$A,0)),
IF($B312="SCORIO",INDEX(CSCORIO!$A:$A,MATCH($C312,CSCORIO!#REF!,0)),
IF($B312="MERC",INDEX(MERCADO!$D:$D,MATCH($C312,MERCADO!$A:$A,0)),
IF($B312="COMP",INDEX(COMPOSICAO!$G:$G,MATCH($C312,COMPOSICAO!$A:$A,0)),
""))))))),"")</f>
        <v>un</v>
      </c>
      <c r="F312" s="179">
        <f>VLOOKUP(A312,'MEMÓRIA DE CÁLCULO'!A:H,8,0)</f>
        <v>10</v>
      </c>
      <c r="G312" s="173">
        <f>IFERROR(
IF($B312="DER-ES",INDEX('CDER-ES'!$D:$D,MATCH($C312,'CDER-ES'!$A:$A,0)),
IF($B312="SINAPI",INDEX(CSINAPI!$D:$D,MATCH($C312,CSINAPI!$A:$A,0)),
IF($B312="CESAN",INDEX(CCESAN!$D:$D,MATCH($C312,CCESAN!$A:$A,0)),
IF($B312="SCORIO",INDEX(CSCORIO!$B:$B,MATCH($C312,CSCORIO!#REF!,0)),
IF($B312="MERC",INDEX(MERCADO!$E:$E,MATCH($C312,MERCADO!$A:$A,0)),
IF($B312="COMP",INDEX(COMPOSICAO!$H:$H,MATCH($C312,COMPOSICAO!$A:$A,0)),
0)))))),0)</f>
        <v>440.71</v>
      </c>
      <c r="H312" s="173">
        <f t="shared" si="261"/>
        <v>587.25</v>
      </c>
      <c r="I312" s="180">
        <f t="shared" si="262"/>
        <v>5872.5</v>
      </c>
      <c r="J312" s="194">
        <f t="shared" si="263"/>
        <v>4.2704376345942312E-2</v>
      </c>
    </row>
    <row r="313" spans="1:10" ht="38.25">
      <c r="A313" s="175" t="s">
        <v>14173</v>
      </c>
      <c r="B313" s="176" t="s">
        <v>928</v>
      </c>
      <c r="C313" s="177">
        <v>91993</v>
      </c>
      <c r="D313" s="178" t="str">
        <f>IFERROR(PROPER(
IF($B313="DER-ES",INDEX('CDER-ES'!$B:$B,MATCH($C313,'CDER-ES'!$A:$A,0)),
IF($B313="SINAPI",INDEX(CSINAPI!$B:$B,MATCH($C313,CSINAPI!$A:$A,0)),
IF($B313="CESAN",INDEX(CCESAN!$B:$B,MATCH($C313,CCESAN!$A:$A,0)),
IF($B313="SCORIO",INDEX(CSCORIO!$B:$B,MATCH($C313,CSCORIO!$A:$A,0)),
IF($B313="MERC",INDEX(MERCADO!$B:$B,MATCH($C313,MERCADO!$A:$A,0)),
IF($B313="COMP",INDEX(COMPOSICAO!$B:$B,MATCH($C313,COMPOSICAO!$A:$A,0)),
""))))))),"*Verificar código*")</f>
        <v>Tomada Alta De Embutir (1 Módulo), 2P+T 20 A, Incluindo Suporte E Placa - Fornecimento E Instalação. Af_03/2023</v>
      </c>
      <c r="E313" s="171" t="str">
        <f>IFERROR(LOWER(
IF($B313="DER-ES",INDEX('CDER-ES'!$C:$C,MATCH($C313,'CDER-ES'!$A:$A,0)),
IF($B313="SINAPI",INDEX(CSINAPI!$C:$C,MATCH($C313,CSINAPI!$A:$A,0)),
IF($B313="CESAN",INDEX(CCESAN!$C:$C,MATCH($C313,CCESAN!$A:$A,0)),
IF($B313="SCORIO",INDEX(CSCORIO!$A:$A,MATCH($C313,CSCORIO!#REF!,0)),
IF($B313="MERC",INDEX(MERCADO!$D:$D,MATCH($C313,MERCADO!$A:$A,0)),
IF($B313="COMP",INDEX(COMPOSICAO!$G:$G,MATCH($C313,COMPOSICAO!$A:$A,0)),
""))))))),"")</f>
        <v>un</v>
      </c>
      <c r="F313" s="179">
        <f>VLOOKUP(A313,'MEMÓRIA DE CÁLCULO'!A:H,8,0)</f>
        <v>7</v>
      </c>
      <c r="G313" s="173">
        <f>IFERROR(
IF($B313="DER-ES",INDEX('CDER-ES'!$D:$D,MATCH($C313,'CDER-ES'!$A:$A,0)),
IF($B313="SINAPI",INDEX(CSINAPI!$D:$D,MATCH($C313,CSINAPI!$A:$A,0)),
IF($B313="CESAN",INDEX(CCESAN!$D:$D,MATCH($C313,CCESAN!$A:$A,0)),
IF($B313="SCORIO",INDEX(CSCORIO!$B:$B,MATCH($C313,CSCORIO!#REF!,0)),
IF($B313="MERC",INDEX(MERCADO!$E:$E,MATCH($C313,MERCADO!$A:$A,0)),
IF($B313="COMP",INDEX(COMPOSICAO!$H:$H,MATCH($C313,COMPOSICAO!$A:$A,0)),
0)))))),0)</f>
        <v>49.17</v>
      </c>
      <c r="H313" s="173">
        <f t="shared" si="261"/>
        <v>65.52</v>
      </c>
      <c r="I313" s="180">
        <f t="shared" si="262"/>
        <v>458.64</v>
      </c>
      <c r="J313" s="194">
        <f t="shared" si="263"/>
        <v>3.3351954307880767E-3</v>
      </c>
    </row>
    <row r="314" spans="1:10" ht="38.25">
      <c r="A314" s="175" t="s">
        <v>14174</v>
      </c>
      <c r="B314" s="176" t="s">
        <v>928</v>
      </c>
      <c r="C314" s="177">
        <v>91997</v>
      </c>
      <c r="D314" s="178" t="str">
        <f>IFERROR(PROPER(
IF($B314="DER-ES",INDEX('CDER-ES'!$B:$B,MATCH($C314,'CDER-ES'!$A:$A,0)),
IF($B314="SINAPI",INDEX(CSINAPI!$B:$B,MATCH($C314,CSINAPI!$A:$A,0)),
IF($B314="CESAN",INDEX(CCESAN!$B:$B,MATCH($C314,CCESAN!$A:$A,0)),
IF($B314="SCORIO",INDEX(CSCORIO!$B:$B,MATCH($C314,CSCORIO!$A:$A,0)),
IF($B314="MERC",INDEX(MERCADO!$B:$B,MATCH($C314,MERCADO!$A:$A,0)),
IF($B314="COMP",INDEX(COMPOSICAO!$B:$B,MATCH($C314,COMPOSICAO!$A:$A,0)),
""))))))),"*Verificar código*")</f>
        <v>Tomada Média De Embutir (1 Módulo), 2P+T 20 A, Incluindo Suporte E Placa - Fornecimento E Instalação. Af_03/2023</v>
      </c>
      <c r="E314" s="171" t="str">
        <f>IFERROR(LOWER(
IF($B314="DER-ES",INDEX('CDER-ES'!$C:$C,MATCH($C314,'CDER-ES'!$A:$A,0)),
IF($B314="SINAPI",INDEX(CSINAPI!$C:$C,MATCH($C314,CSINAPI!$A:$A,0)),
IF($B314="CESAN",INDEX(CCESAN!$C:$C,MATCH($C314,CCESAN!$A:$A,0)),
IF($B314="SCORIO",INDEX(CSCORIO!$A:$A,MATCH($C314,CSCORIO!#REF!,0)),
IF($B314="MERC",INDEX(MERCADO!$D:$D,MATCH($C314,MERCADO!$A:$A,0)),
IF($B314="COMP",INDEX(COMPOSICAO!$G:$G,MATCH($C314,COMPOSICAO!$A:$A,0)),
""))))))),"")</f>
        <v>un</v>
      </c>
      <c r="F314" s="179">
        <f>VLOOKUP(A314,'MEMÓRIA DE CÁLCULO'!A:H,8,0)</f>
        <v>14</v>
      </c>
      <c r="G314" s="173">
        <f>IFERROR(
IF($B314="DER-ES",INDEX('CDER-ES'!$D:$D,MATCH($C314,'CDER-ES'!$A:$A,0)),
IF($B314="SINAPI",INDEX(CSINAPI!$D:$D,MATCH($C314,CSINAPI!$A:$A,0)),
IF($B314="CESAN",INDEX(CCESAN!$D:$D,MATCH($C314,CCESAN!$A:$A,0)),
IF($B314="SCORIO",INDEX(CSCORIO!$B:$B,MATCH($C314,CSCORIO!#REF!,0)),
IF($B314="MERC",INDEX(MERCADO!$E:$E,MATCH($C314,MERCADO!$A:$A,0)),
IF($B314="COMP",INDEX(COMPOSICAO!$H:$H,MATCH($C314,COMPOSICAO!$A:$A,0)),
0)))))),0)</f>
        <v>39.29</v>
      </c>
      <c r="H314" s="173">
        <f t="shared" si="261"/>
        <v>52.35</v>
      </c>
      <c r="I314" s="180">
        <f t="shared" si="262"/>
        <v>732.9</v>
      </c>
      <c r="J314" s="194">
        <f t="shared" si="263"/>
        <v>5.3295934310670272E-3</v>
      </c>
    </row>
    <row r="315" spans="1:10" ht="38.25">
      <c r="A315" s="175" t="s">
        <v>14175</v>
      </c>
      <c r="B315" s="176" t="s">
        <v>928</v>
      </c>
      <c r="C315" s="177">
        <v>92000</v>
      </c>
      <c r="D315" s="178" t="str">
        <f>IFERROR(PROPER(
IF($B315="DER-ES",INDEX('CDER-ES'!$B:$B,MATCH($C315,'CDER-ES'!$A:$A,0)),
IF($B315="SINAPI",INDEX(CSINAPI!$B:$B,MATCH($C315,CSINAPI!$A:$A,0)),
IF($B315="CESAN",INDEX(CCESAN!$B:$B,MATCH($C315,CCESAN!$A:$A,0)),
IF($B315="SCORIO",INDEX(CSCORIO!$B:$B,MATCH($C315,CSCORIO!$A:$A,0)),
IF($B315="MERC",INDEX(MERCADO!$B:$B,MATCH($C315,MERCADO!$A:$A,0)),
IF($B315="COMP",INDEX(COMPOSICAO!$B:$B,MATCH($C315,COMPOSICAO!$A:$A,0)),
""))))))),"*Verificar código*")</f>
        <v>Tomada Baixa De Embutir (1 Módulo), 2P+T 10 A, Incluindo Suporte E Placa - Fornecimento E Instalação. Af_03/2023</v>
      </c>
      <c r="E315" s="171" t="str">
        <f>IFERROR(LOWER(
IF($B315="DER-ES",INDEX('CDER-ES'!$C:$C,MATCH($C315,'CDER-ES'!$A:$A,0)),
IF($B315="SINAPI",INDEX(CSINAPI!$C:$C,MATCH($C315,CSINAPI!$A:$A,0)),
IF($B315="CESAN",INDEX(CCESAN!$C:$C,MATCH($C315,CCESAN!$A:$A,0)),
IF($B315="SCORIO",INDEX(CSCORIO!$A:$A,MATCH($C315,CSCORIO!#REF!,0)),
IF($B315="MERC",INDEX(MERCADO!$D:$D,MATCH($C315,MERCADO!$A:$A,0)),
IF($B315="COMP",INDEX(COMPOSICAO!$G:$G,MATCH($C315,COMPOSICAO!$A:$A,0)),
""))))))),"")</f>
        <v>un</v>
      </c>
      <c r="F315" s="179">
        <f>VLOOKUP(A315,'MEMÓRIA DE CÁLCULO'!A:H,8,0)</f>
        <v>16</v>
      </c>
      <c r="G315" s="173">
        <f>IFERROR(
IF($B315="DER-ES",INDEX('CDER-ES'!$D:$D,MATCH($C315,'CDER-ES'!$A:$A,0)),
IF($B315="SINAPI",INDEX(CSINAPI!$D:$D,MATCH($C315,CSINAPI!$A:$A,0)),
IF($B315="CESAN",INDEX(CCESAN!$D:$D,MATCH($C315,CCESAN!$A:$A,0)),
IF($B315="SCORIO",INDEX(CSCORIO!$B:$B,MATCH($C315,CSCORIO!#REF!,0)),
IF($B315="MERC",INDEX(MERCADO!$E:$E,MATCH($C315,MERCADO!$A:$A,0)),
IF($B315="COMP",INDEX(COMPOSICAO!$H:$H,MATCH($C315,COMPOSICAO!$A:$A,0)),
0)))))),0)</f>
        <v>32.96</v>
      </c>
      <c r="H315" s="173">
        <f t="shared" si="261"/>
        <v>43.92</v>
      </c>
      <c r="I315" s="180">
        <f t="shared" si="262"/>
        <v>702.72</v>
      </c>
      <c r="J315" s="194">
        <f t="shared" si="263"/>
        <v>5.1101267510975873E-3</v>
      </c>
    </row>
    <row r="316" spans="1:10" ht="38.25">
      <c r="A316" s="175" t="s">
        <v>14176</v>
      </c>
      <c r="B316" s="176" t="s">
        <v>928</v>
      </c>
      <c r="C316" s="177">
        <v>91953</v>
      </c>
      <c r="D316" s="178" t="str">
        <f>IFERROR(PROPER(
IF($B316="DER-ES",INDEX('CDER-ES'!$B:$B,MATCH($C316,'CDER-ES'!$A:$A,0)),
IF($B316="SINAPI",INDEX(CSINAPI!$B:$B,MATCH($C316,CSINAPI!$A:$A,0)),
IF($B316="CESAN",INDEX(CCESAN!$B:$B,MATCH($C316,CCESAN!$A:$A,0)),
IF($B316="SCORIO",INDEX(CSCORIO!$B:$B,MATCH($C316,CSCORIO!$A:$A,0)),
IF($B316="MERC",INDEX(MERCADO!$B:$B,MATCH($C316,MERCADO!$A:$A,0)),
IF($B316="COMP",INDEX(COMPOSICAO!$B:$B,MATCH($C316,COMPOSICAO!$A:$A,0)),
""))))))),"*Verificar código*")</f>
        <v>Interruptor Simples (1 Módulo), 10A/250V, Incluindo Suporte E Placa - Fornecimento E Instalação. Af_03/2023</v>
      </c>
      <c r="E316" s="171" t="str">
        <f>IFERROR(LOWER(
IF($B316="DER-ES",INDEX('CDER-ES'!$C:$C,MATCH($C316,'CDER-ES'!$A:$A,0)),
IF($B316="SINAPI",INDEX(CSINAPI!$C:$C,MATCH($C316,CSINAPI!$A:$A,0)),
IF($B316="CESAN",INDEX(CCESAN!$C:$C,MATCH($C316,CCESAN!$A:$A,0)),
IF($B316="SCORIO",INDEX(CSCORIO!$A:$A,MATCH($C316,CSCORIO!#REF!,0)),
IF($B316="MERC",INDEX(MERCADO!$D:$D,MATCH($C316,MERCADO!$A:$A,0)),
IF($B316="COMP",INDEX(COMPOSICAO!$G:$G,MATCH($C316,COMPOSICAO!$A:$A,0)),
""))))))),"")</f>
        <v>un</v>
      </c>
      <c r="F316" s="179">
        <f>VLOOKUP(A316,'MEMÓRIA DE CÁLCULO'!A:H,8,0)</f>
        <v>12</v>
      </c>
      <c r="G316" s="173">
        <f>IFERROR(
IF($B316="DER-ES",INDEX('CDER-ES'!$D:$D,MATCH($C316,'CDER-ES'!$A:$A,0)),
IF($B316="SINAPI",INDEX(CSINAPI!$D:$D,MATCH($C316,CSINAPI!$A:$A,0)),
IF($B316="CESAN",INDEX(CCESAN!$D:$D,MATCH($C316,CCESAN!$A:$A,0)),
IF($B316="SCORIO",INDEX(CSCORIO!$B:$B,MATCH($C316,CSCORIO!#REF!,0)),
IF($B316="MERC",INDEX(MERCADO!$E:$E,MATCH($C316,MERCADO!$A:$A,0)),
IF($B316="COMP",INDEX(COMPOSICAO!$H:$H,MATCH($C316,COMPOSICAO!$A:$A,0)),
0)))))),0)</f>
        <v>31.35</v>
      </c>
      <c r="H316" s="173">
        <f t="shared" si="261"/>
        <v>41.77</v>
      </c>
      <c r="I316" s="180">
        <f t="shared" si="262"/>
        <v>501.24</v>
      </c>
      <c r="J316" s="194">
        <f t="shared" si="263"/>
        <v>3.6449794124546828E-3</v>
      </c>
    </row>
    <row r="317" spans="1:10" ht="38.25">
      <c r="A317" s="175" t="s">
        <v>14177</v>
      </c>
      <c r="B317" s="176" t="s">
        <v>928</v>
      </c>
      <c r="C317" s="177">
        <v>97599</v>
      </c>
      <c r="D317" s="178" t="str">
        <f>IFERROR(PROPER(
IF($B317="DER-ES",INDEX('CDER-ES'!$B:$B,MATCH($C317,'CDER-ES'!$A:$A,0)),
IF($B317="SINAPI",INDEX(CSINAPI!$B:$B,MATCH($C317,CSINAPI!$A:$A,0)),
IF($B317="CESAN",INDEX(CCESAN!$B:$B,MATCH($C317,CCESAN!$A:$A,0)),
IF($B317="SCORIO",INDEX(CSCORIO!$B:$B,MATCH($C317,CSCORIO!$A:$A,0)),
IF($B317="MERC",INDEX(MERCADO!$B:$B,MATCH($C317,MERCADO!$A:$A,0)),
IF($B317="COMP",INDEX(COMPOSICAO!$B:$B,MATCH($C317,COMPOSICAO!$A:$A,0)),
""))))))),"*Verificar código*")</f>
        <v>Luminária De Emergência, Com 30 Lâmpadas Led De 2 W, Sem Reator - Fornecimento E Instalação. Af_02/2020</v>
      </c>
      <c r="E317" s="171" t="str">
        <f>IFERROR(LOWER(
IF($B317="DER-ES",INDEX('CDER-ES'!$C:$C,MATCH($C317,'CDER-ES'!$A:$A,0)),
IF($B317="SINAPI",INDEX(CSINAPI!$C:$C,MATCH($C317,CSINAPI!$A:$A,0)),
IF($B317="CESAN",INDEX(CCESAN!$C:$C,MATCH($C317,CCESAN!$A:$A,0)),
IF($B317="SCORIO",INDEX(CSCORIO!$A:$A,MATCH($C317,CSCORIO!#REF!,0)),
IF($B317="MERC",INDEX(MERCADO!$D:$D,MATCH($C317,MERCADO!$A:$A,0)),
IF($B317="COMP",INDEX(COMPOSICAO!$G:$G,MATCH($C317,COMPOSICAO!$A:$A,0)),
""))))))),"")</f>
        <v>un</v>
      </c>
      <c r="F317" s="179">
        <f>VLOOKUP(A317,'MEMÓRIA DE CÁLCULO'!A:H,8,0)</f>
        <v>14</v>
      </c>
      <c r="G317" s="173">
        <f>IFERROR(
IF($B317="DER-ES",INDEX('CDER-ES'!$D:$D,MATCH($C317,'CDER-ES'!$A:$A,0)),
IF($B317="SINAPI",INDEX(CSINAPI!$D:$D,MATCH($C317,CSINAPI!$A:$A,0)),
IF($B317="CESAN",INDEX(CCESAN!$D:$D,MATCH($C317,CCESAN!$A:$A,0)),
IF($B317="SCORIO",INDEX(CSCORIO!$B:$B,MATCH($C317,CSCORIO!#REF!,0)),
IF($B317="MERC",INDEX(MERCADO!$E:$E,MATCH($C317,MERCADO!$A:$A,0)),
IF($B317="COMP",INDEX(COMPOSICAO!$H:$H,MATCH($C317,COMPOSICAO!$A:$A,0)),
0)))))),0)</f>
        <v>23.19</v>
      </c>
      <c r="H317" s="173">
        <f t="shared" si="261"/>
        <v>30.9</v>
      </c>
      <c r="I317" s="180">
        <f t="shared" si="262"/>
        <v>432.6</v>
      </c>
      <c r="J317" s="194">
        <f t="shared" si="263"/>
        <v>3.145834518051025E-3</v>
      </c>
    </row>
    <row r="318" spans="1:10" ht="38.25">
      <c r="A318" s="175" t="s">
        <v>14178</v>
      </c>
      <c r="B318" s="176" t="s">
        <v>12617</v>
      </c>
      <c r="C318" s="177">
        <v>180107</v>
      </c>
      <c r="D318" s="178" t="str">
        <f>IFERROR(PROPER(
IF($B318="DER-ES",INDEX('CDER-ES'!$B:$B,MATCH($C318,'CDER-ES'!$A:$A,0)),
IF($B318="SINAPI",INDEX(CSINAPI!$B:$B,MATCH($C318,CSINAPI!$A:$A,0)),
IF($B318="CESAN",INDEX(CCESAN!$B:$B,MATCH($C318,CCESAN!$A:$A,0)),
IF($B318="SCORIO",INDEX(CSCORIO!$B:$B,MATCH($C318,CSCORIO!$A:$A,0)),
IF($B318="MERC",INDEX(MERCADO!$B:$B,MATCH($C318,MERCADO!$A:$A,0)),
IF($B318="COMP",INDEX(COMPOSICAO!$B:$B,MATCH($C318,COMPOSICAO!$A:$A,0)),
""))))))),"*Verificar código*")</f>
        <v>Luminária Industrial A Prova De Tempo, 45 Graus, Wetzel Ou Equivalente, Inclusive Lampada Mista 160W</v>
      </c>
      <c r="E318" s="171" t="str">
        <f>IFERROR(LOWER(
IF($B318="DER-ES",INDEX('CDER-ES'!$C:$C,MATCH($C318,'CDER-ES'!$A:$A,0)),
IF($B318="SINAPI",INDEX(CSINAPI!$C:$C,MATCH($C318,CSINAPI!$A:$A,0)),
IF($B318="CESAN",INDEX(CCESAN!$C:$C,MATCH($C318,CCESAN!$A:$A,0)),
IF($B318="SCORIO",INDEX(CSCORIO!$A:$A,MATCH($C318,CSCORIO!#REF!,0)),
IF($B318="MERC",INDEX(MERCADO!$D:$D,MATCH($C318,MERCADO!$A:$A,0)),
IF($B318="COMP",INDEX(COMPOSICAO!$G:$G,MATCH($C318,COMPOSICAO!$A:$A,0)),
""))))))),"")</f>
        <v>und</v>
      </c>
      <c r="F318" s="179">
        <f>VLOOKUP(A318,'MEMÓRIA DE CÁLCULO'!A:H,8,0)</f>
        <v>24</v>
      </c>
      <c r="G318" s="173">
        <f>IFERROR(
IF($B318="DER-ES",INDEX('CDER-ES'!$D:$D,MATCH($C318,'CDER-ES'!$A:$A,0)),
IF($B318="SINAPI",INDEX(CSINAPI!$D:$D,MATCH($C318,CSINAPI!$A:$A,0)),
IF($B318="CESAN",INDEX(CCESAN!$D:$D,MATCH($C318,CCESAN!$A:$A,0)),
IF($B318="SCORIO",INDEX(CSCORIO!$B:$B,MATCH($C318,CSCORIO!#REF!,0)),
IF($B318="MERC",INDEX(MERCADO!$E:$E,MATCH($C318,MERCADO!$A:$A,0)),
IF($B318="COMP",INDEX(COMPOSICAO!$H:$H,MATCH($C318,COMPOSICAO!$A:$A,0)),
0)))))),0)</f>
        <v>531.03</v>
      </c>
      <c r="H318" s="173">
        <f t="shared" ref="H318" si="264">ROUND(G318*(1+$J$2),2)</f>
        <v>707.6</v>
      </c>
      <c r="I318" s="180">
        <f t="shared" ref="I318" si="265">ROUND($H318*F318,2)</f>
        <v>16982.400000000001</v>
      </c>
      <c r="J318" s="194">
        <f t="shared" ref="J318" si="266">I318/I$282</f>
        <v>0.12349472981819169</v>
      </c>
    </row>
    <row r="319" spans="1:10">
      <c r="A319" s="167" t="s">
        <v>14182</v>
      </c>
      <c r="B319" s="168"/>
      <c r="C319" s="169"/>
      <c r="D319" s="170" t="s">
        <v>14391</v>
      </c>
      <c r="E319" s="171"/>
      <c r="F319" s="172"/>
      <c r="G319" s="173"/>
      <c r="H319" s="173"/>
      <c r="I319" s="174"/>
      <c r="J319" s="193"/>
    </row>
    <row r="320" spans="1:10" ht="63.75">
      <c r="A320" s="175" t="s">
        <v>14179</v>
      </c>
      <c r="B320" s="176" t="s">
        <v>12617</v>
      </c>
      <c r="C320" s="177">
        <v>151707</v>
      </c>
      <c r="D320" s="178" t="str">
        <f>IFERROR(PROPER(
IF($B320="DER-ES",INDEX('CDER-ES'!$B:$B,MATCH($C320,'CDER-ES'!$A:$A,0)),
IF($B320="SINAPI",INDEX(CSINAPI!$B:$B,MATCH($C320,CSINAPI!$A:$A,0)),
IF($B320="CESAN",INDEX(CCESAN!$B:$B,MATCH($C320,CCESAN!$A:$A,0)),
IF($B320="SCORIO",INDEX(CSCORIO!$B:$B,MATCH($C320,CSCORIO!$A:$A,0)),
IF($B320="MERC",INDEX(MERCADO!$B:$B,MATCH($C320,MERCADO!$A:$A,0)),
IF($B320="COMP",INDEX(COMPOSICAO!$B:$B,MATCH($C320,COMPOSICAO!$A:$A,0)),
""))))))),"*Verificar código*")</f>
        <v>Padrão De Entrada De Energia Elétrica, Trifásico, Entrada Subterrânea, A 4 Fios, Carga Instalada Em Muro De 41001 Até 57000W - 220/127V, Exclusive Derivação De Ramal De Entrada Subterrânea</v>
      </c>
      <c r="E320" s="171" t="str">
        <f>IFERROR(LOWER(
IF($B320="DER-ES",INDEX('CDER-ES'!$C:$C,MATCH($C320,'CDER-ES'!$A:$A,0)),
IF($B320="SINAPI",INDEX(CSINAPI!$C:$C,MATCH($C320,CSINAPI!$A:$A,0)),
IF($B320="CESAN",INDEX(CCESAN!$C:$C,MATCH($C320,CCESAN!$A:$A,0)),
IF($B320="SCORIO",INDEX(CSCORIO!$A:$A,MATCH($C320,CSCORIO!#REF!,0)),
IF($B320="MERC",INDEX(MERCADO!$D:$D,MATCH($C320,MERCADO!$A:$A,0)),
IF($B320="COMP",INDEX(COMPOSICAO!$G:$G,MATCH($C320,COMPOSICAO!$A:$A,0)),
""))))))),"")</f>
        <v>und</v>
      </c>
      <c r="F320" s="179">
        <f>VLOOKUP(A320,'MEMÓRIA DE CÁLCULO'!A:H,8,0)</f>
        <v>1</v>
      </c>
      <c r="G320" s="173">
        <f>IFERROR(
IF($B320="DER-ES",INDEX('CDER-ES'!$D:$D,MATCH($C320,'CDER-ES'!$A:$A,0)),
IF($B320="SINAPI",INDEX(CSINAPI!$D:$D,MATCH($C320,CSINAPI!$A:$A,0)),
IF($B320="CESAN",INDEX(CCESAN!$D:$D,MATCH($C320,CCESAN!$A:$A,0)),
IF($B320="SCORIO",INDEX(CSCORIO!$B:$B,MATCH($C320,CSCORIO!#REF!,0)),
IF($B320="MERC",INDEX(MERCADO!$E:$E,MATCH($C320,MERCADO!$A:$A,0)),
IF($B320="COMP",INDEX(COMPOSICAO!$H:$H,MATCH($C320,COMPOSICAO!$A:$A,0)),
0)))))),0)</f>
        <v>4718.57</v>
      </c>
      <c r="H320" s="173">
        <f t="shared" ref="H320:H326" si="267">ROUND(G320*(1+$J$2),2)</f>
        <v>6287.49</v>
      </c>
      <c r="I320" s="180">
        <f t="shared" ref="I320:I326" si="268">ROUND($H320*F320,2)</f>
        <v>6287.49</v>
      </c>
      <c r="J320" s="194">
        <f t="shared" ref="J320:J326" si="269">I320/I$282</f>
        <v>4.5722152274388896E-2</v>
      </c>
    </row>
    <row r="321" spans="1:11" ht="63.75">
      <c r="A321" s="175" t="s">
        <v>14180</v>
      </c>
      <c r="B321" s="176" t="s">
        <v>12617</v>
      </c>
      <c r="C321" s="177">
        <v>151002</v>
      </c>
      <c r="D321" s="178" t="str">
        <f>IFERROR(PROPER(
IF($B321="DER-ES",INDEX('CDER-ES'!$B:$B,MATCH($C321,'CDER-ES'!$A:$A,0)),
IF($B321="SINAPI",INDEX(CSINAPI!$B:$B,MATCH($C321,CSINAPI!$A:$A,0)),
IF($B321="CESAN",INDEX(CCESAN!$B:$B,MATCH($C321,CCESAN!$A:$A,0)),
IF($B321="SCORIO",INDEX(CSCORIO!$B:$B,MATCH($C321,CSCORIO!$A:$A,0)),
IF($B321="MERC",INDEX(MERCADO!$B:$B,MATCH($C321,MERCADO!$A:$A,0)),
IF($B321="COMP",INDEX(COMPOSICAO!$B:$B,MATCH($C321,COMPOSICAO!$A:$A,0)),
""))))))),"*Verificar código*")</f>
        <v>Caixa De Passagem De Alvenaria De Blocos Cerâmicos 10 Furos 10X20X20Cm Dimensões De 50X50X50Cm, Com Revestimento Interno Em Chapisco E Reboco, Tampa De Concreto Esp.5Cm E Lastro De Brita 5 Cm</v>
      </c>
      <c r="E321" s="171" t="str">
        <f>IFERROR(LOWER(
IF($B321="DER-ES",INDEX('CDER-ES'!$C:$C,MATCH($C321,'CDER-ES'!$A:$A,0)),
IF($B321="SINAPI",INDEX(CSINAPI!$C:$C,MATCH($C321,CSINAPI!$A:$A,0)),
IF($B321="CESAN",INDEX(CCESAN!$C:$C,MATCH($C321,CCESAN!$A:$A,0)),
IF($B321="SCORIO",INDEX(CSCORIO!$A:$A,MATCH($C321,CSCORIO!#REF!,0)),
IF($B321="MERC",INDEX(MERCADO!$D:$D,MATCH($C321,MERCADO!$A:$A,0)),
IF($B321="COMP",INDEX(COMPOSICAO!$G:$G,MATCH($C321,COMPOSICAO!$A:$A,0)),
""))))))),"")</f>
        <v>und</v>
      </c>
      <c r="F321" s="179">
        <f>VLOOKUP(A321,'MEMÓRIA DE CÁLCULO'!A:H,8,0)</f>
        <v>1</v>
      </c>
      <c r="G321" s="173">
        <f>IFERROR(
IF($B321="DER-ES",INDEX('CDER-ES'!$D:$D,MATCH($C321,'CDER-ES'!$A:$A,0)),
IF($B321="SINAPI",INDEX(CSINAPI!$D:$D,MATCH($C321,CSINAPI!$A:$A,0)),
IF($B321="CESAN",INDEX(CCESAN!$D:$D,MATCH($C321,CCESAN!$A:$A,0)),
IF($B321="SCORIO",INDEX(CSCORIO!$B:$B,MATCH($C321,CSCORIO!#REF!,0)),
IF($B321="MERC",INDEX(MERCADO!$E:$E,MATCH($C321,MERCADO!$A:$A,0)),
IF($B321="COMP",INDEX(COMPOSICAO!$H:$H,MATCH($C321,COMPOSICAO!$A:$A,0)),
0)))))),0)</f>
        <v>297.58</v>
      </c>
      <c r="H321" s="173">
        <f t="shared" si="267"/>
        <v>396.53</v>
      </c>
      <c r="I321" s="180">
        <f t="shared" si="268"/>
        <v>396.53</v>
      </c>
      <c r="J321" s="194">
        <f t="shared" si="269"/>
        <v>2.8835362030577272E-3</v>
      </c>
    </row>
    <row r="322" spans="1:11" ht="51">
      <c r="A322" s="175" t="s">
        <v>14181</v>
      </c>
      <c r="B322" s="176" t="s">
        <v>12617</v>
      </c>
      <c r="C322" s="177">
        <v>151801</v>
      </c>
      <c r="D322" s="178" t="str">
        <f>IFERROR(PROPER(
IF($B322="DER-ES",INDEX('CDER-ES'!$B:$B,MATCH($C322,'CDER-ES'!$A:$A,0)),
IF($B322="SINAPI",INDEX(CSINAPI!$B:$B,MATCH($C322,CSINAPI!$A:$A,0)),
IF($B322="CESAN",INDEX(CCESAN!$B:$B,MATCH($C322,CCESAN!$A:$A,0)),
IF($B322="SCORIO",INDEX(CSCORIO!$B:$B,MATCH($C322,CSCORIO!$A:$A,0)),
IF($B322="MERC",INDEX(MERCADO!$B:$B,MATCH($C322,MERCADO!$A:$A,0)),
IF($B322="COMP",INDEX(COMPOSICAO!$B:$B,MATCH($C322,COMPOSICAO!$A:$A,0)),
""))))))),"*Verificar código*")</f>
        <v>Ponto Padrão De Luz No Teto - Considerando Eletroduto Pvc Rígido De 3/4" Inclusive Conexões (4.5M), Fio Isolado Pvc De 2.5Mm2 (16.2M) E Caixa Pvc 4X4" (1 Und)</v>
      </c>
      <c r="E322" s="171" t="str">
        <f>IFERROR(LOWER(
IF($B322="DER-ES",INDEX('CDER-ES'!$C:$C,MATCH($C322,'CDER-ES'!$A:$A,0)),
IF($B322="SINAPI",INDEX(CSINAPI!$C:$C,MATCH($C322,CSINAPI!$A:$A,0)),
IF($B322="CESAN",INDEX(CCESAN!$C:$C,MATCH($C322,CCESAN!$A:$A,0)),
IF($B322="SCORIO",INDEX(CSCORIO!$A:$A,MATCH($C322,CSCORIO!#REF!,0)),
IF($B322="MERC",INDEX(MERCADO!$D:$D,MATCH($C322,MERCADO!$A:$A,0)),
IF($B322="COMP",INDEX(COMPOSICAO!$G:$G,MATCH($C322,COMPOSICAO!$A:$A,0)),
""))))))),"")</f>
        <v>und</v>
      </c>
      <c r="F322" s="179">
        <f>VLOOKUP(A322,'MEMÓRIA DE CÁLCULO'!A:H,8,0)</f>
        <v>51</v>
      </c>
      <c r="G322" s="173">
        <f>IFERROR(
IF($B322="DER-ES",INDEX('CDER-ES'!$D:$D,MATCH($C322,'CDER-ES'!$A:$A,0)),
IF($B322="SINAPI",INDEX(CSINAPI!$D:$D,MATCH($C322,CSINAPI!$A:$A,0)),
IF($B322="CESAN",INDEX(CCESAN!$D:$D,MATCH($C322,CCESAN!$A:$A,0)),
IF($B322="SCORIO",INDEX(CSCORIO!$B:$B,MATCH($C322,CSCORIO!#REF!,0)),
IF($B322="MERC",INDEX(MERCADO!$E:$E,MATCH($C322,MERCADO!$A:$A,0)),
IF($B322="COMP",INDEX(COMPOSICAO!$H:$H,MATCH($C322,COMPOSICAO!$A:$A,0)),
0)))))),0)</f>
        <v>206.12</v>
      </c>
      <c r="H322" s="173">
        <f t="shared" si="267"/>
        <v>274.64999999999998</v>
      </c>
      <c r="I322" s="180">
        <f t="shared" si="268"/>
        <v>14007.15</v>
      </c>
      <c r="J322" s="194">
        <f t="shared" si="269"/>
        <v>0.10185893659158209</v>
      </c>
    </row>
    <row r="323" spans="1:11" ht="51">
      <c r="A323" s="175" t="s">
        <v>14183</v>
      </c>
      <c r="B323" s="176" t="s">
        <v>12617</v>
      </c>
      <c r="C323" s="177">
        <v>151802</v>
      </c>
      <c r="D323" s="178" t="str">
        <f>IFERROR(PROPER(
IF($B323="DER-ES",INDEX('CDER-ES'!$B:$B,MATCH($C323,'CDER-ES'!$A:$A,0)),
IF($B323="SINAPI",INDEX(CSINAPI!$B:$B,MATCH($C323,CSINAPI!$A:$A,0)),
IF($B323="CESAN",INDEX(CCESAN!$B:$B,MATCH($C323,CCESAN!$A:$A,0)),
IF($B323="SCORIO",INDEX(CSCORIO!$B:$B,MATCH($C323,CSCORIO!$A:$A,0)),
IF($B323="MERC",INDEX(MERCADO!$B:$B,MATCH($C323,MERCADO!$A:$A,0)),
IF($B323="COMP",INDEX(COMPOSICAO!$B:$B,MATCH($C323,COMPOSICAO!$A:$A,0)),
""))))))),"*Verificar código*")</f>
        <v>Ponto Padrão De Luz Na Parede - Considerando Eletroduto Pvc Rígido De 3/4" Inclusive Conexões (4.5M), Fio Isolado Pvc De 2.5Mm2 (16.2M) E Caixa Pvc 4X2" (1 Und)</v>
      </c>
      <c r="E323" s="171" t="str">
        <f>IFERROR(LOWER(
IF($B323="DER-ES",INDEX('CDER-ES'!$C:$C,MATCH($C323,'CDER-ES'!$A:$A,0)),
IF($B323="SINAPI",INDEX(CSINAPI!$C:$C,MATCH($C323,CSINAPI!$A:$A,0)),
IF($B323="CESAN",INDEX(CCESAN!$C:$C,MATCH($C323,CCESAN!$A:$A,0)),
IF($B323="SCORIO",INDEX(CSCORIO!$A:$A,MATCH($C323,CSCORIO!#REF!,0)),
IF($B323="MERC",INDEX(MERCADO!$D:$D,MATCH($C323,MERCADO!$A:$A,0)),
IF($B323="COMP",INDEX(COMPOSICAO!$G:$G,MATCH($C323,COMPOSICAO!$A:$A,0)),
""))))))),"")</f>
        <v>und</v>
      </c>
      <c r="F323" s="179">
        <f>VLOOKUP(A323,'MEMÓRIA DE CÁLCULO'!A:H,8,0)</f>
        <v>22</v>
      </c>
      <c r="G323" s="173">
        <f>IFERROR(
IF($B323="DER-ES",INDEX('CDER-ES'!$D:$D,MATCH($C323,'CDER-ES'!$A:$A,0)),
IF($B323="SINAPI",INDEX(CSINAPI!$D:$D,MATCH($C323,CSINAPI!$A:$A,0)),
IF($B323="CESAN",INDEX(CCESAN!$D:$D,MATCH($C323,CCESAN!$A:$A,0)),
IF($B323="SCORIO",INDEX(CSCORIO!$B:$B,MATCH($C323,CSCORIO!#REF!,0)),
IF($B323="MERC",INDEX(MERCADO!$E:$E,MATCH($C323,MERCADO!$A:$A,0)),
IF($B323="COMP",INDEX(COMPOSICAO!$H:$H,MATCH($C323,COMPOSICAO!$A:$A,0)),
0)))))),0)</f>
        <v>182.82</v>
      </c>
      <c r="H323" s="173">
        <f t="shared" si="267"/>
        <v>243.61</v>
      </c>
      <c r="I323" s="180">
        <f t="shared" si="268"/>
        <v>5359.42</v>
      </c>
      <c r="J323" s="194">
        <f t="shared" si="269"/>
        <v>3.897329734797278E-2</v>
      </c>
    </row>
    <row r="324" spans="1:11" ht="51">
      <c r="A324" s="175" t="s">
        <v>14184</v>
      </c>
      <c r="B324" s="176" t="s">
        <v>12617</v>
      </c>
      <c r="C324" s="177">
        <v>151803</v>
      </c>
      <c r="D324" s="178" t="str">
        <f>IFERROR(PROPER(
IF($B324="DER-ES",INDEX('CDER-ES'!$B:$B,MATCH($C324,'CDER-ES'!$A:$A,0)),
IF($B324="SINAPI",INDEX(CSINAPI!$B:$B,MATCH($C324,CSINAPI!$A:$A,0)),
IF($B324="CESAN",INDEX(CCESAN!$B:$B,MATCH($C324,CCESAN!$A:$A,0)),
IF($B324="SCORIO",INDEX(CSCORIO!$B:$B,MATCH($C324,CSCORIO!$A:$A,0)),
IF($B324="MERC",INDEX(MERCADO!$B:$B,MATCH($C324,MERCADO!$A:$A,0)),
IF($B324="COMP",INDEX(COMPOSICAO!$B:$B,MATCH($C324,COMPOSICAO!$A:$A,0)),
""))))))),"*Verificar código*")</f>
        <v>Ponto Padrão De Tomada 2 Pólos Mais Terra - Considerando Eletroduto Pvc Rígido De 3/4" Inclusive Conexões (5.0M), Fio Isolado Pvc De 2.5Mm2 (16.5M) E Caixa Pvc 4X2" (1 Und)</v>
      </c>
      <c r="E324" s="171" t="str">
        <f>IFERROR(LOWER(
IF($B324="DER-ES",INDEX('CDER-ES'!$C:$C,MATCH($C324,'CDER-ES'!$A:$A,0)),
IF($B324="SINAPI",INDEX(CSINAPI!$C:$C,MATCH($C324,CSINAPI!$A:$A,0)),
IF($B324="CESAN",INDEX(CCESAN!$C:$C,MATCH($C324,CCESAN!$A:$A,0)),
IF($B324="SCORIO",INDEX(CSCORIO!$A:$A,MATCH($C324,CSCORIO!#REF!,0)),
IF($B324="MERC",INDEX(MERCADO!$D:$D,MATCH($C324,MERCADO!$A:$A,0)),
IF($B324="COMP",INDEX(COMPOSICAO!$G:$G,MATCH($C324,COMPOSICAO!$A:$A,0)),
""))))))),"")</f>
        <v>und</v>
      </c>
      <c r="F324" s="179">
        <f>VLOOKUP(A324,'MEMÓRIA DE CÁLCULO'!A:H,8,0)</f>
        <v>30</v>
      </c>
      <c r="G324" s="173">
        <f>IFERROR(
IF($B324="DER-ES",INDEX('CDER-ES'!$D:$D,MATCH($C324,'CDER-ES'!$A:$A,0)),
IF($B324="SINAPI",INDEX(CSINAPI!$D:$D,MATCH($C324,CSINAPI!$A:$A,0)),
IF($B324="CESAN",INDEX(CCESAN!$D:$D,MATCH($C324,CCESAN!$A:$A,0)),
IF($B324="SCORIO",INDEX(CSCORIO!$B:$B,MATCH($C324,CSCORIO!#REF!,0)),
IF($B324="MERC",INDEX(MERCADO!$E:$E,MATCH($C324,MERCADO!$A:$A,0)),
IF($B324="COMP",INDEX(COMPOSICAO!$H:$H,MATCH($C324,COMPOSICAO!$A:$A,0)),
0)))))),0)</f>
        <v>209.22</v>
      </c>
      <c r="H324" s="173">
        <f t="shared" si="267"/>
        <v>278.79000000000002</v>
      </c>
      <c r="I324" s="180">
        <f t="shared" si="268"/>
        <v>8363.7000000000007</v>
      </c>
      <c r="J324" s="194">
        <f t="shared" si="269"/>
        <v>6.0820194541431713E-2</v>
      </c>
    </row>
    <row r="325" spans="1:11" ht="51">
      <c r="A325" s="175" t="s">
        <v>14185</v>
      </c>
      <c r="B325" s="176" t="s">
        <v>12617</v>
      </c>
      <c r="C325" s="177">
        <v>151805</v>
      </c>
      <c r="D325" s="178" t="str">
        <f>IFERROR(PROPER(
IF($B325="DER-ES",INDEX('CDER-ES'!$B:$B,MATCH($C325,'CDER-ES'!$A:$A,0)),
IF($B325="SINAPI",INDEX(CSINAPI!$B:$B,MATCH($C325,CSINAPI!$A:$A,0)),
IF($B325="CESAN",INDEX(CCESAN!$B:$B,MATCH($C325,CCESAN!$A:$A,0)),
IF($B325="SCORIO",INDEX(CSCORIO!$B:$B,MATCH($C325,CSCORIO!$A:$A,0)),
IF($B325="MERC",INDEX(MERCADO!$B:$B,MATCH($C325,MERCADO!$A:$A,0)),
IF($B325="COMP",INDEX(COMPOSICAO!$B:$B,MATCH($C325,COMPOSICAO!$A:$A,0)),
""))))))),"*Verificar código*")</f>
        <v>Ponto Padrão De Tomada Para Chuveiro Elétrico - Considerando Eletroduto Pvc Rígido De 3/4" Inclusive Conexões (9.0M), Fio Isolado Pvc De 6.0Mm2 (32.5M) E Caixa Pvc 4X2" (1 Und)</v>
      </c>
      <c r="E325" s="171" t="str">
        <f>IFERROR(LOWER(
IF($B325="DER-ES",INDEX('CDER-ES'!$C:$C,MATCH($C325,'CDER-ES'!$A:$A,0)),
IF($B325="SINAPI",INDEX(CSINAPI!$C:$C,MATCH($C325,CSINAPI!$A:$A,0)),
IF($B325="CESAN",INDEX(CCESAN!$C:$C,MATCH($C325,CCESAN!$A:$A,0)),
IF($B325="SCORIO",INDEX(CSCORIO!$A:$A,MATCH($C325,CSCORIO!#REF!,0)),
IF($B325="MERC",INDEX(MERCADO!$D:$D,MATCH($C325,MERCADO!$A:$A,0)),
IF($B325="COMP",INDEX(COMPOSICAO!$G:$G,MATCH($C325,COMPOSICAO!$A:$A,0)),
""))))))),"")</f>
        <v>und</v>
      </c>
      <c r="F325" s="179">
        <f>VLOOKUP(A325,'MEMÓRIA DE CÁLCULO'!A:H,8,0)</f>
        <v>7</v>
      </c>
      <c r="G325" s="173">
        <f>IFERROR(
IF($B325="DER-ES",INDEX('CDER-ES'!$D:$D,MATCH($C325,'CDER-ES'!$A:$A,0)),
IF($B325="SINAPI",INDEX(CSINAPI!$D:$D,MATCH($C325,CSINAPI!$A:$A,0)),
IF($B325="CESAN",INDEX(CCESAN!$D:$D,MATCH($C325,CCESAN!$A:$A,0)),
IF($B325="SCORIO",INDEX(CSCORIO!$B:$B,MATCH($C325,CSCORIO!#REF!,0)),
IF($B325="MERC",INDEX(MERCADO!$E:$E,MATCH($C325,MERCADO!$A:$A,0)),
IF($B325="COMP",INDEX(COMPOSICAO!$H:$H,MATCH($C325,COMPOSICAO!$A:$A,0)),
0)))))),0)</f>
        <v>523.08000000000004</v>
      </c>
      <c r="H325" s="173">
        <f t="shared" si="267"/>
        <v>697</v>
      </c>
      <c r="I325" s="180">
        <f t="shared" si="268"/>
        <v>4879</v>
      </c>
      <c r="J325" s="194">
        <f t="shared" si="269"/>
        <v>3.547971940261431E-2</v>
      </c>
    </row>
    <row r="326" spans="1:11" ht="63.75">
      <c r="A326" s="175" t="s">
        <v>14186</v>
      </c>
      <c r="B326" s="176" t="s">
        <v>12617</v>
      </c>
      <c r="C326" s="177">
        <v>151820</v>
      </c>
      <c r="D326" s="178" t="str">
        <f>IFERROR(PROPER(
IF($B326="DER-ES",INDEX('CDER-ES'!$B:$B,MATCH($C326,'CDER-ES'!$A:$A,0)),
IF($B326="SINAPI",INDEX(CSINAPI!$B:$B,MATCH($C326,CSINAPI!$A:$A,0)),
IF($B326="CESAN",INDEX(CCESAN!$B:$B,MATCH($C326,CCESAN!$A:$A,0)),
IF($B326="SCORIO",INDEX(CSCORIO!$B:$B,MATCH($C326,CSCORIO!$A:$A,0)),
IF($B326="MERC",INDEX(MERCADO!$B:$B,MATCH($C326,MERCADO!$A:$A,0)),
IF($B326="COMP",INDEX(COMPOSICAO!$B:$B,MATCH($C326,COMPOSICAO!$A:$A,0)),
""))))))),"*Verificar código*")</f>
        <v>Ponto Padrão De Interruptor De 1 Tecla Intermediário - Considerando Eletroduto Pvc Rígido De 3/4" Inclusive Conexões (3.3M), Fio Isolado Pvc De 2.5Mm2 (15.8M) E Caixa Pvc 4X2" (1 Und)</v>
      </c>
      <c r="E326" s="171" t="str">
        <f>IFERROR(LOWER(
IF($B326="DER-ES",INDEX('CDER-ES'!$C:$C,MATCH($C326,'CDER-ES'!$A:$A,0)),
IF($B326="SINAPI",INDEX(CSINAPI!$C:$C,MATCH($C326,CSINAPI!$A:$A,0)),
IF($B326="CESAN",INDEX(CCESAN!$C:$C,MATCH($C326,CCESAN!$A:$A,0)),
IF($B326="SCORIO",INDEX(CSCORIO!$A:$A,MATCH($C326,CSCORIO!#REF!,0)),
IF($B326="MERC",INDEX(MERCADO!$D:$D,MATCH($C326,MERCADO!$A:$A,0)),
IF($B326="COMP",INDEX(COMPOSICAO!$G:$G,MATCH($C326,COMPOSICAO!$A:$A,0)),
""))))))),"")</f>
        <v>und</v>
      </c>
      <c r="F326" s="179">
        <f>VLOOKUP(A326,'MEMÓRIA DE CÁLCULO'!A:H,8,0)</f>
        <v>12</v>
      </c>
      <c r="G326" s="173">
        <f>IFERROR(
IF($B326="DER-ES",INDEX('CDER-ES'!$D:$D,MATCH($C326,'CDER-ES'!$A:$A,0)),
IF($B326="SINAPI",INDEX(CSINAPI!$D:$D,MATCH($C326,CSINAPI!$A:$A,0)),
IF($B326="CESAN",INDEX(CCESAN!$D:$D,MATCH($C326,CCESAN!$A:$A,0)),
IF($B326="SCORIO",INDEX(CSCORIO!$B:$B,MATCH($C326,CSCORIO!#REF!,0)),
IF($B326="MERC",INDEX(MERCADO!$E:$E,MATCH($C326,MERCADO!$A:$A,0)),
IF($B326="COMP",INDEX(COMPOSICAO!$H:$H,MATCH($C326,COMPOSICAO!$A:$A,0)),
0)))))),0)</f>
        <v>175.92</v>
      </c>
      <c r="H326" s="173">
        <f t="shared" si="267"/>
        <v>234.41</v>
      </c>
      <c r="I326" s="180">
        <f t="shared" si="268"/>
        <v>2812.92</v>
      </c>
      <c r="J326" s="194">
        <f t="shared" si="269"/>
        <v>2.0455341730272976E-2</v>
      </c>
    </row>
    <row r="327" spans="1:11">
      <c r="A327" s="167" t="s">
        <v>12633</v>
      </c>
      <c r="B327" s="168"/>
      <c r="C327" s="169"/>
      <c r="D327" s="235" t="s">
        <v>14158</v>
      </c>
      <c r="E327" s="171"/>
      <c r="F327" s="172"/>
      <c r="G327" s="173"/>
      <c r="H327" s="173"/>
      <c r="I327" s="174">
        <f>SUBTOTAL(9,I328:I335)</f>
        <v>73822.109999999986</v>
      </c>
      <c r="J327" s="193">
        <f>SUBTOTAL(9,J328:J335)</f>
        <v>1.0000000000000002</v>
      </c>
    </row>
    <row r="328" spans="1:11" ht="63.75">
      <c r="A328" s="175" t="s">
        <v>12634</v>
      </c>
      <c r="B328" s="176" t="s">
        <v>12617</v>
      </c>
      <c r="C328" s="177">
        <v>160304</v>
      </c>
      <c r="D328" s="178" t="str">
        <f>IFERROR(PROPER(
IF($B328="DER-ES",INDEX('CDER-ES'!$B:$B,MATCH($C328,'CDER-ES'!$A:$A,0)),
IF($B328="SINAPI",INDEX(CSINAPI!$B:$B,MATCH($C328,CSINAPI!$A:$A,0)),
IF($B328="CESAN",INDEX(CCESAN!$B:$B,MATCH($C328,CCESAN!$A:$A,0)),
IF($B328="SCORIO",INDEX(CSCORIO!$B:$B,MATCH($C328,CSCORIO!$A:$A,0)),
IF($B328="MERC",INDEX(MERCADO!$B:$B,MATCH($C328,MERCADO!$A:$A,0)),
IF($B328="COMP",INDEX(COMPOSICAO!$B:$B,MATCH($C328,COMPOSICAO!$A:$A,0)),
""))))))),"*Verificar código*")</f>
        <v>Pára-Raios Tipo Franklim Incluindo Base De Fixação, Conjunto De Contraventagem C/Abraçadeira P/3 Estais Em Tubo E Demais Acessórios C/Exceção Do Cabo De Cobre De Descida E Suportes Isoladores</v>
      </c>
      <c r="E328" s="171" t="str">
        <f>IFERROR(LOWER(
IF($B328="DER-ES",INDEX('CDER-ES'!$C:$C,MATCH($C328,'CDER-ES'!$A:$A,0)),
IF($B328="SINAPI",INDEX(CSINAPI!$C:$C,MATCH($C328,CSINAPI!$A:$A,0)),
IF($B328="CESAN",INDEX(CCESAN!$C:$C,MATCH($C328,CCESAN!$A:$A,0)),
IF($B328="SCORIO",INDEX(CSCORIO!$A:$A,MATCH($C328,CSCORIO!#REF!,0)),
IF($B328="MERC",INDEX(MERCADO!$D:$D,MATCH($C328,MERCADO!$A:$A,0)),
IF($B328="COMP",INDEX(COMPOSICAO!$G:$G,MATCH($C328,COMPOSICAO!$A:$A,0)),
""))))))),"")</f>
        <v>und</v>
      </c>
      <c r="F328" s="179">
        <f>VLOOKUP(A328,'MEMÓRIA DE CÁLCULO'!A:H,8,0)</f>
        <v>1</v>
      </c>
      <c r="G328" s="173">
        <f>IFERROR(
IF($B328="DER-ES",INDEX('CDER-ES'!$D:$D,MATCH($C328,'CDER-ES'!$A:$A,0)),
IF($B328="SINAPI",INDEX(CSINAPI!$D:$D,MATCH($C328,CSINAPI!$A:$A,0)),
IF($B328="CESAN",INDEX(CCESAN!$D:$D,MATCH($C328,CCESAN!$A:$A,0)),
IF($B328="SCORIO",INDEX(CSCORIO!$B:$B,MATCH($C328,CSCORIO!#REF!,0)),
IF($B328="MERC",INDEX(MERCADO!$E:$E,MATCH($C328,MERCADO!$A:$A,0)),
IF($B328="COMP",INDEX(COMPOSICAO!$H:$H,MATCH($C328,COMPOSICAO!$A:$A,0)),
0)))))),0)</f>
        <v>938.93</v>
      </c>
      <c r="H328" s="173">
        <f t="shared" ref="H328:H335" si="270">ROUND(G328*(1+$J$2),2)</f>
        <v>1251.1199999999999</v>
      </c>
      <c r="I328" s="180">
        <f t="shared" ref="I328:I335" si="271">ROUND($H328*F328,2)</f>
        <v>1251.1199999999999</v>
      </c>
      <c r="J328" s="194">
        <f>I328/I$327</f>
        <v>1.6947768087365696E-2</v>
      </c>
      <c r="K328" s="207"/>
    </row>
    <row r="329" spans="1:11" ht="63.75">
      <c r="A329" s="175" t="s">
        <v>12635</v>
      </c>
      <c r="B329" s="176" t="s">
        <v>12617</v>
      </c>
      <c r="C329" s="177">
        <v>160309</v>
      </c>
      <c r="D329" s="178" t="str">
        <f>IFERROR(PROPER(
IF($B329="DER-ES",INDEX('CDER-ES'!$B:$B,MATCH($C329,'CDER-ES'!$A:$A,0)),
IF($B329="SINAPI",INDEX(CSINAPI!$B:$B,MATCH($C329,CSINAPI!$A:$A,0)),
IF($B329="CESAN",INDEX(CCESAN!$B:$B,MATCH($C329,CCESAN!$A:$A,0)),
IF($B329="SCORIO",INDEX(CSCORIO!$B:$B,MATCH($C329,CSCORIO!$A:$A,0)),
IF($B329="MERC",INDEX(MERCADO!$B:$B,MATCH($C329,MERCADO!$A:$A,0)),
IF($B329="COMP",INDEX(COMPOSICAO!$B:$B,MATCH($C329,COMPOSICAO!$A:$A,0)),
""))))))),"*Verificar código*")</f>
        <v>Terminal Aéreo Em Latão (Minicaptor), Com Conector E Fixação Horizontal 250Mm X 10Mm, Ref. Tel-2024, Inclusive Vedação Dos Furos Com Poliuretano Ref. Tel 5905, Marca De Ref. Termotécnica Ou Equivalente</v>
      </c>
      <c r="E329" s="171" t="str">
        <f>IFERROR(LOWER(
IF($B329="DER-ES",INDEX('CDER-ES'!$C:$C,MATCH($C329,'CDER-ES'!$A:$A,0)),
IF($B329="SINAPI",INDEX(CSINAPI!$C:$C,MATCH($C329,CSINAPI!$A:$A,0)),
IF($B329="CESAN",INDEX(CCESAN!$C:$C,MATCH($C329,CCESAN!$A:$A,0)),
IF($B329="SCORIO",INDEX(CSCORIO!$A:$A,MATCH($C329,CSCORIO!#REF!,0)),
IF($B329="MERC",INDEX(MERCADO!$D:$D,MATCH($C329,MERCADO!$A:$A,0)),
IF($B329="COMP",INDEX(COMPOSICAO!$G:$G,MATCH($C329,COMPOSICAO!$A:$A,0)),
""))))))),"")</f>
        <v>und</v>
      </c>
      <c r="F329" s="179">
        <f>VLOOKUP(A329,'MEMÓRIA DE CÁLCULO'!A:H,8,0)</f>
        <v>53</v>
      </c>
      <c r="G329" s="173">
        <f>IFERROR(
IF($B329="DER-ES",INDEX('CDER-ES'!$D:$D,MATCH($C329,'CDER-ES'!$A:$A,0)),
IF($B329="SINAPI",INDEX(CSINAPI!$D:$D,MATCH($C329,CSINAPI!$A:$A,0)),
IF($B329="CESAN",INDEX(CCESAN!$D:$D,MATCH($C329,CCESAN!$A:$A,0)),
IF($B329="SCORIO",INDEX(CSCORIO!$B:$B,MATCH($C329,CSCORIO!#REF!,0)),
IF($B329="MERC",INDEX(MERCADO!$E:$E,MATCH($C329,MERCADO!$A:$A,0)),
IF($B329="COMP",INDEX(COMPOSICAO!$H:$H,MATCH($C329,COMPOSICAO!$A:$A,0)),
0)))))),0)</f>
        <v>128.46</v>
      </c>
      <c r="H329" s="173">
        <f t="shared" si="270"/>
        <v>171.17</v>
      </c>
      <c r="I329" s="180">
        <f t="shared" si="271"/>
        <v>9072.01</v>
      </c>
      <c r="J329" s="194">
        <f>I329/I$327</f>
        <v>0.12289014768068811</v>
      </c>
      <c r="K329" s="207"/>
    </row>
    <row r="330" spans="1:11" ht="38.25">
      <c r="A330" s="175" t="s">
        <v>14152</v>
      </c>
      <c r="B330" s="176" t="s">
        <v>12617</v>
      </c>
      <c r="C330" s="177">
        <v>160305</v>
      </c>
      <c r="D330" s="178" t="str">
        <f>IFERROR(PROPER(
IF($B330="DER-ES",INDEX('CDER-ES'!$B:$B,MATCH($C330,'CDER-ES'!$A:$A,0)),
IF($B330="SINAPI",INDEX(CSINAPI!$B:$B,MATCH($C330,CSINAPI!$A:$A,0)),
IF($B330="CESAN",INDEX(CCESAN!$B:$B,MATCH($C330,CCESAN!$A:$A,0)),
IF($B330="SCORIO",INDEX(CSCORIO!$B:$B,MATCH($C330,CSCORIO!$A:$A,0)),
IF($B330="MERC",INDEX(MERCADO!$B:$B,MATCH($C330,MERCADO!$A:$A,0)),
IF($B330="COMP",INDEX(COMPOSICAO!$B:$B,MATCH($C330,COMPOSICAO!$A:$A,0)),
""))))))),"*Verificar código*")</f>
        <v>Condutor De Cobre Nú, Seção De 35Mm2, Inclusive Suportes Isoladores E Acessórios De Fixação, Conforme Projeto</v>
      </c>
      <c r="E330" s="171" t="str">
        <f>IFERROR(LOWER(
IF($B330="DER-ES",INDEX('CDER-ES'!$C:$C,MATCH($C330,'CDER-ES'!$A:$A,0)),
IF($B330="SINAPI",INDEX(CSINAPI!$C:$C,MATCH($C330,CSINAPI!$A:$A,0)),
IF($B330="CESAN",INDEX(CCESAN!$C:$C,MATCH($C330,CCESAN!$A:$A,0)),
IF($B330="SCORIO",INDEX(CSCORIO!$A:$A,MATCH($C330,CSCORIO!#REF!,0)),
IF($B330="MERC",INDEX(MERCADO!$D:$D,MATCH($C330,MERCADO!$A:$A,0)),
IF($B330="COMP",INDEX(COMPOSICAO!$G:$G,MATCH($C330,COMPOSICAO!$A:$A,0)),
""))))))),"")</f>
        <v>m</v>
      </c>
      <c r="F330" s="179">
        <f>VLOOKUP(A330,'MEMÓRIA DE CÁLCULO'!A:H,8,0)</f>
        <v>313.5</v>
      </c>
      <c r="G330" s="173">
        <f>IFERROR(
IF($B330="DER-ES",INDEX('CDER-ES'!$D:$D,MATCH($C330,'CDER-ES'!$A:$A,0)),
IF($B330="SINAPI",INDEX(CSINAPI!$D:$D,MATCH($C330,CSINAPI!$A:$A,0)),
IF($B330="CESAN",INDEX(CCESAN!$D:$D,MATCH($C330,CCESAN!$A:$A,0)),
IF($B330="SCORIO",INDEX(CSCORIO!$B:$B,MATCH($C330,CSCORIO!#REF!,0)),
IF($B330="MERC",INDEX(MERCADO!$E:$E,MATCH($C330,MERCADO!$A:$A,0)),
IF($B330="COMP",INDEX(COMPOSICAO!$H:$H,MATCH($C330,COMPOSICAO!$A:$A,0)),
0)))))),0)</f>
        <v>91.84</v>
      </c>
      <c r="H330" s="173">
        <f t="shared" si="270"/>
        <v>122.38</v>
      </c>
      <c r="I330" s="180">
        <f t="shared" si="271"/>
        <v>38366.129999999997</v>
      </c>
      <c r="J330" s="194">
        <f>I330/I$327</f>
        <v>0.51971055825957835</v>
      </c>
      <c r="K330" s="207"/>
    </row>
    <row r="331" spans="1:11" ht="51">
      <c r="A331" s="175" t="s">
        <v>14153</v>
      </c>
      <c r="B331" s="176" t="s">
        <v>12617</v>
      </c>
      <c r="C331" s="177">
        <v>160327</v>
      </c>
      <c r="D331" s="178" t="str">
        <f>IFERROR(PROPER(
IF($B331="DER-ES",INDEX('CDER-ES'!$B:$B,MATCH($C331,'CDER-ES'!$A:$A,0)),
IF($B331="SINAPI",INDEX(CSINAPI!$B:$B,MATCH($C331,CSINAPI!$A:$A,0)),
IF($B331="CESAN",INDEX(CCESAN!$B:$B,MATCH($C331,CCESAN!$A:$A,0)),
IF($B331="SCORIO",INDEX(CSCORIO!$B:$B,MATCH($C331,CSCORIO!$A:$A,0)),
IF($B331="MERC",INDEX(MERCADO!$B:$B,MATCH($C331,MERCADO!$A:$A,0)),
IF($B331="COMP",INDEX(COMPOSICAO!$B:$B,MATCH($C331,COMPOSICAO!$A:$A,0)),
""))))))),"*Verificar código*")</f>
        <v>Barra Chata Em Aço Galvanizado A Fogo 7/8"X1/8" (70Mm²), Com Furos Diâm. 7Mm Ref. Tel-761, Marca De Referência Termotécnica Ou Equivalente</v>
      </c>
      <c r="E331" s="171" t="str">
        <f>IFERROR(LOWER(
IF($B331="DER-ES",INDEX('CDER-ES'!$C:$C,MATCH($C331,'CDER-ES'!$A:$A,0)),
IF($B331="SINAPI",INDEX(CSINAPI!$C:$C,MATCH($C331,CSINAPI!$A:$A,0)),
IF($B331="CESAN",INDEX(CCESAN!$C:$C,MATCH($C331,CCESAN!$A:$A,0)),
IF($B331="SCORIO",INDEX(CSCORIO!$A:$A,MATCH($C331,CSCORIO!#REF!,0)),
IF($B331="MERC",INDEX(MERCADO!$D:$D,MATCH($C331,MERCADO!$A:$A,0)),
IF($B331="COMP",INDEX(COMPOSICAO!$G:$G,MATCH($C331,COMPOSICAO!$A:$A,0)),
""))))))),"")</f>
        <v>m</v>
      </c>
      <c r="F331" s="179">
        <f>VLOOKUP(A331,'MEMÓRIA DE CÁLCULO'!A:H,8,0)</f>
        <v>75</v>
      </c>
      <c r="G331" s="173">
        <f>IFERROR(
IF($B331="DER-ES",INDEX('CDER-ES'!$D:$D,MATCH($C331,'CDER-ES'!$A:$A,0)),
IF($B331="SINAPI",INDEX(CSINAPI!$D:$D,MATCH($C331,CSINAPI!$A:$A,0)),
IF($B331="CESAN",INDEX(CCESAN!$D:$D,MATCH($C331,CCESAN!$A:$A,0)),
IF($B331="SCORIO",INDEX(CSCORIO!$B:$B,MATCH($C331,CSCORIO!#REF!,0)),
IF($B331="MERC",INDEX(MERCADO!$E:$E,MATCH($C331,MERCADO!$A:$A,0)),
IF($B331="COMP",INDEX(COMPOSICAO!$H:$H,MATCH($C331,COMPOSICAO!$A:$A,0)),
0)))))),0)</f>
        <v>43.81</v>
      </c>
      <c r="H331" s="173">
        <f t="shared" si="270"/>
        <v>58.38</v>
      </c>
      <c r="I331" s="180">
        <f t="shared" si="271"/>
        <v>4378.5</v>
      </c>
      <c r="J331" s="194">
        <f>I331/I$327</f>
        <v>5.9311498953362358E-2</v>
      </c>
      <c r="K331" s="207"/>
    </row>
    <row r="332" spans="1:11" ht="38.25">
      <c r="A332" s="175" t="s">
        <v>14154</v>
      </c>
      <c r="B332" s="176" t="s">
        <v>12617</v>
      </c>
      <c r="C332" s="177">
        <v>160303</v>
      </c>
      <c r="D332" s="178" t="str">
        <f>IFERROR(PROPER(
IF($B332="DER-ES",INDEX('CDER-ES'!$B:$B,MATCH($C332,'CDER-ES'!$A:$A,0)),
IF($B332="SINAPI",INDEX(CSINAPI!$B:$B,MATCH($C332,CSINAPI!$A:$A,0)),
IF($B332="CESAN",INDEX(CCESAN!$B:$B,MATCH($C332,CCESAN!$A:$A,0)),
IF($B332="SCORIO",INDEX(CSCORIO!$B:$B,MATCH($C332,CSCORIO!$A:$A,0)),
IF($B332="MERC",INDEX(MERCADO!$B:$B,MATCH($C332,MERCADO!$A:$A,0)),
IF($B332="COMP",INDEX(COMPOSICAO!$B:$B,MATCH($C332,COMPOSICAO!$A:$A,0)),
""))))))),"*Verificar código*")</f>
        <v>Aterramento Com Haste Terra 5/8" X 2.40, Cabo De Cobre Nu 6Mm2, Inclusive Caixa De Concreto 30 X 30 Cm</v>
      </c>
      <c r="E332" s="171" t="str">
        <f>IFERROR(LOWER(
IF($B332="DER-ES",INDEX('CDER-ES'!$C:$C,MATCH($C332,'CDER-ES'!$A:$A,0)),
IF($B332="SINAPI",INDEX(CSINAPI!$C:$C,MATCH($C332,CSINAPI!$A:$A,0)),
IF($B332="CESAN",INDEX(CCESAN!$C:$C,MATCH($C332,CCESAN!$A:$A,0)),
IF($B332="SCORIO",INDEX(CSCORIO!$A:$A,MATCH($C332,CSCORIO!#REF!,0)),
IF($B332="MERC",INDEX(MERCADO!$D:$D,MATCH($C332,MERCADO!$A:$A,0)),
IF($B332="COMP",INDEX(COMPOSICAO!$G:$G,MATCH($C332,COMPOSICAO!$A:$A,0)),
""))))))),"")</f>
        <v>und</v>
      </c>
      <c r="F332" s="179">
        <f>VLOOKUP(A332,'MEMÓRIA DE CÁLCULO'!A:H,8,0)</f>
        <v>10</v>
      </c>
      <c r="G332" s="173">
        <f>IFERROR(
IF($B332="DER-ES",INDEX('CDER-ES'!$D:$D,MATCH($C332,'CDER-ES'!$A:$A,0)),
IF($B332="SINAPI",INDEX(CSINAPI!$D:$D,MATCH($C332,CSINAPI!$A:$A,0)),
IF($B332="CESAN",INDEX(CCESAN!$D:$D,MATCH($C332,CCESAN!$A:$A,0)),
IF($B332="SCORIO",INDEX(CSCORIO!$B:$B,MATCH($C332,CSCORIO!#REF!,0)),
IF($B332="MERC",INDEX(MERCADO!$E:$E,MATCH($C332,MERCADO!$A:$A,0)),
IF($B332="COMP",INDEX(COMPOSICAO!$H:$H,MATCH($C332,COMPOSICAO!$A:$A,0)),
0)))))),0)</f>
        <v>468.04</v>
      </c>
      <c r="H332" s="173">
        <f t="shared" si="270"/>
        <v>623.66</v>
      </c>
      <c r="I332" s="180">
        <f t="shared" si="271"/>
        <v>6236.6</v>
      </c>
      <c r="J332" s="194">
        <f>I332/I$327</f>
        <v>8.448146497031854E-2</v>
      </c>
      <c r="K332" s="207"/>
    </row>
    <row r="333" spans="1:11" ht="51">
      <c r="A333" s="175" t="s">
        <v>14155</v>
      </c>
      <c r="B333" s="176" t="s">
        <v>12617</v>
      </c>
      <c r="C333" s="177">
        <v>160312</v>
      </c>
      <c r="D333" s="178" t="str">
        <f>IFERROR(PROPER(
IF($B333="DER-ES",INDEX('CDER-ES'!$B:$B,MATCH($C333,'CDER-ES'!$A:$A,0)),
IF($B333="SINAPI",INDEX(CSINAPI!$B:$B,MATCH($C333,CSINAPI!$A:$A,0)),
IF($B333="CESAN",INDEX(CCESAN!$B:$B,MATCH($C333,CCESAN!$A:$A,0)),
IF($B333="SCORIO",INDEX(CSCORIO!$B:$B,MATCH($C333,CSCORIO!$A:$A,0)),
IF($B333="MERC",INDEX(MERCADO!$B:$B,MATCH($C333,MERCADO!$A:$A,0)),
IF($B333="COMP",INDEX(COMPOSICAO!$B:$B,MATCH($C333,COMPOSICAO!$A:$A,0)),
""))))))),"*Verificar código*")</f>
        <v>Kit Completo Para Solda Exotérmica (Molde Hcl 5/8" Ref: Tel905611 / Cartucho N° 115 Ref: Tel 909115 / Alicate Z 201 Ref: Tel 998201), Marca De Referência Termotécnica Ou Equivalente</v>
      </c>
      <c r="E333" s="171" t="str">
        <f>IFERROR(LOWER(
IF($B333="DER-ES",INDEX('CDER-ES'!$C:$C,MATCH($C333,'CDER-ES'!$A:$A,0)),
IF($B333="SINAPI",INDEX(CSINAPI!$C:$C,MATCH($C333,CSINAPI!$A:$A,0)),
IF($B333="CESAN",INDEX(CCESAN!$C:$C,MATCH($C333,CCESAN!$A:$A,0)),
IF($B333="SCORIO",INDEX(CSCORIO!$A:$A,MATCH($C333,CSCORIO!#REF!,0)),
IF($B333="MERC",INDEX(MERCADO!$D:$D,MATCH($C333,MERCADO!$A:$A,0)),
IF($B333="COMP",INDEX(COMPOSICAO!$G:$G,MATCH($C333,COMPOSICAO!$A:$A,0)),
""))))))),"")</f>
        <v>und</v>
      </c>
      <c r="F333" s="179">
        <f>VLOOKUP(A333,'MEMÓRIA DE CÁLCULO'!A:H,8,0)</f>
        <v>10</v>
      </c>
      <c r="G333" s="173">
        <f>IFERROR(
IF($B333="DER-ES",INDEX('CDER-ES'!$D:$D,MATCH($C333,'CDER-ES'!$A:$A,0)),
IF($B333="SINAPI",INDEX(CSINAPI!$D:$D,MATCH($C333,CSINAPI!$A:$A,0)),
IF($B333="CESAN",INDEX(CCESAN!$D:$D,MATCH($C333,CCESAN!$A:$A,0)),
IF($B333="SCORIO",INDEX(CSCORIO!$B:$B,MATCH($C333,CSCORIO!#REF!,0)),
IF($B333="MERC",INDEX(MERCADO!$E:$E,MATCH($C333,MERCADO!$A:$A,0)),
IF($B333="COMP",INDEX(COMPOSICAO!$H:$H,MATCH($C333,COMPOSICAO!$A:$A,0)),
0)))))),0)</f>
        <v>50.67</v>
      </c>
      <c r="H333" s="173">
        <f t="shared" ref="H333" si="272">ROUND(G333*(1+$J$2),2)</f>
        <v>67.52</v>
      </c>
      <c r="I333" s="180">
        <f t="shared" ref="I333" si="273">ROUND($H333*F333,2)</f>
        <v>675.2</v>
      </c>
      <c r="J333" s="194">
        <f t="shared" ref="J333" si="274">I333/I$327</f>
        <v>9.1463113151330974E-3</v>
      </c>
      <c r="K333" s="207"/>
    </row>
    <row r="334" spans="1:11" ht="25.5">
      <c r="A334" s="175" t="s">
        <v>14156</v>
      </c>
      <c r="B334" s="176" t="s">
        <v>12617</v>
      </c>
      <c r="C334" s="177">
        <v>160317</v>
      </c>
      <c r="D334" s="178" t="str">
        <f>IFERROR(PROPER(
IF($B334="DER-ES",INDEX('CDER-ES'!$B:$B,MATCH($C334,'CDER-ES'!$A:$A,0)),
IF($B334="SINAPI",INDEX(CSINAPI!$B:$B,MATCH($C334,CSINAPI!$A:$A,0)),
IF($B334="CESAN",INDEX(CCESAN!$B:$B,MATCH($C334,CCESAN!$A:$A,0)),
IF($B334="SCORIO",INDEX(CSCORIO!$B:$B,MATCH($C334,CSCORIO!$A:$A,0)),
IF($B334="MERC",INDEX(MERCADO!$B:$B,MATCH($C334,MERCADO!$A:$A,0)),
IF($B334="COMP",INDEX(COMPOSICAO!$B:$B,MATCH($C334,COMPOSICAO!$A:$A,0)),
""))))))),"*Verificar código*")</f>
        <v>Cabo De Cobre Nú 50Mm2, Ref. Tel 5750, Marca De Referência Termotécnica Ou Equivalente</v>
      </c>
      <c r="E334" s="171" t="str">
        <f>IFERROR(LOWER(
IF($B334="DER-ES",INDEX('CDER-ES'!$C:$C,MATCH($C334,'CDER-ES'!$A:$A,0)),
IF($B334="SINAPI",INDEX(CSINAPI!$C:$C,MATCH($C334,CSINAPI!$A:$A,0)),
IF($B334="CESAN",INDEX(CCESAN!$C:$C,MATCH($C334,CCESAN!$A:$A,0)),
IF($B334="SCORIO",INDEX(CSCORIO!$A:$A,MATCH($C334,CSCORIO!#REF!,0)),
IF($B334="MERC",INDEX(MERCADO!$D:$D,MATCH($C334,MERCADO!$A:$A,0)),
IF($B334="COMP",INDEX(COMPOSICAO!$G:$G,MATCH($C334,COMPOSICAO!$A:$A,0)),
""))))))),"")</f>
        <v>m</v>
      </c>
      <c r="F334" s="179">
        <f>VLOOKUP(A334,'MEMÓRIA DE CÁLCULO'!A:H,8,0)</f>
        <v>144</v>
      </c>
      <c r="G334" s="173">
        <f>IFERROR(
IF($B334="DER-ES",INDEX('CDER-ES'!$D:$D,MATCH($C334,'CDER-ES'!$A:$A,0)),
IF($B334="SINAPI",INDEX(CSINAPI!$D:$D,MATCH($C334,CSINAPI!$A:$A,0)),
IF($B334="CESAN",INDEX(CCESAN!$D:$D,MATCH($C334,CCESAN!$A:$A,0)),
IF($B334="SCORIO",INDEX(CSCORIO!$B:$B,MATCH($C334,CSCORIO!#REF!,0)),
IF($B334="MERC",INDEX(MERCADO!$E:$E,MATCH($C334,MERCADO!$A:$A,0)),
IF($B334="COMP",INDEX(COMPOSICAO!$H:$H,MATCH($C334,COMPOSICAO!$A:$A,0)),
0)))))),0)</f>
        <v>70.290000000000006</v>
      </c>
      <c r="H334" s="173">
        <f t="shared" si="270"/>
        <v>93.66</v>
      </c>
      <c r="I334" s="180">
        <f t="shared" si="271"/>
        <v>13487.04</v>
      </c>
      <c r="J334" s="194">
        <f>I334/I$327</f>
        <v>0.18269648483360884</v>
      </c>
      <c r="K334" s="207"/>
    </row>
    <row r="335" spans="1:11" ht="63.75">
      <c r="A335" s="175" t="s">
        <v>14157</v>
      </c>
      <c r="B335" s="176" t="s">
        <v>12617</v>
      </c>
      <c r="C335" s="177">
        <v>160324</v>
      </c>
      <c r="D335" s="178" t="str">
        <f>IFERROR(PROPER(
IF($B335="DER-ES",INDEX('CDER-ES'!$B:$B,MATCH($C335,'CDER-ES'!$A:$A,0)),
IF($B335="SINAPI",INDEX(CSINAPI!$B:$B,MATCH($C335,CSINAPI!$A:$A,0)),
IF($B335="CESAN",INDEX(CCESAN!$B:$B,MATCH($C335,CCESAN!$A:$A,0)),
IF($B335="SCORIO",INDEX(CSCORIO!$B:$B,MATCH($C335,CSCORIO!$A:$A,0)),
IF($B335="MERC",INDEX(MERCADO!$B:$B,MATCH($C335,MERCADO!$A:$A,0)),
IF($B335="COMP",INDEX(COMPOSICAO!$B:$B,MATCH($C335,COMPOSICAO!$A:$A,0)),
""))))))),"*Verificar código*")</f>
        <v>Caixa De Equalização De Potenciais Para Uso Interno E Externo Com Cinco (5) Terminais Para Aterramento (Bep), Em Polipropileno, Ref. Tel-902, Marca De Referência Termotécnica Ou Equivalente</v>
      </c>
      <c r="E335" s="171" t="str">
        <f>IFERROR(LOWER(
IF($B335="DER-ES",INDEX('CDER-ES'!$C:$C,MATCH($C335,'CDER-ES'!$A:$A,0)),
IF($B335="SINAPI",INDEX(CSINAPI!$C:$C,MATCH($C335,CSINAPI!$A:$A,0)),
IF($B335="CESAN",INDEX(CCESAN!$C:$C,MATCH($C335,CCESAN!$A:$A,0)),
IF($B335="SCORIO",INDEX(CSCORIO!$A:$A,MATCH($C335,CSCORIO!#REF!,0)),
IF($B335="MERC",INDEX(MERCADO!$D:$D,MATCH($C335,MERCADO!$A:$A,0)),
IF($B335="COMP",INDEX(COMPOSICAO!$G:$G,MATCH($C335,COMPOSICAO!$A:$A,0)),
""))))))),"")</f>
        <v>und</v>
      </c>
      <c r="F335" s="179">
        <f>VLOOKUP(A335,'MEMÓRIA DE CÁLCULO'!A:H,8,0)</f>
        <v>1</v>
      </c>
      <c r="G335" s="173">
        <f>IFERROR(
IF($B335="DER-ES",INDEX('CDER-ES'!$D:$D,MATCH($C335,'CDER-ES'!$A:$A,0)),
IF($B335="SINAPI",INDEX(CSINAPI!$D:$D,MATCH($C335,CSINAPI!$A:$A,0)),
IF($B335="CESAN",INDEX(CCESAN!$D:$D,MATCH($C335,CCESAN!$A:$A,0)),
IF($B335="SCORIO",INDEX(CSCORIO!$B:$B,MATCH($C335,CSCORIO!#REF!,0)),
IF($B335="MERC",INDEX(MERCADO!$E:$E,MATCH($C335,MERCADO!$A:$A,0)),
IF($B335="COMP",INDEX(COMPOSICAO!$H:$H,MATCH($C335,COMPOSICAO!$A:$A,0)),
0)))))),0)</f>
        <v>266.8</v>
      </c>
      <c r="H335" s="173">
        <f t="shared" si="270"/>
        <v>355.51</v>
      </c>
      <c r="I335" s="180">
        <f t="shared" si="271"/>
        <v>355.51</v>
      </c>
      <c r="J335" s="194">
        <f>I335/I$327</f>
        <v>4.8157658999451528E-3</v>
      </c>
      <c r="K335" s="207"/>
    </row>
    <row r="336" spans="1:11">
      <c r="A336" s="167" t="s">
        <v>12636</v>
      </c>
      <c r="B336" s="168"/>
      <c r="C336" s="169"/>
      <c r="D336" s="170" t="s">
        <v>14292</v>
      </c>
      <c r="E336" s="171"/>
      <c r="F336" s="172"/>
      <c r="G336" s="173"/>
      <c r="H336" s="173"/>
      <c r="I336" s="174">
        <f>SUBTOTAL(9,I337:I343)</f>
        <v>34103.97</v>
      </c>
      <c r="J336" s="193">
        <f>SUBTOTAL(9,J337:J343)</f>
        <v>0.99999999999999989</v>
      </c>
    </row>
    <row r="337" spans="1:13" ht="38.25">
      <c r="A337" s="175" t="s">
        <v>12637</v>
      </c>
      <c r="B337" s="176" t="s">
        <v>12617</v>
      </c>
      <c r="C337" s="177">
        <v>200707</v>
      </c>
      <c r="D337" s="178" t="str">
        <f>IFERROR(PROPER(
IF($B337="DER-ES",INDEX('CDER-ES'!$B:$B,MATCH($C337,'CDER-ES'!$A:$A,0)),
IF($B337="SINAPI",INDEX(CSINAPI!$B:$B,MATCH($C337,CSINAPI!$A:$A,0)),
IF($B337="CESAN",INDEX(CCESAN!$B:$B,MATCH($C337,CCESAN!$A:$A,0)),
IF($B337="SCORIO",INDEX(CSCORIO!$B:$B,MATCH($C337,CSCORIO!$A:$A,0)),
IF($B337="MERC",INDEX(MERCADO!$B:$B,MATCH($C337,MERCADO!$A:$A,0)),
IF($B337="COMP",INDEX(COMPOSICAO!$B:$B,MATCH($C337,COMPOSICAO!$A:$A,0)),
""))))))),"*Verificar código*")</f>
        <v>Trave Para Futebol De Salão De Tubo De Ferro Galvanizado 3", Com Recuo, Removível, Dimensões Oficiais 3X2M</v>
      </c>
      <c r="E337" s="171" t="str">
        <f>IFERROR(LOWER(
IF($B337="DER-ES",INDEX('CDER-ES'!$C:$C,MATCH($C337,'CDER-ES'!$A:$A,0)),
IF($B337="SINAPI",INDEX(CSINAPI!$C:$C,MATCH($C337,CSINAPI!$A:$A,0)),
IF($B337="CESAN",INDEX(CCESAN!$C:$C,MATCH($C337,CCESAN!$A:$A,0)),
IF($B337="SCORIO",INDEX(CSCORIO!$C:$C,MATCH($C337,CSCORIO!$A:$A,0)),
IF($B337="MERC",INDEX(MERCADO!$D:$D,MATCH($C337,MERCADO!$A:$A,0)),
IF($B337="COMP",INDEX(COMPOSICAO!$G:$G,MATCH($C337,COMPOSICAO!$A:$A,0)),
""))))))),"")</f>
        <v>und</v>
      </c>
      <c r="F337" s="179">
        <f>VLOOKUP(A337,'MEMÓRIA DE CÁLCULO'!A:H,8,0)</f>
        <v>2</v>
      </c>
      <c r="G337" s="173">
        <f>IFERROR(
IF($B337="DER-ES",INDEX('CDER-ES'!$D:$D,MATCH($C337,'CDER-ES'!$A:$A,0)),
IF($B337="SINAPI",INDEX(CSINAPI!$D:$D,MATCH($C337,CSINAPI!$A:$A,0)),
IF($B337="CESAN",INDEX(CCESAN!$D:$D,MATCH($C337,CCESAN!$A:$A,0)),
IF($B337="SCORIO",INDEX(CSCORIO!$D:$D,MATCH($C337,CSCORIO!$A:$A,0)),
IF($B337="MERC",INDEX(MERCADO!$E:$E,MATCH($C337,MERCADO!$A:$A,0)),
IF($B337="COMP",INDEX(COMPOSICAO!$H:$H,MATCH($C337,COMPOSICAO!$A:$A,0)),
0)))))),0)</f>
        <v>1739.17</v>
      </c>
      <c r="H337" s="173">
        <f t="shared" ref="H337:H343" si="275">ROUND(G337*(1+$J$2),2)</f>
        <v>2317.44</v>
      </c>
      <c r="I337" s="180">
        <f t="shared" ref="I337:I343" si="276">ROUND($H337*F337,2)</f>
        <v>4634.88</v>
      </c>
      <c r="J337" s="194">
        <f t="shared" ref="J337:J343" si="277">I337/I$336</f>
        <v>0.13590441230155903</v>
      </c>
      <c r="K337" s="207"/>
    </row>
    <row r="338" spans="1:13">
      <c r="A338" s="175" t="s">
        <v>14188</v>
      </c>
      <c r="B338" s="176" t="s">
        <v>12617</v>
      </c>
      <c r="C338" s="177">
        <v>200713</v>
      </c>
      <c r="D338" s="178" t="str">
        <f>IFERROR(PROPER(
IF($B338="DER-ES",INDEX('CDER-ES'!$B:$B,MATCH($C338,'CDER-ES'!$A:$A,0)),
IF($B338="SINAPI",INDEX(CSINAPI!$B:$B,MATCH($C338,CSINAPI!$A:$A,0)),
IF($B338="CESAN",INDEX(CCESAN!$B:$B,MATCH($C338,CCESAN!$A:$A,0)),
IF($B338="SCORIO",INDEX(CSCORIO!$B:$B,MATCH($C338,CSCORIO!$A:$A,0)),
IF($B338="MERC",INDEX(MERCADO!$B:$B,MATCH($C338,MERCADO!$A:$A,0)),
IF($B338="COMP",INDEX(COMPOSICAO!$B:$B,MATCH($C338,COMPOSICAO!$A:$A,0)),
""))))))),"*Verificar código*")</f>
        <v>Rede Para Futebol De Salão</v>
      </c>
      <c r="E338" s="171" t="str">
        <f>IFERROR(LOWER(
IF($B338="DER-ES",INDEX('CDER-ES'!$C:$C,MATCH($C338,'CDER-ES'!$A:$A,0)),
IF($B338="SINAPI",INDEX(CSINAPI!$C:$C,MATCH($C338,CSINAPI!$A:$A,0)),
IF($B338="CESAN",INDEX(CCESAN!$C:$C,MATCH($C338,CCESAN!$A:$A,0)),
IF($B338="SCORIO",INDEX(CSCORIO!$C:$C,MATCH($C338,CSCORIO!$A:$A,0)),
IF($B338="MERC",INDEX(MERCADO!$D:$D,MATCH($C338,MERCADO!$A:$A,0)),
IF($B338="COMP",INDEX(COMPOSICAO!$G:$G,MATCH($C338,COMPOSICAO!$A:$A,0)),
""))))))),"")</f>
        <v>und</v>
      </c>
      <c r="F338" s="179">
        <f>VLOOKUP(A338,'MEMÓRIA DE CÁLCULO'!A:H,8,0)</f>
        <v>2</v>
      </c>
      <c r="G338" s="173">
        <f>IFERROR(
IF($B338="DER-ES",INDEX('CDER-ES'!$D:$D,MATCH($C338,'CDER-ES'!$A:$A,0)),
IF($B338="SINAPI",INDEX(CSINAPI!$D:$D,MATCH($C338,CSINAPI!$A:$A,0)),
IF($B338="CESAN",INDEX(CCESAN!$D:$D,MATCH($C338,CCESAN!$A:$A,0)),
IF($B338="SCORIO",INDEX(CSCORIO!$D:$D,MATCH($C338,CSCORIO!$A:$A,0)),
IF($B338="MERC",INDEX(MERCADO!$E:$E,MATCH($C338,MERCADO!$A:$A,0)),
IF($B338="COMP",INDEX(COMPOSICAO!$H:$H,MATCH($C338,COMPOSICAO!$A:$A,0)),
0)))))),0)</f>
        <v>153.71</v>
      </c>
      <c r="H338" s="173">
        <f t="shared" si="275"/>
        <v>204.82</v>
      </c>
      <c r="I338" s="180">
        <f t="shared" si="276"/>
        <v>409.64</v>
      </c>
      <c r="J338" s="194">
        <f t="shared" si="277"/>
        <v>1.2011504818940434E-2</v>
      </c>
      <c r="K338" s="207"/>
    </row>
    <row r="339" spans="1:13" ht="51">
      <c r="A339" s="175" t="s">
        <v>14189</v>
      </c>
      <c r="B339" s="176" t="s">
        <v>12617</v>
      </c>
      <c r="C339" s="177">
        <v>200708</v>
      </c>
      <c r="D339" s="178" t="str">
        <f>IFERROR(PROPER(
IF($B339="DER-ES",INDEX('CDER-ES'!$B:$B,MATCH($C339,'CDER-ES'!$A:$A,0)),
IF($B339="SINAPI",INDEX(CSINAPI!$B:$B,MATCH($C339,CSINAPI!$A:$A,0)),
IF($B339="CESAN",INDEX(CCESAN!$B:$B,MATCH($C339,CCESAN!$A:$A,0)),
IF($B339="SCORIO",INDEX(CSCORIO!$B:$B,MATCH($C339,CSCORIO!$A:$A,0)),
IF($B339="MERC",INDEX(MERCADO!$B:$B,MATCH($C339,MERCADO!$A:$A,0)),
IF($B339="COMP",INDEX(COMPOSICAO!$B:$B,MATCH($C339,COMPOSICAO!$A:$A,0)),
""))))))),"*Verificar código*")</f>
        <v>Conjunto De Poste De Voleibol De Tubo De Ferro Galvanizado 3"E Parte Móvel De 21/2", Inclusive Carretilha, Furo Com Tubo De Ferro Galvanizado De 31/2"E Tampão De Furo</v>
      </c>
      <c r="E339" s="171" t="str">
        <f>IFERROR(LOWER(
IF($B339="DER-ES",INDEX('CDER-ES'!$C:$C,MATCH($C339,'CDER-ES'!$A:$A,0)),
IF($B339="SINAPI",INDEX(CSINAPI!$C:$C,MATCH($C339,CSINAPI!$A:$A,0)),
IF($B339="CESAN",INDEX(CCESAN!$C:$C,MATCH($C339,CCESAN!$A:$A,0)),
IF($B339="SCORIO",INDEX(CSCORIO!$C:$C,MATCH($C339,CSCORIO!$A:$A,0)),
IF($B339="MERC",INDEX(MERCADO!$D:$D,MATCH($C339,MERCADO!$A:$A,0)),
IF($B339="COMP",INDEX(COMPOSICAO!$G:$G,MATCH($C339,COMPOSICAO!$A:$A,0)),
""))))))),"")</f>
        <v>und</v>
      </c>
      <c r="F339" s="179">
        <f>VLOOKUP(A339,'MEMÓRIA DE CÁLCULO'!A:H,8,0)</f>
        <v>1</v>
      </c>
      <c r="G339" s="173">
        <f>IFERROR(
IF($B339="DER-ES",INDEX('CDER-ES'!$D:$D,MATCH($C339,'CDER-ES'!$A:$A,0)),
IF($B339="SINAPI",INDEX(CSINAPI!$D:$D,MATCH($C339,CSINAPI!$A:$A,0)),
IF($B339="CESAN",INDEX(CCESAN!$D:$D,MATCH($C339,CCESAN!$A:$A,0)),
IF($B339="SCORIO",INDEX(CSCORIO!$D:$D,MATCH($C339,CSCORIO!$A:$A,0)),
IF($B339="MERC",INDEX(MERCADO!$E:$E,MATCH($C339,MERCADO!$A:$A,0)),
IF($B339="COMP",INDEX(COMPOSICAO!$H:$H,MATCH($C339,COMPOSICAO!$A:$A,0)),
0)))))),0)</f>
        <v>1605.69</v>
      </c>
      <c r="H339" s="173">
        <f t="shared" si="275"/>
        <v>2139.58</v>
      </c>
      <c r="I339" s="180">
        <f t="shared" si="276"/>
        <v>2139.58</v>
      </c>
      <c r="J339" s="194">
        <f t="shared" si="277"/>
        <v>6.2736977542497241E-2</v>
      </c>
      <c r="K339" s="207"/>
    </row>
    <row r="340" spans="1:13" ht="25.5">
      <c r="A340" s="175" t="s">
        <v>14293</v>
      </c>
      <c r="B340" s="176" t="s">
        <v>12617</v>
      </c>
      <c r="C340" s="177">
        <v>200705</v>
      </c>
      <c r="D340" s="178" t="str">
        <f>IFERROR(PROPER(
IF($B340="DER-ES",INDEX('CDER-ES'!$B:$B,MATCH($C340,'CDER-ES'!$A:$A,0)),
IF($B340="SINAPI",INDEX(CSINAPI!$B:$B,MATCH($C340,CSINAPI!$A:$A,0)),
IF($B340="CESAN",INDEX(CCESAN!$B:$B,MATCH($C340,CCESAN!$A:$A,0)),
IF($B340="SCORIO",INDEX(CSCORIO!$B:$B,MATCH($C340,CSCORIO!$A:$A,0)),
IF($B340="MERC",INDEX(MERCADO!$B:$B,MATCH($C340,MERCADO!$A:$A,0)),
IF($B340="COMP",INDEX(COMPOSICAO!$B:$B,MATCH($C340,COMPOSICAO!$A:$A,0)),
""))))))),"*Verificar código*")</f>
        <v>Rede Para Voleibol Com Malha Grossa, Faixas De Lona Superior E Inferior</v>
      </c>
      <c r="E340" s="171" t="str">
        <f>IFERROR(LOWER(
IF($B340="DER-ES",INDEX('CDER-ES'!$C:$C,MATCH($C340,'CDER-ES'!$A:$A,0)),
IF($B340="SINAPI",INDEX(CSINAPI!$C:$C,MATCH($C340,CSINAPI!$A:$A,0)),
IF($B340="CESAN",INDEX(CCESAN!$C:$C,MATCH($C340,CCESAN!$A:$A,0)),
IF($B340="SCORIO",INDEX(CSCORIO!$C:$C,MATCH($C340,CSCORIO!$A:$A,0)),
IF($B340="MERC",INDEX(MERCADO!$D:$D,MATCH($C340,MERCADO!$A:$A,0)),
IF($B340="COMP",INDEX(COMPOSICAO!$G:$G,MATCH($C340,COMPOSICAO!$A:$A,0)),
""))))))),"")</f>
        <v>und</v>
      </c>
      <c r="F340" s="179">
        <f>VLOOKUP(A340,'MEMÓRIA DE CÁLCULO'!A:H,8,0)</f>
        <v>1</v>
      </c>
      <c r="G340" s="173">
        <f>IFERROR(
IF($B340="DER-ES",INDEX('CDER-ES'!$D:$D,MATCH($C340,'CDER-ES'!$A:$A,0)),
IF($B340="SINAPI",INDEX(CSINAPI!$D:$D,MATCH($C340,CSINAPI!$A:$A,0)),
IF($B340="CESAN",INDEX(CCESAN!$D:$D,MATCH($C340,CCESAN!$A:$A,0)),
IF($B340="SCORIO",INDEX(CSCORIO!$D:$D,MATCH($C340,CSCORIO!$A:$A,0)),
IF($B340="MERC",INDEX(MERCADO!$E:$E,MATCH($C340,MERCADO!$A:$A,0)),
IF($B340="COMP",INDEX(COMPOSICAO!$H:$H,MATCH($C340,COMPOSICAO!$A:$A,0)),
0)))))),0)</f>
        <v>207.32</v>
      </c>
      <c r="H340" s="173">
        <f t="shared" si="275"/>
        <v>276.25</v>
      </c>
      <c r="I340" s="180">
        <f t="shared" si="276"/>
        <v>276.25</v>
      </c>
      <c r="J340" s="194">
        <f t="shared" si="277"/>
        <v>8.1002299732259916E-3</v>
      </c>
      <c r="K340" s="207"/>
    </row>
    <row r="341" spans="1:13" ht="38.25">
      <c r="A341" s="175" t="s">
        <v>14294</v>
      </c>
      <c r="B341" s="176" t="s">
        <v>12617</v>
      </c>
      <c r="C341" s="177">
        <v>200706</v>
      </c>
      <c r="D341" s="178" t="str">
        <f>IFERROR(PROPER(
IF($B341="DER-ES",INDEX('CDER-ES'!$B:$B,MATCH($C341,'CDER-ES'!$A:$A,0)),
IF($B341="SINAPI",INDEX(CSINAPI!$B:$B,MATCH($C341,CSINAPI!$A:$A,0)),
IF($B341="CESAN",INDEX(CCESAN!$B:$B,MATCH($C341,CCESAN!$A:$A,0)),
IF($B341="SCORIO",INDEX(CSCORIO!$B:$B,MATCH($C341,CSCORIO!$A:$A,0)),
IF($B341="MERC",INDEX(MERCADO!$B:$B,MATCH($C341,MERCADO!$A:$A,0)),
IF($B341="COMP",INDEX(COMPOSICAO!$B:$B,MATCH($C341,COMPOSICAO!$A:$A,0)),
""))))))),"*Verificar código*")</f>
        <v>Suporte Para Tabela De Basquete De Concreto Armado Fck = 15Mpa, Inclusive Forma, Armação, Lançamento E Desforma</v>
      </c>
      <c r="E341" s="171" t="str">
        <f>IFERROR(LOWER(
IF($B341="DER-ES",INDEX('CDER-ES'!$C:$C,MATCH($C341,'CDER-ES'!$A:$A,0)),
IF($B341="SINAPI",INDEX(CSINAPI!$C:$C,MATCH($C341,CSINAPI!$A:$A,0)),
IF($B341="CESAN",INDEX(CCESAN!$C:$C,MATCH($C341,CCESAN!$A:$A,0)),
IF($B341="SCORIO",INDEX(CSCORIO!$C:$C,MATCH($C341,CSCORIO!$A:$A,0)),
IF($B341="MERC",INDEX(MERCADO!$D:$D,MATCH($C341,MERCADO!$A:$A,0)),
IF($B341="COMP",INDEX(COMPOSICAO!$G:$G,MATCH($C341,COMPOSICAO!$A:$A,0)),
""))))))),"")</f>
        <v>und</v>
      </c>
      <c r="F341" s="179">
        <f>VLOOKUP(A341,'MEMÓRIA DE CÁLCULO'!A:H,8,0)</f>
        <v>2</v>
      </c>
      <c r="G341" s="173">
        <f>IFERROR(
IF($B341="DER-ES",INDEX('CDER-ES'!$D:$D,MATCH($C341,'CDER-ES'!$A:$A,0)),
IF($B341="SINAPI",INDEX(CSINAPI!$D:$D,MATCH($C341,CSINAPI!$A:$A,0)),
IF($B341="CESAN",INDEX(CCESAN!$D:$D,MATCH($C341,CCESAN!$A:$A,0)),
IF($B341="SCORIO",INDEX(CSCORIO!$D:$D,MATCH($C341,CSCORIO!$A:$A,0)),
IF($B341="MERC",INDEX(MERCADO!$E:$E,MATCH($C341,MERCADO!$A:$A,0)),
IF($B341="COMP",INDEX(COMPOSICAO!$H:$H,MATCH($C341,COMPOSICAO!$A:$A,0)),
0)))))),0)</f>
        <v>3624.02</v>
      </c>
      <c r="H341" s="173">
        <f t="shared" si="275"/>
        <v>4829.01</v>
      </c>
      <c r="I341" s="180">
        <f t="shared" si="276"/>
        <v>9658.02</v>
      </c>
      <c r="J341" s="194">
        <f t="shared" si="277"/>
        <v>0.28319342293580485</v>
      </c>
      <c r="K341" s="207"/>
    </row>
    <row r="342" spans="1:13" ht="25.5">
      <c r="A342" s="175" t="s">
        <v>14295</v>
      </c>
      <c r="B342" s="176" t="s">
        <v>12617</v>
      </c>
      <c r="C342" s="177">
        <v>200709</v>
      </c>
      <c r="D342" s="178" t="str">
        <f>IFERROR(PROPER(
IF($B342="DER-ES",INDEX('CDER-ES'!$B:$B,MATCH($C342,'CDER-ES'!$A:$A,0)),
IF($B342="SINAPI",INDEX(CSINAPI!$B:$B,MATCH($C342,CSINAPI!$A:$A,0)),
IF($B342="CESAN",INDEX(CCESAN!$B:$B,MATCH($C342,CCESAN!$A:$A,0)),
IF($B342="SCORIO",INDEX(CSCORIO!$B:$B,MATCH($C342,CSCORIO!$A:$A,0)),
IF($B342="MERC",INDEX(MERCADO!$B:$B,MATCH($C342,MERCADO!$A:$A,0)),
IF($B342="COMP",INDEX(COMPOSICAO!$B:$B,MATCH($C342,COMPOSICAO!$A:$A,0)),
""))))))),"*Verificar código*")</f>
        <v>Tabela De Basquete De Madeira, Com Aro, Inclusive Colocação</v>
      </c>
      <c r="E342" s="171" t="str">
        <f>IFERROR(LOWER(
IF($B342="DER-ES",INDEX('CDER-ES'!$C:$C,MATCH($C342,'CDER-ES'!$A:$A,0)),
IF($B342="SINAPI",INDEX(CSINAPI!$C:$C,MATCH($C342,CSINAPI!$A:$A,0)),
IF($B342="CESAN",INDEX(CCESAN!$C:$C,MATCH($C342,CCESAN!$A:$A,0)),
IF($B342="SCORIO",INDEX(CSCORIO!$C:$C,MATCH($C342,CSCORIO!$A:$A,0)),
IF($B342="MERC",INDEX(MERCADO!$D:$D,MATCH($C342,MERCADO!$A:$A,0)),
IF($B342="COMP",INDEX(COMPOSICAO!$G:$G,MATCH($C342,COMPOSICAO!$A:$A,0)),
""))))))),"")</f>
        <v>und</v>
      </c>
      <c r="F342" s="179">
        <f>VLOOKUP(A342,'MEMÓRIA DE CÁLCULO'!A:H,8,0)</f>
        <v>2</v>
      </c>
      <c r="G342" s="173">
        <f>IFERROR(
IF($B342="DER-ES",INDEX('CDER-ES'!$D:$D,MATCH($C342,'CDER-ES'!$A:$A,0)),
IF($B342="SINAPI",INDEX(CSINAPI!$D:$D,MATCH($C342,CSINAPI!$A:$A,0)),
IF($B342="CESAN",INDEX(CCESAN!$D:$D,MATCH($C342,CCESAN!$A:$A,0)),
IF($B342="SCORIO",INDEX(CSCORIO!$D:$D,MATCH($C342,CSCORIO!$A:$A,0)),
IF($B342="MERC",INDEX(MERCADO!$E:$E,MATCH($C342,MERCADO!$A:$A,0)),
IF($B342="COMP",INDEX(COMPOSICAO!$H:$H,MATCH($C342,COMPOSICAO!$A:$A,0)),
0)))))),0)</f>
        <v>990.56</v>
      </c>
      <c r="H342" s="173">
        <f t="shared" ref="H342" si="278">ROUND(G342*(1+$J$2),2)</f>
        <v>1319.92</v>
      </c>
      <c r="I342" s="180">
        <f t="shared" ref="I342" si="279">ROUND($H342*F342,2)</f>
        <v>2639.84</v>
      </c>
      <c r="J342" s="194">
        <f t="shared" ref="J342" si="280">I342/I$336</f>
        <v>7.7405651013650323E-2</v>
      </c>
      <c r="K342" s="207"/>
    </row>
    <row r="343" spans="1:13" ht="25.5">
      <c r="A343" s="175" t="s">
        <v>16608</v>
      </c>
      <c r="B343" s="176" t="s">
        <v>12617</v>
      </c>
      <c r="C343" s="177">
        <v>200721</v>
      </c>
      <c r="D343" s="178" t="str">
        <f>IFERROR(PROPER(
IF($B343="DER-ES",INDEX('CDER-ES'!$B:$B,MATCH($C343,'CDER-ES'!$A:$A,0)),
IF($B343="SINAPI",INDEX(CSINAPI!$B:$B,MATCH($C343,CSINAPI!$A:$A,0)),
IF($B343="CESAN",INDEX(CCESAN!$B:$B,MATCH($C343,CCESAN!$A:$A,0)),
IF($B343="SCORIO",INDEX(CSCORIO!$B:$B,MATCH($C343,CSCORIO!$A:$A,0)),
IF($B343="MERC",INDEX(MERCADO!$B:$B,MATCH($C343,MERCADO!$A:$A,0)),
IF($B343="COMP",INDEX(COMPOSICAO!$B:$B,MATCH($C343,COMPOSICAO!$A:$A,0)),
""))))))),"*Verificar código*")</f>
        <v>Rede De Proteção Em Nylon Malha 10X10 Cm Para Proteção De Quadra De Esportes</v>
      </c>
      <c r="E343" s="171" t="str">
        <f>IFERROR(LOWER(
IF($B343="DER-ES",INDEX('CDER-ES'!$C:$C,MATCH($C343,'CDER-ES'!$A:$A,0)),
IF($B343="SINAPI",INDEX(CSINAPI!$C:$C,MATCH($C343,CSINAPI!$A:$A,0)),
IF($B343="CESAN",INDEX(CCESAN!$C:$C,MATCH($C343,CCESAN!$A:$A,0)),
IF($B343="SCORIO",INDEX(CSCORIO!$C:$C,MATCH($C343,CSCORIO!$A:$A,0)),
IF($B343="MERC",INDEX(MERCADO!$D:$D,MATCH($C343,MERCADO!$A:$A,0)),
IF($B343="COMP",INDEX(COMPOSICAO!$G:$G,MATCH($C343,COMPOSICAO!$A:$A,0)),
""))))))),"")</f>
        <v>m2</v>
      </c>
      <c r="F343" s="179">
        <f>VLOOKUP(A343,'MEMÓRIA DE CÁLCULO'!A:H,8,0)</f>
        <v>580.79999999999995</v>
      </c>
      <c r="G343" s="173">
        <f>IFERROR(
IF($B343="DER-ES",INDEX('CDER-ES'!$D:$D,MATCH($C343,'CDER-ES'!$A:$A,0)),
IF($B343="SINAPI",INDEX(CSINAPI!$D:$D,MATCH($C343,CSINAPI!$A:$A,0)),
IF($B343="CESAN",INDEX(CCESAN!$D:$D,MATCH($C343,CCESAN!$A:$A,0)),
IF($B343="SCORIO",INDEX(CSCORIO!$D:$D,MATCH($C343,CSCORIO!$A:$A,0)),
IF($B343="MERC",INDEX(MERCADO!$E:$E,MATCH($C343,MERCADO!$A:$A,0)),
IF($B343="COMP",INDEX(COMPOSICAO!$H:$H,MATCH($C343,COMPOSICAO!$A:$A,0)),
0)))))),0)</f>
        <v>18.54</v>
      </c>
      <c r="H343" s="173">
        <f t="shared" si="275"/>
        <v>24.7</v>
      </c>
      <c r="I343" s="180">
        <f t="shared" si="276"/>
        <v>14345.76</v>
      </c>
      <c r="J343" s="194">
        <f t="shared" si="277"/>
        <v>0.42064780141432212</v>
      </c>
      <c r="K343" s="207"/>
    </row>
    <row r="344" spans="1:13">
      <c r="A344" s="167" t="s">
        <v>12645</v>
      </c>
      <c r="B344" s="168"/>
      <c r="C344" s="169"/>
      <c r="D344" s="170" t="s">
        <v>14469</v>
      </c>
      <c r="E344" s="171"/>
      <c r="F344" s="172"/>
      <c r="G344" s="173"/>
      <c r="H344" s="173"/>
      <c r="I344" s="174">
        <f>SUBTOTAL(9,I345:I348)</f>
        <v>37408.990000000005</v>
      </c>
      <c r="J344" s="193">
        <f>SUBTOTAL(9,J345:J348)</f>
        <v>0.99999999999999989</v>
      </c>
    </row>
    <row r="345" spans="1:13" ht="76.5">
      <c r="A345" s="175" t="s">
        <v>12646</v>
      </c>
      <c r="B345" s="176" t="s">
        <v>928</v>
      </c>
      <c r="C345" s="177">
        <v>99839</v>
      </c>
      <c r="D345" s="178" t="str">
        <f>IFERROR(PROPER(
IF($B345="DER-ES",INDEX('CDER-ES'!$B:$B,MATCH($C345,'CDER-ES'!$A:$A,0)),
IF($B345="SINAPI",INDEX(CSINAPI!$B:$B,MATCH($C345,CSINAPI!$A:$A,0)),
IF($B345="CESAN",INDEX(CCESAN!$B:$B,MATCH($C345,CCESAN!$A:$A,0)),
IF($B345="SCORIO",INDEX(CSCORIO!$B:$B,MATCH($C345,CSCORIO!$A:$A,0)),
IF($B345="MERC",INDEX(MERCADO!$B:$B,MATCH($C345,MERCADO!$A:$A,0)),
IF($B345="COMP",INDEX(COMPOSICAO!$B:$B,MATCH($C345,COMPOSICAO!$A:$A,0)),
""))))))),"*Verificar código*")</f>
        <v>Guarda-Corpo De Aço Galvanizado De 1,10M De Altura, Montantes Tubulares De 1.1/2  Espaçados De 1,20M, Travessa Superior De 2 , Gradil Formado Por Barras Chatas Em Ferro De 32X4,8Mm, Fixado Com Chumbador Mecânico. Af_04/2019_Ps</v>
      </c>
      <c r="E345" s="171" t="str">
        <f>IFERROR(LOWER(
IF($B345="DER-ES",INDEX('CDER-ES'!$C:$C,MATCH($C345,'CDER-ES'!$A:$A,0)),
IF($B345="SINAPI",INDEX(CSINAPI!$C:$C,MATCH($C345,CSINAPI!$A:$A,0)),
IF($B345="CESAN",INDEX(CCESAN!$C:$C,MATCH($C345,CCESAN!$A:$A,0)),
IF($B345="SCORIO",INDEX(CSCORIO!$A:$A,MATCH($C345,CSCORIO!#REF!,0)),
IF($B345="MERC",INDEX(MERCADO!$D:$D,MATCH($C345,MERCADO!$A:$A,0)),
IF($B345="COMP",INDEX(COMPOSICAO!$G:$G,MATCH($C345,COMPOSICAO!$A:$A,0)),
""))))))),"")</f>
        <v>m</v>
      </c>
      <c r="F345" s="179">
        <f>VLOOKUP(A345,'MEMÓRIA DE CÁLCULO'!A:H,8,0)</f>
        <v>32.4</v>
      </c>
      <c r="G345" s="173">
        <f>IFERROR(
IF($B345="DER-ES",INDEX('CDER-ES'!$D:$D,MATCH($C345,'CDER-ES'!$A:$A,0)),
IF($B345="SINAPI",INDEX(CSINAPI!$D:$D,MATCH($C345,CSINAPI!$A:$A,0)),
IF($B345="CESAN",INDEX(CCESAN!$D:$D,MATCH($C345,CCESAN!$A:$A,0)),
IF($B345="SCORIO",INDEX(CSCORIO!$B:$B,MATCH($C345,CSCORIO!#REF!,0)),
IF($B345="MERC",INDEX(MERCADO!$E:$E,MATCH($C345,MERCADO!$A:$A,0)),
IF($B345="COMP",INDEX(COMPOSICAO!$H:$H,MATCH($C345,COMPOSICAO!$A:$A,0)),
0)))))),0)</f>
        <v>565.54999999999995</v>
      </c>
      <c r="H345" s="173">
        <f>ROUND(G345*(1+$J$2),2)</f>
        <v>753.6</v>
      </c>
      <c r="I345" s="180">
        <f>ROUND($H345*F345,2)</f>
        <v>24416.639999999999</v>
      </c>
      <c r="J345" s="194">
        <f>I345/I$344</f>
        <v>0.65269444590725378</v>
      </c>
    </row>
    <row r="346" spans="1:13" ht="25.5">
      <c r="A346" s="175" t="s">
        <v>14190</v>
      </c>
      <c r="B346" s="176" t="s">
        <v>12617</v>
      </c>
      <c r="C346" s="177">
        <v>210322</v>
      </c>
      <c r="D346" s="178" t="str">
        <f>IFERROR(PROPER(
IF($B346="DER-ES",INDEX('CDER-ES'!$B:$B,MATCH($C346,'CDER-ES'!$A:$A,0)),
IF($B346="SINAPI",INDEX(CSINAPI!$B:$B,MATCH($C346,CSINAPI!$A:$A,0)),
IF($B346="CESAN",INDEX(CCESAN!$B:$B,MATCH($C346,CCESAN!$A:$A,0)),
IF($B346="SCORIO",INDEX(CSCORIO!$B:$B,MATCH($C346,CSCORIO!$A:$A,0)),
IF($B346="MERC",INDEX(MERCADO!$B:$B,MATCH($C346,MERCADO!$A:$A,0)),
IF($B346="COMP",INDEX(COMPOSICAO!$B:$B,MATCH($C346,COMPOSICAO!$A:$A,0)),
""))))))),"*Verificar código*")</f>
        <v>Corrimão Em Tubo De Ferro Galvanizado Diam. 2" Com Chumbadores A Cada 1.5M</v>
      </c>
      <c r="E346" s="171" t="str">
        <f>IFERROR(LOWER(
IF($B346="DER-ES",INDEX('CDER-ES'!$C:$C,MATCH($C346,'CDER-ES'!$A:$A,0)),
IF($B346="SINAPI",INDEX(CSINAPI!$C:$C,MATCH($C346,CSINAPI!$A:$A,0)),
IF($B346="CESAN",INDEX(CCESAN!$C:$C,MATCH($C346,CCESAN!$A:$A,0)),
IF($B346="SCORIO",INDEX(CSCORIO!$A:$A,MATCH($C346,CSCORIO!#REF!,0)),
IF($B346="MERC",INDEX(MERCADO!$D:$D,MATCH($C346,MERCADO!$A:$A,0)),
IF($B346="COMP",INDEX(COMPOSICAO!$G:$G,MATCH($C346,COMPOSICAO!$A:$A,0)),
""))))))),"")</f>
        <v>m</v>
      </c>
      <c r="F346" s="179">
        <f>VLOOKUP(A346,'MEMÓRIA DE CÁLCULO'!A:H,8,0)</f>
        <v>62.75</v>
      </c>
      <c r="G346" s="173">
        <f>IFERROR(
IF($B346="DER-ES",INDEX('CDER-ES'!$D:$D,MATCH($C346,'CDER-ES'!$A:$A,0)),
IF($B346="SINAPI",INDEX(CSINAPI!$D:$D,MATCH($C346,CSINAPI!$A:$A,0)),
IF($B346="CESAN",INDEX(CCESAN!$D:$D,MATCH($C346,CCESAN!$A:$A,0)),
IF($B346="SCORIO",INDEX(CSCORIO!$B:$B,MATCH($C346,CSCORIO!#REF!,0)),
IF($B346="MERC",INDEX(MERCADO!$E:$E,MATCH($C346,MERCADO!$A:$A,0)),
IF($B346="COMP",INDEX(COMPOSICAO!$H:$H,MATCH($C346,COMPOSICAO!$A:$A,0)),
0)))))),0)</f>
        <v>144.58000000000001</v>
      </c>
      <c r="H346" s="173">
        <f>ROUND(G346*(1+$J$2),2)</f>
        <v>192.65</v>
      </c>
      <c r="I346" s="180">
        <f>ROUND($H346*F346,2)</f>
        <v>12088.79</v>
      </c>
      <c r="J346" s="194">
        <f t="shared" ref="J346:J348" si="281">I346/I$344</f>
        <v>0.32315200169798752</v>
      </c>
    </row>
    <row r="347" spans="1:13">
      <c r="A347" s="175" t="s">
        <v>14591</v>
      </c>
      <c r="B347" s="176" t="s">
        <v>928</v>
      </c>
      <c r="C347" s="177">
        <v>98509</v>
      </c>
      <c r="D347" s="178" t="str">
        <f>IFERROR(PROPER(
IF($B347="DER-ES",INDEX('CDER-ES'!$B:$B,MATCH($C347,'CDER-ES'!$A:$A,0)),
IF($B347="SINAPI",INDEX(CSINAPI!$B:$B,MATCH($C347,CSINAPI!$A:$A,0)),
IF($B347="CESAN",INDEX(CCESAN!$B:$B,MATCH($C347,CCESAN!$A:$A,0)),
IF($B347="SCORIO",INDEX(CSCORIO!$B:$B,MATCH($C347,CSCORIO!$A:$A,0)),
IF($B347="MERC",INDEX(MERCADO!$B:$B,MATCH($C347,MERCADO!$A:$A,0)),
IF($B347="COMP",INDEX(COMPOSICAO!$B:$B,MATCH($C347,COMPOSICAO!$A:$A,0)),
""))))))),"*Verificar código*")</f>
        <v>Plantio De Arbusto Ou  Cerca Viva. Af_05/2018</v>
      </c>
      <c r="E347" s="171" t="str">
        <f>IFERROR(LOWER(
IF($B347="DER-ES",INDEX('CDER-ES'!$C:$C,MATCH($C347,'CDER-ES'!$A:$A,0)),
IF($B347="SINAPI",INDEX(CSINAPI!$C:$C,MATCH($C347,CSINAPI!$A:$A,0)),
IF($B347="CESAN",INDEX(CCESAN!$C:$C,MATCH($C347,CCESAN!$A:$A,0)),
IF($B347="SCORIO",INDEX(CSCORIO!$A:$A,MATCH($C347,CSCORIO!#REF!,0)),
IF($B347="MERC",INDEX(MERCADO!$D:$D,MATCH($C347,MERCADO!$A:$A,0)),
IF($B347="COMP",INDEX(COMPOSICAO!$G:$G,MATCH($C347,COMPOSICAO!$A:$A,0)),
""))))))),"")</f>
        <v>un</v>
      </c>
      <c r="F347" s="179">
        <f>VLOOKUP(A347,'MEMÓRIA DE CÁLCULO'!A:H,8,0)</f>
        <v>10</v>
      </c>
      <c r="G347" s="173">
        <f>IFERROR(
IF($B347="DER-ES",INDEX('CDER-ES'!$D:$D,MATCH($C347,'CDER-ES'!$A:$A,0)),
IF($B347="SINAPI",INDEX(CSINAPI!$D:$D,MATCH($C347,CSINAPI!$A:$A,0)),
IF($B347="CESAN",INDEX(CCESAN!$D:$D,MATCH($C347,CCESAN!$A:$A,0)),
IF($B347="SCORIO",INDEX(CSCORIO!$B:$B,MATCH($C347,CSCORIO!#REF!,0)),
IF($B347="MERC",INDEX(MERCADO!$E:$E,MATCH($C347,MERCADO!$A:$A,0)),
IF($B347="COMP",INDEX(COMPOSICAO!$H:$H,MATCH($C347,COMPOSICAO!$A:$A,0)),
0)))))),0)</f>
        <v>52.9</v>
      </c>
      <c r="H347" s="173">
        <f>ROUND(G347*(1+$J$2),2)</f>
        <v>70.489999999999995</v>
      </c>
      <c r="I347" s="180">
        <f>ROUND($H347*F347,2)</f>
        <v>704.9</v>
      </c>
      <c r="J347" s="194">
        <f t="shared" si="281"/>
        <v>1.8843064193927714E-2</v>
      </c>
    </row>
    <row r="348" spans="1:13" ht="38.25">
      <c r="A348" s="175" t="s">
        <v>14648</v>
      </c>
      <c r="B348" s="176" t="s">
        <v>928</v>
      </c>
      <c r="C348" s="177">
        <v>98511</v>
      </c>
      <c r="D348" s="178" t="str">
        <f>IFERROR(PROPER(
IF($B348="DER-ES",INDEX('CDER-ES'!$B:$B,MATCH($C348,'CDER-ES'!$A:$A,0)),
IF($B348="SINAPI",INDEX(CSINAPI!$B:$B,MATCH($C348,CSINAPI!$A:$A,0)),
IF($B348="CESAN",INDEX(CCESAN!$B:$B,MATCH($C348,CCESAN!$A:$A,0)),
IF($B348="SCORIO",INDEX(CSCORIO!$B:$B,MATCH($C348,CSCORIO!$A:$A,0)),
IF($B348="MERC",INDEX(MERCADO!$B:$B,MATCH($C348,MERCADO!$A:$A,0)),
IF($B348="COMP",INDEX(COMPOSICAO!$B:$B,MATCH($C348,COMPOSICAO!$A:$A,0)),
""))))))),"*Verificar código*")</f>
        <v>Plantio De Árvore Ornamental Com Altura De Muda Maior Que 2,00 M E Menor Ou Igual A 4,00 M. Af_05/2018</v>
      </c>
      <c r="E348" s="171" t="str">
        <f>IFERROR(LOWER(
IF($B348="DER-ES",INDEX('CDER-ES'!$C:$C,MATCH($C348,'CDER-ES'!$A:$A,0)),
IF($B348="SINAPI",INDEX(CSINAPI!$C:$C,MATCH($C348,CSINAPI!$A:$A,0)),
IF($B348="CESAN",INDEX(CCESAN!$C:$C,MATCH($C348,CCESAN!$A:$A,0)),
IF($B348="SCORIO",INDEX(CSCORIO!$A:$A,MATCH($C348,CSCORIO!#REF!,0)),
IF($B348="MERC",INDEX(MERCADO!$D:$D,MATCH($C348,MERCADO!$A:$A,0)),
IF($B348="COMP",INDEX(COMPOSICAO!$G:$G,MATCH($C348,COMPOSICAO!$A:$A,0)),
""))))))),"")</f>
        <v>un</v>
      </c>
      <c r="F348" s="179">
        <f>VLOOKUP(A348,'MEMÓRIA DE CÁLCULO'!A:H,8,0)</f>
        <v>1</v>
      </c>
      <c r="G348" s="173">
        <f>IFERROR(
IF($B348="DER-ES",INDEX('CDER-ES'!$D:$D,MATCH($C348,'CDER-ES'!$A:$A,0)),
IF($B348="SINAPI",INDEX(CSINAPI!$D:$D,MATCH($C348,CSINAPI!$A:$A,0)),
IF($B348="CESAN",INDEX(CCESAN!$D:$D,MATCH($C348,CCESAN!$A:$A,0)),
IF($B348="SCORIO",INDEX(CSCORIO!$B:$B,MATCH($C348,CSCORIO!#REF!,0)),
IF($B348="MERC",INDEX(MERCADO!$E:$E,MATCH($C348,MERCADO!$A:$A,0)),
IF($B348="COMP",INDEX(COMPOSICAO!$H:$H,MATCH($C348,COMPOSICAO!$A:$A,0)),
0)))))),0)</f>
        <v>149.09</v>
      </c>
      <c r="H348" s="173">
        <f>ROUND(G348*(1+$J$2),2)</f>
        <v>198.66</v>
      </c>
      <c r="I348" s="180">
        <f>ROUND($H348*F348,2)</f>
        <v>198.66</v>
      </c>
      <c r="J348" s="194">
        <f t="shared" si="281"/>
        <v>5.3104882008308688E-3</v>
      </c>
    </row>
    <row r="349" spans="1:13">
      <c r="A349" s="167" t="s">
        <v>14470</v>
      </c>
      <c r="B349" s="168"/>
      <c r="C349" s="169"/>
      <c r="D349" s="170" t="s">
        <v>12614</v>
      </c>
      <c r="E349" s="171"/>
      <c r="F349" s="172"/>
      <c r="G349" s="173"/>
      <c r="H349" s="173"/>
      <c r="I349" s="174">
        <f>SUBTOTAL(9,I350:I351)</f>
        <v>12726.32</v>
      </c>
      <c r="J349" s="193">
        <f>SUBTOTAL(9,J350:J351)</f>
        <v>1</v>
      </c>
    </row>
    <row r="350" spans="1:13" ht="25.5">
      <c r="A350" s="175" t="s">
        <v>14471</v>
      </c>
      <c r="B350" s="176" t="s">
        <v>12617</v>
      </c>
      <c r="C350" s="177">
        <v>200402</v>
      </c>
      <c r="D350" s="178" t="str">
        <f>IFERROR(PROPER(
IF($B350="DER-ES",INDEX('CDER-ES'!$B:$B,MATCH($C350,'CDER-ES'!$A:$A,0)),
IF($B350="SINAPI",INDEX(CSINAPI!$B:$B,MATCH($C350,CSINAPI!$A:$A,0)),
IF($B350="CESAN",INDEX(CCESAN!$B:$B,MATCH($C350,CCESAN!$A:$A,0)),
IF($B350="SCORIO",INDEX(CSCORIO!$B:$B,MATCH($C350,CSCORIO!$A:$A,0)),
IF($B350="MERC",INDEX(MERCADO!$B:$B,MATCH($C350,MERCADO!$A:$A,0)),
IF($B350="COMP",INDEX(COMPOSICAO!$B:$B,MATCH($C350,COMPOSICAO!$A:$A,0)),
""))))))),"*Verificar código*")</f>
        <v>Limpeza Geral De Obras (Quadras, Praças E Jardins)</v>
      </c>
      <c r="E350" s="171" t="str">
        <f>IFERROR(LOWER(
IF($B350="DER-ES",INDEX('CDER-ES'!$C:$C,MATCH($C350,'CDER-ES'!$A:$A,0)),
IF($B350="SINAPI",INDEX(CSINAPI!$C:$C,MATCH($C350,CSINAPI!$A:$A,0)),
IF($B350="CESAN",INDEX(CCESAN!$C:$C,MATCH($C350,CCESAN!$A:$A,0)),
IF($B350="SCORIO",INDEX(CSCORIO!$A:$A,MATCH($C350,CSCORIO!#REF!,0)),
IF($B350="MERC",INDEX(MERCADO!$D:$D,MATCH($C350,MERCADO!$A:$A,0)),
IF($B350="COMP",INDEX(COMPOSICAO!$G:$G,MATCH($C350,COMPOSICAO!$A:$A,0)),
""))))))),"")</f>
        <v>m2</v>
      </c>
      <c r="F350" s="179">
        <f>VLOOKUP(A350,'MEMÓRIA DE CÁLCULO'!A:H,8,0)</f>
        <v>1337.87</v>
      </c>
      <c r="G350" s="173">
        <f>IFERROR(
IF($B350="DER-ES",INDEX('CDER-ES'!$D:$D,MATCH($C350,'CDER-ES'!$A:$A,0)),
IF($B350="SINAPI",INDEX(CSINAPI!$D:$D,MATCH($C350,CSINAPI!$A:$A,0)),
IF($B350="CESAN",INDEX(CCESAN!$D:$D,MATCH($C350,CCESAN!$A:$A,0)),
IF($B350="SCORIO",INDEX(CSCORIO!$B:$B,MATCH($C350,CSCORIO!#REF!,0)),
IF($B350="MERC",INDEX(MERCADO!$E:$E,MATCH($C350,MERCADO!$A:$A,0)),
IF($B350="COMP",INDEX(COMPOSICAO!$H:$H,MATCH($C350,COMPOSICAO!$A:$A,0)),
0)))))),0)</f>
        <v>1.18</v>
      </c>
      <c r="H350" s="173">
        <f>ROUND(G350*(1+$J$2),2)</f>
        <v>1.57</v>
      </c>
      <c r="I350" s="180">
        <f>ROUND($H350*F350,2)</f>
        <v>2100.46</v>
      </c>
      <c r="J350" s="194">
        <f>I350/I$349</f>
        <v>0.16504849791612972</v>
      </c>
      <c r="M350" s="90"/>
    </row>
    <row r="351" spans="1:13" ht="38.25">
      <c r="A351" s="175" t="s">
        <v>14472</v>
      </c>
      <c r="B351" s="176" t="s">
        <v>929</v>
      </c>
      <c r="C351" s="177">
        <v>12</v>
      </c>
      <c r="D351" s="178" t="str">
        <f>IFERROR(PROPER(
IF($B351="DER-ES",INDEX('CDER-ES'!$B:$B,MATCH($C351,'CDER-ES'!$A:$A,0)),
IF($B351="SINAPI",INDEX(CSINAPI!$B:$B,MATCH($C351,CSINAPI!$A:$A,0)),
IF($B351="CESAN",INDEX(CCESAN!$B:$B,MATCH($C351,CCESAN!$A:$A,0)),
IF($B351="SCORIO",INDEX(CSCORIO!$B:$B,MATCH($C351,CSCORIO!$A:$A,0)),
IF($B351="MERC",INDEX(MERCADO!$B:$B,MATCH($C351,MERCADO!$A:$A,0)),
IF($B351="COMP",INDEX(COMPOSICAO!$B:$B,MATCH($C351,COMPOSICAO!$A:$A,0)),
""))))))),"*Verificar código*")</f>
        <v>Placa De Inauguração Em Inox Com Gravação Em Baixo Relevo, Dimensões 80 X 110 Cm, Inclusive Com Brasão Prefeitura</v>
      </c>
      <c r="E351" s="171" t="str">
        <f>IFERROR(LOWER(
IF($B351="DER-ES",INDEX('CDER-ES'!$C:$C,MATCH($C351,'CDER-ES'!$A:$A,0)),
IF($B351="SINAPI",INDEX(CSINAPI!$C:$C,MATCH($C351,CSINAPI!$A:$A,0)),
IF($B351="CESAN",INDEX(CCESAN!$C:$C,MATCH($C351,CCESAN!$A:$A,0)),
IF($B351="SCORIO",INDEX(CSCORIO!$A:$A,MATCH($C351,CSCORIO!#REF!,0)),
IF($B351="MERC",INDEX(MERCADO!$D:$D,MATCH($C351,MERCADO!$A:$A,0)),
IF($B351="COMP",INDEX(COMPOSICAO!$G:$G,MATCH($C351,COMPOSICAO!$A:$A,0)),
""))))))),"")</f>
        <v>und.</v>
      </c>
      <c r="F351" s="179">
        <f>VLOOKUP(A351,'MEMÓRIA DE CÁLCULO'!A:H,8,0)</f>
        <v>2</v>
      </c>
      <c r="G351" s="173">
        <f>IFERROR(
IF($B351="DER-ES",INDEX('CDER-ES'!$D:$D,MATCH($C351,'CDER-ES'!$A:$A,0)),
IF($B351="SINAPI",INDEX(CSINAPI!$D:$D,MATCH($C351,CSINAPI!$A:$A,0)),
IF($B351="CESAN",INDEX(CCESAN!$D:$D,MATCH($C351,CCESAN!$A:$A,0)),
IF($B351="SCORIO",INDEX(CSCORIO!$B:$B,MATCH($C351,CSCORIO!#REF!,0)),
IF($B351="MERC",INDEX(MERCADO!$E:$E,MATCH($C351,MERCADO!$A:$A,0)),
IF($B351="COMP",INDEX(COMPOSICAO!$H:$H,MATCH($C351,COMPOSICAO!$A:$A,0)),
0)))))),0)</f>
        <v>3987.19</v>
      </c>
      <c r="H351" s="173">
        <f>ROUND(G351*(1+$J$2),2)</f>
        <v>5312.93</v>
      </c>
      <c r="I351" s="180">
        <f>ROUND($H351*F351,2)</f>
        <v>10625.86</v>
      </c>
      <c r="J351" s="194">
        <f>I351/I$349</f>
        <v>0.83495150208387037</v>
      </c>
    </row>
    <row r="352" spans="1:13" ht="30" customHeight="1">
      <c r="A352" s="356" t="s">
        <v>7245</v>
      </c>
      <c r="B352" s="357"/>
      <c r="C352" s="357"/>
      <c r="D352" s="357"/>
      <c r="E352" s="357"/>
      <c r="F352" s="357"/>
      <c r="G352" s="357"/>
      <c r="H352" s="358"/>
      <c r="I352" s="181">
        <f>SUBTOTAL(9,I6:I351)</f>
        <v>3220477.820000004</v>
      </c>
      <c r="J352" s="181"/>
    </row>
    <row r="353" spans="1:12" ht="29.25" customHeight="1">
      <c r="A353" s="351" t="s">
        <v>16616</v>
      </c>
      <c r="B353" s="351"/>
      <c r="C353" s="351"/>
      <c r="D353" s="351"/>
      <c r="E353" s="351"/>
      <c r="F353" s="351"/>
      <c r="G353" s="351"/>
      <c r="H353" s="351"/>
      <c r="I353" s="351"/>
    </row>
    <row r="354" spans="1:12">
      <c r="A354" s="310"/>
      <c r="B354" s="310"/>
      <c r="C354" s="310"/>
      <c r="D354" s="311"/>
      <c r="E354" s="312"/>
      <c r="F354" s="312"/>
    </row>
    <row r="355" spans="1:12">
      <c r="A355" s="313" t="s">
        <v>16610</v>
      </c>
      <c r="B355" s="314" t="s">
        <v>19124</v>
      </c>
      <c r="I355" s="352"/>
      <c r="J355" s="352"/>
      <c r="K355" s="352"/>
      <c r="L355" s="352"/>
    </row>
    <row r="356" spans="1:12" ht="13.5" thickBot="1">
      <c r="A356" s="316"/>
      <c r="B356" s="317"/>
      <c r="E356" s="353"/>
      <c r="F356" s="353"/>
      <c r="G356" s="353"/>
      <c r="H356" s="353"/>
      <c r="I356" s="350"/>
      <c r="J356" s="350"/>
      <c r="K356" s="350"/>
      <c r="L356" s="350"/>
    </row>
    <row r="357" spans="1:12">
      <c r="A357" s="316"/>
      <c r="B357" s="319"/>
      <c r="E357" s="354" t="s">
        <v>16611</v>
      </c>
      <c r="F357" s="354"/>
      <c r="G357" s="354"/>
      <c r="H357" s="354"/>
      <c r="I357" s="350"/>
      <c r="J357" s="350"/>
      <c r="K357" s="350"/>
      <c r="L357" s="350"/>
    </row>
    <row r="358" spans="1:12">
      <c r="E358" s="350" t="s">
        <v>16612</v>
      </c>
      <c r="F358" s="350"/>
      <c r="G358" s="350"/>
      <c r="H358" s="350"/>
    </row>
    <row r="359" spans="1:12">
      <c r="E359" s="186"/>
      <c r="F359" s="157"/>
      <c r="G359" s="64"/>
      <c r="H359" s="64"/>
    </row>
  </sheetData>
  <autoFilter ref="A5:J351" xr:uid="{00000000-0009-0000-0000-000009000000}"/>
  <mergeCells count="14">
    <mergeCell ref="A1:J1"/>
    <mergeCell ref="A352:H352"/>
    <mergeCell ref="G3:H3"/>
    <mergeCell ref="A2:B2"/>
    <mergeCell ref="A3:B3"/>
    <mergeCell ref="C3:F3"/>
    <mergeCell ref="C2:F2"/>
    <mergeCell ref="E358:H358"/>
    <mergeCell ref="A353:I353"/>
    <mergeCell ref="I355:L355"/>
    <mergeCell ref="I356:L356"/>
    <mergeCell ref="I357:L357"/>
    <mergeCell ref="E356:H356"/>
    <mergeCell ref="E357:H357"/>
  </mergeCells>
  <phoneticPr fontId="37" type="noConversion"/>
  <conditionalFormatting sqref="A9">
    <cfRule type="expression" dxfId="1280" priority="13427">
      <formula>IF(AND($B9="",$C9=""),TRUE,FALSE)</formula>
    </cfRule>
  </conditionalFormatting>
  <conditionalFormatting sqref="A9:A19">
    <cfRule type="expression" dxfId="1279" priority="13426">
      <formula>IF(AND($B9="",$C9="",LEN($A9)&lt;=2),TRUE,FALSE)</formula>
    </cfRule>
  </conditionalFormatting>
  <conditionalFormatting sqref="A40:A42">
    <cfRule type="expression" dxfId="1278" priority="108">
      <formula>IF(AND($B40="",$C40="",LEN($A40)&lt;=2),TRUE,FALSE)</formula>
    </cfRule>
  </conditionalFormatting>
  <conditionalFormatting sqref="A42">
    <cfRule type="expression" dxfId="1277" priority="109">
      <formula>IF(AND($B42="",$C42=""),TRUE,FALSE)</formula>
    </cfRule>
  </conditionalFormatting>
  <conditionalFormatting sqref="A45">
    <cfRule type="expression" dxfId="1276" priority="675">
      <formula>IF(AND($B45="",$C45=""),TRUE,FALSE)</formula>
    </cfRule>
  </conditionalFormatting>
  <conditionalFormatting sqref="A45:A57">
    <cfRule type="expression" dxfId="1275" priority="674">
      <formula>IF(AND($B45="",$C45="",LEN($A45)&lt;=2),TRUE,FALSE)</formula>
    </cfRule>
  </conditionalFormatting>
  <conditionalFormatting sqref="A51">
    <cfRule type="expression" dxfId="1274" priority="1251">
      <formula>IF(AND($B51="",$C51=""),TRUE,FALSE)</formula>
    </cfRule>
  </conditionalFormatting>
  <conditionalFormatting sqref="A62:A100">
    <cfRule type="expression" dxfId="1273" priority="131">
      <formula>IF(AND($B62="",$C62="",LEN($A62)&lt;=2),TRUE,FALSE)</formula>
    </cfRule>
  </conditionalFormatting>
  <conditionalFormatting sqref="A77">
    <cfRule type="expression" dxfId="1272" priority="1041">
      <formula>IF(AND($B77="",$C77=""),TRUE,FALSE)</formula>
    </cfRule>
  </conditionalFormatting>
  <conditionalFormatting sqref="A90:A91">
    <cfRule type="expression" dxfId="1271" priority="11420">
      <formula>IF(AND($B90="",$C90=""),TRUE,FALSE)</formula>
    </cfRule>
  </conditionalFormatting>
  <conditionalFormatting sqref="A93">
    <cfRule type="expression" dxfId="1270" priority="3028">
      <formula>IF(AND($B93="",$C93=""),TRUE,FALSE)</formula>
    </cfRule>
  </conditionalFormatting>
  <conditionalFormatting sqref="A95">
    <cfRule type="expression" dxfId="1269" priority="174">
      <formula>IF(AND($B95="",$C95=""),TRUE,FALSE)</formula>
    </cfRule>
  </conditionalFormatting>
  <conditionalFormatting sqref="A96">
    <cfRule type="expression" dxfId="1268" priority="7208">
      <formula>IF(AND($B96="",$C96=""),TRUE,FALSE)</formula>
    </cfRule>
  </conditionalFormatting>
  <conditionalFormatting sqref="A104">
    <cfRule type="expression" dxfId="1267" priority="7009">
      <formula>IF(AND($B104="",$C104=""),TRUE,FALSE)</formula>
    </cfRule>
  </conditionalFormatting>
  <conditionalFormatting sqref="A104:A110">
    <cfRule type="expression" dxfId="1266" priority="2278">
      <formula>IF(AND($B104="",$C104="",LEN($A104)&lt;=2),TRUE,FALSE)</formula>
    </cfRule>
  </conditionalFormatting>
  <conditionalFormatting sqref="A106">
    <cfRule type="expression" dxfId="1265" priority="2279">
      <formula>IF(AND($B106="",$C106=""),TRUE,FALSE)</formula>
    </cfRule>
  </conditionalFormatting>
  <conditionalFormatting sqref="A109:A110">
    <cfRule type="expression" dxfId="1264" priority="6697">
      <formula>IF(AND($B109="",$C109=""),TRUE,FALSE)</formula>
    </cfRule>
  </conditionalFormatting>
  <conditionalFormatting sqref="A114:A115">
    <cfRule type="expression" dxfId="1263" priority="13143">
      <formula>IF(AND($B114="",$C114=""),TRUE,FALSE)</formula>
    </cfRule>
  </conditionalFormatting>
  <conditionalFormatting sqref="A114:A119">
    <cfRule type="expression" dxfId="1262" priority="13142">
      <formula>IF(AND($B114="",$C114="",LEN($A114)&lt;=2),TRUE,FALSE)</formula>
    </cfRule>
  </conditionalFormatting>
  <conditionalFormatting sqref="A117:A128">
    <cfRule type="expression" dxfId="1261" priority="1723">
      <formula>IF(AND($B117="",$C117=""),TRUE,FALSE)</formula>
    </cfRule>
  </conditionalFormatting>
  <conditionalFormatting sqref="A117:A133">
    <cfRule type="expression" dxfId="1260" priority="1722">
      <formula>IF(AND($B117="",$C117="",LEN($A117)&lt;=2),TRUE,FALSE)</formula>
    </cfRule>
  </conditionalFormatting>
  <conditionalFormatting sqref="A126:A127">
    <cfRule type="expression" dxfId="1259" priority="1720">
      <formula>IF(AND($B126="",$C126="",LEN($A126)&lt;=2),TRUE,FALSE)</formula>
    </cfRule>
    <cfRule type="expression" dxfId="1258" priority="1721">
      <formula>IF(AND($B126="",$C126=""),TRUE,FALSE)</formula>
    </cfRule>
  </conditionalFormatting>
  <conditionalFormatting sqref="A135:A137">
    <cfRule type="expression" dxfId="1257" priority="6422">
      <formula>IF(AND($B135="",$C135=""),TRUE,FALSE)</formula>
    </cfRule>
  </conditionalFormatting>
  <conditionalFormatting sqref="A135:A148">
    <cfRule type="expression" dxfId="1256" priority="3039">
      <formula>IF(AND($B135="",$C135="",LEN($A135)&lt;=2),TRUE,FALSE)</formula>
    </cfRule>
  </conditionalFormatting>
  <conditionalFormatting sqref="A143:A147">
    <cfRule type="expression" dxfId="1255" priority="3040">
      <formula>IF(AND($B143="",$C143=""),TRUE,FALSE)</formula>
    </cfRule>
  </conditionalFormatting>
  <conditionalFormatting sqref="A150:A151">
    <cfRule type="expression" dxfId="1254" priority="1562">
      <formula>IF(AND($B150="",$C150=""),TRUE,FALSE)</formula>
    </cfRule>
  </conditionalFormatting>
  <conditionalFormatting sqref="A152">
    <cfRule type="expression" dxfId="1253" priority="73">
      <formula>IF(AND($B152="",$C152=""),TRUE,FALSE)</formula>
    </cfRule>
  </conditionalFormatting>
  <conditionalFormatting sqref="A152:A159">
    <cfRule type="expression" dxfId="1252" priority="72">
      <formula>IF(AND($B152="",$C152="",LEN($A152)&lt;=2),TRUE,FALSE)</formula>
    </cfRule>
  </conditionalFormatting>
  <conditionalFormatting sqref="A153">
    <cfRule type="expression" dxfId="1251" priority="160">
      <formula>IF(AND($B153="",$C153=""),TRUE,FALSE)</formula>
    </cfRule>
  </conditionalFormatting>
  <conditionalFormatting sqref="A159">
    <cfRule type="expression" dxfId="1250" priority="140">
      <formula>IF(AND($B159="",$C159=""),TRUE,FALSE)</formula>
    </cfRule>
  </conditionalFormatting>
  <conditionalFormatting sqref="A164:A165">
    <cfRule type="expression" dxfId="1249" priority="6118">
      <formula>IF(AND($B164="",$C164=""),TRUE,FALSE)</formula>
    </cfRule>
  </conditionalFormatting>
  <conditionalFormatting sqref="A167:A169">
    <cfRule type="expression" dxfId="1248" priority="2563">
      <formula>IF(AND($B167="",$C167="",LEN($A167)&lt;=2),TRUE,FALSE)</formula>
    </cfRule>
  </conditionalFormatting>
  <conditionalFormatting sqref="A169">
    <cfRule type="expression" dxfId="1247" priority="2564">
      <formula>IF(AND($B169="",$C169=""),TRUE,FALSE)</formula>
    </cfRule>
  </conditionalFormatting>
  <conditionalFormatting sqref="A182:A209">
    <cfRule type="expression" dxfId="1246" priority="10612">
      <formula>IF(AND($B182="",$C182="",LEN($A182)&lt;=2),TRUE,FALSE)</formula>
    </cfRule>
  </conditionalFormatting>
  <conditionalFormatting sqref="A203:A204">
    <cfRule type="expression" dxfId="1245" priority="10613">
      <formula>IF(AND($B203="",$C203=""),TRUE,FALSE)</formula>
    </cfRule>
  </conditionalFormatting>
  <conditionalFormatting sqref="A211">
    <cfRule type="expression" dxfId="1244" priority="5133">
      <formula>IF(AND($B211="",$C211=""),TRUE,FALSE)</formula>
    </cfRule>
  </conditionalFormatting>
  <conditionalFormatting sqref="A211:A212">
    <cfRule type="expression" dxfId="1243" priority="5132">
      <formula>IF(AND($B211="",$C211="",LEN($A211)&lt;=2),TRUE,FALSE)</formula>
    </cfRule>
  </conditionalFormatting>
  <conditionalFormatting sqref="A274">
    <cfRule type="expression" dxfId="1242" priority="589">
      <formula>IF(AND($B274="",$C274=""),TRUE,FALSE)</formula>
    </cfRule>
  </conditionalFormatting>
  <conditionalFormatting sqref="A278:A281">
    <cfRule type="expression" dxfId="1241" priority="560">
      <formula>IF(AND($B278="",$C278=""),TRUE,FALSE)</formula>
    </cfRule>
  </conditionalFormatting>
  <conditionalFormatting sqref="A288">
    <cfRule type="expression" dxfId="1240" priority="212">
      <formula>IF(AND($B288="",$C288=""),TRUE,FALSE)</formula>
    </cfRule>
  </conditionalFormatting>
  <conditionalFormatting sqref="A289">
    <cfRule type="expression" dxfId="1239" priority="4084">
      <formula>IF(AND($B289="",$C289=""),TRUE,FALSE)</formula>
    </cfRule>
  </conditionalFormatting>
  <conditionalFormatting sqref="A307:A308">
    <cfRule type="expression" dxfId="1238" priority="37">
      <formula>IF(AND($B307="",$C307=""),TRUE,FALSE)</formula>
    </cfRule>
  </conditionalFormatting>
  <conditionalFormatting sqref="A342">
    <cfRule type="expression" dxfId="1237" priority="4">
      <formula>IF(AND($B342="",$C342=""),TRUE,FALSE)</formula>
    </cfRule>
  </conditionalFormatting>
  <conditionalFormatting sqref="A346:A348">
    <cfRule type="expression" dxfId="1236" priority="1114">
      <formula>IF(AND($B346="",$C346=""),TRUE,FALSE)</formula>
    </cfRule>
    <cfRule type="expression" dxfId="1235" priority="1113">
      <formula>IF(AND($B346="",$C346="",LEN($A346)&lt;=2),TRUE,FALSE)</formula>
    </cfRule>
  </conditionalFormatting>
  <conditionalFormatting sqref="A352 I352:J352">
    <cfRule type="expression" dxfId="1234" priority="18722">
      <formula>IF(AND($B352="",$C352="",LEN(#REF!)&lt;=2),TRUE,FALSE)</formula>
    </cfRule>
    <cfRule type="expression" dxfId="1233" priority="18723">
      <formula>IF(AND($B352="",$C352=""),TRUE,FALSE)</formula>
    </cfRule>
  </conditionalFormatting>
  <conditionalFormatting sqref="A43:B43">
    <cfRule type="expression" dxfId="1232" priority="91">
      <formula>IF(AND($B43="",$C43=""),TRUE,FALSE)</formula>
    </cfRule>
  </conditionalFormatting>
  <conditionalFormatting sqref="A61:B61 A62">
    <cfRule type="expression" dxfId="1231" priority="132">
      <formula>IF(AND($B61="",$C61=""),TRUE,FALSE)</formula>
    </cfRule>
  </conditionalFormatting>
  <conditionalFormatting sqref="A121:B121 A122:A125">
    <cfRule type="expression" dxfId="1230" priority="2053">
      <formula>IF(AND($B121="",$C121="",LEN($A121)&lt;=2),TRUE,FALSE)</formula>
    </cfRule>
    <cfRule type="expression" dxfId="1229" priority="2054">
      <formula>IF(AND($B121="",$C121=""),TRUE,FALSE)</formula>
    </cfRule>
  </conditionalFormatting>
  <conditionalFormatting sqref="A156:B156">
    <cfRule type="expression" dxfId="1228" priority="1533">
      <formula>IF(AND($B156="",$C156=""),TRUE,FALSE)</formula>
    </cfRule>
  </conditionalFormatting>
  <conditionalFormatting sqref="A160:B160">
    <cfRule type="expression" dxfId="1227" priority="6296">
      <formula>IF(AND($B160="",$C160="",LEN($A160)&lt;=2),TRUE,FALSE)</formula>
    </cfRule>
  </conditionalFormatting>
  <conditionalFormatting sqref="A164:B166">
    <cfRule type="expression" dxfId="1226" priority="2804">
      <formula>IF(AND($B164="",$C164="",LEN($A164)&lt;=2),TRUE,FALSE)</formula>
    </cfRule>
  </conditionalFormatting>
  <conditionalFormatting sqref="A216:B232">
    <cfRule type="expression" dxfId="1225" priority="243">
      <formula>IF(AND($B216="",$C216="",LEN($A216)&lt;=2),TRUE,FALSE)</formula>
    </cfRule>
  </conditionalFormatting>
  <conditionalFormatting sqref="A232:B232">
    <cfRule type="expression" dxfId="1224" priority="244">
      <formula>IF(AND($B232="",$C232=""),TRUE,FALSE)</formula>
    </cfRule>
  </conditionalFormatting>
  <conditionalFormatting sqref="A284:B287">
    <cfRule type="expression" dxfId="1223" priority="4072">
      <formula>IF(AND($B284="",$C284=""),TRUE,FALSE)</formula>
    </cfRule>
  </conditionalFormatting>
  <conditionalFormatting sqref="A284:B289">
    <cfRule type="expression" dxfId="1222" priority="207">
      <formula>IF(AND($B284="",$C284="",LEN($A284)&lt;=2),TRUE,FALSE)</formula>
    </cfRule>
  </conditionalFormatting>
  <conditionalFormatting sqref="A300:B308">
    <cfRule type="expression" dxfId="1221" priority="21">
      <formula>IF(AND($B300="",$C300="",LEN($A300)&lt;=2),TRUE,FALSE)</formula>
    </cfRule>
  </conditionalFormatting>
  <conditionalFormatting sqref="A310:B318">
    <cfRule type="expression" dxfId="1220" priority="3499">
      <formula>IF(AND($B310="",$C310="",LEN($A310)&lt;=2),TRUE,FALSE)</formula>
    </cfRule>
  </conditionalFormatting>
  <conditionalFormatting sqref="A320:B326">
    <cfRule type="expression" dxfId="1219" priority="3356">
      <formula>IF(AND($B320="",$C320="",LEN($A320)&lt;=2),TRUE,FALSE)</formula>
    </cfRule>
  </conditionalFormatting>
  <conditionalFormatting sqref="A350:B351">
    <cfRule type="expression" dxfId="1218" priority="1522">
      <formula>IF(AND($B350="",$C350="",LEN($A350)&lt;=2),TRUE,FALSE)</formula>
    </cfRule>
  </conditionalFormatting>
  <conditionalFormatting sqref="A61:C61">
    <cfRule type="expression" dxfId="1217" priority="121">
      <formula>IF(AND($B61="",$C61="",LEN($A61)&lt;=2),TRUE,FALSE)</formula>
    </cfRule>
  </conditionalFormatting>
  <conditionalFormatting sqref="A90:C91">
    <cfRule type="expression" dxfId="1216" priority="11432">
      <formula>IF(AND($B90="",$C90=""),TRUE,FALSE)</formula>
    </cfRule>
    <cfRule type="expression" dxfId="1215" priority="11431">
      <formula>IF(AND($B90="",$C90="",LEN($A90)&lt;=2),TRUE,FALSE)</formula>
    </cfRule>
  </conditionalFormatting>
  <conditionalFormatting sqref="A93:C93">
    <cfRule type="expression" dxfId="1214" priority="3034">
      <formula>IF(AND($B93="",$C93=""),TRUE,FALSE)</formula>
    </cfRule>
    <cfRule type="expression" dxfId="1213" priority="3033">
      <formula>IF(AND($B93="",$C93="",LEN($A93)&lt;=2),TRUE,FALSE)</formula>
    </cfRule>
  </conditionalFormatting>
  <conditionalFormatting sqref="A96:C96">
    <cfRule type="expression" dxfId="1212" priority="7214">
      <formula>IF(AND($B96="",$C96=""),TRUE,FALSE)</formula>
    </cfRule>
    <cfRule type="expression" dxfId="1211" priority="7213">
      <formula>IF(AND($B96="",$C96="",LEN($A96)&lt;=2),TRUE,FALSE)</formula>
    </cfRule>
  </conditionalFormatting>
  <conditionalFormatting sqref="A170:C175">
    <cfRule type="expression" dxfId="1210" priority="1431">
      <formula>IF(AND($B170="",$C170=""),TRUE,FALSE)</formula>
    </cfRule>
    <cfRule type="expression" dxfId="1209" priority="1430">
      <formula>IF(AND($B170="",$C170="",LEN($A170)&lt;=2),TRUE,FALSE)</formula>
    </cfRule>
  </conditionalFormatting>
  <conditionalFormatting sqref="A309:C309 E309:J309">
    <cfRule type="expression" dxfId="1208" priority="3617">
      <formula>IF(AND($B309="",$C309=""),TRUE,FALSE)</formula>
    </cfRule>
  </conditionalFormatting>
  <conditionalFormatting sqref="A345:C345">
    <cfRule type="expression" dxfId="1207" priority="1399">
      <formula>IF(AND($B345="",$C345="",LEN($A345)&lt;=2),TRUE,FALSE)</formula>
    </cfRule>
    <cfRule type="expression" dxfId="1206" priority="1400">
      <formula>IF(AND($B345="",$C345=""),TRUE,FALSE)</formula>
    </cfRule>
  </conditionalFormatting>
  <conditionalFormatting sqref="A8:D8 C228 A103:J103 A37:J37 B7:B10 D7:D10 D8:E10 D13:E14 B13:B14 A161:H161 A162:J162 A179:J179 A31:J31 B35:B36 B34:I34 A32:B32 A237:I241 A111:J111 A112:I113 B139:I140 B100:I100 A163:A165 B253:I253 B246:I246 A249:I250 B244:I244 A99:I99 B12:I12 A6:J6 A7:I7 A59:A60 A138:J138 A180:B181 J241 A242:A244 A291:B294 A295:A298">
    <cfRule type="expression" dxfId="1205" priority="14903">
      <formula>IF(AND($B6="",$C6="",LEN($A6)&lt;=2),TRUE,FALSE)</formula>
    </cfRule>
  </conditionalFormatting>
  <conditionalFormatting sqref="A116:D116">
    <cfRule type="expression" dxfId="1204" priority="6635">
      <formula>IF(AND($B116="",$C116=""),TRUE,FALSE)</formula>
    </cfRule>
    <cfRule type="expression" dxfId="1203" priority="6634">
      <formula>IF(AND($B116="",$C116="",LEN($A116)&lt;=2),TRUE,FALSE)</formula>
    </cfRule>
  </conditionalFormatting>
  <conditionalFormatting sqref="A163:D163">
    <cfRule type="expression" dxfId="1202" priority="6114">
      <formula>IF(AND($B163="",$C163=""),TRUE,FALSE)</formula>
    </cfRule>
    <cfRule type="expression" dxfId="1201" priority="6113">
      <formula>IF(AND($B163="",$C163="",LEN($A163)&lt;=2),TRUE,FALSE)</formula>
    </cfRule>
  </conditionalFormatting>
  <conditionalFormatting sqref="A210:D210">
    <cfRule type="expression" dxfId="1200" priority="5267">
      <formula>IF(AND($B210="",$C210="",LEN($A210)&lt;=2),TRUE,FALSE)</formula>
    </cfRule>
  </conditionalFormatting>
  <conditionalFormatting sqref="A128:H128">
    <cfRule type="expression" dxfId="1199" priority="12384">
      <formula>IF(AND($B128="",$C128=""),TRUE,FALSE)</formula>
    </cfRule>
    <cfRule type="expression" dxfId="1198" priority="12383">
      <formula>IF(AND($B128="",$C128="",LEN($A128)&lt;=2),TRUE,FALSE)</formula>
    </cfRule>
  </conditionalFormatting>
  <conditionalFormatting sqref="A22:I22 B23:B24 A23:A30">
    <cfRule type="expression" dxfId="1197" priority="1802">
      <formula>IF(AND($B22="",$C22=""),TRUE,FALSE)</formula>
    </cfRule>
  </conditionalFormatting>
  <conditionalFormatting sqref="A33:I33 A34:A36">
    <cfRule type="expression" dxfId="1196" priority="1738">
      <formula>IF(AND($B33="",$C33=""),TRUE,FALSE)</formula>
    </cfRule>
    <cfRule type="expression" dxfId="1195" priority="1737">
      <formula>IF(AND($B33="",$C33="",LEN($A33)&lt;=2),TRUE,FALSE)</formula>
    </cfRule>
  </conditionalFormatting>
  <conditionalFormatting sqref="A39:I39">
    <cfRule type="expression" dxfId="1194" priority="7830">
      <formula>IF(AND($B39="",$C39="",LEN($A39)&lt;=2),TRUE,FALSE)</formula>
    </cfRule>
  </conditionalFormatting>
  <conditionalFormatting sqref="A43:I43">
    <cfRule type="expression" dxfId="1193" priority="80">
      <formula>IF(AND($B43="",$C43="",LEN($A43)&lt;=2),TRUE,FALSE)</formula>
    </cfRule>
  </conditionalFormatting>
  <conditionalFormatting sqref="A44:I44">
    <cfRule type="expression" dxfId="1192" priority="7809">
      <formula>IF(AND($B44="",$C44="",LEN($A44)&lt;=2),TRUE,FALSE)</formula>
    </cfRule>
  </conditionalFormatting>
  <conditionalFormatting sqref="A58:I58">
    <cfRule type="expression" dxfId="1191" priority="7705">
      <formula>IF(AND($B58="",$C58="",LEN($A58)&lt;=2),TRUE,FALSE)</formula>
    </cfRule>
  </conditionalFormatting>
  <conditionalFormatting sqref="A101:I102">
    <cfRule type="expression" dxfId="1190" priority="595">
      <formula>IF(AND($B101="",$C101="",LEN($A101)&lt;=2),TRUE,FALSE)</formula>
    </cfRule>
    <cfRule type="expression" dxfId="1189" priority="596">
      <formula>IF(AND($B101="",$C101=""),TRUE,FALSE)</formula>
    </cfRule>
  </conditionalFormatting>
  <conditionalFormatting sqref="A149:I149">
    <cfRule type="expression" dxfId="1188" priority="1572">
      <formula>IF(AND($B149="",$C149="",LEN($A149)&lt;=2),TRUE,FALSE)</formula>
    </cfRule>
    <cfRule type="expression" dxfId="1187" priority="1573">
      <formula>IF(AND($B149="",$C149=""),TRUE,FALSE)</formula>
    </cfRule>
  </conditionalFormatting>
  <conditionalFormatting sqref="A150:I151">
    <cfRule type="expression" dxfId="1186" priority="194">
      <formula>IF(AND($B150="",$C150="",LEN($A150)&lt;=2),TRUE,FALSE)</formula>
    </cfRule>
  </conditionalFormatting>
  <conditionalFormatting sqref="A158:I158">
    <cfRule type="expression" dxfId="1185" priority="1542">
      <formula>IF(AND($B158="",$C158=""),TRUE,FALSE)</formula>
    </cfRule>
  </conditionalFormatting>
  <conditionalFormatting sqref="A176:I178">
    <cfRule type="expression" dxfId="1184" priority="1451">
      <formula>IF(AND($B176="",$C176=""),TRUE,FALSE)</formula>
    </cfRule>
    <cfRule type="expression" dxfId="1183" priority="1450">
      <formula>IF(AND($B176="",$C176="",LEN($A176)&lt;=2),TRUE,FALSE)</formula>
    </cfRule>
  </conditionalFormatting>
  <conditionalFormatting sqref="A215:I215">
    <cfRule type="expression" dxfId="1182" priority="4821">
      <formula>IF(AND($B215="",$C215="",LEN($A215)&lt;=2),TRUE,FALSE)</formula>
    </cfRule>
  </conditionalFormatting>
  <conditionalFormatting sqref="A234:I234">
    <cfRule type="expression" dxfId="1181" priority="4974">
      <formula>IF(AND($B234="",$C234="",LEN($A234)&lt;=2),TRUE,FALSE)</formula>
    </cfRule>
  </conditionalFormatting>
  <conditionalFormatting sqref="A245:I245 A246">
    <cfRule type="expression" dxfId="1180" priority="1732">
      <formula>IF(AND($B245="",$C245=""),TRUE,FALSE)</formula>
    </cfRule>
  </conditionalFormatting>
  <conditionalFormatting sqref="A245:I245 A246:A261">
    <cfRule type="expression" dxfId="1179" priority="1731">
      <formula>IF(AND($B245="",$C245="",LEN($A245)&lt;=2),TRUE,FALSE)</formula>
    </cfRule>
  </conditionalFormatting>
  <conditionalFormatting sqref="A264:I264">
    <cfRule type="expression" dxfId="1178" priority="11081">
      <formula>IF(AND($B264="",$C264="",LEN($A264)&lt;=2),TRUE,FALSE)</formula>
    </cfRule>
  </conditionalFormatting>
  <conditionalFormatting sqref="A266:I269">
    <cfRule type="expression" dxfId="1177" priority="4279">
      <formula>IF(AND($B266="",$C266="",LEN($A266)&lt;=2),TRUE,FALSE)</formula>
    </cfRule>
  </conditionalFormatting>
  <conditionalFormatting sqref="A271:I272">
    <cfRule type="expression" dxfId="1176" priority="4233">
      <formula>IF(AND($B271="",$C271="",LEN($A271)&lt;=2),TRUE,FALSE)</formula>
    </cfRule>
  </conditionalFormatting>
  <conditionalFormatting sqref="A274:I275">
    <cfRule type="expression" dxfId="1175" priority="575">
      <formula>IF(AND($B274="",$C274="",LEN($A274)&lt;=2),TRUE,FALSE)</formula>
    </cfRule>
  </conditionalFormatting>
  <conditionalFormatting sqref="A275:I275">
    <cfRule type="expression" dxfId="1174" priority="4201">
      <formula>IF(AND($B275="",$C275=""),TRUE,FALSE)</formula>
    </cfRule>
  </conditionalFormatting>
  <conditionalFormatting sqref="A277:I277">
    <cfRule type="expression" dxfId="1173" priority="4168">
      <formula>IF(AND($B277="",$C277=""),TRUE,FALSE)</formula>
    </cfRule>
  </conditionalFormatting>
  <conditionalFormatting sqref="A277:I281">
    <cfRule type="expression" dxfId="1172" priority="546">
      <formula>IF(AND($B277="",$C277="",LEN($A277)&lt;=2),TRUE,FALSE)</formula>
    </cfRule>
  </conditionalFormatting>
  <conditionalFormatting sqref="A328:I335">
    <cfRule type="expression" dxfId="1171" priority="1080">
      <formula>IF(AND($B328="",$C328="",LEN($A328)&lt;=2),TRUE,FALSE)</formula>
    </cfRule>
  </conditionalFormatting>
  <conditionalFormatting sqref="A337:I341 A343:I343">
    <cfRule type="expression" dxfId="1170" priority="2225">
      <formula>IF(AND($B337="",$C337=""),TRUE,FALSE)</formula>
    </cfRule>
  </conditionalFormatting>
  <conditionalFormatting sqref="A337:I343">
    <cfRule type="expression" dxfId="1169" priority="1">
      <formula>IF(AND($B337="",$C337="",LEN($A337)&lt;=2),TRUE,FALSE)</formula>
    </cfRule>
  </conditionalFormatting>
  <conditionalFormatting sqref="A6:J6 A7:I7 B7:B10 D7:D10 A8:D8 F8 H8:I8 D8:E10 G8:G10 A10:A19 B12:I12 B13:B14 D13:E14 G13:G14 A31:J31 A32:B32 B34:I34 B35:B36 A37:J37 A39:B39 B40 A40:A41 A44:B44 A46:A50 A52:A56 A58:B58 B59 A59:A60 A63:A69 D65:E67 G65:G67 B66:B67 F66:F67 E69 G69 A71:A74 A84:A89 B85 A92 D92:E92 G92 A94 A97:A100 A99:I99 B100:I100 A103:J103 A105 A107:A108 A111:J111 A112:I113 A116:A119 B125 C127:I127 A129:A133 A134:J134 A138:J138 A138:A142 B139:I140 A148 A154:A155 B155 A157 A160 A161:H161 A162:J162 A163:A165 B165 A166:B166 A167:A168 B168 A179:J179 A180:B181 A182:A202 B188:B189 B200:B202 A205:A209 A210:B210 A212 A215:B215 A216:A231 B217:B231 C228 A234:B234 A237:I241 J241 A242:A244 B243 B244:I244 B246:I246 B247 A247:A261 A249:I250 B253:I253 B254:B256 B258:B261 A264 A266:A269 A271:A272 A291:B294 D294:E294 G294 A295:A298 B298 A300:A306 A310:A317 B315:B317 D316:E317 G316:G317 A318:B318 A320:A326 B322:B326 D326:E326 G326 A328:A335 A350:A351">
    <cfRule type="expression" dxfId="1168" priority="14904">
      <formula>IF(AND($B6="",$C6=""),TRUE,FALSE)</formula>
    </cfRule>
  </conditionalFormatting>
  <conditionalFormatting sqref="A20:J20 A21:B21 B25:I25 B28 B30">
    <cfRule type="expression" dxfId="1167" priority="2339">
      <formula>IF(AND($B20="",$C20=""),TRUE,FALSE)</formula>
    </cfRule>
  </conditionalFormatting>
  <conditionalFormatting sqref="A20:J20 B30 B28 B25:I25 A21:B21">
    <cfRule type="expression" dxfId="1166" priority="2338">
      <formula>IF(AND($B20="",$C20="",LEN($A20)&lt;=2),TRUE,FALSE)</formula>
    </cfRule>
  </conditionalFormatting>
  <conditionalFormatting sqref="A38:J38">
    <cfRule type="expression" dxfId="1165" priority="7757">
      <formula>IF(AND($B38="",$C38="",LEN($A38)&lt;=2),TRUE,FALSE)</formula>
    </cfRule>
    <cfRule type="expression" dxfId="1164" priority="7758">
      <formula>IF(AND($B38="",$C38=""),TRUE,FALSE)</formula>
    </cfRule>
  </conditionalFormatting>
  <conditionalFormatting sqref="A57:J57">
    <cfRule type="expression" dxfId="1163" priority="7624">
      <formula>IF(AND($B57="",$C57=""),TRUE,FALSE)</formula>
    </cfRule>
  </conditionalFormatting>
  <conditionalFormatting sqref="A70:J70">
    <cfRule type="expression" dxfId="1162" priority="7455">
      <formula>IF(AND($B70="",$C70=""),TRUE,FALSE)</formula>
    </cfRule>
  </conditionalFormatting>
  <conditionalFormatting sqref="A75:J75">
    <cfRule type="expression" dxfId="1161" priority="7290">
      <formula>IF(AND($B75="",$C75=""),TRUE,FALSE)</formula>
    </cfRule>
  </conditionalFormatting>
  <conditionalFormatting sqref="A114:J115">
    <cfRule type="expression" dxfId="1160" priority="13286">
      <formula>IF(AND($B114="",$C114="",LEN($A114)&lt;=2),TRUE,FALSE)</formula>
    </cfRule>
    <cfRule type="expression" dxfId="1159" priority="13287">
      <formula>IF(AND($B114="",$C114=""),TRUE,FALSE)</formula>
    </cfRule>
  </conditionalFormatting>
  <conditionalFormatting sqref="A120:J120">
    <cfRule type="expression" dxfId="1158" priority="2058">
      <formula>IF(AND($B120="",$C120="",LEN($A120)&lt;=2),TRUE,FALSE)</formula>
    </cfRule>
    <cfRule type="expression" dxfId="1157" priority="2059">
      <formula>IF(AND($B120="",$C120=""),TRUE,FALSE)</formula>
    </cfRule>
  </conditionalFormatting>
  <conditionalFormatting sqref="A134:J135">
    <cfRule type="expression" dxfId="1156" priority="6423">
      <formula>IF(AND($B134="",$C134="",LEN($A134)&lt;=2),TRUE,FALSE)</formula>
    </cfRule>
  </conditionalFormatting>
  <conditionalFormatting sqref="A135:J135">
    <cfRule type="expression" dxfId="1155" priority="6424">
      <formula>IF(AND($B135="",$C135=""),TRUE,FALSE)</formula>
    </cfRule>
  </conditionalFormatting>
  <conditionalFormatting sqref="A143:J143">
    <cfRule type="expression" dxfId="1154" priority="3042">
      <formula>IF(AND($B143="",$C143=""),TRUE,FALSE)</formula>
    </cfRule>
    <cfRule type="expression" dxfId="1153" priority="3041">
      <formula>IF(AND($B143="",$C143="",LEN($A143)&lt;=2),TRUE,FALSE)</formula>
    </cfRule>
  </conditionalFormatting>
  <conditionalFormatting sqref="A146:J147">
    <cfRule type="expression" dxfId="1152" priority="13310">
      <formula>IF(AND($B146="",$C146="",LEN($A146)&lt;=2),TRUE,FALSE)</formula>
    </cfRule>
    <cfRule type="expression" dxfId="1151" priority="13311">
      <formula>IF(AND($B146="",$C146=""),TRUE,FALSE)</formula>
    </cfRule>
  </conditionalFormatting>
  <conditionalFormatting sqref="A203:J204">
    <cfRule type="expression" dxfId="1150" priority="10619">
      <formula>IF(AND($B203="",$C203="",LEN($A203)&lt;=2),TRUE,FALSE)</formula>
    </cfRule>
    <cfRule type="expression" dxfId="1149" priority="10620">
      <formula>IF(AND($B203="",$C203=""),TRUE,FALSE)</formula>
    </cfRule>
  </conditionalFormatting>
  <conditionalFormatting sqref="A211:J211">
    <cfRule type="expression" dxfId="1148" priority="5135">
      <formula>IF(AND($B211="",$C211=""),TRUE,FALSE)</formula>
    </cfRule>
    <cfRule type="expression" dxfId="1147" priority="5134">
      <formula>IF(AND($B211="",$C211="",LEN($A211)&lt;=2),TRUE,FALSE)</formula>
    </cfRule>
  </conditionalFormatting>
  <conditionalFormatting sqref="A213:J214">
    <cfRule type="expression" dxfId="1146" priority="4615">
      <formula>IF(AND($B213="",$C213=""),TRUE,FALSE)</formula>
    </cfRule>
    <cfRule type="expression" dxfId="1145" priority="4614">
      <formula>IF(AND($B213="",$C213="",LEN($A213)&lt;=2),TRUE,FALSE)</formula>
    </cfRule>
  </conditionalFormatting>
  <conditionalFormatting sqref="A233:J233">
    <cfRule type="expression" dxfId="1144" priority="229">
      <formula>IF(AND($B233="",$C233="",LEN($A233)&lt;=2),TRUE,FALSE)</formula>
    </cfRule>
    <cfRule type="expression" dxfId="1143" priority="230">
      <formula>IF(AND($B233="",$C233=""),TRUE,FALSE)</formula>
    </cfRule>
  </conditionalFormatting>
  <conditionalFormatting sqref="A235:J236">
    <cfRule type="expression" dxfId="1142" priority="12463">
      <formula>IF(AND($B235="",$C235=""),TRUE,FALSE)</formula>
    </cfRule>
    <cfRule type="expression" dxfId="1141" priority="12462">
      <formula>IF(AND($B235="",$C235="",LEN($A235)&lt;=2),TRUE,FALSE)</formula>
    </cfRule>
  </conditionalFormatting>
  <conditionalFormatting sqref="A262:J263">
    <cfRule type="expression" dxfId="1140" priority="13094">
      <formula>IF(AND($B262="",$C262="",LEN($A262)&lt;=2),TRUE,FALSE)</formula>
    </cfRule>
    <cfRule type="expression" dxfId="1139" priority="13095">
      <formula>IF(AND($B262="",$C262=""),TRUE,FALSE)</formula>
    </cfRule>
  </conditionalFormatting>
  <conditionalFormatting sqref="A265:J265">
    <cfRule type="expression" dxfId="1138" priority="4364">
      <formula>IF(AND($B265="",$C265=""),TRUE,FALSE)</formula>
    </cfRule>
    <cfRule type="expression" dxfId="1137" priority="4363">
      <formula>IF(AND($B265="",$C265="",LEN($A265)&lt;=2),TRUE,FALSE)</formula>
    </cfRule>
  </conditionalFormatting>
  <conditionalFormatting sqref="A270:J270">
    <cfRule type="expression" dxfId="1136" priority="4274">
      <formula>IF(AND($B270="",$C270="",LEN($A270)&lt;=2),TRUE,FALSE)</formula>
    </cfRule>
    <cfRule type="expression" dxfId="1135" priority="4275">
      <formula>IF(AND($B270="",$C270=""),TRUE,FALSE)</formula>
    </cfRule>
  </conditionalFormatting>
  <conditionalFormatting sqref="A273:J273">
    <cfRule type="expression" dxfId="1134" priority="4227">
      <formula>IF(AND($B273="",$C273=""),TRUE,FALSE)</formula>
    </cfRule>
    <cfRule type="expression" dxfId="1133" priority="4226">
      <formula>IF(AND($B273="",$C273="",LEN($A273)&lt;=2),TRUE,FALSE)</formula>
    </cfRule>
  </conditionalFormatting>
  <conditionalFormatting sqref="A276:J276">
    <cfRule type="expression" dxfId="1132" priority="4196">
      <formula>IF(AND($B276="",$C276=""),TRUE,FALSE)</formula>
    </cfRule>
    <cfRule type="expression" dxfId="1131" priority="4195">
      <formula>IF(AND($B276="",$C276="",LEN($A276)&lt;=2),TRUE,FALSE)</formula>
    </cfRule>
  </conditionalFormatting>
  <conditionalFormatting sqref="A282:J283">
    <cfRule type="expression" dxfId="1130" priority="13022">
      <formula>IF(AND($B282="",$C282="",LEN($A282)&lt;=2),TRUE,FALSE)</formula>
    </cfRule>
    <cfRule type="expression" dxfId="1129" priority="13023">
      <formula>IF(AND($B282="",$C282=""),TRUE,FALSE)</formula>
    </cfRule>
  </conditionalFormatting>
  <conditionalFormatting sqref="A290:J290">
    <cfRule type="expression" dxfId="1128" priority="4068">
      <formula>IF(AND($B290="",$C290=""),TRUE,FALSE)</formula>
    </cfRule>
    <cfRule type="expression" dxfId="1127" priority="4067">
      <formula>IF(AND($B290="",$C290="",LEN($A290)&lt;=2),TRUE,FALSE)</formula>
    </cfRule>
  </conditionalFormatting>
  <conditionalFormatting sqref="A299:J299">
    <cfRule type="expression" dxfId="1126" priority="3798">
      <formula>IF(AND($B299="",$C299="",LEN($A299)&lt;=2),TRUE,FALSE)</formula>
    </cfRule>
    <cfRule type="expression" dxfId="1125" priority="3799">
      <formula>IF(AND($B299="",$C299=""),TRUE,FALSE)</formula>
    </cfRule>
  </conditionalFormatting>
  <conditionalFormatting sqref="A309:J309">
    <cfRule type="expression" dxfId="1124" priority="227">
      <formula>IF(AND($B309="",$C309="",LEN($A309)&lt;=2),TRUE,FALSE)</formula>
    </cfRule>
  </conditionalFormatting>
  <conditionalFormatting sqref="A319:J319">
    <cfRule type="expression" dxfId="1123" priority="3492">
      <formula>IF(AND($B319="",$C319=""),TRUE,FALSE)</formula>
    </cfRule>
    <cfRule type="expression" dxfId="1122" priority="3491">
      <formula>IF(AND($B319="",$C319="",LEN($A319)&lt;=2),TRUE,FALSE)</formula>
    </cfRule>
  </conditionalFormatting>
  <conditionalFormatting sqref="A327:J327">
    <cfRule type="expression" dxfId="1121" priority="3819">
      <formula>IF(AND($B327="",$C327="",LEN($A327)&lt;=2),TRUE,FALSE)</formula>
    </cfRule>
    <cfRule type="expression" dxfId="1120" priority="3820">
      <formula>IF(AND($B327="",$C327=""),TRUE,FALSE)</formula>
    </cfRule>
  </conditionalFormatting>
  <conditionalFormatting sqref="A336:J336">
    <cfRule type="expression" dxfId="1119" priority="12997">
      <formula>IF(AND($B336="",$C336="",LEN($A336)&lt;=2),TRUE,FALSE)</formula>
    </cfRule>
    <cfRule type="expression" dxfId="1118" priority="12998">
      <formula>IF(AND($B336="",$C336=""),TRUE,FALSE)</formula>
    </cfRule>
  </conditionalFormatting>
  <conditionalFormatting sqref="A344:J344">
    <cfRule type="expression" dxfId="1117" priority="1424">
      <formula>IF(AND($B344="",$C344=""),TRUE,FALSE)</formula>
    </cfRule>
    <cfRule type="expression" dxfId="1116" priority="1423">
      <formula>IF(AND($B344="",$C344="",LEN($A344)&lt;=2),TRUE,FALSE)</formula>
    </cfRule>
  </conditionalFormatting>
  <conditionalFormatting sqref="A349:J349">
    <cfRule type="expression" dxfId="1115" priority="13481">
      <formula>IF(AND($B349="",$C349=""),TRUE,FALSE)</formula>
    </cfRule>
    <cfRule type="expression" dxfId="1114" priority="13480">
      <formula>IF(AND($B349="",$C349="",LEN($A349)&lt;=2),TRUE,FALSE)</formula>
    </cfRule>
  </conditionalFormatting>
  <conditionalFormatting sqref="B11 D11:E11 G11">
    <cfRule type="expression" dxfId="1113" priority="9028">
      <formula>IF(AND($B11="",$C11=""),TRUE,FALSE)</formula>
    </cfRule>
  </conditionalFormatting>
  <conditionalFormatting sqref="B15 D15:E15 B19 D19:E19">
    <cfRule type="expression" dxfId="1112" priority="8410">
      <formula>IF(AND($B15="",$C15=""),TRUE,FALSE)</formula>
    </cfRule>
  </conditionalFormatting>
  <conditionalFormatting sqref="B16 D16:E16 G15:G16">
    <cfRule type="expression" dxfId="1111" priority="1812">
      <formula>IF(AND($B15="",$C15=""),TRUE,FALSE)</formula>
    </cfRule>
  </conditionalFormatting>
  <conditionalFormatting sqref="B17 D17:E17">
    <cfRule type="expression" dxfId="1110" priority="8068">
      <formula>IF(AND($B17="",$C17=""),TRUE,FALSE)</formula>
    </cfRule>
  </conditionalFormatting>
  <conditionalFormatting sqref="B18 D18:E18">
    <cfRule type="expression" dxfId="1109" priority="8091">
      <formula>IF(AND($B18="",$C18=""),TRUE,FALSE)</formula>
    </cfRule>
  </conditionalFormatting>
  <conditionalFormatting sqref="B21">
    <cfRule type="expression" dxfId="1108" priority="2299">
      <formula>IF(AND($B21="",$C21="",LEN($A21)&lt;=2),TRUE,FALSE)</formula>
    </cfRule>
    <cfRule type="expression" dxfId="1107" priority="2300">
      <formula>IF(AND($B21="",$C21=""),TRUE,FALSE)</formula>
    </cfRule>
  </conditionalFormatting>
  <conditionalFormatting sqref="B23">
    <cfRule type="expression" dxfId="1106" priority="1781">
      <formula>IF(AND($B23="",$C23="",LEN($A23)&lt;=2),TRUE,FALSE)</formula>
    </cfRule>
    <cfRule type="expression" dxfId="1105" priority="1782">
      <formula>IF(AND($B23="",$C23=""),TRUE,FALSE)</formula>
    </cfRule>
  </conditionalFormatting>
  <conditionalFormatting sqref="B23:B24 A22:I22 A23:A30">
    <cfRule type="expression" dxfId="1104" priority="1801">
      <formula>IF(AND($B22="",$C22="",LEN($A22)&lt;=2),TRUE,FALSE)</formula>
    </cfRule>
  </conditionalFormatting>
  <conditionalFormatting sqref="B23:B24">
    <cfRule type="expression" dxfId="1103" priority="1783">
      <formula>IF(AND($B23="",$C23="",LEN($A23)&lt;=2),TRUE,FALSE)</formula>
    </cfRule>
    <cfRule type="expression" dxfId="1102" priority="1784">
      <formula>IF(AND($B23="",$C23=""),TRUE,FALSE)</formula>
    </cfRule>
  </conditionalFormatting>
  <conditionalFormatting sqref="B24">
    <cfRule type="expression" dxfId="1101" priority="1798">
      <formula>IF(AND($B24="",$C24=""),TRUE,FALSE)</formula>
    </cfRule>
    <cfRule type="expression" dxfId="1100" priority="1797">
      <formula>IF(AND($B24="",$C24="",LEN($A24)&lt;=2),TRUE,FALSE)</formula>
    </cfRule>
  </conditionalFormatting>
  <conditionalFormatting sqref="B28">
    <cfRule type="expression" dxfId="1099" priority="2319">
      <formula>IF(AND($B28="",$C28=""),TRUE,FALSE)</formula>
    </cfRule>
    <cfRule type="expression" dxfId="1098" priority="2318">
      <formula>IF(AND($B28="",$C28="",LEN($A28)&lt;=2),TRUE,FALSE)</formula>
    </cfRule>
  </conditionalFormatting>
  <conditionalFormatting sqref="B29">
    <cfRule type="expression" dxfId="1097" priority="1762">
      <formula>IF(AND($B29="",$C29=""),TRUE,FALSE)</formula>
    </cfRule>
    <cfRule type="expression" dxfId="1096" priority="1766">
      <formula>IF(AND($B29="",$C29=""),TRUE,FALSE)</formula>
    </cfRule>
    <cfRule type="expression" dxfId="1095" priority="1761">
      <formula>IF(AND($B29="",$C29="",LEN($A29)&lt;=2),TRUE,FALSE)</formula>
    </cfRule>
    <cfRule type="expression" dxfId="1094" priority="1765">
      <formula>IF(AND($B29="",$C29="",LEN($A29)&lt;=2),TRUE,FALSE)</formula>
    </cfRule>
  </conditionalFormatting>
  <conditionalFormatting sqref="B30">
    <cfRule type="expression" dxfId="1093" priority="2333">
      <formula>IF(AND($B30="",$C30=""),TRUE,FALSE)</formula>
    </cfRule>
    <cfRule type="expression" dxfId="1092" priority="2332">
      <formula>IF(AND($B30="",$C30="",LEN($A30)&lt;=2),TRUE,FALSE)</formula>
    </cfRule>
  </conditionalFormatting>
  <conditionalFormatting sqref="B32">
    <cfRule type="expression" dxfId="1091" priority="8040">
      <formula>IF(AND($B32="",$C32=""),TRUE,FALSE)</formula>
    </cfRule>
    <cfRule type="expression" dxfId="1090" priority="8039">
      <formula>IF(AND($B32="",$C32="",LEN($A32)&lt;=2),TRUE,FALSE)</formula>
    </cfRule>
  </conditionalFormatting>
  <conditionalFormatting sqref="B35">
    <cfRule type="expression" dxfId="1089" priority="10402">
      <formula>IF(AND($B35="",$C35=""),TRUE,FALSE)</formula>
    </cfRule>
    <cfRule type="expression" dxfId="1088" priority="10401">
      <formula>IF(AND($B35="",$C35="",LEN($A35)&lt;=2),TRUE,FALSE)</formula>
    </cfRule>
  </conditionalFormatting>
  <conditionalFormatting sqref="B35:B36">
    <cfRule type="expression" dxfId="1087" priority="10403">
      <formula>IF(AND($B35="",$C35="",LEN($A35)&lt;=2),TRUE,FALSE)</formula>
    </cfRule>
    <cfRule type="expression" dxfId="1086" priority="10404">
      <formula>IF(AND($B35="",$C35=""),TRUE,FALSE)</formula>
    </cfRule>
  </conditionalFormatting>
  <conditionalFormatting sqref="B36">
    <cfRule type="expression" dxfId="1085" priority="10425">
      <formula>IF(AND($B36="",$C36="",LEN($A36)&lt;=2),TRUE,FALSE)</formula>
    </cfRule>
    <cfRule type="expression" dxfId="1084" priority="10426">
      <formula>IF(AND($B36="",$C36=""),TRUE,FALSE)</formula>
    </cfRule>
  </conditionalFormatting>
  <conditionalFormatting sqref="B41">
    <cfRule type="expression" dxfId="1083" priority="1198">
      <formula>IF(AND($B41="",$C41=""),TRUE,FALSE)</formula>
    </cfRule>
  </conditionalFormatting>
  <conditionalFormatting sqref="B42">
    <cfRule type="expression" dxfId="1082" priority="107">
      <formula>IF(AND($B42="",$C42=""),TRUE,FALSE)</formula>
    </cfRule>
  </conditionalFormatting>
  <conditionalFormatting sqref="B46">
    <cfRule type="expression" dxfId="1081" priority="657">
      <formula>IF(AND($B46="",$C46=""),TRUE,FALSE)</formula>
    </cfRule>
  </conditionalFormatting>
  <conditionalFormatting sqref="B47">
    <cfRule type="expression" dxfId="1080" priority="652">
      <formula>IF(AND($B47="",$C47=""),TRUE,FALSE)</formula>
    </cfRule>
  </conditionalFormatting>
  <conditionalFormatting sqref="B47:B48">
    <cfRule type="expression" dxfId="1079" priority="651">
      <formula>IF(AND($B47="",$C47="",LEN($A47)&lt;=2),TRUE,FALSE)</formula>
    </cfRule>
  </conditionalFormatting>
  <conditionalFormatting sqref="B48">
    <cfRule type="expression" dxfId="1078" priority="670">
      <formula>IF(AND($B48="",$C48=""),TRUE,FALSE)</formula>
    </cfRule>
  </conditionalFormatting>
  <conditionalFormatting sqref="B49 D47:I47">
    <cfRule type="expression" dxfId="1077" priority="741">
      <formula>IF(AND($B47="",$C47=""),TRUE,FALSE)</formula>
    </cfRule>
  </conditionalFormatting>
  <conditionalFormatting sqref="B50">
    <cfRule type="expression" dxfId="1076" priority="640">
      <formula>IF(AND($B50="",$C50=""),TRUE,FALSE)</formula>
    </cfRule>
  </conditionalFormatting>
  <conditionalFormatting sqref="B52:B53">
    <cfRule type="expression" dxfId="1075" priority="633">
      <formula>IF(AND($B52="",$C52=""),TRUE,FALSE)</formula>
    </cfRule>
  </conditionalFormatting>
  <conditionalFormatting sqref="B54">
    <cfRule type="expression" dxfId="1074" priority="623">
      <formula>IF(AND($B54="",$C54=""),TRUE,FALSE)</formula>
    </cfRule>
  </conditionalFormatting>
  <conditionalFormatting sqref="B54:B56">
    <cfRule type="expression" dxfId="1073" priority="610">
      <formula>IF(AND($B54="",$C54="",LEN($A54)&lt;=2),TRUE,FALSE)</formula>
    </cfRule>
  </conditionalFormatting>
  <conditionalFormatting sqref="B55">
    <cfRule type="expression" dxfId="1072" priority="625">
      <formula>IF(AND($B55="",$C55=""),TRUE,FALSE)</formula>
    </cfRule>
  </conditionalFormatting>
  <conditionalFormatting sqref="B56">
    <cfRule type="expression" dxfId="1071" priority="611">
      <formula>IF(AND($B56="",$C56=""),TRUE,FALSE)</formula>
    </cfRule>
  </conditionalFormatting>
  <conditionalFormatting sqref="B60">
    <cfRule type="expression" dxfId="1070" priority="604">
      <formula>IF(AND($B60="",$C60=""),TRUE,FALSE)</formula>
    </cfRule>
  </conditionalFormatting>
  <conditionalFormatting sqref="B62">
    <cfRule type="expression" dxfId="1069" priority="117">
      <formula>IF(AND($B62="",$C62=""),TRUE,FALSE)</formula>
    </cfRule>
  </conditionalFormatting>
  <conditionalFormatting sqref="B66:B69">
    <cfRule type="expression" dxfId="1068" priority="1221">
      <formula>IF(AND($B66="",$C66="",LEN($A66)&lt;=2),TRUE,FALSE)</formula>
    </cfRule>
  </conditionalFormatting>
  <conditionalFormatting sqref="B69">
    <cfRule type="expression" dxfId="1067" priority="7509">
      <formula>IF(AND($B69="",$C69=""),TRUE,FALSE)</formula>
    </cfRule>
  </conditionalFormatting>
  <conditionalFormatting sqref="B72">
    <cfRule type="expression" dxfId="1066" priority="57">
      <formula>IF(AND($B72="",$C72=""),TRUE,FALSE)</formula>
    </cfRule>
  </conditionalFormatting>
  <conditionalFormatting sqref="B73">
    <cfRule type="expression" dxfId="1065" priority="50">
      <formula>IF(AND($B73="",$C73=""),TRUE,FALSE)</formula>
    </cfRule>
  </conditionalFormatting>
  <conditionalFormatting sqref="B73:B74">
    <cfRule type="expression" dxfId="1064" priority="49">
      <formula>IF(AND($B73="",$C73="",LEN($A73)&lt;=2),TRUE,FALSE)</formula>
    </cfRule>
  </conditionalFormatting>
  <conditionalFormatting sqref="B74">
    <cfRule type="expression" dxfId="1063" priority="7400">
      <formula>IF(AND($B74="",$C74=""),TRUE,FALSE)</formula>
    </cfRule>
  </conditionalFormatting>
  <conditionalFormatting sqref="B79">
    <cfRule type="expression" dxfId="1062" priority="1000">
      <formula>IF(AND($B79="",$C79=""),TRUE,FALSE)</formula>
    </cfRule>
    <cfRule type="expression" dxfId="1061" priority="1002">
      <formula>IF(AND($B79="",$C79=""),TRUE,FALSE)</formula>
    </cfRule>
    <cfRule type="expression" dxfId="1060" priority="999">
      <formula>IF(AND($B79="",$C79="",LEN($A79)&lt;=2),TRUE,FALSE)</formula>
    </cfRule>
  </conditionalFormatting>
  <conditionalFormatting sqref="B79:B80 B78:C78">
    <cfRule type="expression" dxfId="1059" priority="1007">
      <formula>IF(AND($B78="",$C78="",LEN($A78)&lt;=2),TRUE,FALSE)</formula>
    </cfRule>
  </conditionalFormatting>
  <conditionalFormatting sqref="B79:B80">
    <cfRule type="expression" dxfId="1058" priority="1001">
      <formula>IF(AND($B79="",$C79="",LEN($A79)&lt;=2),TRUE,FALSE)</formula>
    </cfRule>
  </conditionalFormatting>
  <conditionalFormatting sqref="B80">
    <cfRule type="expression" dxfId="1057" priority="1005">
      <formula>IF(AND($B80="",$C80="",LEN($A80)&lt;=2),TRUE,FALSE)</formula>
    </cfRule>
    <cfRule type="expression" dxfId="1056" priority="1004">
      <formula>IF(AND($B80="",$C80=""),TRUE,FALSE)</formula>
    </cfRule>
    <cfRule type="expression" dxfId="1055" priority="1006">
      <formula>IF(AND($B80="",$C80=""),TRUE,FALSE)</formula>
    </cfRule>
  </conditionalFormatting>
  <conditionalFormatting sqref="B81">
    <cfRule type="expression" dxfId="1054" priority="43">
      <formula>IF(AND($B81="",$C81=""),TRUE,FALSE)</formula>
    </cfRule>
  </conditionalFormatting>
  <conditionalFormatting sqref="B82">
    <cfRule type="expression" dxfId="1053" priority="62">
      <formula>IF(AND($B82="",$C82=""),TRUE,FALSE)</formula>
    </cfRule>
  </conditionalFormatting>
  <conditionalFormatting sqref="B84">
    <cfRule type="expression" dxfId="1052" priority="192">
      <formula>IF(AND($B84="",$C84=""),TRUE,FALSE)</formula>
    </cfRule>
  </conditionalFormatting>
  <conditionalFormatting sqref="B86 B88">
    <cfRule type="expression" dxfId="1051" priority="905">
      <formula>IF(AND($B86="",$C86=""),TRUE,FALSE)</formula>
    </cfRule>
  </conditionalFormatting>
  <conditionalFormatting sqref="B87">
    <cfRule type="expression" dxfId="1050" priority="888">
      <formula>IF(AND($B87="",$C87=""),TRUE,FALSE)</formula>
    </cfRule>
  </conditionalFormatting>
  <conditionalFormatting sqref="B127">
    <cfRule type="expression" dxfId="1049" priority="2136">
      <formula>IF(AND($B127="",$C127=""),TRUE,FALSE)</formula>
    </cfRule>
  </conditionalFormatting>
  <conditionalFormatting sqref="B141:B142 D141:I142">
    <cfRule type="expression" dxfId="1048" priority="2745">
      <formula>IF(AND($B141="",$C141=""),TRUE,FALSE)</formula>
    </cfRule>
    <cfRule type="expression" dxfId="1047" priority="2744">
      <formula>IF(AND($B141="",$C141="",LEN($A141)&lt;=2),TRUE,FALSE)</formula>
    </cfRule>
  </conditionalFormatting>
  <conditionalFormatting sqref="B151">
    <cfRule type="expression" dxfId="1046" priority="195">
      <formula>IF(AND($B151="",$C151=""),TRUE,FALSE)</formula>
    </cfRule>
  </conditionalFormatting>
  <conditionalFormatting sqref="B152">
    <cfRule type="expression" dxfId="1045" priority="68">
      <formula>IF(AND($B152="",$C152=""),TRUE,FALSE)</formula>
    </cfRule>
  </conditionalFormatting>
  <conditionalFormatting sqref="B153">
    <cfRule type="expression" dxfId="1044" priority="155">
      <formula>IF(AND($B153="",$C153=""),TRUE,FALSE)</formula>
    </cfRule>
  </conditionalFormatting>
  <conditionalFormatting sqref="B157">
    <cfRule type="expression" dxfId="1043" priority="143">
      <formula>IF(AND($B157="",$C157=""),TRUE,FALSE)</formula>
    </cfRule>
  </conditionalFormatting>
  <conditionalFormatting sqref="B159">
    <cfRule type="expression" dxfId="1042" priority="135">
      <formula>IF(AND($B159="",$C159=""),TRUE,FALSE)</formula>
    </cfRule>
    <cfRule type="expression" dxfId="1041" priority="134">
      <formula>IF(AND($B159="",$C159="",LEN($A159)&lt;=2),TRUE,FALSE)</formula>
    </cfRule>
  </conditionalFormatting>
  <conditionalFormatting sqref="B160">
    <cfRule type="expression" dxfId="1040" priority="6297">
      <formula>IF(AND($B160="",$C160=""),TRUE,FALSE)</formula>
    </cfRule>
  </conditionalFormatting>
  <conditionalFormatting sqref="B164">
    <cfRule type="expression" dxfId="1039" priority="2805">
      <formula>IF(AND($B164="",$C164=""),TRUE,FALSE)</formula>
    </cfRule>
  </conditionalFormatting>
  <conditionalFormatting sqref="B182:B184">
    <cfRule type="expression" dxfId="1038" priority="366">
      <formula>IF(AND($B182="",$C182=""),TRUE,FALSE)</formula>
    </cfRule>
  </conditionalFormatting>
  <conditionalFormatting sqref="B182:B202">
    <cfRule type="expression" dxfId="1037" priority="276">
      <formula>IF(AND($B182="",$C182="",LEN($A182)&lt;=2),TRUE,FALSE)</formula>
    </cfRule>
  </conditionalFormatting>
  <conditionalFormatting sqref="B185:B187">
    <cfRule type="expression" dxfId="1036" priority="410">
      <formula>IF(AND($B185="",$C185=""),TRUE,FALSE)</formula>
    </cfRule>
  </conditionalFormatting>
  <conditionalFormatting sqref="B190:B192">
    <cfRule type="expression" dxfId="1035" priority="499">
      <formula>IF(AND($B190="",$C190=""),TRUE,FALSE)</formula>
    </cfRule>
  </conditionalFormatting>
  <conditionalFormatting sqref="B193:B194 B199">
    <cfRule type="expression" dxfId="1034" priority="544">
      <formula>IF(AND($B193="",$C193=""),TRUE,FALSE)</formula>
    </cfRule>
  </conditionalFormatting>
  <conditionalFormatting sqref="B195">
    <cfRule type="expression" dxfId="1033" priority="277">
      <formula>IF(AND($B195="",$C195=""),TRUE,FALSE)</formula>
    </cfRule>
  </conditionalFormatting>
  <conditionalFormatting sqref="B196:B198">
    <cfRule type="expression" dxfId="1032" priority="321">
      <formula>IF(AND($B196="",$C196=""),TRUE,FALSE)</formula>
    </cfRule>
  </conditionalFormatting>
  <conditionalFormatting sqref="B205">
    <cfRule type="expression" dxfId="1031" priority="1138">
      <formula>IF(AND($B205="",$C205=""),TRUE,FALSE)</formula>
    </cfRule>
  </conditionalFormatting>
  <conditionalFormatting sqref="B206">
    <cfRule type="expression" dxfId="1030" priority="1130">
      <formula>IF(AND($B206="",$C206=""),TRUE,FALSE)</formula>
    </cfRule>
  </conditionalFormatting>
  <conditionalFormatting sqref="B207">
    <cfRule type="expression" dxfId="1029" priority="1125">
      <formula>IF(AND($B207="",$C207=""),TRUE,FALSE)</formula>
    </cfRule>
  </conditionalFormatting>
  <conditionalFormatting sqref="B208">
    <cfRule type="expression" dxfId="1028" priority="1117">
      <formula>IF(AND($B208="",$C208=""),TRUE,FALSE)</formula>
    </cfRule>
  </conditionalFormatting>
  <conditionalFormatting sqref="B209">
    <cfRule type="expression" dxfId="1027" priority="1122">
      <formula>IF(AND($B209="",$C209=""),TRUE,FALSE)</formula>
    </cfRule>
  </conditionalFormatting>
  <conditionalFormatting sqref="B216">
    <cfRule type="expression" dxfId="1026" priority="262">
      <formula>IF(AND($B216="",$C216=""),TRUE,FALSE)</formula>
    </cfRule>
  </conditionalFormatting>
  <conditionalFormatting sqref="B288">
    <cfRule type="expression" dxfId="1025" priority="210">
      <formula>IF(AND($B288="",$C288=""),TRUE,FALSE)</formula>
    </cfRule>
  </conditionalFormatting>
  <conditionalFormatting sqref="B289">
    <cfRule type="expression" dxfId="1024" priority="208">
      <formula>IF(AND($B289="",$C289=""),TRUE,FALSE)</formula>
    </cfRule>
  </conditionalFormatting>
  <conditionalFormatting sqref="B295:B297">
    <cfRule type="expression" dxfId="1023" priority="3931">
      <formula>IF(AND($B295="",$C295=""),TRUE,FALSE)</formula>
    </cfRule>
    <cfRule type="expression" dxfId="1022" priority="3930">
      <formula>IF(AND($B295="",$C295="",LEN($A295)&lt;=2),TRUE,FALSE)</formula>
    </cfRule>
  </conditionalFormatting>
  <conditionalFormatting sqref="B300:B306">
    <cfRule type="expression" dxfId="1021" priority="3646">
      <formula>IF(AND($B300="",$C300=""),TRUE,FALSE)</formula>
    </cfRule>
  </conditionalFormatting>
  <conditionalFormatting sqref="B307">
    <cfRule type="expression" dxfId="1020" priority="22">
      <formula>IF(AND($B307="",$C307=""),TRUE,FALSE)</formula>
    </cfRule>
  </conditionalFormatting>
  <conditionalFormatting sqref="B308">
    <cfRule type="expression" dxfId="1019" priority="3697">
      <formula>IF(AND($B308="",$C308=""),TRUE,FALSE)</formula>
    </cfRule>
  </conditionalFormatting>
  <conditionalFormatting sqref="B310:B314">
    <cfRule type="expression" dxfId="1018" priority="3500">
      <formula>IF(AND($B310="",$C310=""),TRUE,FALSE)</formula>
    </cfRule>
  </conditionalFormatting>
  <conditionalFormatting sqref="B320:B321">
    <cfRule type="expression" dxfId="1017" priority="3357">
      <formula>IF(AND($B320="",$C320=""),TRUE,FALSE)</formula>
    </cfRule>
  </conditionalFormatting>
  <conditionalFormatting sqref="B342">
    <cfRule type="expression" dxfId="1016" priority="2">
      <formula>IF(AND($B342="",$C342=""),TRUE,FALSE)</formula>
    </cfRule>
  </conditionalFormatting>
  <conditionalFormatting sqref="B345">
    <cfRule type="expression" dxfId="1015" priority="1398">
      <formula>IF(AND($B345="",$C345=""),TRUE,FALSE)</formula>
    </cfRule>
  </conditionalFormatting>
  <conditionalFormatting sqref="B345:B346">
    <cfRule type="expression" dxfId="1014" priority="1106">
      <formula>IF(AND($B345="",$C345="",LEN($A345)&lt;=2),TRUE,FALSE)</formula>
    </cfRule>
  </conditionalFormatting>
  <conditionalFormatting sqref="B346">
    <cfRule type="expression" dxfId="1013" priority="1107">
      <formula>IF(AND($B346="",$C346=""),TRUE,FALSE)</formula>
    </cfRule>
    <cfRule type="expression" dxfId="1012" priority="1105">
      <formula>IF(AND($B346="",$C346=""),TRUE,FALSE)</formula>
    </cfRule>
  </conditionalFormatting>
  <conditionalFormatting sqref="B347">
    <cfRule type="expression" dxfId="1011" priority="755">
      <formula>IF(AND($B347="",$C347=""),TRUE,FALSE)</formula>
    </cfRule>
    <cfRule type="expression" dxfId="1010" priority="753">
      <formula>IF(AND($B347="",$C347=""),TRUE,FALSE)</formula>
    </cfRule>
  </conditionalFormatting>
  <conditionalFormatting sqref="B347:B348">
    <cfRule type="expression" dxfId="1009" priority="754">
      <formula>IF(AND($B347="",$C347="",LEN($A347)&lt;=2),TRUE,FALSE)</formula>
    </cfRule>
  </conditionalFormatting>
  <conditionalFormatting sqref="B348">
    <cfRule type="expression" dxfId="1008" priority="1349">
      <formula>IF(AND($B348="",$C348=""),TRUE,FALSE)</formula>
    </cfRule>
    <cfRule type="expression" dxfId="1007" priority="1347">
      <formula>IF(AND($B348="",$C348=""),TRUE,FALSE)</formula>
    </cfRule>
  </conditionalFormatting>
  <conditionalFormatting sqref="B350:B351">
    <cfRule type="expression" dxfId="1006" priority="1523">
      <formula>IF(AND($B350="",$C350=""),TRUE,FALSE)</formula>
    </cfRule>
  </conditionalFormatting>
  <conditionalFormatting sqref="B9:C9">
    <cfRule type="expression" dxfId="1005" priority="13424">
      <formula>IF(AND($B9="",$C9="",LEN($A9)&lt;=2),TRUE,FALSE)</formula>
    </cfRule>
    <cfRule type="expression" dxfId="1004" priority="13425">
      <formula>IF(AND($B9="",$C9=""),TRUE,FALSE)</formula>
    </cfRule>
  </conditionalFormatting>
  <conditionalFormatting sqref="B46:C46">
    <cfRule type="expression" dxfId="1003" priority="654">
      <formula>IF(AND($B46="",$C46="",LEN($A46)&lt;=2),TRUE,FALSE)</formula>
    </cfRule>
  </conditionalFormatting>
  <conditionalFormatting sqref="B49:C49">
    <cfRule type="expression" dxfId="1002" priority="695">
      <formula>IF(AND($B49="",$C49="",LEN($A49)&lt;=2),TRUE,FALSE)</formula>
    </cfRule>
  </conditionalFormatting>
  <conditionalFormatting sqref="B50:C50">
    <cfRule type="expression" dxfId="1001" priority="637">
      <formula>IF(AND($B50="",$C50="",LEN($A50)&lt;=2),TRUE,FALSE)</formula>
    </cfRule>
  </conditionalFormatting>
  <conditionalFormatting sqref="B52:C53">
    <cfRule type="expression" dxfId="1000" priority="627">
      <formula>IF(AND($B52="",$C52="",LEN($A52)&lt;=2),TRUE,FALSE)</formula>
    </cfRule>
  </conditionalFormatting>
  <conditionalFormatting sqref="B59:C59">
    <cfRule type="expression" dxfId="999" priority="7636">
      <formula>IF(AND($B59="",$C59="",LEN($A59)&lt;=2),TRUE,FALSE)</formula>
    </cfRule>
  </conditionalFormatting>
  <conditionalFormatting sqref="B60:C60">
    <cfRule type="expression" dxfId="998" priority="601">
      <formula>IF(AND($B60="",$C60="",LEN($A60)&lt;=2),TRUE,FALSE)</formula>
    </cfRule>
  </conditionalFormatting>
  <conditionalFormatting sqref="B62:C62">
    <cfRule type="expression" dxfId="997" priority="114">
      <formula>IF(AND($B62="",$C62="",LEN($A62)&lt;=2),TRUE,FALSE)</formula>
    </cfRule>
  </conditionalFormatting>
  <conditionalFormatting sqref="B65:C65 F65">
    <cfRule type="expression" dxfId="996" priority="13432">
      <formula>IF(AND($B65="",$C65=""),TRUE,FALSE)</formula>
    </cfRule>
  </conditionalFormatting>
  <conditionalFormatting sqref="B65:C65">
    <cfRule type="expression" dxfId="995" priority="13431">
      <formula>IF(AND($B65="",$C65="",LEN($A65)&lt;=2),TRUE,FALSE)</formula>
    </cfRule>
  </conditionalFormatting>
  <conditionalFormatting sqref="B71:C71">
    <cfRule type="expression" dxfId="994" priority="65">
      <formula>IF(AND($B71="",$C71=""),TRUE,FALSE)</formula>
    </cfRule>
  </conditionalFormatting>
  <conditionalFormatting sqref="B71:C72">
    <cfRule type="expression" dxfId="993" priority="54">
      <formula>IF(AND($B71="",$C71="",LEN($A71)&lt;=2),TRUE,FALSE)</formula>
    </cfRule>
  </conditionalFormatting>
  <conditionalFormatting sqref="B76:C76 F76 H76:I76">
    <cfRule type="expression" dxfId="992" priority="1044">
      <formula>IF(AND($B76="",$C76=""),TRUE,FALSE)</formula>
    </cfRule>
  </conditionalFormatting>
  <conditionalFormatting sqref="B78:C78 B79:B80">
    <cfRule type="expression" dxfId="991" priority="1008">
      <formula>IF(AND($B78="",$C78=""),TRUE,FALSE)</formula>
    </cfRule>
  </conditionalFormatting>
  <conditionalFormatting sqref="B81:C81">
    <cfRule type="expression" dxfId="990" priority="39">
      <formula>IF(AND($B81="",$C81="",LEN($A81)&lt;=2),TRUE,FALSE)</formula>
    </cfRule>
  </conditionalFormatting>
  <conditionalFormatting sqref="B82:C82">
    <cfRule type="expression" dxfId="989" priority="59">
      <formula>IF(AND($B82="",$C82="",LEN($A82)&lt;=2),TRUE,FALSE)</formula>
    </cfRule>
  </conditionalFormatting>
  <conditionalFormatting sqref="B89:C89 F89 H89:I89">
    <cfRule type="expression" dxfId="988" priority="1033">
      <formula>IF(AND($B89="",$C89=""),TRUE,FALSE)</formula>
    </cfRule>
  </conditionalFormatting>
  <conditionalFormatting sqref="B92:C92">
    <cfRule type="expression" dxfId="987" priority="8115">
      <formula>IF(AND($B92="",$C92=""),TRUE,FALSE)</formula>
    </cfRule>
  </conditionalFormatting>
  <conditionalFormatting sqref="B95:C95">
    <cfRule type="expression" dxfId="986" priority="164">
      <formula>IF(AND($B95="",$C95="",LEN($A95)&lt;=2),TRUE,FALSE)</formula>
    </cfRule>
    <cfRule type="expression" dxfId="985" priority="165">
      <formula>IF(AND($B95="",$C95=""),TRUE,FALSE)</formula>
    </cfRule>
  </conditionalFormatting>
  <conditionalFormatting sqref="B97:C97">
    <cfRule type="expression" dxfId="984" priority="7173">
      <formula>IF(AND($B97="",$C97="",LEN($A97)&lt;=2),TRUE,FALSE)</formula>
    </cfRule>
    <cfRule type="expression" dxfId="983" priority="7174">
      <formula>IF(AND($B97="",$C97=""),TRUE,FALSE)</formula>
    </cfRule>
  </conditionalFormatting>
  <conditionalFormatting sqref="B122:C123">
    <cfRule type="expression" dxfId="982" priority="1992">
      <formula>IF(AND($B122="",$C122=""),TRUE,FALSE)</formula>
    </cfRule>
    <cfRule type="expression" dxfId="981" priority="1991">
      <formula>IF(AND($B122="",$C122="",LEN($A122)&lt;=2),TRUE,FALSE)</formula>
    </cfRule>
  </conditionalFormatting>
  <conditionalFormatting sqref="B129:C129 H129:I129">
    <cfRule type="expression" dxfId="980" priority="874">
      <formula>IF(AND($B129="",$C129=""),TRUE,FALSE)</formula>
    </cfRule>
  </conditionalFormatting>
  <conditionalFormatting sqref="B130:C130 H130:I130">
    <cfRule type="expression" dxfId="979" priority="826">
      <formula>IF(AND($B130="",$C130=""),TRUE,FALSE)</formula>
    </cfRule>
  </conditionalFormatting>
  <conditionalFormatting sqref="B131:C131 H131:I131">
    <cfRule type="expression" dxfId="978" priority="842">
      <formula>IF(AND($B131="",$C131=""),TRUE,FALSE)</formula>
    </cfRule>
  </conditionalFormatting>
  <conditionalFormatting sqref="B132:C132 H132:I132">
    <cfRule type="expression" dxfId="977" priority="858">
      <formula>IF(AND($B132="",$C132=""),TRUE,FALSE)</formula>
    </cfRule>
  </conditionalFormatting>
  <conditionalFormatting sqref="B169:C169">
    <cfRule type="expression" dxfId="976" priority="2560">
      <formula>IF(AND($B169="",$C169=""),TRUE,FALSE)</formula>
    </cfRule>
    <cfRule type="expression" dxfId="975" priority="2559">
      <formula>IF(AND($B169="",$C169="",LEN($A169)&lt;=2),TRUE,FALSE)</formula>
    </cfRule>
  </conditionalFormatting>
  <conditionalFormatting sqref="B205:C209">
    <cfRule type="expression" dxfId="974" priority="879">
      <formula>IF(AND($B205="",$C205="",LEN($A205)&lt;=2),TRUE,FALSE)</formula>
    </cfRule>
  </conditionalFormatting>
  <conditionalFormatting sqref="B274:C274">
    <cfRule type="expression" dxfId="973" priority="584">
      <formula>IF(AND($B274="",$C274=""),TRUE,FALSE)</formula>
    </cfRule>
  </conditionalFormatting>
  <conditionalFormatting sqref="B278:C278">
    <cfRule type="expression" dxfId="972" priority="555">
      <formula>IF(AND($B278="",$C278=""),TRUE,FALSE)</formula>
    </cfRule>
  </conditionalFormatting>
  <conditionalFormatting sqref="B279:C279">
    <cfRule type="expression" dxfId="971" priority="570">
      <formula>IF(AND($B279="",$C279=""),TRUE,FALSE)</formula>
    </cfRule>
  </conditionalFormatting>
  <conditionalFormatting sqref="B333:C333">
    <cfRule type="expression" dxfId="970" priority="1081">
      <formula>IF(AND($B333="",$C333=""),TRUE,FALSE)</formula>
    </cfRule>
  </conditionalFormatting>
  <conditionalFormatting sqref="B348:C348">
    <cfRule type="expression" dxfId="969" priority="1348">
      <formula>IF(AND($B348="",$C348="",LEN($A348)&lt;=2),TRUE,FALSE)</formula>
    </cfRule>
  </conditionalFormatting>
  <conditionalFormatting sqref="B351:C351">
    <cfRule type="expression" dxfId="968" priority="12925">
      <formula>IF(AND($B351="",$C351="",LEN($A351)&lt;=2),TRUE,FALSE)</formula>
    </cfRule>
    <cfRule type="expression" dxfId="967" priority="12926">
      <formula>IF(AND($B351="",$C351=""),TRUE,FALSE)</formula>
    </cfRule>
  </conditionalFormatting>
  <conditionalFormatting sqref="B10:D10">
    <cfRule type="expression" dxfId="966" priority="13417">
      <formula>IF(AND($B10="",$C10=""),TRUE,FALSE)</formula>
    </cfRule>
    <cfRule type="expression" dxfId="965" priority="13416">
      <formula>IF(AND($B10="",$C10="",LEN($A10)&lt;=2),TRUE,FALSE)</formula>
    </cfRule>
  </conditionalFormatting>
  <conditionalFormatting sqref="B11:D11 F8:I11">
    <cfRule type="expression" dxfId="964" priority="9023">
      <formula>IF(AND($B8="",$C8="",LEN($A8)&lt;=2),TRUE,FALSE)</formula>
    </cfRule>
  </conditionalFormatting>
  <conditionalFormatting sqref="B13:D13">
    <cfRule type="expression" dxfId="963" priority="13397">
      <formula>IF(AND($B13="",$C13=""),TRUE,FALSE)</formula>
    </cfRule>
    <cfRule type="expression" dxfId="962" priority="13396">
      <formula>IF(AND($B13="",$C13="",LEN($A13)&lt;=2),TRUE,FALSE)</formula>
    </cfRule>
  </conditionalFormatting>
  <conditionalFormatting sqref="B14:D14">
    <cfRule type="expression" dxfId="961" priority="13357">
      <formula>IF(AND($B14="",$C14=""),TRUE,FALSE)</formula>
    </cfRule>
    <cfRule type="expression" dxfId="960" priority="13356">
      <formula>IF(AND($B14="",$C14="",LEN($A14)&lt;=2),TRUE,FALSE)</formula>
    </cfRule>
  </conditionalFormatting>
  <conditionalFormatting sqref="B15:D15">
    <cfRule type="expression" dxfId="959" priority="8396">
      <formula>IF(AND($B15="",$C15="",LEN($A15)&lt;=2),TRUE,FALSE)</formula>
    </cfRule>
    <cfRule type="expression" dxfId="958" priority="8397">
      <formula>IF(AND($B15="",$C15=""),TRUE,FALSE)</formula>
    </cfRule>
  </conditionalFormatting>
  <conditionalFormatting sqref="B16:D16 F13:I19">
    <cfRule type="expression" dxfId="957" priority="1807">
      <formula>IF(AND($B13="",$C13="",LEN($A13)&lt;=2),TRUE,FALSE)</formula>
    </cfRule>
  </conditionalFormatting>
  <conditionalFormatting sqref="B17:D17 F17:I19">
    <cfRule type="expression" dxfId="956" priority="8064">
      <formula>IF(AND($B17="",$C17=""),TRUE,FALSE)</formula>
    </cfRule>
  </conditionalFormatting>
  <conditionalFormatting sqref="B17:D17">
    <cfRule type="expression" dxfId="955" priority="8063">
      <formula>IF(AND($B17="",$C17="",LEN($A17)&lt;=2),TRUE,FALSE)</formula>
    </cfRule>
  </conditionalFormatting>
  <conditionalFormatting sqref="B18:D18">
    <cfRule type="expression" dxfId="954" priority="8087">
      <formula>IF(AND($B18="",$C18=""),TRUE,FALSE)</formula>
    </cfRule>
    <cfRule type="expression" dxfId="953" priority="8086">
      <formula>IF(AND($B18="",$C18="",LEN($A18)&lt;=2),TRUE,FALSE)</formula>
    </cfRule>
  </conditionalFormatting>
  <conditionalFormatting sqref="B19:D19">
    <cfRule type="expression" dxfId="952" priority="8404">
      <formula>IF(AND($B19="",$C19=""),TRUE,FALSE)</formula>
    </cfRule>
    <cfRule type="expression" dxfId="951" priority="8403">
      <formula>IF(AND($B19="",$C19="",LEN($A19)&lt;=2),TRUE,FALSE)</formula>
    </cfRule>
  </conditionalFormatting>
  <conditionalFormatting sqref="B105:D105">
    <cfRule type="expression" dxfId="950" priority="6934">
      <formula>IF(AND($B105="",$C105=""),TRUE,FALSE)</formula>
    </cfRule>
    <cfRule type="expression" dxfId="949" priority="6933">
      <formula>IF(AND($B105="",$C105="",LEN($A105)&lt;=2),TRUE,FALSE)</formula>
    </cfRule>
  </conditionalFormatting>
  <conditionalFormatting sqref="B110:D110">
    <cfRule type="expression" dxfId="948" priority="6695">
      <formula>IF(AND($B110="",$C110=""),TRUE,FALSE)</formula>
    </cfRule>
    <cfRule type="expression" dxfId="947" priority="6694">
      <formula>IF(AND($B110="",$C110="",LEN($A110)&lt;=2),TRUE,FALSE)</formula>
    </cfRule>
  </conditionalFormatting>
  <conditionalFormatting sqref="B117:D117">
    <cfRule type="expression" dxfId="946" priority="2439">
      <formula>IF(AND($B117="",$C117=""),TRUE,FALSE)</formula>
    </cfRule>
    <cfRule type="expression" dxfId="945" priority="2438">
      <formula>IF(AND($B117="",$C117="",LEN($A117)&lt;=2),TRUE,FALSE)</formula>
    </cfRule>
  </conditionalFormatting>
  <conditionalFormatting sqref="B118:D118">
    <cfRule type="expression" dxfId="944" priority="2069">
      <formula>IF(AND($B118="",$C118=""),TRUE,FALSE)</formula>
    </cfRule>
    <cfRule type="expression" dxfId="943" priority="2068">
      <formula>IF(AND($B118="",$C118="",LEN($A118)&lt;=2),TRUE,FALSE)</formula>
    </cfRule>
  </conditionalFormatting>
  <conditionalFormatting sqref="B119:D119">
    <cfRule type="expression" dxfId="942" priority="2087">
      <formula>IF(AND($B119="",$C119=""),TRUE,FALSE)</formula>
    </cfRule>
    <cfRule type="expression" dxfId="941" priority="2086">
      <formula>IF(AND($B119="",$C119="",LEN($A119)&lt;=2),TRUE,FALSE)</formula>
    </cfRule>
  </conditionalFormatting>
  <conditionalFormatting sqref="B124:D124">
    <cfRule type="expression" dxfId="940" priority="2011">
      <formula>IF(AND($B124="",$C124="",LEN($A124)&lt;=2),TRUE,FALSE)</formula>
    </cfRule>
    <cfRule type="expression" dxfId="939" priority="2012">
      <formula>IF(AND($B124="",$C124=""),TRUE,FALSE)</formula>
    </cfRule>
  </conditionalFormatting>
  <conditionalFormatting sqref="B125:D125">
    <cfRule type="expression" dxfId="938" priority="6621">
      <formula>IF(AND($B125="",$C125="",LEN($A125)&lt;=2),TRUE,FALSE)</formula>
    </cfRule>
  </conditionalFormatting>
  <conditionalFormatting sqref="B129:D129">
    <cfRule type="expression" dxfId="937" priority="869">
      <formula>IF(AND($B129="",$C129="",LEN($A129)&lt;=2),TRUE,FALSE)</formula>
    </cfRule>
  </conditionalFormatting>
  <conditionalFormatting sqref="B130:D130">
    <cfRule type="expression" dxfId="936" priority="821">
      <formula>IF(AND($B130="",$C130="",LEN($A130)&lt;=2),TRUE,FALSE)</formula>
    </cfRule>
  </conditionalFormatting>
  <conditionalFormatting sqref="B131:D131">
    <cfRule type="expression" dxfId="935" priority="837">
      <formula>IF(AND($B131="",$C131="",LEN($A131)&lt;=2),TRUE,FALSE)</formula>
    </cfRule>
  </conditionalFormatting>
  <conditionalFormatting sqref="B132:D132">
    <cfRule type="expression" dxfId="934" priority="853">
      <formula>IF(AND($B132="",$C132="",LEN($A132)&lt;=2),TRUE,FALSE)</formula>
    </cfRule>
  </conditionalFormatting>
  <conditionalFormatting sqref="B133:D133">
    <cfRule type="expression" dxfId="933" priority="6527">
      <formula>IF(AND($B133="",$C133=""),TRUE,FALSE)</formula>
    </cfRule>
    <cfRule type="expression" dxfId="932" priority="6526">
      <formula>IF(AND($B133="",$C133="",LEN($A133)&lt;=2),TRUE,FALSE)</formula>
    </cfRule>
  </conditionalFormatting>
  <conditionalFormatting sqref="B167:D167">
    <cfRule type="expression" dxfId="931" priority="2780">
      <formula>IF(AND($B167="",$C167="",LEN($A167)&lt;=2),TRUE,FALSE)</formula>
    </cfRule>
    <cfRule type="expression" dxfId="930" priority="2781">
      <formula>IF(AND($B167="",$C167=""),TRUE,FALSE)</formula>
    </cfRule>
  </conditionalFormatting>
  <conditionalFormatting sqref="B168:D168">
    <cfRule type="expression" dxfId="929" priority="6128">
      <formula>IF(AND($B168="",$C168="",LEN($A168)&lt;=2),TRUE,FALSE)</formula>
    </cfRule>
  </conditionalFormatting>
  <conditionalFormatting sqref="B212:D212">
    <cfRule type="expression" dxfId="928" priority="5111">
      <formula>IF(AND($B212="",$C212=""),TRUE,FALSE)</formula>
    </cfRule>
    <cfRule type="expression" dxfId="927" priority="5110">
      <formula>IF(AND($B212="",$C212="",LEN($A212)&lt;=2),TRUE,FALSE)</formula>
    </cfRule>
  </conditionalFormatting>
  <conditionalFormatting sqref="B298:D298">
    <cfRule type="expression" dxfId="926" priority="3972">
      <formula>IF(AND($B298="",$C298="",LEN($A298)&lt;=2),TRUE,FALSE)</formula>
    </cfRule>
  </conditionalFormatting>
  <conditionalFormatting sqref="B346:D346">
    <cfRule type="expression" dxfId="925" priority="1102">
      <formula>IF(AND($B346="",$C346="",LEN($A346)&lt;=2),TRUE,FALSE)</formula>
    </cfRule>
  </conditionalFormatting>
  <conditionalFormatting sqref="B347:D347">
    <cfRule type="expression" dxfId="924" priority="750">
      <formula>IF(AND($B347="",$C347="",LEN($A347)&lt;=2),TRUE,FALSE)</formula>
    </cfRule>
  </conditionalFormatting>
  <conditionalFormatting sqref="B350:D350">
    <cfRule type="expression" dxfId="923" priority="1519">
      <formula>IF(AND($B350="",$C350=""),TRUE,FALSE)</formula>
    </cfRule>
    <cfRule type="expression" dxfId="922" priority="1518">
      <formula>IF(AND($B350="",$C350="",LEN($A350)&lt;=2),TRUE,FALSE)</formula>
    </cfRule>
  </conditionalFormatting>
  <conditionalFormatting sqref="B107:E107 G107:I107">
    <cfRule type="expression" dxfId="921" priority="6912">
      <formula>IF(AND($B107="",$C107="",LEN($A107)&lt;=2),TRUE,FALSE)</formula>
    </cfRule>
    <cfRule type="expression" dxfId="920" priority="6913">
      <formula>IF(AND($B107="",$C107=""),TRUE,FALSE)</formula>
    </cfRule>
  </conditionalFormatting>
  <conditionalFormatting sqref="B108:E108">
    <cfRule type="expression" dxfId="919" priority="6719">
      <formula>IF(AND($B108="",$C108="",LEN($A108)&lt;=2),TRUE,FALSE)</formula>
    </cfRule>
    <cfRule type="expression" dxfId="918" priority="6720">
      <formula>IF(AND($B108="",$C108=""),TRUE,FALSE)</formula>
    </cfRule>
  </conditionalFormatting>
  <conditionalFormatting sqref="B21:I21">
    <cfRule type="expression" dxfId="917" priority="2288">
      <formula>IF(AND($B21="",$C21=""),TRUE,FALSE)</formula>
    </cfRule>
    <cfRule type="expression" dxfId="916" priority="2287">
      <formula>IF(AND($B21="",$C21="",LEN($A21)&lt;=2),TRUE,FALSE)</formula>
    </cfRule>
  </conditionalFormatting>
  <conditionalFormatting sqref="B26:I26">
    <cfRule type="expression" dxfId="915" priority="1214">
      <formula>IF(AND($B26="",$C26=""),TRUE,FALSE)</formula>
    </cfRule>
    <cfRule type="expression" dxfId="914" priority="1213">
      <formula>IF(AND($B26="",$C26="",LEN($A26)&lt;=2),TRUE,FALSE)</formula>
    </cfRule>
  </conditionalFormatting>
  <conditionalFormatting sqref="B27:I27">
    <cfRule type="expression" dxfId="913" priority="1206">
      <formula>IF(AND($B27="",$C27=""),TRUE,FALSE)</formula>
    </cfRule>
    <cfRule type="expression" dxfId="912" priority="1205">
      <formula>IF(AND($B27="",$C27="",LEN($A27)&lt;=2),TRUE,FALSE)</formula>
    </cfRule>
  </conditionalFormatting>
  <conditionalFormatting sqref="B28:I28 B30:I30">
    <cfRule type="expression" dxfId="911" priority="2307">
      <formula>IF(AND($B28="",$C28=""),TRUE,FALSE)</formula>
    </cfRule>
    <cfRule type="expression" dxfId="910" priority="2306">
      <formula>IF(AND($B28="",$C28="",LEN($A28)&lt;=2),TRUE,FALSE)</formula>
    </cfRule>
  </conditionalFormatting>
  <conditionalFormatting sqref="B29:I29">
    <cfRule type="expression" dxfId="909" priority="1750">
      <formula>IF(AND($B29="",$C29=""),TRUE,FALSE)</formula>
    </cfRule>
    <cfRule type="expression" dxfId="908" priority="1749">
      <formula>IF(AND($B29="",$C29="",LEN($A29)&lt;=2),TRUE,FALSE)</formula>
    </cfRule>
  </conditionalFormatting>
  <conditionalFormatting sqref="B32:I32">
    <cfRule type="expression" dxfId="907" priority="8027">
      <formula>IF(AND($B32="",$C32="",LEN($A32)&lt;=2),TRUE,FALSE)</formula>
    </cfRule>
    <cfRule type="expression" dxfId="906" priority="8028">
      <formula>IF(AND($B32="",$C32=""),TRUE,FALSE)</formula>
    </cfRule>
  </conditionalFormatting>
  <conditionalFormatting sqref="B40:I40">
    <cfRule type="expression" dxfId="905" priority="7780">
      <formula>IF(AND($B40="",$C40="",LEN($A40)&lt;=2),TRUE,FALSE)</formula>
    </cfRule>
  </conditionalFormatting>
  <conditionalFormatting sqref="B41:I41">
    <cfRule type="expression" dxfId="904" priority="1187">
      <formula>IF(AND($B41="",$C41="",LEN($A41)&lt;=2),TRUE,FALSE)</formula>
    </cfRule>
  </conditionalFormatting>
  <conditionalFormatting sqref="B42:I42">
    <cfRule type="expression" dxfId="903" priority="96">
      <formula>IF(AND($B42="",$C42="",LEN($A42)&lt;=2),TRUE,FALSE)</formula>
    </cfRule>
  </conditionalFormatting>
  <conditionalFormatting sqref="B76:I76">
    <cfRule type="expression" dxfId="902" priority="1043">
      <formula>IF(AND($B76="",$C76="",LEN($A76)&lt;=2),TRUE,FALSE)</formula>
    </cfRule>
  </conditionalFormatting>
  <conditionalFormatting sqref="B83:I83">
    <cfRule type="expression" dxfId="901" priority="992">
      <formula>IF(AND($B83="",$C83=""),TRUE,FALSE)</formula>
    </cfRule>
    <cfRule type="expression" dxfId="900" priority="991">
      <formula>IF(AND($B83="",$C83="",LEN($A83)&lt;=2),TRUE,FALSE)</formula>
    </cfRule>
  </conditionalFormatting>
  <conditionalFormatting sqref="B84:I84">
    <cfRule type="expression" dxfId="899" priority="179">
      <formula>IF(AND($B84="",$C84="",LEN($A84)&lt;=2),TRUE,FALSE)</formula>
    </cfRule>
  </conditionalFormatting>
  <conditionalFormatting sqref="B85:I85">
    <cfRule type="expression" dxfId="898" priority="967">
      <formula>IF(AND($B85="",$C85="",LEN($A85)&lt;=2),TRUE,FALSE)</formula>
    </cfRule>
  </conditionalFormatting>
  <conditionalFormatting sqref="B86:I87">
    <cfRule type="expression" dxfId="897" priority="885">
      <formula>IF(AND($B86="",$C86="",LEN($A86)&lt;=2),TRUE,FALSE)</formula>
    </cfRule>
  </conditionalFormatting>
  <conditionalFormatting sqref="B88:I89">
    <cfRule type="expression" dxfId="896" priority="899">
      <formula>IF(AND($B88="",$C88="",LEN($A88)&lt;=2),TRUE,FALSE)</formula>
    </cfRule>
  </conditionalFormatting>
  <conditionalFormatting sqref="B92:I92">
    <cfRule type="expression" dxfId="895" priority="8114">
      <formula>IF(AND($B92="",$C92="",LEN($A92)&lt;=2),TRUE,FALSE)</formula>
    </cfRule>
  </conditionalFormatting>
  <conditionalFormatting sqref="B94:I94">
    <cfRule type="expression" dxfId="894" priority="2613">
      <formula>IF(AND($B94="",$C94="",LEN($A94)&lt;=2),TRUE,FALSE)</formula>
    </cfRule>
    <cfRule type="expression" dxfId="893" priority="2614">
      <formula>IF(AND($B94="",$C94=""),TRUE,FALSE)</formula>
    </cfRule>
  </conditionalFormatting>
  <conditionalFormatting sqref="B98:I98">
    <cfRule type="expression" dxfId="892" priority="7183">
      <formula>IF(AND($B98="",$C98=""),TRUE,FALSE)</formula>
    </cfRule>
    <cfRule type="expression" dxfId="891" priority="7182">
      <formula>IF(AND($B98="",$C98="",LEN($A98)&lt;=2),TRUE,FALSE)</formula>
    </cfRule>
  </conditionalFormatting>
  <conditionalFormatting sqref="B126:I126">
    <cfRule type="expression" dxfId="890" priority="1725">
      <formula>IF(AND($B126="",$C126="",LEN($A126)&lt;=2),TRUE,FALSE)</formula>
    </cfRule>
    <cfRule type="expression" dxfId="889" priority="1726">
      <formula>IF(AND($B126="",$C126=""),TRUE,FALSE)</formula>
    </cfRule>
  </conditionalFormatting>
  <conditionalFormatting sqref="B127:I127">
    <cfRule type="expression" dxfId="888" priority="2135">
      <formula>IF(AND($B127="",$C127="",LEN($A127)&lt;=2),TRUE,FALSE)</formula>
    </cfRule>
  </conditionalFormatting>
  <conditionalFormatting sqref="B136:I137">
    <cfRule type="expression" dxfId="887" priority="12197">
      <formula>IF(AND($B136="",$C136=""),TRUE,FALSE)</formula>
    </cfRule>
    <cfRule type="expression" dxfId="886" priority="12196">
      <formula>IF(AND($B136="",$C136="",LEN($A136)&lt;=2),TRUE,FALSE)</formula>
    </cfRule>
  </conditionalFormatting>
  <conditionalFormatting sqref="B144:I145">
    <cfRule type="expression" dxfId="885" priority="3047">
      <formula>IF(AND($B144="",$C144=""),TRUE,FALSE)</formula>
    </cfRule>
    <cfRule type="expression" dxfId="884" priority="3046">
      <formula>IF(AND($B144="",$C144="",LEN($A144)&lt;=2),TRUE,FALSE)</formula>
    </cfRule>
  </conditionalFormatting>
  <conditionalFormatting sqref="B148:I148">
    <cfRule type="expression" dxfId="883" priority="6369">
      <formula>IF(AND($B148="",$C148=""),TRUE,FALSE)</formula>
    </cfRule>
    <cfRule type="expression" dxfId="882" priority="6368">
      <formula>IF(AND($B148="",$C148="",LEN($A148)&lt;=2),TRUE,FALSE)</formula>
    </cfRule>
  </conditionalFormatting>
  <conditionalFormatting sqref="B150:I150">
    <cfRule type="expression" dxfId="881" priority="1557">
      <formula>IF(AND($B150="",$C150=""),TRUE,FALSE)</formula>
    </cfRule>
  </conditionalFormatting>
  <conditionalFormatting sqref="B152:I153">
    <cfRule type="expression" dxfId="880" priority="67">
      <formula>IF(AND($B152="",$C152="",LEN($A152)&lt;=2),TRUE,FALSE)</formula>
    </cfRule>
  </conditionalFormatting>
  <conditionalFormatting sqref="B155:I158">
    <cfRule type="expression" dxfId="879" priority="142">
      <formula>IF(AND($B155="",$C155="",LEN($A155)&lt;=2),TRUE,FALSE)</formula>
    </cfRule>
  </conditionalFormatting>
  <conditionalFormatting sqref="B242:I242">
    <cfRule type="expression" dxfId="878" priority="2717">
      <formula>IF(AND($B242="",$C242=""),TRUE,FALSE)</formula>
    </cfRule>
  </conditionalFormatting>
  <conditionalFormatting sqref="B242:I243">
    <cfRule type="expression" dxfId="877" priority="2716">
      <formula>IF(AND($B242="",$C242="",LEN($A242)&lt;=2),TRUE,FALSE)</formula>
    </cfRule>
  </conditionalFormatting>
  <conditionalFormatting sqref="B248:I248 B251:J251">
    <cfRule type="expression" dxfId="876" priority="2949">
      <formula>IF(AND($B248="",$C248=""),TRUE,FALSE)</formula>
    </cfRule>
    <cfRule type="expression" dxfId="875" priority="2948">
      <formula>IF(AND($B248="",$C248="",LEN($A248)&lt;=2),TRUE,FALSE)</formula>
    </cfRule>
  </conditionalFormatting>
  <conditionalFormatting sqref="B252:I252">
    <cfRule type="expression" dxfId="874" priority="2938">
      <formula>IF(AND($B252="",$C252="",LEN($A252)&lt;=2),TRUE,FALSE)</formula>
    </cfRule>
    <cfRule type="expression" dxfId="873" priority="2939">
      <formula>IF(AND($B252="",$C252=""),TRUE,FALSE)</formula>
    </cfRule>
  </conditionalFormatting>
  <conditionalFormatting sqref="B254:I261">
    <cfRule type="expression" dxfId="872" priority="2694">
      <formula>IF(AND($B254="",$C254="",LEN($A254)&lt;=2),TRUE,FALSE)</formula>
    </cfRule>
  </conditionalFormatting>
  <conditionalFormatting sqref="B257:I257">
    <cfRule type="expression" dxfId="871" priority="2695">
      <formula>IF(AND($B257="",$C257=""),TRUE,FALSE)</formula>
    </cfRule>
  </conditionalFormatting>
  <conditionalFormatting sqref="B264:I264">
    <cfRule type="expression" dxfId="870" priority="11082">
      <formula>IF(AND($B264="",$C264=""),TRUE,FALSE)</formula>
    </cfRule>
  </conditionalFormatting>
  <conditionalFormatting sqref="B266:I269">
    <cfRule type="expression" dxfId="869" priority="4280">
      <formula>IF(AND($B266="",$C266=""),TRUE,FALSE)</formula>
    </cfRule>
  </conditionalFormatting>
  <conditionalFormatting sqref="B271:I272">
    <cfRule type="expression" dxfId="868" priority="4234">
      <formula>IF(AND($B271="",$C271=""),TRUE,FALSE)</formula>
    </cfRule>
  </conditionalFormatting>
  <conditionalFormatting sqref="B280:I281">
    <cfRule type="expression" dxfId="867" priority="4155">
      <formula>IF(AND($B280="",$C280=""),TRUE,FALSE)</formula>
    </cfRule>
  </conditionalFormatting>
  <conditionalFormatting sqref="B328:I332">
    <cfRule type="expression" dxfId="866" priority="3106">
      <formula>IF(AND($B328="",$C328=""),TRUE,FALSE)</formula>
    </cfRule>
  </conditionalFormatting>
  <conditionalFormatting sqref="B334:I335">
    <cfRule type="expression" dxfId="865" priority="3193">
      <formula>IF(AND($B334="",$C334=""),TRUE,FALSE)</formula>
    </cfRule>
  </conditionalFormatting>
  <conditionalFormatting sqref="B45:J45">
    <cfRule type="expression" dxfId="864" priority="672">
      <formula>IF(AND($B45="",$C45=""),TRUE,FALSE)</formula>
    </cfRule>
    <cfRule type="expression" dxfId="863" priority="671">
      <formula>IF(AND($B45="",$C45="",LEN($A45)&lt;=2),TRUE,FALSE)</formula>
    </cfRule>
  </conditionalFormatting>
  <conditionalFormatting sqref="B51:J51">
    <cfRule type="expression" dxfId="862" priority="1248">
      <formula>IF(AND($B51="",$C51=""),TRUE,FALSE)</formula>
    </cfRule>
    <cfRule type="expression" dxfId="861" priority="1247">
      <formula>IF(AND($B51="",$C51="",LEN($A51)&lt;=2),TRUE,FALSE)</formula>
    </cfRule>
  </conditionalFormatting>
  <conditionalFormatting sqref="B57:J57">
    <cfRule type="expression" dxfId="860" priority="7623">
      <formula>IF(AND($B57="",$C57="",LEN($A57)&lt;=2),TRUE,FALSE)</formula>
    </cfRule>
  </conditionalFormatting>
  <conditionalFormatting sqref="B63:J64">
    <cfRule type="expression" dxfId="859" priority="13585">
      <formula>IF(AND($B63="",$C63="",LEN($A63)&lt;=2),TRUE,FALSE)</formula>
    </cfRule>
    <cfRule type="expression" dxfId="858" priority="13586">
      <formula>IF(AND($B63="",$C63=""),TRUE,FALSE)</formula>
    </cfRule>
  </conditionalFormatting>
  <conditionalFormatting sqref="B70:J70">
    <cfRule type="expression" dxfId="857" priority="7454">
      <formula>IF(AND($B70="",$C70="",LEN($A70)&lt;=2),TRUE,FALSE)</formula>
    </cfRule>
  </conditionalFormatting>
  <conditionalFormatting sqref="B75:J75">
    <cfRule type="expression" dxfId="856" priority="7289">
      <formula>IF(AND($B75="",$C75="",LEN($A75)&lt;=2),TRUE,FALSE)</formula>
    </cfRule>
  </conditionalFormatting>
  <conditionalFormatting sqref="B77:J77">
    <cfRule type="expression" dxfId="855" priority="1037">
      <formula>IF(AND($B77="",$C77="",LEN($A77)&lt;=2),TRUE,FALSE)</formula>
    </cfRule>
    <cfRule type="expression" dxfId="854" priority="1038">
      <formula>IF(AND($B77="",$C77=""),TRUE,FALSE)</formula>
    </cfRule>
  </conditionalFormatting>
  <conditionalFormatting sqref="B104:J104">
    <cfRule type="expression" dxfId="853" priority="7013">
      <formula>IF(AND($B104="",$C104=""),TRUE,FALSE)</formula>
    </cfRule>
    <cfRule type="expression" dxfId="852" priority="7012">
      <formula>IF(AND($B104="",$C104="",LEN($A104)&lt;=2),TRUE,FALSE)</formula>
    </cfRule>
  </conditionalFormatting>
  <conditionalFormatting sqref="B106:J106">
    <cfRule type="expression" dxfId="851" priority="2281">
      <formula>IF(AND($B106="",$C106=""),TRUE,FALSE)</formula>
    </cfRule>
    <cfRule type="expression" dxfId="850" priority="2280">
      <formula>IF(AND($B106="",$C106="",LEN($A106)&lt;=2),TRUE,FALSE)</formula>
    </cfRule>
  </conditionalFormatting>
  <conditionalFormatting sqref="B109:J109">
    <cfRule type="expression" dxfId="849" priority="6702">
      <formula>IF(AND($B109="",$C109="",LEN($A109)&lt;=2),TRUE,FALSE)</formula>
    </cfRule>
    <cfRule type="expression" dxfId="848" priority="6703">
      <formula>IF(AND($B109="",$C109=""),TRUE,FALSE)</formula>
    </cfRule>
  </conditionalFormatting>
  <conditionalFormatting sqref="B154:J154">
    <cfRule type="expression" dxfId="847" priority="6358">
      <formula>IF(AND($B154="",$C154=""),TRUE,FALSE)</formula>
    </cfRule>
    <cfRule type="expression" dxfId="846" priority="6357">
      <formula>IF(AND($B154="",$C154="",LEN($A154)&lt;=2),TRUE,FALSE)</formula>
    </cfRule>
  </conditionalFormatting>
  <conditionalFormatting sqref="B247:J247">
    <cfRule type="expression" dxfId="845" priority="4434">
      <formula>IF(AND($B247="",$C247="",LEN($A247)&lt;=2),TRUE,FALSE)</formula>
    </cfRule>
  </conditionalFormatting>
  <conditionalFormatting sqref="C6:C7 C134 C138">
    <cfRule type="expression" dxfId="844" priority="17047">
      <formula>IF((COUNTIF(#REF!,#REF!))&gt;1,TRUE,FALSE)</formula>
    </cfRule>
  </conditionalFormatting>
  <conditionalFormatting sqref="C8:C33">
    <cfRule type="expression" dxfId="843" priority="1202">
      <formula>IF((COUNTIF(#REF!,#REF!))&gt;1,TRUE,FALSE)</formula>
    </cfRule>
  </conditionalFormatting>
  <conditionalFormatting sqref="C34:C38">
    <cfRule type="expression" dxfId="842" priority="7759">
      <formula>IF((COUNTIF(#REF!,#REF!))&gt;1,TRUE,FALSE)</formula>
    </cfRule>
  </conditionalFormatting>
  <conditionalFormatting sqref="C39">
    <cfRule type="expression" dxfId="841" priority="7832">
      <formula>IF((COUNTIF(#REF!,#REF!))&gt;1,TRUE,FALSE)</formula>
    </cfRule>
  </conditionalFormatting>
  <conditionalFormatting sqref="C40:C43">
    <cfRule type="expression" dxfId="840" priority="77">
      <formula>IF((COUNTIF(#REF!,#REF!))&gt;1,TRUE,FALSE)</formula>
    </cfRule>
  </conditionalFormatting>
  <conditionalFormatting sqref="C41">
    <cfRule type="expression" dxfId="839" priority="1188">
      <formula>IF(AND($B41="",$C41=""),TRUE,FALSE)</formula>
    </cfRule>
  </conditionalFormatting>
  <conditionalFormatting sqref="C42">
    <cfRule type="expression" dxfId="838" priority="97">
      <formula>IF(AND($B42="",$C42=""),TRUE,FALSE)</formula>
    </cfRule>
  </conditionalFormatting>
  <conditionalFormatting sqref="C43">
    <cfRule type="expression" dxfId="837" priority="81">
      <formula>IF(AND($B43="",$C43=""),TRUE,FALSE)</formula>
    </cfRule>
  </conditionalFormatting>
  <conditionalFormatting sqref="C44:C45">
    <cfRule type="expression" dxfId="836" priority="673">
      <formula>IF((COUNTIF(#REF!,#REF!))&gt;1,TRUE,FALSE)</formula>
    </cfRule>
  </conditionalFormatting>
  <conditionalFormatting sqref="C46">
    <cfRule type="expression" dxfId="835" priority="655">
      <formula>IF(AND($B46="",$C46=""),TRUE,FALSE)</formula>
    </cfRule>
  </conditionalFormatting>
  <conditionalFormatting sqref="C46:C50">
    <cfRule type="expression" dxfId="834" priority="634">
      <formula>IF((COUNTIF(#REF!,#REF!))&gt;1,TRUE,FALSE)</formula>
    </cfRule>
  </conditionalFormatting>
  <conditionalFormatting sqref="C47">
    <cfRule type="expression" dxfId="833" priority="650">
      <formula>IF(AND($B47="",$C47=""),TRUE,FALSE)</formula>
    </cfRule>
    <cfRule type="expression" dxfId="832" priority="649">
      <formula>IF(AND($B47="",$C47="",LEN($A47)&lt;=2),TRUE,FALSE)</formula>
    </cfRule>
  </conditionalFormatting>
  <conditionalFormatting sqref="C48">
    <cfRule type="expression" dxfId="831" priority="644">
      <formula>IF(AND($B48="",$C48="",LEN($A48)&lt;=2),TRUE,FALSE)</formula>
    </cfRule>
    <cfRule type="expression" dxfId="830" priority="645">
      <formula>IF(AND($B48="",$C48=""),TRUE,FALSE)</formula>
    </cfRule>
  </conditionalFormatting>
  <conditionalFormatting sqref="C49">
    <cfRule type="expression" dxfId="829" priority="696">
      <formula>IF(AND($B49="",$C49=""),TRUE,FALSE)</formula>
    </cfRule>
  </conditionalFormatting>
  <conditionalFormatting sqref="C50">
    <cfRule type="expression" dxfId="828" priority="638">
      <formula>IF(AND($B50="",$C50=""),TRUE,FALSE)</formula>
    </cfRule>
  </conditionalFormatting>
  <conditionalFormatting sqref="C51">
    <cfRule type="expression" dxfId="827" priority="1249">
      <formula>IF((COUNTIF(#REF!,#REF!))&gt;1,TRUE,FALSE)</formula>
    </cfRule>
  </conditionalFormatting>
  <conditionalFormatting sqref="C52">
    <cfRule type="expression" dxfId="826" priority="631">
      <formula>IF((COUNTIF(#REF!,#REF!))&gt;1,TRUE,FALSE)</formula>
    </cfRule>
    <cfRule type="expression" dxfId="825" priority="630">
      <formula>IF(AND($B52="",$C52=""),TRUE,FALSE)</formula>
    </cfRule>
  </conditionalFormatting>
  <conditionalFormatting sqref="C53">
    <cfRule type="expression" dxfId="824" priority="628">
      <formula>IF(AND($B53="",$C53=""),TRUE,FALSE)</formula>
    </cfRule>
  </conditionalFormatting>
  <conditionalFormatting sqref="C53:C56">
    <cfRule type="expression" dxfId="823" priority="605">
      <formula>IF((COUNTIF(#REF!,#REF!))&gt;1,TRUE,FALSE)</formula>
    </cfRule>
  </conditionalFormatting>
  <conditionalFormatting sqref="C54">
    <cfRule type="expression" dxfId="822" priority="620">
      <formula>IF(AND($B54="",$C54="",LEN($A54)&lt;=2),TRUE,FALSE)</formula>
    </cfRule>
    <cfRule type="expression" dxfId="821" priority="621">
      <formula>IF(AND($B54="",$C54=""),TRUE,FALSE)</formula>
    </cfRule>
  </conditionalFormatting>
  <conditionalFormatting sqref="C55">
    <cfRule type="expression" dxfId="820" priority="615">
      <formula>IF(AND($B55="",$C55="",LEN($A55)&lt;=2),TRUE,FALSE)</formula>
    </cfRule>
    <cfRule type="expression" dxfId="819" priority="616">
      <formula>IF(AND($B55="",$C55=""),TRUE,FALSE)</formula>
    </cfRule>
  </conditionalFormatting>
  <conditionalFormatting sqref="C56">
    <cfRule type="expression" dxfId="818" priority="608">
      <formula>IF(AND($B56="",$C56="",LEN($A56)&lt;=2),TRUE,FALSE)</formula>
    </cfRule>
    <cfRule type="expression" dxfId="817" priority="609">
      <formula>IF(AND($B56="",$C56=""),TRUE,FALSE)</formula>
    </cfRule>
  </conditionalFormatting>
  <conditionalFormatting sqref="C57">
    <cfRule type="expression" dxfId="816" priority="7625">
      <formula>IF((COUNTIF(#REF!,#REF!))&gt;1,TRUE,FALSE)</formula>
    </cfRule>
  </conditionalFormatting>
  <conditionalFormatting sqref="C58">
    <cfRule type="expression" dxfId="815" priority="7707">
      <formula>IF((COUNTIF(#REF!,#REF!))&gt;1,TRUE,FALSE)</formula>
    </cfRule>
  </conditionalFormatting>
  <conditionalFormatting sqref="C59">
    <cfRule type="expression" dxfId="814" priority="7637">
      <formula>IF(AND($B59="",$C59=""),TRUE,FALSE)</formula>
    </cfRule>
  </conditionalFormatting>
  <conditionalFormatting sqref="C59:C62">
    <cfRule type="expression" dxfId="813" priority="111">
      <formula>IF((COUNTIF(#REF!,#REF!))&gt;1,TRUE,FALSE)</formula>
    </cfRule>
  </conditionalFormatting>
  <conditionalFormatting sqref="C60">
    <cfRule type="expression" dxfId="812" priority="602">
      <formula>IF(AND($B60="",$C60=""),TRUE,FALSE)</formula>
    </cfRule>
  </conditionalFormatting>
  <conditionalFormatting sqref="C61">
    <cfRule type="expression" dxfId="811" priority="122">
      <formula>IF(AND($B61="",$C61=""),TRUE,FALSE)</formula>
    </cfRule>
  </conditionalFormatting>
  <conditionalFormatting sqref="C62">
    <cfRule type="expression" dxfId="810" priority="115">
      <formula>IF(AND($B62="",$C62=""),TRUE,FALSE)</formula>
    </cfRule>
  </conditionalFormatting>
  <conditionalFormatting sqref="C63:C64">
    <cfRule type="expression" dxfId="809" priority="13588">
      <formula>IF((COUNTIF(#REF!,#REF!))&gt;1,TRUE,FALSE)</formula>
    </cfRule>
  </conditionalFormatting>
  <conditionalFormatting sqref="C65">
    <cfRule type="expression" dxfId="808" priority="13433">
      <formula>IF((COUNTIF(#REF!,#REF!))&gt;1,TRUE,FALSE)</formula>
    </cfRule>
  </conditionalFormatting>
  <conditionalFormatting sqref="C66">
    <cfRule type="expression" dxfId="807" priority="2902">
      <formula>IF(AND($B66="",$C66="",LEN($A66)&lt;=2),TRUE,FALSE)</formula>
    </cfRule>
    <cfRule type="expression" dxfId="806" priority="2903">
      <formula>IF(AND($B66="",$C66=""),TRUE,FALSE)</formula>
    </cfRule>
  </conditionalFormatting>
  <conditionalFormatting sqref="C66:C68">
    <cfRule type="expression" dxfId="805" priority="1216">
      <formula>IF((COUNTIF(#REF!,#REF!))&gt;1,TRUE,FALSE)</formula>
    </cfRule>
  </conditionalFormatting>
  <conditionalFormatting sqref="C67 D65:I67">
    <cfRule type="expression" dxfId="804" priority="12781">
      <formula>IF(AND($B65="",$C65="",LEN($A65)&lt;=2),TRUE,FALSE)</formula>
    </cfRule>
  </conditionalFormatting>
  <conditionalFormatting sqref="C68 H68:I68">
    <cfRule type="expression" dxfId="803" priority="1220">
      <formula>IF(AND($B68="",$C68=""),TRUE,FALSE)</formula>
    </cfRule>
  </conditionalFormatting>
  <conditionalFormatting sqref="C69 H69:I69">
    <cfRule type="expression" dxfId="802" priority="12759">
      <formula>IF(AND($B69="",$C69=""),TRUE,FALSE)</formula>
    </cfRule>
  </conditionalFormatting>
  <conditionalFormatting sqref="C69">
    <cfRule type="expression" dxfId="801" priority="12758">
      <formula>IF(AND($B69="",$C69="",LEN($A69)&lt;=2),TRUE,FALSE)</formula>
    </cfRule>
  </conditionalFormatting>
  <conditionalFormatting sqref="C69:C70">
    <cfRule type="expression" dxfId="800" priority="7456">
      <formula>IF((COUNTIF(#REF!,#REF!))&gt;1,TRUE,FALSE)</formula>
    </cfRule>
  </conditionalFormatting>
  <conditionalFormatting sqref="C71">
    <cfRule type="expression" dxfId="799" priority="66">
      <formula>IF((COUNTIF(#REF!,#REF!))&gt;1,TRUE,FALSE)</formula>
    </cfRule>
  </conditionalFormatting>
  <conditionalFormatting sqref="C72">
    <cfRule type="expression" dxfId="798" priority="55">
      <formula>IF(AND($B72="",$C72=""),TRUE,FALSE)</formula>
    </cfRule>
  </conditionalFormatting>
  <conditionalFormatting sqref="C72:C73">
    <cfRule type="expression" dxfId="797" priority="44">
      <formula>IF((COUNTIF(#REF!,#REF!))&gt;1,TRUE,FALSE)</formula>
    </cfRule>
  </conditionalFormatting>
  <conditionalFormatting sqref="C73">
    <cfRule type="expression" dxfId="796" priority="48">
      <formula>IF(AND($B73="",$C73=""),TRUE,FALSE)</formula>
    </cfRule>
    <cfRule type="expression" dxfId="795" priority="47">
      <formula>IF(AND($B73="",$C73="",LEN($A73)&lt;=2),TRUE,FALSE)</formula>
    </cfRule>
  </conditionalFormatting>
  <conditionalFormatting sqref="C74">
    <cfRule type="expression" dxfId="794" priority="7430">
      <formula>IF(AND($B74="",$C74="",LEN($A74)&lt;=2),TRUE,FALSE)</formula>
    </cfRule>
    <cfRule type="expression" dxfId="793" priority="7431">
      <formula>IF(AND($B74="",$C74=""),TRUE,FALSE)</formula>
    </cfRule>
  </conditionalFormatting>
  <conditionalFormatting sqref="C74:C75">
    <cfRule type="expression" dxfId="792" priority="7291">
      <formula>IF((COUNTIF(#REF!,#REF!))&gt;1,TRUE,FALSE)</formula>
    </cfRule>
  </conditionalFormatting>
  <conditionalFormatting sqref="C76">
    <cfRule type="expression" dxfId="791" priority="1045">
      <formula>IF((COUNTIF(#REF!,#REF!))&gt;1,TRUE,FALSE)</formula>
    </cfRule>
  </conditionalFormatting>
  <conditionalFormatting sqref="C77">
    <cfRule type="expression" dxfId="790" priority="1039">
      <formula>IF((COUNTIF(#REF!,#REF!))&gt;1,TRUE,FALSE)</formula>
    </cfRule>
  </conditionalFormatting>
  <conditionalFormatting sqref="C78:C84">
    <cfRule type="expression" dxfId="789" priority="41">
      <formula>IF((COUNTIF(#REF!,#REF!))&gt;1,TRUE,FALSE)</formula>
    </cfRule>
  </conditionalFormatting>
  <conditionalFormatting sqref="C79:C80">
    <cfRule type="expression" dxfId="788" priority="998">
      <formula>IF(AND($B79="",$C79=""),TRUE,FALSE)</formula>
    </cfRule>
    <cfRule type="expression" dxfId="787" priority="997">
      <formula>IF(AND($B79="",$C79="",LEN($A79)&lt;=2),TRUE,FALSE)</formula>
    </cfRule>
  </conditionalFormatting>
  <conditionalFormatting sqref="C81">
    <cfRule type="expression" dxfId="786" priority="40">
      <formula>IF(AND($B81="",$C81=""),TRUE,FALSE)</formula>
    </cfRule>
  </conditionalFormatting>
  <conditionalFormatting sqref="C82">
    <cfRule type="expression" dxfId="785" priority="60">
      <formula>IF(AND($B82="",$C82=""),TRUE,FALSE)</formula>
    </cfRule>
  </conditionalFormatting>
  <conditionalFormatting sqref="C84">
    <cfRule type="expression" dxfId="784" priority="180">
      <formula>IF(AND($B84="",$C84=""),TRUE,FALSE)</formula>
    </cfRule>
  </conditionalFormatting>
  <conditionalFormatting sqref="C85">
    <cfRule type="expression" dxfId="783" priority="968">
      <formula>IF(AND($B85="",$C85=""),TRUE,FALSE)</formula>
    </cfRule>
  </conditionalFormatting>
  <conditionalFormatting sqref="C85:C86">
    <cfRule type="expression" dxfId="782" priority="903">
      <formula>IF((COUNTIF(#REF!,#REF!))&gt;1,TRUE,FALSE)</formula>
    </cfRule>
  </conditionalFormatting>
  <conditionalFormatting sqref="C86">
    <cfRule type="expression" dxfId="781" priority="902">
      <formula>IF(AND($B86="",$C86=""),TRUE,FALSE)</formula>
    </cfRule>
  </conditionalFormatting>
  <conditionalFormatting sqref="C87">
    <cfRule type="expression" dxfId="780" priority="886">
      <formula>IF(AND($B87="",$C87=""),TRUE,FALSE)</formula>
    </cfRule>
  </conditionalFormatting>
  <conditionalFormatting sqref="C87:C88">
    <cfRule type="expression" dxfId="779" priority="882">
      <formula>IF((COUNTIF(#REF!,#REF!))&gt;1,TRUE,FALSE)</formula>
    </cfRule>
  </conditionalFormatting>
  <conditionalFormatting sqref="C88">
    <cfRule type="expression" dxfId="778" priority="900">
      <formula>IF(AND($B88="",$C88=""),TRUE,FALSE)</formula>
    </cfRule>
  </conditionalFormatting>
  <conditionalFormatting sqref="C89">
    <cfRule type="expression" dxfId="777" priority="1034">
      <formula>IF((COUNTIF(#REF!,#REF!))&gt;1,TRUE,FALSE)</formula>
    </cfRule>
  </conditionalFormatting>
  <conditionalFormatting sqref="C90:C91">
    <cfRule type="expression" dxfId="776" priority="11433">
      <formula>IF((COUNTIF(#REF!,#REF!))&gt;1,TRUE,FALSE)</formula>
    </cfRule>
  </conditionalFormatting>
  <conditionalFormatting sqref="C92">
    <cfRule type="expression" dxfId="775" priority="8116">
      <formula>IF((COUNTIF(#REF!,#REF!))&gt;1,TRUE,FALSE)</formula>
    </cfRule>
  </conditionalFormatting>
  <conditionalFormatting sqref="C93">
    <cfRule type="expression" dxfId="774" priority="3035">
      <formula>IF((COUNTIF(#REF!,#REF!))&gt;1,TRUE,FALSE)</formula>
    </cfRule>
  </conditionalFormatting>
  <conditionalFormatting sqref="C94">
    <cfRule type="expression" dxfId="773" priority="2615">
      <formula>IF((COUNTIF(#REF!,#REF!))&gt;1,TRUE,FALSE)</formula>
    </cfRule>
  </conditionalFormatting>
  <conditionalFormatting sqref="C95">
    <cfRule type="expression" dxfId="772" priority="166">
      <formula>IF((COUNTIF(#REF!,#REF!))&gt;1,TRUE,FALSE)</formula>
    </cfRule>
  </conditionalFormatting>
  <conditionalFormatting sqref="C96">
    <cfRule type="expression" dxfId="771" priority="7215">
      <formula>IF((COUNTIF(#REF!,#REF!))&gt;1,TRUE,FALSE)</formula>
    </cfRule>
  </conditionalFormatting>
  <conditionalFormatting sqref="C97">
    <cfRule type="expression" dxfId="770" priority="7175">
      <formula>IF((COUNTIF(#REF!,#REF!))&gt;1,TRUE,FALSE)</formula>
    </cfRule>
  </conditionalFormatting>
  <conditionalFormatting sqref="C98">
    <cfRule type="expression" dxfId="769" priority="7184">
      <formula>IF((COUNTIF(#REF!,#REF!))&gt;1,TRUE,FALSE)</formula>
    </cfRule>
  </conditionalFormatting>
  <conditionalFormatting sqref="C99:C102">
    <cfRule type="expression" dxfId="768" priority="593">
      <formula>IF((COUNTIF(#REF!,#REF!))&gt;1,TRUE,FALSE)</formula>
    </cfRule>
  </conditionalFormatting>
  <conditionalFormatting sqref="C103:C104">
    <cfRule type="expression" dxfId="767" priority="7015">
      <formula>IF((COUNTIF(#REF!,#REF!))&gt;1,TRUE,FALSE)</formula>
    </cfRule>
  </conditionalFormatting>
  <conditionalFormatting sqref="C105">
    <cfRule type="expression" dxfId="766" priority="6941">
      <formula>IF((COUNTIF(#REF!,#REF!))&gt;1,TRUE,FALSE)</formula>
    </cfRule>
  </conditionalFormatting>
  <conditionalFormatting sqref="C106">
    <cfRule type="expression" dxfId="765" priority="2282">
      <formula>IF((COUNTIF(#REF!,#REF!))&gt;1,TRUE,FALSE)</formula>
    </cfRule>
  </conditionalFormatting>
  <conditionalFormatting sqref="C107:C108">
    <cfRule type="expression" dxfId="764" priority="6721">
      <formula>IF((COUNTIF(#REF!,#REF!))&gt;1,TRUE,FALSE)</formula>
    </cfRule>
  </conditionalFormatting>
  <conditionalFormatting sqref="C109:C112">
    <cfRule type="expression" dxfId="763" priority="6704">
      <formula>IF((COUNTIF(#REF!,#REF!))&gt;1,TRUE,FALSE)</formula>
    </cfRule>
  </conditionalFormatting>
  <conditionalFormatting sqref="C113">
    <cfRule type="expression" dxfId="762" priority="2683">
      <formula>IF((COUNTIF(#REF!,#REF!))&gt;1,TRUE,FALSE)</formula>
    </cfRule>
  </conditionalFormatting>
  <conditionalFormatting sqref="C114:C115">
    <cfRule type="expression" dxfId="761" priority="13289">
      <formula>IF((COUNTIF(#REF!,#REF!))&gt;1,TRUE,FALSE)</formula>
    </cfRule>
  </conditionalFormatting>
  <conditionalFormatting sqref="C116">
    <cfRule type="expression" dxfId="760" priority="6640">
      <formula>IF((COUNTIF(#REF!,#REF!))&gt;1,TRUE,FALSE)</formula>
    </cfRule>
  </conditionalFormatting>
  <conditionalFormatting sqref="C117">
    <cfRule type="expression" dxfId="759" priority="2444">
      <formula>IF((COUNTIF(#REF!,#REF!))&gt;1,TRUE,FALSE)</formula>
    </cfRule>
  </conditionalFormatting>
  <conditionalFormatting sqref="C118">
    <cfRule type="expression" dxfId="758" priority="2074">
      <formula>IF((COUNTIF(#REF!,#REF!))&gt;1,TRUE,FALSE)</formula>
    </cfRule>
  </conditionalFormatting>
  <conditionalFormatting sqref="C119">
    <cfRule type="expression" dxfId="757" priority="2092">
      <formula>IF((COUNTIF(#REF!,#REF!))&gt;1,TRUE,FALSE)</formula>
    </cfRule>
  </conditionalFormatting>
  <conditionalFormatting sqref="C120">
    <cfRule type="expression" dxfId="756" priority="2060">
      <formula>IF((COUNTIF(#REF!,#REF!))&gt;1,TRUE,FALSE)</formula>
    </cfRule>
  </conditionalFormatting>
  <conditionalFormatting sqref="C121">
    <cfRule type="expression" dxfId="755" priority="2050">
      <formula>IF((COUNTIF(#REF!,#REF!))&gt;1,TRUE,FALSE)</formula>
    </cfRule>
  </conditionalFormatting>
  <conditionalFormatting sqref="C122:C123">
    <cfRule type="expression" dxfId="754" priority="1993">
      <formula>IF((COUNTIF(#REF!,#REF!))&gt;1,TRUE,FALSE)</formula>
    </cfRule>
  </conditionalFormatting>
  <conditionalFormatting sqref="C124">
    <cfRule type="expression" dxfId="753" priority="2017">
      <formula>IF((COUNTIF(#REF!,#REF!))&gt;1,TRUE,FALSE)</formula>
    </cfRule>
  </conditionalFormatting>
  <conditionalFormatting sqref="C125">
    <cfRule type="expression" dxfId="752" priority="6627">
      <formula>IF((COUNTIF(#REF!,#REF!))&gt;1,TRUE,FALSE)</formula>
    </cfRule>
  </conditionalFormatting>
  <conditionalFormatting sqref="C126:C127">
    <cfRule type="expression" dxfId="751" priority="1724">
      <formula>IF((COUNTIF(#REF!,#REF!))&gt;1,TRUE,FALSE)</formula>
    </cfRule>
  </conditionalFormatting>
  <conditionalFormatting sqref="C128">
    <cfRule type="expression" dxfId="750" priority="12386">
      <formula>IF((COUNTIF(#REF!,#REF!))&gt;1,TRUE,FALSE)</formula>
    </cfRule>
  </conditionalFormatting>
  <conditionalFormatting sqref="C129">
    <cfRule type="expression" dxfId="749" priority="875">
      <formula>IF((COUNTIF(#REF!,#REF!))&gt;1,TRUE,FALSE)</formula>
    </cfRule>
  </conditionalFormatting>
  <conditionalFormatting sqref="C130">
    <cfRule type="expression" dxfId="748" priority="827">
      <formula>IF((COUNTIF(#REF!,#REF!))&gt;1,TRUE,FALSE)</formula>
    </cfRule>
  </conditionalFormatting>
  <conditionalFormatting sqref="C131">
    <cfRule type="expression" dxfId="747" priority="843">
      <formula>IF((COUNTIF(#REF!,#REF!))&gt;1,TRUE,FALSE)</formula>
    </cfRule>
  </conditionalFormatting>
  <conditionalFormatting sqref="C132">
    <cfRule type="expression" dxfId="746" priority="859">
      <formula>IF((COUNTIF(#REF!,#REF!))&gt;1,TRUE,FALSE)</formula>
    </cfRule>
  </conditionalFormatting>
  <conditionalFormatting sqref="C133">
    <cfRule type="expression" dxfId="745" priority="6532">
      <formula>IF((COUNTIF(#REF!,#REF!))&gt;1,TRUE,FALSE)</formula>
    </cfRule>
  </conditionalFormatting>
  <conditionalFormatting sqref="C135">
    <cfRule type="expression" dxfId="744" priority="6425">
      <formula>IF((COUNTIF(#REF!,#REF!))&gt;1,TRUE,FALSE)</formula>
    </cfRule>
  </conditionalFormatting>
  <conditionalFormatting sqref="C136:C137">
    <cfRule type="expression" dxfId="743" priority="12198">
      <formula>IF((COUNTIF(#REF!,#REF!))&gt;1,TRUE,FALSE)</formula>
    </cfRule>
  </conditionalFormatting>
  <conditionalFormatting sqref="C139:C142">
    <cfRule type="expression" dxfId="742" priority="2737">
      <formula>IF((COUNTIF(#REF!,#REF!))&gt;1,TRUE,FALSE)</formula>
    </cfRule>
  </conditionalFormatting>
  <conditionalFormatting sqref="C141">
    <cfRule type="expression" dxfId="741" priority="2738">
      <formula>IF(AND($B141="",$C141="",LEN($A141)&lt;=2),TRUE,FALSE)</formula>
    </cfRule>
    <cfRule type="expression" dxfId="740" priority="2739">
      <formula>IF(AND($B141="",$C141=""),TRUE,FALSE)</formula>
    </cfRule>
  </conditionalFormatting>
  <conditionalFormatting sqref="C142">
    <cfRule type="expression" dxfId="739" priority="2741">
      <formula>IF(AND($B142="",$C142="",LEN($A142)&lt;=2),TRUE,FALSE)</formula>
    </cfRule>
    <cfRule type="expression" dxfId="738" priority="2742">
      <formula>IF(AND($B142="",$C142=""),TRUE,FALSE)</formula>
    </cfRule>
  </conditionalFormatting>
  <conditionalFormatting sqref="C143">
    <cfRule type="expression" dxfId="737" priority="3043">
      <formula>IF((COUNTIF(#REF!,#REF!))&gt;1,TRUE,FALSE)</formula>
    </cfRule>
  </conditionalFormatting>
  <conditionalFormatting sqref="C144:C145">
    <cfRule type="expression" dxfId="736" priority="3048">
      <formula>IF((COUNTIF(#REF!,#REF!))&gt;1,TRUE,FALSE)</formula>
    </cfRule>
  </conditionalFormatting>
  <conditionalFormatting sqref="C146:C147">
    <cfRule type="expression" dxfId="735" priority="13313">
      <formula>IF((COUNTIF(#REF!,#REF!))&gt;1,TRUE,FALSE)</formula>
    </cfRule>
  </conditionalFormatting>
  <conditionalFormatting sqref="C148">
    <cfRule type="expression" dxfId="734" priority="6372">
      <formula>IF((COUNTIF(#REF!,#REF!))&gt;1,TRUE,FALSE)</formula>
    </cfRule>
  </conditionalFormatting>
  <conditionalFormatting sqref="C149:C151">
    <cfRule type="expression" dxfId="733" priority="198">
      <formula>IF((COUNTIF(#REF!,#REF!))&gt;1,TRUE,FALSE)</formula>
    </cfRule>
  </conditionalFormatting>
  <conditionalFormatting sqref="C151">
    <cfRule type="expression" dxfId="732" priority="197">
      <formula>IF(AND($B151="",$C151=""),TRUE,FALSE)</formula>
    </cfRule>
  </conditionalFormatting>
  <conditionalFormatting sqref="C152">
    <cfRule type="expression" dxfId="731" priority="70">
      <formula>IF(AND($B152="",$C152=""),TRUE,FALSE)</formula>
    </cfRule>
  </conditionalFormatting>
  <conditionalFormatting sqref="C152:C153">
    <cfRule type="expression" dxfId="730" priority="71">
      <formula>IF((COUNTIF(#REF!,#REF!))&gt;1,TRUE,FALSE)</formula>
    </cfRule>
  </conditionalFormatting>
  <conditionalFormatting sqref="C153">
    <cfRule type="expression" dxfId="729" priority="157">
      <formula>IF(AND($B153="",$C153=""),TRUE,FALSE)</formula>
    </cfRule>
  </conditionalFormatting>
  <conditionalFormatting sqref="C154">
    <cfRule type="expression" dxfId="728" priority="6359">
      <formula>IF((COUNTIF(#REF!,#REF!))&gt;1,TRUE,FALSE)</formula>
    </cfRule>
  </conditionalFormatting>
  <conditionalFormatting sqref="C155:C158">
    <cfRule type="expression" dxfId="727" priority="148">
      <formula>IF((COUNTIF(#REF!,#REF!))&gt;1,TRUE,FALSE)</formula>
    </cfRule>
  </conditionalFormatting>
  <conditionalFormatting sqref="C157 H157:I157">
    <cfRule type="expression" dxfId="726" priority="147">
      <formula>IF(AND($B157="",$C157=""),TRUE,FALSE)</formula>
    </cfRule>
  </conditionalFormatting>
  <conditionalFormatting sqref="C159">
    <cfRule type="expression" dxfId="725" priority="136">
      <formula>IF((COUNTIF(#REF!,#REF!))&gt;1,TRUE,FALSE)</formula>
    </cfRule>
  </conditionalFormatting>
  <conditionalFormatting sqref="C160:C163">
    <cfRule type="expression" dxfId="724" priority="6119">
      <formula>IF((COUNTIF(#REF!,#REF!))&gt;1,TRUE,FALSE)</formula>
    </cfRule>
  </conditionalFormatting>
  <conditionalFormatting sqref="C164">
    <cfRule type="expression" dxfId="723" priority="2802">
      <formula>IF((COUNTIF(#REF!,#REF!))&gt;1,TRUE,FALSE)</formula>
    </cfRule>
  </conditionalFormatting>
  <conditionalFormatting sqref="C165:C166">
    <cfRule type="expression" dxfId="722" priority="6106">
      <formula>IF((COUNTIF(#REF!,#REF!))&gt;1,TRUE,FALSE)</formula>
    </cfRule>
  </conditionalFormatting>
  <conditionalFormatting sqref="C167">
    <cfRule type="expression" dxfId="721" priority="2786">
      <formula>IF((COUNTIF(#REF!,#REF!))&gt;1,TRUE,FALSE)</formula>
    </cfRule>
  </conditionalFormatting>
  <conditionalFormatting sqref="C168">
    <cfRule type="expression" dxfId="720" priority="6134">
      <formula>IF((COUNTIF(#REF!,#REF!))&gt;1,TRUE,FALSE)</formula>
    </cfRule>
  </conditionalFormatting>
  <conditionalFormatting sqref="C169">
    <cfRule type="expression" dxfId="719" priority="2561">
      <formula>IF((COUNTIF(#REF!,#REF!))&gt;1,TRUE,FALSE)</formula>
    </cfRule>
  </conditionalFormatting>
  <conditionalFormatting sqref="C170:C174">
    <cfRule type="expression" dxfId="718" priority="1456">
      <formula>IF((COUNTIF(#REF!,#REF!))&gt;1,TRUE,FALSE)</formula>
    </cfRule>
  </conditionalFormatting>
  <conditionalFormatting sqref="C175:C176">
    <cfRule type="expression" dxfId="717" priority="1429">
      <formula>IF((COUNTIF(#REF!,#REF!))&gt;1,TRUE,FALSE)</formula>
    </cfRule>
  </conditionalFormatting>
  <conditionalFormatting sqref="C177:C178">
    <cfRule type="expression" dxfId="716" priority="2180">
      <formula>IF((COUNTIF(#REF!,#REF!))&gt;1,TRUE,FALSE)</formula>
    </cfRule>
  </conditionalFormatting>
  <conditionalFormatting sqref="C179:C180">
    <cfRule type="expression" dxfId="715" priority="5367">
      <formula>IF((COUNTIF(#REF!,#REF!))&gt;1,TRUE,FALSE)</formula>
    </cfRule>
  </conditionalFormatting>
  <conditionalFormatting sqref="C181">
    <cfRule type="expression" dxfId="714" priority="5340">
      <formula>IF(AND($B181="",$C181="",LEN($A181)&lt;=2),TRUE,FALSE)</formula>
    </cfRule>
    <cfRule type="expression" dxfId="713" priority="5341">
      <formula>IF(AND($B181="",$C181=""),TRUE,FALSE)</formula>
    </cfRule>
    <cfRule type="expression" dxfId="712" priority="5342">
      <formula>IF((COUNTIF(#REF!,#REF!))&gt;1,TRUE,FALSE)</formula>
    </cfRule>
    <cfRule type="expression" dxfId="711" priority="2659">
      <formula>IF(AND($B181="",$C181=""),TRUE,FALSE)</formula>
    </cfRule>
  </conditionalFormatting>
  <conditionalFormatting sqref="C181:C185">
    <cfRule type="expression" dxfId="710" priority="336">
      <formula>IF(AND($B181="",$C181="",LEN($A181)&lt;=2),TRUE,FALSE)</formula>
    </cfRule>
    <cfRule type="expression" dxfId="709" priority="338">
      <formula>IF((COUNTIF(#REF!,#REF!))&gt;1,TRUE,FALSE)</formula>
    </cfRule>
  </conditionalFormatting>
  <conditionalFormatting sqref="C182 H182:I182">
    <cfRule type="expression" dxfId="708" priority="337">
      <formula>IF(AND($B182="",$C182=""),TRUE,FALSE)</formula>
    </cfRule>
  </conditionalFormatting>
  <conditionalFormatting sqref="C182">
    <cfRule type="expression" dxfId="707" priority="325">
      <formula>IF((COUNTIF(#REF!,#REF!))&gt;1,TRUE,FALSE)</formula>
    </cfRule>
    <cfRule type="expression" dxfId="706" priority="324">
      <formula>IF(AND($B182="",$C182=""),TRUE,FALSE)</formula>
    </cfRule>
    <cfRule type="expression" dxfId="705" priority="323">
      <formula>IF(AND($B182="",$C182="",LEN($A182)&lt;=2),TRUE,FALSE)</formula>
    </cfRule>
  </conditionalFormatting>
  <conditionalFormatting sqref="C183 H183:I183">
    <cfRule type="expression" dxfId="704" priority="350">
      <formula>IF(AND($B183="",$C183=""),TRUE,FALSE)</formula>
    </cfRule>
  </conditionalFormatting>
  <conditionalFormatting sqref="C184 H184:I184">
    <cfRule type="expression" dxfId="703" priority="363">
      <formula>IF(AND($B184="",$C184=""),TRUE,FALSE)</formula>
    </cfRule>
  </conditionalFormatting>
  <conditionalFormatting sqref="C185 H185:I185">
    <cfRule type="expression" dxfId="702" priority="381">
      <formula>IF(AND($B185="",$C185=""),TRUE,FALSE)</formula>
    </cfRule>
  </conditionalFormatting>
  <conditionalFormatting sqref="C185">
    <cfRule type="expression" dxfId="701" priority="368">
      <formula>IF(AND($B185="",$C185=""),TRUE,FALSE)</formula>
    </cfRule>
  </conditionalFormatting>
  <conditionalFormatting sqref="C185:C188">
    <cfRule type="expression" dxfId="700" priority="382">
      <formula>IF((COUNTIF(#REF!,#REF!))&gt;1,TRUE,FALSE)</formula>
    </cfRule>
    <cfRule type="expression" dxfId="699" priority="380">
      <formula>IF(AND($B185="",$C185="",LEN($A185)&lt;=2),TRUE,FALSE)</formula>
    </cfRule>
  </conditionalFormatting>
  <conditionalFormatting sqref="C186 H186:I186">
    <cfRule type="expression" dxfId="698" priority="394">
      <formula>IF(AND($B186="",$C186=""),TRUE,FALSE)</formula>
    </cfRule>
  </conditionalFormatting>
  <conditionalFormatting sqref="C187 H187:I187">
    <cfRule type="expression" dxfId="697" priority="407">
      <formula>IF(AND($B187="",$C187=""),TRUE,FALSE)</formula>
    </cfRule>
  </conditionalFormatting>
  <conditionalFormatting sqref="C188 H188:I188">
    <cfRule type="expression" dxfId="696" priority="426">
      <formula>IF(AND($B188="",$C188=""),TRUE,FALSE)</formula>
    </cfRule>
  </conditionalFormatting>
  <conditionalFormatting sqref="C188">
    <cfRule type="expression" dxfId="695" priority="413">
      <formula>IF(AND($B188="",$C188=""),TRUE,FALSE)</formula>
    </cfRule>
  </conditionalFormatting>
  <conditionalFormatting sqref="C188:C190">
    <cfRule type="expression" dxfId="694" priority="425">
      <formula>IF(AND($B188="",$C188="",LEN($A188)&lt;=2),TRUE,FALSE)</formula>
    </cfRule>
    <cfRule type="expression" dxfId="693" priority="427">
      <formula>IF((COUNTIF(#REF!,#REF!))&gt;1,TRUE,FALSE)</formula>
    </cfRule>
  </conditionalFormatting>
  <conditionalFormatting sqref="C189 H189:I189">
    <cfRule type="expression" dxfId="692" priority="439">
      <formula>IF(AND($B189="",$C189=""),TRUE,FALSE)</formula>
    </cfRule>
  </conditionalFormatting>
  <conditionalFormatting sqref="C190 H190:I190">
    <cfRule type="expression" dxfId="691" priority="470">
      <formula>IF(AND($B190="",$C190=""),TRUE,FALSE)</formula>
    </cfRule>
  </conditionalFormatting>
  <conditionalFormatting sqref="C190">
    <cfRule type="expression" dxfId="690" priority="457">
      <formula>IF(AND($B190="",$C190=""),TRUE,FALSE)</formula>
    </cfRule>
  </conditionalFormatting>
  <conditionalFormatting sqref="C190:C193">
    <cfRule type="expression" dxfId="689" priority="469">
      <formula>IF(AND($B190="",$C190="",LEN($A190)&lt;=2),TRUE,FALSE)</formula>
    </cfRule>
    <cfRule type="expression" dxfId="688" priority="471">
      <formula>IF((COUNTIF(#REF!,#REF!))&gt;1,TRUE,FALSE)</formula>
    </cfRule>
  </conditionalFormatting>
  <conditionalFormatting sqref="C191 H191:I191">
    <cfRule type="expression" dxfId="687" priority="483">
      <formula>IF(AND($B191="",$C191=""),TRUE,FALSE)</formula>
    </cfRule>
  </conditionalFormatting>
  <conditionalFormatting sqref="C192 H192:I192">
    <cfRule type="expression" dxfId="686" priority="496">
      <formula>IF(AND($B192="",$C192=""),TRUE,FALSE)</formula>
    </cfRule>
  </conditionalFormatting>
  <conditionalFormatting sqref="C193 H193:I193">
    <cfRule type="expression" dxfId="685" priority="515">
      <formula>IF(AND($B193="",$C193=""),TRUE,FALSE)</formula>
    </cfRule>
  </conditionalFormatting>
  <conditionalFormatting sqref="C193">
    <cfRule type="expression" dxfId="684" priority="516">
      <formula>IF((COUNTIF(#REF!,#REF!))&gt;1,TRUE,FALSE)</formula>
    </cfRule>
    <cfRule type="expression" dxfId="683" priority="502">
      <formula>IF(AND($B193="",$C193=""),TRUE,FALSE)</formula>
    </cfRule>
  </conditionalFormatting>
  <conditionalFormatting sqref="C194 H194:I194">
    <cfRule type="expression" dxfId="682" priority="528">
      <formula>IF(AND($B194="",$C194=""),TRUE,FALSE)</formula>
    </cfRule>
  </conditionalFormatting>
  <conditionalFormatting sqref="C194">
    <cfRule type="expression" dxfId="681" priority="529">
      <formula>IF((COUNTIF(#REF!,#REF!))&gt;1,TRUE,FALSE)</formula>
    </cfRule>
  </conditionalFormatting>
  <conditionalFormatting sqref="C195 H195:I195">
    <cfRule type="expression" dxfId="680" priority="274">
      <formula>IF(AND($B195="",$C195=""),TRUE,FALSE)</formula>
    </cfRule>
  </conditionalFormatting>
  <conditionalFormatting sqref="C195:C196">
    <cfRule type="expression" dxfId="679" priority="273">
      <formula>IF(AND($B195="",$C195="",LEN($A195)&lt;=2),TRUE,FALSE)</formula>
    </cfRule>
    <cfRule type="expression" dxfId="678" priority="275">
      <formula>IF((COUNTIF(#REF!,#REF!))&gt;1,TRUE,FALSE)</formula>
    </cfRule>
  </conditionalFormatting>
  <conditionalFormatting sqref="C196 H196:I196">
    <cfRule type="expression" dxfId="677" priority="292">
      <formula>IF(AND($B196="",$C196=""),TRUE,FALSE)</formula>
    </cfRule>
  </conditionalFormatting>
  <conditionalFormatting sqref="C196">
    <cfRule type="expression" dxfId="676" priority="279">
      <formula>IF(AND($B196="",$C196=""),TRUE,FALSE)</formula>
    </cfRule>
  </conditionalFormatting>
  <conditionalFormatting sqref="C196:C200">
    <cfRule type="expression" dxfId="675" priority="293">
      <formula>IF((COUNTIF(#REF!,#REF!))&gt;1,TRUE,FALSE)</formula>
    </cfRule>
    <cfRule type="expression" dxfId="674" priority="291">
      <formula>IF(AND($B196="",$C196="",LEN($A196)&lt;=2),TRUE,FALSE)</formula>
    </cfRule>
  </conditionalFormatting>
  <conditionalFormatting sqref="C197 H197:I197">
    <cfRule type="expression" dxfId="673" priority="305">
      <formula>IF(AND($B197="",$C197=""),TRUE,FALSE)</formula>
    </cfRule>
  </conditionalFormatting>
  <conditionalFormatting sqref="C198 H198:I198">
    <cfRule type="expression" dxfId="672" priority="318">
      <formula>IF(AND($B198="",$C198=""),TRUE,FALSE)</formula>
    </cfRule>
  </conditionalFormatting>
  <conditionalFormatting sqref="C199 H199:I199">
    <cfRule type="expression" dxfId="671" priority="541">
      <formula>IF(AND($B199="",$C199=""),TRUE,FALSE)</formula>
    </cfRule>
  </conditionalFormatting>
  <conditionalFormatting sqref="C200">
    <cfRule type="expression" dxfId="670" priority="2656">
      <formula>IF(AND($B200="",$C200=""),TRUE,FALSE)</formula>
    </cfRule>
    <cfRule type="expression" dxfId="669" priority="5399">
      <formula>IF((COUNTIF(#REF!,#REF!))&gt;1,TRUE,FALSE)</formula>
    </cfRule>
  </conditionalFormatting>
  <conditionalFormatting sqref="C201">
    <cfRule type="expression" dxfId="668" priority="5463">
      <formula>IF((COUNTIF(#REF!,#REF!))&gt;1,TRUE,FALSE)</formula>
    </cfRule>
  </conditionalFormatting>
  <conditionalFormatting sqref="C202">
    <cfRule type="expression" dxfId="667" priority="13233">
      <formula>IF((COUNTIF(#REF!,#REF!))&gt;1,TRUE,FALSE)</formula>
    </cfRule>
  </conditionalFormatting>
  <conditionalFormatting sqref="C203:C204">
    <cfRule type="expression" dxfId="666" priority="10621">
      <formula>IF((COUNTIF(#REF!,#REF!))&gt;1,TRUE,FALSE)</formula>
    </cfRule>
  </conditionalFormatting>
  <conditionalFormatting sqref="C205">
    <cfRule type="expression" dxfId="665" priority="1140">
      <formula>IF(AND($B205="",$C205=""),TRUE,FALSE)</formula>
    </cfRule>
  </conditionalFormatting>
  <conditionalFormatting sqref="C205:C209">
    <cfRule type="expression" dxfId="664" priority="881">
      <formula>IF((COUNTIF(#REF!,#REF!))&gt;1,TRUE,FALSE)</formula>
    </cfRule>
  </conditionalFormatting>
  <conditionalFormatting sqref="C206">
    <cfRule type="expression" dxfId="663" priority="1132">
      <formula>IF(AND($B206="",$C206=""),TRUE,FALSE)</formula>
    </cfRule>
  </conditionalFormatting>
  <conditionalFormatting sqref="C207">
    <cfRule type="expression" dxfId="662" priority="1127">
      <formula>IF(AND($B207="",$C207=""),TRUE,FALSE)</formula>
    </cfRule>
  </conditionalFormatting>
  <conditionalFormatting sqref="C208">
    <cfRule type="expression" dxfId="661" priority="1119">
      <formula>IF(AND($B208="",$C208=""),TRUE,FALSE)</formula>
    </cfRule>
  </conditionalFormatting>
  <conditionalFormatting sqref="C209">
    <cfRule type="expression" dxfId="660" priority="880">
      <formula>IF(AND($B209="",$C209=""),TRUE,FALSE)</formula>
    </cfRule>
  </conditionalFormatting>
  <conditionalFormatting sqref="C210">
    <cfRule type="expression" dxfId="659" priority="5273">
      <formula>IF((COUNTIF(#REF!,#REF!))&gt;1,TRUE,FALSE)</formula>
    </cfRule>
  </conditionalFormatting>
  <conditionalFormatting sqref="C211">
    <cfRule type="expression" dxfId="658" priority="5136">
      <formula>IF((COUNTIF(#REF!,#REF!))&gt;1,TRUE,FALSE)</formula>
    </cfRule>
  </conditionalFormatting>
  <conditionalFormatting sqref="C212:C214">
    <cfRule type="expression" dxfId="657" priority="5116">
      <formula>IF((COUNTIF(#REF!,#REF!))&gt;1,TRUE,FALSE)</formula>
    </cfRule>
  </conditionalFormatting>
  <conditionalFormatting sqref="C215">
    <cfRule type="expression" dxfId="656" priority="4823">
      <formula>IF((COUNTIF(#REF!,#REF!))&gt;1,TRUE,FALSE)</formula>
    </cfRule>
  </conditionalFormatting>
  <conditionalFormatting sqref="C216">
    <cfRule type="expression" dxfId="655" priority="252">
      <formula>IF(AND($B216="",$C216=""),TRUE,FALSE)</formula>
    </cfRule>
  </conditionalFormatting>
  <conditionalFormatting sqref="C216:C225">
    <cfRule type="expression" dxfId="654" priority="253">
      <formula>IF((COUNTIF(#REF!,#REF!))&gt;1,TRUE,FALSE)</formula>
    </cfRule>
  </conditionalFormatting>
  <conditionalFormatting sqref="C223">
    <cfRule type="expression" dxfId="653" priority="249">
      <formula>IF(AND($B223="",$C223=""),TRUE,FALSE)</formula>
    </cfRule>
  </conditionalFormatting>
  <conditionalFormatting sqref="C223:C224">
    <cfRule type="expression" dxfId="652" priority="247">
      <formula>IF((COUNTIF(#REF!,#REF!))&gt;1,TRUE,FALSE)</formula>
    </cfRule>
    <cfRule type="expression" dxfId="651" priority="245">
      <formula>IF(AND($B223="",$C223="",LEN($A223)&lt;=2),TRUE,FALSE)</formula>
    </cfRule>
  </conditionalFormatting>
  <conditionalFormatting sqref="C224">
    <cfRule type="expression" dxfId="650" priority="246">
      <formula>IF(AND($B224="",$C224=""),TRUE,FALSE)</formula>
    </cfRule>
  </conditionalFormatting>
  <conditionalFormatting sqref="C226:C231">
    <cfRule type="expression" dxfId="649" priority="4916">
      <formula>IF((COUNTIF(#REF!,#REF!))&gt;1,TRUE,FALSE)</formula>
    </cfRule>
  </conditionalFormatting>
  <conditionalFormatting sqref="C227">
    <cfRule type="expression" dxfId="648" priority="4915">
      <formula>IF(AND($B227="",$C227=""),TRUE,FALSE)</formula>
    </cfRule>
    <cfRule type="expression" dxfId="647" priority="4914">
      <formula>IF(AND($B227="",$C227="",LEN($A227)&lt;=2),TRUE,FALSE)</formula>
    </cfRule>
  </conditionalFormatting>
  <conditionalFormatting sqref="C232">
    <cfRule type="expression" dxfId="646" priority="234">
      <formula>IF(AND($B232="",$C232=""),TRUE,FALSE)</formula>
    </cfRule>
    <cfRule type="expression" dxfId="645" priority="235">
      <formula>IF((COUNTIF(#REF!,#REF!))&gt;1,TRUE,FALSE)</formula>
    </cfRule>
  </conditionalFormatting>
  <conditionalFormatting sqref="C233">
    <cfRule type="expression" dxfId="644" priority="231">
      <formula>IF((COUNTIF(#REF!,#REF!))&gt;1,TRUE,FALSE)</formula>
    </cfRule>
  </conditionalFormatting>
  <conditionalFormatting sqref="C234">
    <cfRule type="expression" dxfId="643" priority="4976">
      <formula>IF((COUNTIF(#REF!,#REF!))&gt;1,TRUE,FALSE)</formula>
    </cfRule>
  </conditionalFormatting>
  <conditionalFormatting sqref="C235:C236">
    <cfRule type="expression" dxfId="642" priority="12465">
      <formula>IF((COUNTIF(#REF!,#REF!))&gt;1,TRUE,FALSE)</formula>
    </cfRule>
  </conditionalFormatting>
  <conditionalFormatting sqref="C237:C241">
    <cfRule type="expression" dxfId="641" priority="2708">
      <formula>IF((COUNTIF(#REF!,#REF!))&gt;1,TRUE,FALSE)</formula>
    </cfRule>
  </conditionalFormatting>
  <conditionalFormatting sqref="C242:C244">
    <cfRule type="expression" dxfId="640" priority="2720">
      <formula>IF((COUNTIF(#REF!,#REF!))&gt;1,TRUE,FALSE)</formula>
    </cfRule>
  </conditionalFormatting>
  <conditionalFormatting sqref="C245">
    <cfRule type="expression" dxfId="639" priority="1730">
      <formula>IF((COUNTIF(#REF!,#REF!))&gt;1,TRUE,FALSE)</formula>
    </cfRule>
  </conditionalFormatting>
  <conditionalFormatting sqref="C246:C247">
    <cfRule type="expression" dxfId="638" priority="4438">
      <formula>IF((COUNTIF(#REF!,#REF!))&gt;1,TRUE,FALSE)</formula>
    </cfRule>
  </conditionalFormatting>
  <conditionalFormatting sqref="C248:C249 C251">
    <cfRule type="expression" dxfId="637" priority="2952">
      <formula>IF((COUNTIF(#REF!,#REF!))&gt;1,TRUE,FALSE)</formula>
    </cfRule>
  </conditionalFormatting>
  <conditionalFormatting sqref="C250">
    <cfRule type="expression" dxfId="636" priority="2921">
      <formula>IF((COUNTIF(#REF!,#REF!))&gt;1,TRUE,FALSE)</formula>
    </cfRule>
  </conditionalFormatting>
  <conditionalFormatting sqref="C252:C253">
    <cfRule type="expression" dxfId="635" priority="2942">
      <formula>IF((COUNTIF(#REF!,#REF!))&gt;1,TRUE,FALSE)</formula>
    </cfRule>
  </conditionalFormatting>
  <conditionalFormatting sqref="C254:C261">
    <cfRule type="expression" dxfId="634" priority="2698">
      <formula>IF((COUNTIF(#REF!,#REF!))&gt;1,TRUE,FALSE)</formula>
    </cfRule>
  </conditionalFormatting>
  <conditionalFormatting sqref="C262:C263">
    <cfRule type="expression" dxfId="633" priority="13097">
      <formula>IF((COUNTIF(#REF!,#REF!))&gt;1,TRUE,FALSE)</formula>
    </cfRule>
  </conditionalFormatting>
  <conditionalFormatting sqref="C264">
    <cfRule type="expression" dxfId="632" priority="11091">
      <formula>IF((COUNTIF(#REF!,#REF!))&gt;1,TRUE,FALSE)</formula>
    </cfRule>
  </conditionalFormatting>
  <conditionalFormatting sqref="C265">
    <cfRule type="expression" dxfId="631" priority="4365">
      <formula>IF((COUNTIF(#REF!,#REF!))&gt;1,TRUE,FALSE)</formula>
    </cfRule>
  </conditionalFormatting>
  <conditionalFormatting sqref="C266:C269">
    <cfRule type="expression" dxfId="630" priority="4289">
      <formula>IF((COUNTIF(#REF!,#REF!))&gt;1,TRUE,FALSE)</formula>
    </cfRule>
  </conditionalFormatting>
  <conditionalFormatting sqref="C270">
    <cfRule type="expression" dxfId="629" priority="4276">
      <formula>IF((COUNTIF(#REF!,#REF!))&gt;1,TRUE,FALSE)</formula>
    </cfRule>
  </conditionalFormatting>
  <conditionalFormatting sqref="C271:C272">
    <cfRule type="expression" dxfId="628" priority="4243">
      <formula>IF((COUNTIF(#REF!,#REF!))&gt;1,TRUE,FALSE)</formula>
    </cfRule>
  </conditionalFormatting>
  <conditionalFormatting sqref="C273">
    <cfRule type="expression" dxfId="627" priority="4228">
      <formula>IF((COUNTIF(#REF!,#REF!))&gt;1,TRUE,FALSE)</formula>
    </cfRule>
  </conditionalFormatting>
  <conditionalFormatting sqref="C274">
    <cfRule type="expression" dxfId="626" priority="585">
      <formula>IF((COUNTIF(#REF!,#REF!))&gt;1,TRUE,FALSE)</formula>
    </cfRule>
  </conditionalFormatting>
  <conditionalFormatting sqref="C275:C276">
    <cfRule type="expression" dxfId="625" priority="4197">
      <formula>IF((COUNTIF(#REF!,#REF!))&gt;1,TRUE,FALSE)</formula>
    </cfRule>
  </conditionalFormatting>
  <conditionalFormatting sqref="C277:C281">
    <cfRule type="expression" dxfId="624" priority="556">
      <formula>IF((COUNTIF(#REF!,#REF!))&gt;1,TRUE,FALSE)</formula>
    </cfRule>
  </conditionalFormatting>
  <conditionalFormatting sqref="C282:C283">
    <cfRule type="expression" dxfId="623" priority="13024">
      <formula>IF((COUNTIF(#REF!,#REF!))&gt;1,TRUE,FALSE)</formula>
    </cfRule>
  </conditionalFormatting>
  <conditionalFormatting sqref="C284">
    <cfRule type="expression" dxfId="622" priority="4085">
      <formula>IF((COUNTIF(#REF!,#REF!))&gt;1,TRUE,FALSE)</formula>
    </cfRule>
  </conditionalFormatting>
  <conditionalFormatting sqref="C285:C286">
    <cfRule type="expression" dxfId="621" priority="4099">
      <formula>IF((COUNTIF(#REF!,#REF!))&gt;1,TRUE,FALSE)</formula>
    </cfRule>
  </conditionalFormatting>
  <conditionalFormatting sqref="C287">
    <cfRule type="expression" dxfId="620" priority="13021">
      <formula>IF((COUNTIF(#REF!,#REF!))&gt;1,TRUE,FALSE)</formula>
    </cfRule>
  </conditionalFormatting>
  <conditionalFormatting sqref="C288 H288:I288">
    <cfRule type="expression" dxfId="619" priority="224">
      <formula>IF(AND($B288="",$C288=""),TRUE,FALSE)</formula>
    </cfRule>
  </conditionalFormatting>
  <conditionalFormatting sqref="C288">
    <cfRule type="expression" dxfId="618" priority="225">
      <formula>IF((COUNTIF(#REF!,#REF!))&gt;1,TRUE,FALSE)</formula>
    </cfRule>
  </conditionalFormatting>
  <conditionalFormatting sqref="C289">
    <cfRule type="expression" dxfId="617" priority="204">
      <formula>IF(AND($B289="",$C289="",LEN($A289)&lt;=2),TRUE,FALSE)</formula>
    </cfRule>
    <cfRule type="expression" dxfId="616" priority="205">
      <formula>IF(AND($B289="",$C289=""),TRUE,FALSE)</formula>
    </cfRule>
    <cfRule type="expression" dxfId="615" priority="206">
      <formula>IF((COUNTIF(#REF!,#REF!))&gt;1,TRUE,FALSE)</formula>
    </cfRule>
  </conditionalFormatting>
  <conditionalFormatting sqref="C290">
    <cfRule type="expression" dxfId="614" priority="4069">
      <formula>IF((COUNTIF(#REF!,#REF!))&gt;1,TRUE,FALSE)</formula>
    </cfRule>
  </conditionalFormatting>
  <conditionalFormatting sqref="C291">
    <cfRule type="expression" dxfId="613" priority="3893">
      <formula>IF((COUNTIF(#REF!,#REF!))&gt;1,TRUE,FALSE)</formula>
    </cfRule>
  </conditionalFormatting>
  <conditionalFormatting sqref="C292:C293">
    <cfRule type="expression" dxfId="612" priority="3906">
      <formula>IF((COUNTIF(#REF!,#REF!))&gt;1,TRUE,FALSE)</formula>
    </cfRule>
  </conditionalFormatting>
  <conditionalFormatting sqref="C294">
    <cfRule type="expression" dxfId="611" priority="3929">
      <formula>IF((COUNTIF(#REF!,#REF!))&gt;1,TRUE,FALSE)</formula>
    </cfRule>
  </conditionalFormatting>
  <conditionalFormatting sqref="C295">
    <cfRule type="expression" dxfId="610" priority="3944">
      <formula>IF((COUNTIF(#REF!,#REF!))&gt;1,TRUE,FALSE)</formula>
    </cfRule>
  </conditionalFormatting>
  <conditionalFormatting sqref="C296:C297">
    <cfRule type="expression" dxfId="609" priority="3957">
      <formula>IF((COUNTIF(#REF!,#REF!))&gt;1,TRUE,FALSE)</formula>
    </cfRule>
  </conditionalFormatting>
  <conditionalFormatting sqref="C298">
    <cfRule type="expression" dxfId="608" priority="3978">
      <formula>IF((COUNTIF(#REF!,#REF!))&gt;1,TRUE,FALSE)</formula>
    </cfRule>
  </conditionalFormatting>
  <conditionalFormatting sqref="C299">
    <cfRule type="expression" dxfId="607" priority="3800">
      <formula>IF((COUNTIF(#REF!,#REF!))&gt;1,TRUE,FALSE)</formula>
    </cfRule>
  </conditionalFormatting>
  <conditionalFormatting sqref="C300">
    <cfRule type="expression" dxfId="606" priority="3659">
      <formula>IF((COUNTIF(#REF!,#REF!))&gt;1,TRUE,FALSE)</formula>
    </cfRule>
  </conditionalFormatting>
  <conditionalFormatting sqref="C301:C302">
    <cfRule type="expression" dxfId="605" priority="3672">
      <formula>IF((COUNTIF(#REF!,#REF!))&gt;1,TRUE,FALSE)</formula>
    </cfRule>
  </conditionalFormatting>
  <conditionalFormatting sqref="C303:C304">
    <cfRule type="expression" dxfId="604" priority="3690">
      <formula>IF((COUNTIF(#REF!,#REF!))&gt;1,TRUE,FALSE)</formula>
    </cfRule>
  </conditionalFormatting>
  <conditionalFormatting sqref="C305">
    <cfRule type="expression" dxfId="603" priority="3710">
      <formula>IF((COUNTIF(#REF!,#REF!))&gt;1,TRUE,FALSE)</formula>
    </cfRule>
  </conditionalFormatting>
  <conditionalFormatting sqref="C306">
    <cfRule type="expression" dxfId="602" priority="3728">
      <formula>IF((COUNTIF(#REF!,#REF!))&gt;1,TRUE,FALSE)</formula>
    </cfRule>
  </conditionalFormatting>
  <conditionalFormatting sqref="C307 H307:I307">
    <cfRule type="expression" dxfId="601" priority="34">
      <formula>IF(AND($B307="",$C307=""),TRUE,FALSE)</formula>
    </cfRule>
  </conditionalFormatting>
  <conditionalFormatting sqref="C307">
    <cfRule type="expression" dxfId="600" priority="35">
      <formula>IF((COUNTIF(#REF!,#REF!))&gt;1,TRUE,FALSE)</formula>
    </cfRule>
  </conditionalFormatting>
  <conditionalFormatting sqref="C308">
    <cfRule type="expression" dxfId="599" priority="3723">
      <formula>IF((COUNTIF(#REF!,#REF!))&gt;1,TRUE,FALSE)</formula>
    </cfRule>
  </conditionalFormatting>
  <conditionalFormatting sqref="C309:C310">
    <cfRule type="expression" dxfId="598" priority="3513">
      <formula>IF((COUNTIF(#REF!,#REF!))&gt;1,TRUE,FALSE)</formula>
    </cfRule>
  </conditionalFormatting>
  <conditionalFormatting sqref="C311:C312">
    <cfRule type="expression" dxfId="597" priority="3526">
      <formula>IF((COUNTIF(#REF!,#REF!))&gt;1,TRUE,FALSE)</formula>
    </cfRule>
  </conditionalFormatting>
  <conditionalFormatting sqref="C313:C314">
    <cfRule type="expression" dxfId="596" priority="3544">
      <formula>IF((COUNTIF(#REF!,#REF!))&gt;1,TRUE,FALSE)</formula>
    </cfRule>
  </conditionalFormatting>
  <conditionalFormatting sqref="C315:C317">
    <cfRule type="expression" dxfId="595" priority="3563">
      <formula>IF(AND($B315="",$C315=""),TRUE,FALSE)</formula>
    </cfRule>
    <cfRule type="expression" dxfId="594" priority="3564">
      <formula>IF((COUNTIF(#REF!,#REF!))&gt;1,TRUE,FALSE)</formula>
    </cfRule>
  </conditionalFormatting>
  <conditionalFormatting sqref="C318">
    <cfRule type="expression" dxfId="593" priority="1835">
      <formula>IF((COUNTIF(#REF!,#REF!))&gt;1,TRUE,FALSE)</formula>
    </cfRule>
  </conditionalFormatting>
  <conditionalFormatting sqref="C319">
    <cfRule type="expression" dxfId="592" priority="3493">
      <formula>IF((COUNTIF(#REF!,#REF!))&gt;1,TRUE,FALSE)</formula>
    </cfRule>
  </conditionalFormatting>
  <conditionalFormatting sqref="C320">
    <cfRule type="expression" dxfId="591" priority="3370">
      <formula>IF((COUNTIF(#REF!,#REF!))&gt;1,TRUE,FALSE)</formula>
    </cfRule>
  </conditionalFormatting>
  <conditionalFormatting sqref="C321:C322">
    <cfRule type="expression" dxfId="590" priority="3383">
      <formula>IF((COUNTIF(#REF!,#REF!))&gt;1,TRUE,FALSE)</formula>
    </cfRule>
  </conditionalFormatting>
  <conditionalFormatting sqref="C323:C324">
    <cfRule type="expression" dxfId="589" priority="3401">
      <formula>IF((COUNTIF(#REF!,#REF!))&gt;1,TRUE,FALSE)</formula>
    </cfRule>
  </conditionalFormatting>
  <conditionalFormatting sqref="C325">
    <cfRule type="expression" dxfId="588" priority="3421">
      <formula>IF((COUNTIF(#REF!,#REF!))&gt;1,TRUE,FALSE)</formula>
    </cfRule>
  </conditionalFormatting>
  <conditionalFormatting sqref="C326 H326:I326">
    <cfRule type="expression" dxfId="587" priority="3438">
      <formula>IF(AND($B326="",$C326=""),TRUE,FALSE)</formula>
    </cfRule>
  </conditionalFormatting>
  <conditionalFormatting sqref="C326">
    <cfRule type="expression" dxfId="586" priority="3439">
      <formula>IF((COUNTIF(#REF!,#REF!))&gt;1,TRUE,FALSE)</formula>
    </cfRule>
  </conditionalFormatting>
  <conditionalFormatting sqref="C327">
    <cfRule type="expression" dxfId="585" priority="3821">
      <formula>IF((COUNTIF(#REF!,#REF!))&gt;1,TRUE,FALSE)</formula>
    </cfRule>
  </conditionalFormatting>
  <conditionalFormatting sqref="C328:C335">
    <cfRule type="expression" dxfId="584" priority="1082">
      <formula>IF((COUNTIF(#REF!,#REF!))&gt;1,TRUE,FALSE)</formula>
    </cfRule>
  </conditionalFormatting>
  <conditionalFormatting sqref="C336">
    <cfRule type="expression" dxfId="583" priority="12999">
      <formula>IF((COUNTIF(#REF!,#REF!))&gt;1,TRUE,FALSE)</formula>
    </cfRule>
  </conditionalFormatting>
  <conditionalFormatting sqref="C337:C342">
    <cfRule type="expression" dxfId="582" priority="7">
      <formula>IF((COUNTIF(#REF!,#REF!))&gt;1,TRUE,FALSE)</formula>
    </cfRule>
  </conditionalFormatting>
  <conditionalFormatting sqref="C342">
    <cfRule type="expression" dxfId="581" priority="6">
      <formula>IF(AND($B342="",$C342=""),TRUE,FALSE)</formula>
    </cfRule>
  </conditionalFormatting>
  <conditionalFormatting sqref="C343:C344">
    <cfRule type="expression" dxfId="580" priority="1425">
      <formula>IF((COUNTIF(#REF!,#REF!))&gt;1,TRUE,FALSE)</formula>
    </cfRule>
  </conditionalFormatting>
  <conditionalFormatting sqref="C345">
    <cfRule type="expression" dxfId="579" priority="1405">
      <formula>IF((COUNTIF(#REF!,#REF!))&gt;1,TRUE,FALSE)</formula>
    </cfRule>
  </conditionalFormatting>
  <conditionalFormatting sqref="C346">
    <cfRule type="expression" dxfId="578" priority="1112">
      <formula>IF((COUNTIF(#REF!,#REF!))&gt;1,TRUE,FALSE)</formula>
    </cfRule>
  </conditionalFormatting>
  <conditionalFormatting sqref="C347">
    <cfRule type="expression" dxfId="577" priority="760">
      <formula>IF((COUNTIF(#REF!,#REF!))&gt;1,TRUE,FALSE)</formula>
    </cfRule>
  </conditionalFormatting>
  <conditionalFormatting sqref="C348">
    <cfRule type="expression" dxfId="576" priority="1354">
      <formula>IF((COUNTIF(#REF!,#REF!))&gt;1,TRUE,FALSE)</formula>
    </cfRule>
  </conditionalFormatting>
  <conditionalFormatting sqref="C349">
    <cfRule type="expression" dxfId="575" priority="13483">
      <formula>IF((COUNTIF(#REF!,#REF!))&gt;1,TRUE,FALSE)</formula>
    </cfRule>
  </conditionalFormatting>
  <conditionalFormatting sqref="C350">
    <cfRule type="expression" dxfId="574" priority="1528">
      <formula>IF((COUNTIF(#REF!,#REF!))&gt;1,TRUE,FALSE)</formula>
    </cfRule>
  </conditionalFormatting>
  <conditionalFormatting sqref="C351">
    <cfRule type="expression" dxfId="573" priority="13343">
      <formula>IF((COUNTIF(#REF!,#REF!))&gt;1,TRUE,FALSE)</formula>
    </cfRule>
  </conditionalFormatting>
  <conditionalFormatting sqref="C121:D121">
    <cfRule type="expression" dxfId="572" priority="2045">
      <formula>IF(AND($B121="",$C121=""),TRUE,FALSE)</formula>
    </cfRule>
    <cfRule type="expression" dxfId="571" priority="2044">
      <formula>IF(AND($B121="",$C121="",LEN($A121)&lt;=2),TRUE,FALSE)</formula>
    </cfRule>
  </conditionalFormatting>
  <conditionalFormatting sqref="C125:D125">
    <cfRule type="expression" dxfId="570" priority="6622">
      <formula>IF(AND($B125="",$C125=""),TRUE,FALSE)</formula>
    </cfRule>
  </conditionalFormatting>
  <conditionalFormatting sqref="C164:D164">
    <cfRule type="expression" dxfId="569" priority="2796">
      <formula>IF(AND($B164="",$C164="",LEN($A164)&lt;=2),TRUE,FALSE)</formula>
    </cfRule>
    <cfRule type="expression" dxfId="568" priority="2797">
      <formula>IF(AND($B164="",$C164=""),TRUE,FALSE)</formula>
    </cfRule>
  </conditionalFormatting>
  <conditionalFormatting sqref="C165:D166">
    <cfRule type="expression" dxfId="567" priority="6101">
      <formula>IF(AND($B165="",$C165=""),TRUE,FALSE)</formula>
    </cfRule>
    <cfRule type="expression" dxfId="566" priority="6100">
      <formula>IF(AND($B165="",$C165="",LEN($A165)&lt;=2),TRUE,FALSE)</formula>
    </cfRule>
  </conditionalFormatting>
  <conditionalFormatting sqref="C168:D168">
    <cfRule type="expression" dxfId="565" priority="6129">
      <formula>IF(AND($B168="",$C168=""),TRUE,FALSE)</formula>
    </cfRule>
  </conditionalFormatting>
  <conditionalFormatting sqref="C180:D180">
    <cfRule type="expression" dxfId="564" priority="5361">
      <formula>IF(AND($B180="",$C180="",LEN($A180)&lt;=2),TRUE,FALSE)</formula>
    </cfRule>
    <cfRule type="expression" dxfId="563" priority="5362">
      <formula>IF(AND($B180="",$C180=""),TRUE,FALSE)</formula>
    </cfRule>
  </conditionalFormatting>
  <conditionalFormatting sqref="C193:D193">
    <cfRule type="expression" dxfId="562" priority="510">
      <formula>IF(AND($B193="",$C193="",LEN($A193)&lt;=2),TRUE,FALSE)</formula>
    </cfRule>
  </conditionalFormatting>
  <conditionalFormatting sqref="C194:D194">
    <cfRule type="expression" dxfId="561" priority="523">
      <formula>IF(AND($B194="",$C194="",LEN($A194)&lt;=2),TRUE,FALSE)</formula>
    </cfRule>
  </conditionalFormatting>
  <conditionalFormatting sqref="C200:D200">
    <cfRule type="expression" dxfId="560" priority="5394">
      <formula>IF(AND($B200="",$C200=""),TRUE,FALSE)</formula>
    </cfRule>
    <cfRule type="expression" dxfId="559" priority="5393">
      <formula>IF(AND($B200="",$C200="",LEN($A200)&lt;=2),TRUE,FALSE)</formula>
    </cfRule>
  </conditionalFormatting>
  <conditionalFormatting sqref="C201:D201">
    <cfRule type="expression" dxfId="558" priority="5458">
      <formula>IF(AND($B201="",$C201=""),TRUE,FALSE)</formula>
    </cfRule>
    <cfRule type="expression" dxfId="557" priority="5457">
      <formula>IF(AND($B201="",$C201="",LEN($A201)&lt;=2),TRUE,FALSE)</formula>
    </cfRule>
  </conditionalFormatting>
  <conditionalFormatting sqref="C202:D202">
    <cfRule type="expression" dxfId="556" priority="12817">
      <formula>IF(AND($B202="",$C202="",LEN($A202)&lt;=2),TRUE,FALSE)</formula>
    </cfRule>
    <cfRule type="expression" dxfId="555" priority="12818">
      <formula>IF(AND($B202="",$C202=""),TRUE,FALSE)</formula>
    </cfRule>
  </conditionalFormatting>
  <conditionalFormatting sqref="C210:D210">
    <cfRule type="expression" dxfId="554" priority="5268">
      <formula>IF(AND($B210="",$C210=""),TRUE,FALSE)</formula>
    </cfRule>
  </conditionalFormatting>
  <conditionalFormatting sqref="C284:D284">
    <cfRule type="expression" dxfId="553" priority="4080">
      <formula>IF(AND($B284="",$C284=""),TRUE,FALSE)</formula>
    </cfRule>
    <cfRule type="expression" dxfId="552" priority="4079">
      <formula>IF(AND($B284="",$C284="",LEN($A284)&lt;=2),TRUE,FALSE)</formula>
    </cfRule>
  </conditionalFormatting>
  <conditionalFormatting sqref="C285:D286">
    <cfRule type="expression" dxfId="551" priority="4093">
      <formula>IF(AND($B285="",$C285="",LEN($A285)&lt;=2),TRUE,FALSE)</formula>
    </cfRule>
    <cfRule type="expression" dxfId="550" priority="4094">
      <formula>IF(AND($B285="",$C285=""),TRUE,FALSE)</formula>
    </cfRule>
  </conditionalFormatting>
  <conditionalFormatting sqref="C287:D287 D289">
    <cfRule type="expression" dxfId="549" priority="12806">
      <formula>IF(AND($B287="",$C287=""),TRUE,FALSE)</formula>
    </cfRule>
    <cfRule type="expression" dxfId="548" priority="12805">
      <formula>IF(AND($B287="",$C287="",LEN($A287)&lt;=2),TRUE,FALSE)</formula>
    </cfRule>
  </conditionalFormatting>
  <conditionalFormatting sqref="C288:D288">
    <cfRule type="expression" dxfId="547" priority="219">
      <formula>IF(AND($B288="",$C288="",LEN($A288)&lt;=2),TRUE,FALSE)</formula>
    </cfRule>
  </conditionalFormatting>
  <conditionalFormatting sqref="C291:D291">
    <cfRule type="expression" dxfId="546" priority="3888">
      <formula>IF(AND($B291="",$C291=""),TRUE,FALSE)</formula>
    </cfRule>
    <cfRule type="expression" dxfId="545" priority="3887">
      <formula>IF(AND($B291="",$C291="",LEN($A291)&lt;=2),TRUE,FALSE)</formula>
    </cfRule>
  </conditionalFormatting>
  <conditionalFormatting sqref="C292:D293">
    <cfRule type="expression" dxfId="544" priority="3901">
      <formula>IF(AND($B292="",$C292=""),TRUE,FALSE)</formula>
    </cfRule>
    <cfRule type="expression" dxfId="543" priority="3900">
      <formula>IF(AND($B292="",$C292="",LEN($A292)&lt;=2),TRUE,FALSE)</formula>
    </cfRule>
  </conditionalFormatting>
  <conditionalFormatting sqref="C295:D295">
    <cfRule type="expression" dxfId="542" priority="3938">
      <formula>IF(AND($B295="",$C295="",LEN($A295)&lt;=2),TRUE,FALSE)</formula>
    </cfRule>
    <cfRule type="expression" dxfId="541" priority="3939">
      <formula>IF(AND($B295="",$C295=""),TRUE,FALSE)</formula>
    </cfRule>
  </conditionalFormatting>
  <conditionalFormatting sqref="C296:D297">
    <cfRule type="expression" dxfId="540" priority="3952">
      <formula>IF(AND($B296="",$C296=""),TRUE,FALSE)</formula>
    </cfRule>
    <cfRule type="expression" dxfId="539" priority="3951">
      <formula>IF(AND($B296="",$C296="",LEN($A296)&lt;=2),TRUE,FALSE)</formula>
    </cfRule>
  </conditionalFormatting>
  <conditionalFormatting sqref="C298:D298">
    <cfRule type="expression" dxfId="538" priority="3973">
      <formula>IF(AND($B298="",$C298=""),TRUE,FALSE)</formula>
    </cfRule>
  </conditionalFormatting>
  <conditionalFormatting sqref="C300:D300">
    <cfRule type="expression" dxfId="537" priority="3654">
      <formula>IF(AND($B300="",$C300=""),TRUE,FALSE)</formula>
    </cfRule>
    <cfRule type="expression" dxfId="536" priority="3653">
      <formula>IF(AND($B300="",$C300="",LEN($A300)&lt;=2),TRUE,FALSE)</formula>
    </cfRule>
  </conditionalFormatting>
  <conditionalFormatting sqref="C301:D302">
    <cfRule type="expression" dxfId="535" priority="3666">
      <formula>IF(AND($B301="",$C301="",LEN($A301)&lt;=2),TRUE,FALSE)</formula>
    </cfRule>
    <cfRule type="expression" dxfId="534" priority="3667">
      <formula>IF(AND($B301="",$C301=""),TRUE,FALSE)</formula>
    </cfRule>
  </conditionalFormatting>
  <conditionalFormatting sqref="C303:D304">
    <cfRule type="expression" dxfId="533" priority="3684">
      <formula>IF(AND($B303="",$C303="",LEN($A303)&lt;=2),TRUE,FALSE)</formula>
    </cfRule>
    <cfRule type="expression" dxfId="532" priority="3685">
      <formula>IF(AND($B303="",$C303=""),TRUE,FALSE)</formula>
    </cfRule>
  </conditionalFormatting>
  <conditionalFormatting sqref="C305:D305">
    <cfRule type="expression" dxfId="531" priority="3705">
      <formula>IF(AND($B305="",$C305=""),TRUE,FALSE)</formula>
    </cfRule>
    <cfRule type="expression" dxfId="530" priority="3704">
      <formula>IF(AND($B305="",$C305="",LEN($A305)&lt;=2),TRUE,FALSE)</formula>
    </cfRule>
  </conditionalFormatting>
  <conditionalFormatting sqref="C306:D306 C308:D308">
    <cfRule type="expression" dxfId="529" priority="3717">
      <formula>IF(AND($B306="",$C306="",LEN($A306)&lt;=2),TRUE,FALSE)</formula>
    </cfRule>
    <cfRule type="expression" dxfId="528" priority="3718">
      <formula>IF(AND($B306="",$C306=""),TRUE,FALSE)</formula>
    </cfRule>
  </conditionalFormatting>
  <conditionalFormatting sqref="C307:D307">
    <cfRule type="expression" dxfId="527" priority="29">
      <formula>IF(AND($B307="",$C307="",LEN($A307)&lt;=2),TRUE,FALSE)</formula>
    </cfRule>
  </conditionalFormatting>
  <conditionalFormatting sqref="C310:D310">
    <cfRule type="expression" dxfId="526" priority="3508">
      <formula>IF(AND($B310="",$C310=""),TRUE,FALSE)</formula>
    </cfRule>
    <cfRule type="expression" dxfId="525" priority="3507">
      <formula>IF(AND($B310="",$C310="",LEN($A310)&lt;=2),TRUE,FALSE)</formula>
    </cfRule>
  </conditionalFormatting>
  <conditionalFormatting sqref="C311:D312">
    <cfRule type="expression" dxfId="524" priority="3520">
      <formula>IF(AND($B311="",$C311="",LEN($A311)&lt;=2),TRUE,FALSE)</formula>
    </cfRule>
    <cfRule type="expression" dxfId="523" priority="3521">
      <formula>IF(AND($B311="",$C311=""),TRUE,FALSE)</formula>
    </cfRule>
  </conditionalFormatting>
  <conditionalFormatting sqref="C313:D314">
    <cfRule type="expression" dxfId="522" priority="3539">
      <formula>IF(AND($B313="",$C313=""),TRUE,FALSE)</formula>
    </cfRule>
    <cfRule type="expression" dxfId="521" priority="3538">
      <formula>IF(AND($B313="",$C313="",LEN($A313)&lt;=2),TRUE,FALSE)</formula>
    </cfRule>
  </conditionalFormatting>
  <conditionalFormatting sqref="C315:D315">
    <cfRule type="expression" dxfId="520" priority="3558">
      <formula>IF(AND($B315="",$C315="",LEN($A315)&lt;=2),TRUE,FALSE)</formula>
    </cfRule>
  </conditionalFormatting>
  <conditionalFormatting sqref="C320:D320">
    <cfRule type="expression" dxfId="519" priority="3364">
      <formula>IF(AND($B320="",$C320="",LEN($A320)&lt;=2),TRUE,FALSE)</formula>
    </cfRule>
    <cfRule type="expression" dxfId="518" priority="3365">
      <formula>IF(AND($B320="",$C320=""),TRUE,FALSE)</formula>
    </cfRule>
  </conditionalFormatting>
  <conditionalFormatting sqref="C321:D322">
    <cfRule type="expression" dxfId="517" priority="3377">
      <formula>IF(AND($B321="",$C321="",LEN($A321)&lt;=2),TRUE,FALSE)</formula>
    </cfRule>
    <cfRule type="expression" dxfId="516" priority="3378">
      <formula>IF(AND($B321="",$C321=""),TRUE,FALSE)</formula>
    </cfRule>
  </conditionalFormatting>
  <conditionalFormatting sqref="C323:D324">
    <cfRule type="expression" dxfId="515" priority="3395">
      <formula>IF(AND($B323="",$C323="",LEN($A323)&lt;=2),TRUE,FALSE)</formula>
    </cfRule>
    <cfRule type="expression" dxfId="514" priority="3396">
      <formula>IF(AND($B323="",$C323=""),TRUE,FALSE)</formula>
    </cfRule>
  </conditionalFormatting>
  <conditionalFormatting sqref="C325:D325">
    <cfRule type="expression" dxfId="513" priority="3415">
      <formula>IF(AND($B325="",$C325="",LEN($A325)&lt;=2),TRUE,FALSE)</formula>
    </cfRule>
    <cfRule type="expression" dxfId="512" priority="3416">
      <formula>IF(AND($B325="",$C325=""),TRUE,FALSE)</formula>
    </cfRule>
  </conditionalFormatting>
  <conditionalFormatting sqref="C294:F294">
    <cfRule type="expression" dxfId="511" priority="3925">
      <formula>IF(AND($B294="",$C294="",LEN($A294)&lt;=2),TRUE,FALSE)</formula>
    </cfRule>
  </conditionalFormatting>
  <conditionalFormatting sqref="C23:I24">
    <cfRule type="expression" dxfId="510" priority="1772">
      <formula>IF(AND($B23="",$C23=""),TRUE,FALSE)</formula>
    </cfRule>
    <cfRule type="expression" dxfId="509" priority="1771">
      <formula>IF(AND($B23="",$C23="",LEN($A23)&lt;=2),TRUE,FALSE)</formula>
    </cfRule>
  </conditionalFormatting>
  <conditionalFormatting sqref="C35:I36">
    <cfRule type="expression" dxfId="508" priority="8166">
      <formula>IF(AND($B35="",$C35=""),TRUE,FALSE)</formula>
    </cfRule>
    <cfRule type="expression" dxfId="507" priority="8165">
      <formula>IF(AND($B35="",$C35="",LEN($A35)&lt;=2),TRUE,FALSE)</formula>
    </cfRule>
  </conditionalFormatting>
  <conditionalFormatting sqref="C39:I39">
    <cfRule type="expression" dxfId="506" priority="7831">
      <formula>IF(AND($B39="",$C39=""),TRUE,FALSE)</formula>
    </cfRule>
  </conditionalFormatting>
  <conditionalFormatting sqref="C40:I40">
    <cfRule type="expression" dxfId="505" priority="7781">
      <formula>IF(AND($B40="",$C40=""),TRUE,FALSE)</formula>
    </cfRule>
  </conditionalFormatting>
  <conditionalFormatting sqref="C44:I44">
    <cfRule type="expression" dxfId="504" priority="7810">
      <formula>IF(AND($B44="",$C44=""),TRUE,FALSE)</formula>
    </cfRule>
  </conditionalFormatting>
  <conditionalFormatting sqref="C58:I58">
    <cfRule type="expression" dxfId="503" priority="7706">
      <formula>IF(AND($B58="",$C58=""),TRUE,FALSE)</formula>
    </cfRule>
  </conditionalFormatting>
  <conditionalFormatting sqref="C68:I68">
    <cfRule type="expression" dxfId="502" priority="1219">
      <formula>IF(AND($B68="",$C68="",LEN($A68)&lt;=2),TRUE,FALSE)</formula>
    </cfRule>
  </conditionalFormatting>
  <conditionalFormatting sqref="C155:I156">
    <cfRule type="expression" dxfId="501" priority="1535">
      <formula>IF(AND($B155="",$C155=""),TRUE,FALSE)</formula>
    </cfRule>
  </conditionalFormatting>
  <conditionalFormatting sqref="C159:I159">
    <cfRule type="expression" dxfId="500" priority="138">
      <formula>IF(AND($B159="",$C159=""),TRUE,FALSE)</formula>
    </cfRule>
    <cfRule type="expression" dxfId="499" priority="137">
      <formula>IF(AND($B159="",$C159="",LEN($A159)&lt;=2),TRUE,FALSE)</formula>
    </cfRule>
  </conditionalFormatting>
  <conditionalFormatting sqref="C160:I160">
    <cfRule type="expression" dxfId="498" priority="6304">
      <formula>IF(AND($B160="",$C160=""),TRUE,FALSE)</formula>
    </cfRule>
    <cfRule type="expression" dxfId="497" priority="6303">
      <formula>IF(AND($B160="",$C160="",LEN($A160)&lt;=2),TRUE,FALSE)</formula>
    </cfRule>
  </conditionalFormatting>
  <conditionalFormatting sqref="C215:I215">
    <cfRule type="expression" dxfId="496" priority="4822">
      <formula>IF(AND($B215="",$C215=""),TRUE,FALSE)</formula>
    </cfRule>
  </conditionalFormatting>
  <conditionalFormatting sqref="C216:I226">
    <cfRule type="expression" dxfId="495" priority="251">
      <formula>IF(AND($B216="",$C216="",LEN($A216)&lt;=2),TRUE,FALSE)</formula>
    </cfRule>
  </conditionalFormatting>
  <conditionalFormatting sqref="C217:I226">
    <cfRule type="expression" dxfId="494" priority="4813">
      <formula>IF(AND($B217="",$C217=""),TRUE,FALSE)</formula>
    </cfRule>
  </conditionalFormatting>
  <conditionalFormatting sqref="C229:I231">
    <cfRule type="expression" dxfId="493" priority="4955">
      <formula>IF(AND($B229="",$C229=""),TRUE,FALSE)</formula>
    </cfRule>
  </conditionalFormatting>
  <conditionalFormatting sqref="C229:I232">
    <cfRule type="expression" dxfId="492" priority="233">
      <formula>IF(AND($B229="",$C229="",LEN($A229)&lt;=2),TRUE,FALSE)</formula>
    </cfRule>
  </conditionalFormatting>
  <conditionalFormatting sqref="C234:I234">
    <cfRule type="expression" dxfId="491" priority="4975">
      <formula>IF(AND($B234="",$C234=""),TRUE,FALSE)</formula>
    </cfRule>
  </conditionalFormatting>
  <conditionalFormatting sqref="C254:I256">
    <cfRule type="expression" dxfId="490" priority="2936">
      <formula>IF(AND($B254="",$C254=""),TRUE,FALSE)</formula>
    </cfRule>
  </conditionalFormatting>
  <conditionalFormatting sqref="C258:I261">
    <cfRule type="expression" dxfId="489" priority="4556">
      <formula>IF(AND($B258="",$C258=""),TRUE,FALSE)</formula>
    </cfRule>
  </conditionalFormatting>
  <conditionalFormatting sqref="C316:I318">
    <cfRule type="expression" dxfId="488" priority="1831">
      <formula>IF(AND($B316="",$C316="",LEN($A316)&lt;=2),TRUE,FALSE)</formula>
    </cfRule>
  </conditionalFormatting>
  <conditionalFormatting sqref="C318:I318">
    <cfRule type="expression" dxfId="487" priority="1832">
      <formula>IF(AND($B318="",$C318=""),TRUE,FALSE)</formula>
    </cfRule>
  </conditionalFormatting>
  <conditionalFormatting sqref="C326:I326">
    <cfRule type="expression" dxfId="486" priority="3435">
      <formula>IF(AND($B326="",$C326="",LEN($A326)&lt;=2),TRUE,FALSE)</formula>
    </cfRule>
  </conditionalFormatting>
  <conditionalFormatting sqref="C247:J247 C243:I243">
    <cfRule type="expression" dxfId="485" priority="4435">
      <formula>IF(AND($B243="",$C243=""),TRUE,FALSE)</formula>
    </cfRule>
  </conditionalFormatting>
  <conditionalFormatting sqref="D21">
    <cfRule type="expression" dxfId="484" priority="2296">
      <formula>IF(AND($B21="",$C21=""),TRUE,FALSE)</formula>
    </cfRule>
    <cfRule type="expression" dxfId="483" priority="2295">
      <formula>IF(AND($B21="",$C21="",LEN($A21)&lt;=2),TRUE,FALSE)</formula>
    </cfRule>
  </conditionalFormatting>
  <conditionalFormatting sqref="D23">
    <cfRule type="expression" dxfId="482" priority="1779">
      <formula>IF(AND($B23="",$C23="",LEN($A23)&lt;=2),TRUE,FALSE)</formula>
    </cfRule>
    <cfRule type="expression" dxfId="481" priority="1780">
      <formula>IF(AND($B23="",$C23=""),TRUE,FALSE)</formula>
    </cfRule>
  </conditionalFormatting>
  <conditionalFormatting sqref="D24">
    <cfRule type="expression" dxfId="480" priority="1793">
      <formula>IF(AND($B24="",$C24="",LEN($A24)&lt;=2),TRUE,FALSE)</formula>
    </cfRule>
    <cfRule type="expression" dxfId="479" priority="1794">
      <formula>IF(AND($B24="",$C24=""),TRUE,FALSE)</formula>
    </cfRule>
  </conditionalFormatting>
  <conditionalFormatting sqref="D28">
    <cfRule type="expression" dxfId="478" priority="2315">
      <formula>IF(AND($B28="",$C28=""),TRUE,FALSE)</formula>
    </cfRule>
    <cfRule type="expression" dxfId="477" priority="2314">
      <formula>IF(AND($B28="",$C28="",LEN($A28)&lt;=2),TRUE,FALSE)</formula>
    </cfRule>
  </conditionalFormatting>
  <conditionalFormatting sqref="D29">
    <cfRule type="expression" dxfId="476" priority="1758">
      <formula>IF(AND($B29="",$C29=""),TRUE,FALSE)</formula>
    </cfRule>
    <cfRule type="expression" dxfId="475" priority="1757">
      <formula>IF(AND($B29="",$C29="",LEN($A29)&lt;=2),TRUE,FALSE)</formula>
    </cfRule>
  </conditionalFormatting>
  <conditionalFormatting sqref="D30">
    <cfRule type="expression" dxfId="474" priority="2328">
      <formula>IF(AND($B30="",$C30="",LEN($A30)&lt;=2),TRUE,FALSE)</formula>
    </cfRule>
    <cfRule type="expression" dxfId="473" priority="2329">
      <formula>IF(AND($B30="",$C30=""),TRUE,FALSE)</formula>
    </cfRule>
  </conditionalFormatting>
  <conditionalFormatting sqref="D32">
    <cfRule type="expression" dxfId="472" priority="8035">
      <formula>IF(AND($B32="",$C32="",LEN($A32)&lt;=2),TRUE,FALSE)</formula>
    </cfRule>
    <cfRule type="expression" dxfId="471" priority="8036">
      <formula>IF(AND($B32="",$C32=""),TRUE,FALSE)</formula>
    </cfRule>
  </conditionalFormatting>
  <conditionalFormatting sqref="D35">
    <cfRule type="expression" dxfId="470" priority="10399">
      <formula>IF(AND($B35="",$C35="",LEN($A35)&lt;=2),TRUE,FALSE)</formula>
    </cfRule>
    <cfRule type="expression" dxfId="469" priority="10400">
      <formula>IF(AND($B35="",$C35=""),TRUE,FALSE)</formula>
    </cfRule>
  </conditionalFormatting>
  <conditionalFormatting sqref="D36">
    <cfRule type="expression" dxfId="468" priority="10422">
      <formula>IF(AND($B36="",$C36=""),TRUE,FALSE)</formula>
    </cfRule>
    <cfRule type="expression" dxfId="467" priority="10421">
      <formula>IF(AND($B36="",$C36="",LEN($A36)&lt;=2),TRUE,FALSE)</formula>
    </cfRule>
  </conditionalFormatting>
  <conditionalFormatting sqref="D39">
    <cfRule type="expression" dxfId="466" priority="7843">
      <formula>IF(AND($B39="",$C39=""),TRUE,FALSE)</formula>
    </cfRule>
    <cfRule type="expression" dxfId="465" priority="7842">
      <formula>IF(AND($B39="",$C39="",LEN($A39)&lt;=2),TRUE,FALSE)</formula>
    </cfRule>
  </conditionalFormatting>
  <conditionalFormatting sqref="D41">
    <cfRule type="expression" dxfId="464" priority="1196">
      <formula>IF(AND($B41="",$C41=""),TRUE,FALSE)</formula>
    </cfRule>
  </conditionalFormatting>
  <conditionalFormatting sqref="D42">
    <cfRule type="expression" dxfId="463" priority="105">
      <formula>IF(AND($B42="",$C42=""),TRUE,FALSE)</formula>
    </cfRule>
  </conditionalFormatting>
  <conditionalFormatting sqref="D43">
    <cfRule type="expression" dxfId="462" priority="89">
      <formula>IF(AND($B43="",$C43=""),TRUE,FALSE)</formula>
    </cfRule>
  </conditionalFormatting>
  <conditionalFormatting sqref="D46">
    <cfRule type="expression" dxfId="461" priority="688">
      <formula>IF(AND($B46="",$C46=""),TRUE,FALSE)</formula>
    </cfRule>
  </conditionalFormatting>
  <conditionalFormatting sqref="D48">
    <cfRule type="expression" dxfId="460" priority="668">
      <formula>IF(AND($B48="",$C48=""),TRUE,FALSE)</formula>
    </cfRule>
  </conditionalFormatting>
  <conditionalFormatting sqref="D49">
    <cfRule type="expression" dxfId="459" priority="704">
      <formula>IF(AND($B49="",$C49=""),TRUE,FALSE)</formula>
    </cfRule>
  </conditionalFormatting>
  <conditionalFormatting sqref="D50">
    <cfRule type="expression" dxfId="458" priority="712">
      <formula>IF(AND($B50="",$C50=""),TRUE,FALSE)</formula>
    </cfRule>
  </conditionalFormatting>
  <conditionalFormatting sqref="D52">
    <cfRule type="expression" dxfId="457" priority="1311">
      <formula>IF(AND($B52="",$C52=""),TRUE,FALSE)</formula>
    </cfRule>
    <cfRule type="expression" dxfId="456" priority="1313">
      <formula>IF(AND($B52="",$C52=""),TRUE,FALSE)</formula>
    </cfRule>
    <cfRule type="expression" dxfId="455" priority="1312">
      <formula>IF(AND($B52="",$C52="",LEN($A52)&lt;=2),TRUE,FALSE)</formula>
    </cfRule>
  </conditionalFormatting>
  <conditionalFormatting sqref="D53">
    <cfRule type="expression" dxfId="454" priority="1264">
      <formula>IF(AND($B53="",$C53=""),TRUE,FALSE)</formula>
    </cfRule>
  </conditionalFormatting>
  <conditionalFormatting sqref="D55">
    <cfRule type="expression" dxfId="453" priority="1244">
      <formula>IF(AND($B55="",$C55=""),TRUE,FALSE)</formula>
    </cfRule>
  </conditionalFormatting>
  <conditionalFormatting sqref="D56">
    <cfRule type="expression" dxfId="452" priority="1305">
      <formula>IF(AND($B56="",$C56=""),TRUE,FALSE)</formula>
    </cfRule>
  </conditionalFormatting>
  <conditionalFormatting sqref="D58">
    <cfRule type="expression" dxfId="451" priority="7734">
      <formula>IF(AND($B58="",$C58=""),TRUE,FALSE)</formula>
    </cfRule>
    <cfRule type="expression" dxfId="450" priority="7733">
      <formula>IF(AND($B58="",$C58="",LEN($A58)&lt;=2),TRUE,FALSE)</formula>
    </cfRule>
  </conditionalFormatting>
  <conditionalFormatting sqref="D61">
    <cfRule type="expression" dxfId="449" priority="130">
      <formula>IF(AND($B61="",$C61=""),TRUE,FALSE)</formula>
    </cfRule>
  </conditionalFormatting>
  <conditionalFormatting sqref="D69">
    <cfRule type="expression" dxfId="448" priority="12749">
      <formula>IF(AND($B69="",$C69="",LEN($A69)&lt;=2),TRUE,FALSE)</formula>
    </cfRule>
    <cfRule type="expression" dxfId="447" priority="12750">
      <formula>IF(AND($B69="",$C69=""),TRUE,FALSE)</formula>
    </cfRule>
    <cfRule type="expression" dxfId="446" priority="12752">
      <formula>IF(AND($B69="",$C69=""),TRUE,FALSE)</formula>
    </cfRule>
  </conditionalFormatting>
  <conditionalFormatting sqref="D74">
    <cfRule type="expression" dxfId="445" priority="7424">
      <formula>IF(AND($B74="",$C74=""),TRUE,FALSE)</formula>
    </cfRule>
    <cfRule type="expression" dxfId="444" priority="7423">
      <formula>IF(AND($B74="",$C74="",LEN($A74)&lt;=2),TRUE,FALSE)</formula>
    </cfRule>
  </conditionalFormatting>
  <conditionalFormatting sqref="D81">
    <cfRule type="expression" dxfId="443" priority="987">
      <formula>IF(AND($B81="",$C81="",LEN($A81)&lt;=2),TRUE,FALSE)</formula>
    </cfRule>
    <cfRule type="expression" dxfId="442" priority="986">
      <formula>IF(AND($B81="",$C81=""),TRUE,FALSE)</formula>
    </cfRule>
    <cfRule type="expression" dxfId="441" priority="988">
      <formula>IF(AND($B81="",$C81=""),TRUE,FALSE)</formula>
    </cfRule>
  </conditionalFormatting>
  <conditionalFormatting sqref="D82">
    <cfRule type="expression" dxfId="440" priority="939">
      <formula>IF(AND($B82="",$C82=""),TRUE,FALSE)</formula>
    </cfRule>
  </conditionalFormatting>
  <conditionalFormatting sqref="D84">
    <cfRule type="expression" dxfId="439" priority="188">
      <formula>IF(AND($B84="",$C84=""),TRUE,FALSE)</formula>
    </cfRule>
  </conditionalFormatting>
  <conditionalFormatting sqref="D85">
    <cfRule type="expression" dxfId="438" priority="980">
      <formula>IF(AND($B85="",$C85=""),TRUE,FALSE)</formula>
    </cfRule>
  </conditionalFormatting>
  <conditionalFormatting sqref="D122">
    <cfRule type="expression" dxfId="437" priority="2031">
      <formula>IF(AND($B122="",$C122=""),TRUE,FALSE)</formula>
    </cfRule>
    <cfRule type="expression" dxfId="436" priority="2030">
      <formula>IF(AND($B122="",$C122="",LEN($A122)&lt;=2),TRUE,FALSE)</formula>
    </cfRule>
  </conditionalFormatting>
  <conditionalFormatting sqref="D123">
    <cfRule type="expression" dxfId="435" priority="1988">
      <formula>IF(AND($B123="",$C123=""),TRUE,FALSE)</formula>
    </cfRule>
    <cfRule type="expression" dxfId="434" priority="1987">
      <formula>IF(AND($B123="",$C123="",LEN($A123)&lt;=2),TRUE,FALSE)</formula>
    </cfRule>
  </conditionalFormatting>
  <conditionalFormatting sqref="D129">
    <cfRule type="expression" dxfId="433" priority="870">
      <formula>IF(AND($B129="",$C129=""),TRUE,FALSE)</formula>
    </cfRule>
    <cfRule type="expression" dxfId="432" priority="868">
      <formula>IF(AND($B129="",$C129=""),TRUE,FALSE)</formula>
    </cfRule>
  </conditionalFormatting>
  <conditionalFormatting sqref="D130">
    <cfRule type="expression" dxfId="431" priority="822">
      <formula>IF(AND($B130="",$C130=""),TRUE,FALSE)</formula>
    </cfRule>
    <cfRule type="expression" dxfId="430" priority="820">
      <formula>IF(AND($B130="",$C130=""),TRUE,FALSE)</formula>
    </cfRule>
  </conditionalFormatting>
  <conditionalFormatting sqref="D131">
    <cfRule type="expression" dxfId="429" priority="838">
      <formula>IF(AND($B131="",$C131=""),TRUE,FALSE)</formula>
    </cfRule>
    <cfRule type="expression" dxfId="428" priority="836">
      <formula>IF(AND($B131="",$C131=""),TRUE,FALSE)</formula>
    </cfRule>
  </conditionalFormatting>
  <conditionalFormatting sqref="D132">
    <cfRule type="expression" dxfId="427" priority="854">
      <formula>IF(AND($B132="",$C132=""),TRUE,FALSE)</formula>
    </cfRule>
    <cfRule type="expression" dxfId="426" priority="852">
      <formula>IF(AND($B132="",$C132=""),TRUE,FALSE)</formula>
    </cfRule>
  </conditionalFormatting>
  <conditionalFormatting sqref="D136:D137">
    <cfRule type="expression" dxfId="425" priority="12336">
      <formula>IF(AND($B136="",$C136="",LEN($A136)&lt;=2),TRUE,FALSE)</formula>
    </cfRule>
    <cfRule type="expression" dxfId="424" priority="12337">
      <formula>IF(AND($B136="",$C136=""),TRUE,FALSE)</formula>
    </cfRule>
  </conditionalFormatting>
  <conditionalFormatting sqref="D144:D145">
    <cfRule type="expression" dxfId="423" priority="3058">
      <formula>IF(AND($B144="",$C144="",LEN($A144)&lt;=2),TRUE,FALSE)</formula>
    </cfRule>
    <cfRule type="expression" dxfId="422" priority="3059">
      <formula>IF(AND($B144="",$C144=""),TRUE,FALSE)</formula>
    </cfRule>
  </conditionalFormatting>
  <conditionalFormatting sqref="D170">
    <cfRule type="expression" dxfId="421" priority="2539">
      <formula>IF(AND($B170="",$C170="",LEN($A170)&lt;=2),TRUE,FALSE)</formula>
    </cfRule>
    <cfRule type="expression" dxfId="420" priority="2540">
      <formula>IF(AND($B170="",$C170=""),TRUE,FALSE)</formula>
    </cfRule>
  </conditionalFormatting>
  <conditionalFormatting sqref="D171">
    <cfRule type="expression" dxfId="419" priority="2525">
      <formula>IF(AND($B171="",$C171=""),TRUE,FALSE)</formula>
    </cfRule>
    <cfRule type="expression" dxfId="418" priority="2524">
      <formula>IF(AND($B171="",$C171="",LEN($A171)&lt;=2),TRUE,FALSE)</formula>
    </cfRule>
  </conditionalFormatting>
  <conditionalFormatting sqref="D172">
    <cfRule type="expression" dxfId="417" priority="2554">
      <formula>IF(AND($B172="",$C172=""),TRUE,FALSE)</formula>
    </cfRule>
    <cfRule type="expression" dxfId="416" priority="2553">
      <formula>IF(AND($B172="",$C172="",LEN($A172)&lt;=2),TRUE,FALSE)</formula>
    </cfRule>
  </conditionalFormatting>
  <conditionalFormatting sqref="D174">
    <cfRule type="expression" dxfId="415" priority="1478">
      <formula>IF(AND($B174="",$C174=""),TRUE,FALSE)</formula>
    </cfRule>
    <cfRule type="expression" dxfId="414" priority="1477">
      <formula>IF(AND($B174="",$C174="",LEN($A174)&lt;=2),TRUE,FALSE)</formula>
    </cfRule>
  </conditionalFormatting>
  <conditionalFormatting sqref="D175">
    <cfRule type="expression" dxfId="413" priority="1441">
      <formula>IF(AND($B175="",$C175=""),TRUE,FALSE)</formula>
    </cfRule>
    <cfRule type="expression" dxfId="412" priority="1440">
      <formula>IF(AND($B175="",$C175="",LEN($A175)&lt;=2),TRUE,FALSE)</formula>
    </cfRule>
  </conditionalFormatting>
  <conditionalFormatting sqref="D176">
    <cfRule type="expression" dxfId="411" priority="1466">
      <formula>IF(AND($B176="",$C176=""),TRUE,FALSE)</formula>
    </cfRule>
    <cfRule type="expression" dxfId="410" priority="1465">
      <formula>IF(AND($B176="",$C176="",LEN($A176)&lt;=2),TRUE,FALSE)</formula>
    </cfRule>
  </conditionalFormatting>
  <conditionalFormatting sqref="D178">
    <cfRule type="expression" dxfId="409" priority="2210">
      <formula>IF(AND($B178="",$C178=""),TRUE,FALSE)</formula>
    </cfRule>
    <cfRule type="expression" dxfId="408" priority="2209">
      <formula>IF(AND($B178="",$C178="",LEN($A178)&lt;=2),TRUE,FALSE)</formula>
    </cfRule>
  </conditionalFormatting>
  <conditionalFormatting sqref="D181">
    <cfRule type="expression" dxfId="407" priority="5349">
      <formula>IF(AND($B181="",$C181="",LEN($A181)&lt;=2),TRUE,FALSE)</formula>
    </cfRule>
    <cfRule type="expression" dxfId="406" priority="5350">
      <formula>IF(AND($B181="",$C181=""),TRUE,FALSE)</formula>
    </cfRule>
  </conditionalFormatting>
  <conditionalFormatting sqref="D182">
    <cfRule type="expression" dxfId="405" priority="333">
      <formula>IF(AND($B182="",$C182=""),TRUE,FALSE)</formula>
    </cfRule>
    <cfRule type="expression" dxfId="404" priority="332">
      <formula>IF(AND($B182="",$C182="",LEN($A182)&lt;=2),TRUE,FALSE)</formula>
    </cfRule>
    <cfRule type="expression" dxfId="403" priority="331">
      <formula>IF(AND($B182="",$C182=""),TRUE,FALSE)</formula>
    </cfRule>
  </conditionalFormatting>
  <conditionalFormatting sqref="D183">
    <cfRule type="expression" dxfId="402" priority="344">
      <formula>IF(AND($B183="",$C183=""),TRUE,FALSE)</formula>
    </cfRule>
    <cfRule type="expression" dxfId="401" priority="346">
      <formula>IF(AND($B183="",$C183=""),TRUE,FALSE)</formula>
    </cfRule>
    <cfRule type="expression" dxfId="400" priority="345">
      <formula>IF(AND($B183="",$C183="",LEN($A183)&lt;=2),TRUE,FALSE)</formula>
    </cfRule>
  </conditionalFormatting>
  <conditionalFormatting sqref="D184">
    <cfRule type="expression" dxfId="399" priority="358">
      <formula>IF(AND($B184="",$C184="",LEN($A184)&lt;=2),TRUE,FALSE)</formula>
    </cfRule>
    <cfRule type="expression" dxfId="398" priority="359">
      <formula>IF(AND($B184="",$C184=""),TRUE,FALSE)</formula>
    </cfRule>
    <cfRule type="expression" dxfId="397" priority="357">
      <formula>IF(AND($B184="",$C184=""),TRUE,FALSE)</formula>
    </cfRule>
  </conditionalFormatting>
  <conditionalFormatting sqref="D185">
    <cfRule type="expression" dxfId="396" priority="377">
      <formula>IF(AND($B185="",$C185=""),TRUE,FALSE)</formula>
    </cfRule>
    <cfRule type="expression" dxfId="395" priority="376">
      <formula>IF(AND($B185="",$C185="",LEN($A185)&lt;=2),TRUE,FALSE)</formula>
    </cfRule>
    <cfRule type="expression" dxfId="394" priority="375">
      <formula>IF(AND($B185="",$C185=""),TRUE,FALSE)</formula>
    </cfRule>
  </conditionalFormatting>
  <conditionalFormatting sqref="D186">
    <cfRule type="expression" dxfId="393" priority="390">
      <formula>IF(AND($B186="",$C186=""),TRUE,FALSE)</formula>
    </cfRule>
    <cfRule type="expression" dxfId="392" priority="389">
      <formula>IF(AND($B186="",$C186="",LEN($A186)&lt;=2),TRUE,FALSE)</formula>
    </cfRule>
    <cfRule type="expression" dxfId="391" priority="388">
      <formula>IF(AND($B186="",$C186=""),TRUE,FALSE)</formula>
    </cfRule>
  </conditionalFormatting>
  <conditionalFormatting sqref="D187">
    <cfRule type="expression" dxfId="390" priority="402">
      <formula>IF(AND($B187="",$C187="",LEN($A187)&lt;=2),TRUE,FALSE)</formula>
    </cfRule>
    <cfRule type="expression" dxfId="389" priority="401">
      <formula>IF(AND($B187="",$C187=""),TRUE,FALSE)</formula>
    </cfRule>
    <cfRule type="expression" dxfId="388" priority="403">
      <formula>IF(AND($B187="",$C187=""),TRUE,FALSE)</formula>
    </cfRule>
  </conditionalFormatting>
  <conditionalFormatting sqref="D188">
    <cfRule type="expression" dxfId="387" priority="421">
      <formula>IF(AND($B188="",$C188="",LEN($A188)&lt;=2),TRUE,FALSE)</formula>
    </cfRule>
    <cfRule type="expression" dxfId="386" priority="422">
      <formula>IF(AND($B188="",$C188=""),TRUE,FALSE)</formula>
    </cfRule>
    <cfRule type="expression" dxfId="385" priority="420">
      <formula>IF(AND($B188="",$C188=""),TRUE,FALSE)</formula>
    </cfRule>
  </conditionalFormatting>
  <conditionalFormatting sqref="D189">
    <cfRule type="expression" dxfId="384" priority="433">
      <formula>IF(AND($B189="",$C189=""),TRUE,FALSE)</formula>
    </cfRule>
    <cfRule type="expression" dxfId="383" priority="435">
      <formula>IF(AND($B189="",$C189=""),TRUE,FALSE)</formula>
    </cfRule>
    <cfRule type="expression" dxfId="382" priority="434">
      <formula>IF(AND($B189="",$C189="",LEN($A189)&lt;=2),TRUE,FALSE)</formula>
    </cfRule>
  </conditionalFormatting>
  <conditionalFormatting sqref="D190">
    <cfRule type="expression" dxfId="381" priority="465">
      <formula>IF(AND($B190="",$C190="",LEN($A190)&lt;=2),TRUE,FALSE)</formula>
    </cfRule>
    <cfRule type="expression" dxfId="380" priority="466">
      <formula>IF(AND($B190="",$C190=""),TRUE,FALSE)</formula>
    </cfRule>
    <cfRule type="expression" dxfId="379" priority="464">
      <formula>IF(AND($B190="",$C190=""),TRUE,FALSE)</formula>
    </cfRule>
  </conditionalFormatting>
  <conditionalFormatting sqref="D191">
    <cfRule type="expression" dxfId="378" priority="477">
      <formula>IF(AND($B191="",$C191=""),TRUE,FALSE)</formula>
    </cfRule>
    <cfRule type="expression" dxfId="377" priority="478">
      <formula>IF(AND($B191="",$C191="",LEN($A191)&lt;=2),TRUE,FALSE)</formula>
    </cfRule>
    <cfRule type="expression" dxfId="376" priority="479">
      <formula>IF(AND($B191="",$C191=""),TRUE,FALSE)</formula>
    </cfRule>
  </conditionalFormatting>
  <conditionalFormatting sqref="D192">
    <cfRule type="expression" dxfId="375" priority="491">
      <formula>IF(AND($B192="",$C192="",LEN($A192)&lt;=2),TRUE,FALSE)</formula>
    </cfRule>
    <cfRule type="expression" dxfId="374" priority="490">
      <formula>IF(AND($B192="",$C192=""),TRUE,FALSE)</formula>
    </cfRule>
    <cfRule type="expression" dxfId="373" priority="492">
      <formula>IF(AND($B192="",$C192=""),TRUE,FALSE)</formula>
    </cfRule>
  </conditionalFormatting>
  <conditionalFormatting sqref="D193">
    <cfRule type="expression" dxfId="372" priority="511">
      <formula>IF(AND($B193="",$C193=""),TRUE,FALSE)</formula>
    </cfRule>
    <cfRule type="expression" dxfId="371" priority="509">
      <formula>IF(AND($B193="",$C193=""),TRUE,FALSE)</formula>
    </cfRule>
  </conditionalFormatting>
  <conditionalFormatting sqref="D194">
    <cfRule type="expression" dxfId="370" priority="524">
      <formula>IF(AND($B194="",$C194=""),TRUE,FALSE)</formula>
    </cfRule>
    <cfRule type="expression" dxfId="369" priority="522">
      <formula>IF(AND($B194="",$C194=""),TRUE,FALSE)</formula>
    </cfRule>
  </conditionalFormatting>
  <conditionalFormatting sqref="D195">
    <cfRule type="expression" dxfId="368" priority="270">
      <formula>IF(AND($B195="",$C195=""),TRUE,FALSE)</formula>
    </cfRule>
    <cfRule type="expression" dxfId="367" priority="269">
      <formula>IF(AND($B195="",$C195="",LEN($A195)&lt;=2),TRUE,FALSE)</formula>
    </cfRule>
    <cfRule type="expression" dxfId="366" priority="268">
      <formula>IF(AND($B195="",$C195=""),TRUE,FALSE)</formula>
    </cfRule>
  </conditionalFormatting>
  <conditionalFormatting sqref="D196">
    <cfRule type="expression" dxfId="365" priority="286">
      <formula>IF(AND($B196="",$C196=""),TRUE,FALSE)</formula>
    </cfRule>
    <cfRule type="expression" dxfId="364" priority="287">
      <formula>IF(AND($B196="",$C196="",LEN($A196)&lt;=2),TRUE,FALSE)</formula>
    </cfRule>
    <cfRule type="expression" dxfId="363" priority="288">
      <formula>IF(AND($B196="",$C196=""),TRUE,FALSE)</formula>
    </cfRule>
  </conditionalFormatting>
  <conditionalFormatting sqref="D197">
    <cfRule type="expression" dxfId="362" priority="301">
      <formula>IF(AND($B197="",$C197=""),TRUE,FALSE)</formula>
    </cfRule>
    <cfRule type="expression" dxfId="361" priority="300">
      <formula>IF(AND($B197="",$C197="",LEN($A197)&lt;=2),TRUE,FALSE)</formula>
    </cfRule>
    <cfRule type="expression" dxfId="360" priority="299">
      <formula>IF(AND($B197="",$C197=""),TRUE,FALSE)</formula>
    </cfRule>
  </conditionalFormatting>
  <conditionalFormatting sqref="D198">
    <cfRule type="expression" dxfId="359" priority="314">
      <formula>IF(AND($B198="",$C198=""),TRUE,FALSE)</formula>
    </cfRule>
    <cfRule type="expression" dxfId="358" priority="313">
      <formula>IF(AND($B198="",$C198="",LEN($A198)&lt;=2),TRUE,FALSE)</formula>
    </cfRule>
    <cfRule type="expression" dxfId="357" priority="312">
      <formula>IF(AND($B198="",$C198=""),TRUE,FALSE)</formula>
    </cfRule>
  </conditionalFormatting>
  <conditionalFormatting sqref="D199">
    <cfRule type="expression" dxfId="356" priority="537">
      <formula>IF(AND($B199="",$C199=""),TRUE,FALSE)</formula>
    </cfRule>
    <cfRule type="expression" dxfId="355" priority="536">
      <formula>IF(AND($B199="",$C199="",LEN($A199)&lt;=2),TRUE,FALSE)</formula>
    </cfRule>
    <cfRule type="expression" dxfId="354" priority="535">
      <formula>IF(AND($B199="",$C199=""),TRUE,FALSE)</formula>
    </cfRule>
  </conditionalFormatting>
  <conditionalFormatting sqref="D205">
    <cfRule type="expression" dxfId="353" priority="5147">
      <formula>IF(AND($B205="",$C205=""),TRUE,FALSE)</formula>
    </cfRule>
    <cfRule type="expression" dxfId="352" priority="5146">
      <formula>IF(AND($B205="",$C205="",LEN($A205)&lt;=2),TRUE,FALSE)</formula>
    </cfRule>
  </conditionalFormatting>
  <conditionalFormatting sqref="D206">
    <cfRule type="expression" dxfId="351" priority="1149">
      <formula>IF(AND($B206="",$C206=""),TRUE,FALSE)</formula>
    </cfRule>
    <cfRule type="expression" dxfId="350" priority="1147">
      <formula>IF(AND($B206="",$C206=""),TRUE,FALSE)</formula>
    </cfRule>
    <cfRule type="expression" dxfId="349" priority="1148">
      <formula>IF(AND($B206="",$C206="",LEN($A206)&lt;=2),TRUE,FALSE)</formula>
    </cfRule>
  </conditionalFormatting>
  <conditionalFormatting sqref="D207">
    <cfRule type="expression" dxfId="348" priority="5162">
      <formula>IF(AND($B207="",$C207=""),TRUE,FALSE)</formula>
    </cfRule>
    <cfRule type="expression" dxfId="347" priority="5161">
      <formula>IF(AND($B207="",$C207="",LEN($A207)&lt;=2),TRUE,FALSE)</formula>
    </cfRule>
  </conditionalFormatting>
  <conditionalFormatting sqref="D208">
    <cfRule type="expression" dxfId="346" priority="5177">
      <formula>IF(AND($B208="",$C208=""),TRUE,FALSE)</formula>
    </cfRule>
    <cfRule type="expression" dxfId="345" priority="5176">
      <formula>IF(AND($B208="",$C208="",LEN($A208)&lt;=2),TRUE,FALSE)</formula>
    </cfRule>
  </conditionalFormatting>
  <conditionalFormatting sqref="D209">
    <cfRule type="expression" dxfId="344" priority="5191">
      <formula>IF(AND($B209="",$C209="",LEN($A209)&lt;=2),TRUE,FALSE)</formula>
    </cfRule>
    <cfRule type="expression" dxfId="343" priority="5192">
      <formula>IF(AND($B209="",$C209=""),TRUE,FALSE)</formula>
    </cfRule>
  </conditionalFormatting>
  <conditionalFormatting sqref="D274">
    <cfRule type="expression" dxfId="342" priority="587">
      <formula>IF(AND($B274="",$C274=""),TRUE,FALSE)</formula>
    </cfRule>
  </conditionalFormatting>
  <conditionalFormatting sqref="D278">
    <cfRule type="expression" dxfId="341" priority="558">
      <formula>IF(AND($B278="",$C278=""),TRUE,FALSE)</formula>
    </cfRule>
  </conditionalFormatting>
  <conditionalFormatting sqref="D279">
    <cfRule type="expression" dxfId="340" priority="573">
      <formula>IF(AND($B279="",$C279=""),TRUE,FALSE)</formula>
    </cfRule>
  </conditionalFormatting>
  <conditionalFormatting sqref="D288">
    <cfRule type="expression" dxfId="339" priority="220">
      <formula>IF(AND($B288="",$C288=""),TRUE,FALSE)</formula>
    </cfRule>
    <cfRule type="expression" dxfId="338" priority="218">
      <formula>IF(AND($B288="",$C288=""),TRUE,FALSE)</formula>
    </cfRule>
  </conditionalFormatting>
  <conditionalFormatting sqref="D307">
    <cfRule type="expression" dxfId="337" priority="30">
      <formula>IF(AND($B307="",$C307=""),TRUE,FALSE)</formula>
    </cfRule>
    <cfRule type="expression" dxfId="336" priority="28">
      <formula>IF(AND($B307="",$C307=""),TRUE,FALSE)</formula>
    </cfRule>
  </conditionalFormatting>
  <conditionalFormatting sqref="D309">
    <cfRule type="expression" dxfId="335" priority="228">
      <formula>IF(AND($B309="",$C309=""),TRUE,FALSE)</formula>
    </cfRule>
  </conditionalFormatting>
  <conditionalFormatting sqref="D315">
    <cfRule type="expression" dxfId="334" priority="3559">
      <formula>IF(AND($B315="",$C315=""),TRUE,FALSE)</formula>
    </cfRule>
  </conditionalFormatting>
  <conditionalFormatting sqref="D328">
    <cfRule type="expression" dxfId="333" priority="3114">
      <formula>IF(AND($B328="",$C328="",LEN($A328)&lt;=2),TRUE,FALSE)</formula>
    </cfRule>
    <cfRule type="expression" dxfId="332" priority="3115">
      <formula>IF(AND($B328="",$C328=""),TRUE,FALSE)</formula>
    </cfRule>
  </conditionalFormatting>
  <conditionalFormatting sqref="D329">
    <cfRule type="expression" dxfId="331" priority="3132">
      <formula>IF(AND($B329="",$C329="",LEN($A329)&lt;=2),TRUE,FALSE)</formula>
    </cfRule>
    <cfRule type="expression" dxfId="330" priority="3133">
      <formula>IF(AND($B329="",$C329=""),TRUE,FALSE)</formula>
    </cfRule>
  </conditionalFormatting>
  <conditionalFormatting sqref="D330">
    <cfRule type="expression" dxfId="329" priority="3149">
      <formula>IF(AND($B330="",$C330="",LEN($A330)&lt;=2),TRUE,FALSE)</formula>
    </cfRule>
    <cfRule type="expression" dxfId="328" priority="3150">
      <formula>IF(AND($B330="",$C330=""),TRUE,FALSE)</formula>
    </cfRule>
  </conditionalFormatting>
  <conditionalFormatting sqref="D331">
    <cfRule type="expression" dxfId="327" priority="3166">
      <formula>IF(AND($B331="",$C331="",LEN($A331)&lt;=2),TRUE,FALSE)</formula>
    </cfRule>
    <cfRule type="expression" dxfId="326" priority="3167">
      <formula>IF(AND($B331="",$C331=""),TRUE,FALSE)</formula>
    </cfRule>
  </conditionalFormatting>
  <conditionalFormatting sqref="D332">
    <cfRule type="expression" dxfId="325" priority="3184">
      <formula>IF(AND($B332="",$C332=""),TRUE,FALSE)</formula>
    </cfRule>
    <cfRule type="expression" dxfId="324" priority="3183">
      <formula>IF(AND($B332="",$C332="",LEN($A332)&lt;=2),TRUE,FALSE)</formula>
    </cfRule>
  </conditionalFormatting>
  <conditionalFormatting sqref="D333">
    <cfRule type="expression" dxfId="323" priority="1088">
      <formula>IF(AND($B333="",$C333=""),TRUE,FALSE)</formula>
    </cfRule>
    <cfRule type="expression" dxfId="322" priority="1089">
      <formula>IF(AND($B333="",$C333="",LEN($A333)&lt;=2),TRUE,FALSE)</formula>
    </cfRule>
    <cfRule type="expression" dxfId="321" priority="1090">
      <formula>IF(AND($B333="",$C333=""),TRUE,FALSE)</formula>
    </cfRule>
  </conditionalFormatting>
  <conditionalFormatting sqref="D334">
    <cfRule type="expression" dxfId="320" priority="3201">
      <formula>IF(AND($B334="",$C334="",LEN($A334)&lt;=2),TRUE,FALSE)</formula>
    </cfRule>
    <cfRule type="expression" dxfId="319" priority="3202">
      <formula>IF(AND($B334="",$C334=""),TRUE,FALSE)</formula>
    </cfRule>
  </conditionalFormatting>
  <conditionalFormatting sqref="D335">
    <cfRule type="expression" dxfId="318" priority="3218">
      <formula>IF(AND($B335="",$C335="",LEN($A335)&lt;=2),TRUE,FALSE)</formula>
    </cfRule>
    <cfRule type="expression" dxfId="317" priority="3219">
      <formula>IF(AND($B335="",$C335=""),TRUE,FALSE)</formula>
    </cfRule>
  </conditionalFormatting>
  <conditionalFormatting sqref="D337">
    <cfRule type="expression" dxfId="316" priority="2576">
      <formula>IF(AND($B337="",$C337=""),TRUE,FALSE)</formula>
    </cfRule>
    <cfRule type="expression" dxfId="315" priority="2575">
      <formula>IF(AND($B337="",$C337="",LEN($A337)&lt;=2),TRUE,FALSE)</formula>
    </cfRule>
  </conditionalFormatting>
  <conditionalFormatting sqref="D338">
    <cfRule type="expression" dxfId="314" priority="2236">
      <formula>IF(AND($B338="",$C338=""),TRUE,FALSE)</formula>
    </cfRule>
    <cfRule type="expression" dxfId="313" priority="2235">
      <formula>IF(AND($B338="",$C338="",LEN($A338)&lt;=2),TRUE,FALSE)</formula>
    </cfRule>
  </conditionalFormatting>
  <conditionalFormatting sqref="D339">
    <cfRule type="expression" dxfId="312" priority="2254">
      <formula>IF(AND($B339="",$C339=""),TRUE,FALSE)</formula>
    </cfRule>
    <cfRule type="expression" dxfId="311" priority="2253">
      <formula>IF(AND($B339="",$C339="",LEN($A339)&lt;=2),TRUE,FALSE)</formula>
    </cfRule>
  </conditionalFormatting>
  <conditionalFormatting sqref="D340">
    <cfRule type="expression" dxfId="310" priority="2272">
      <formula>IF(AND($B340="",$C340=""),TRUE,FALSE)</formula>
    </cfRule>
    <cfRule type="expression" dxfId="309" priority="2271">
      <formula>IF(AND($B340="",$C340="",LEN($A340)&lt;=2),TRUE,FALSE)</formula>
    </cfRule>
  </conditionalFormatting>
  <conditionalFormatting sqref="D341">
    <cfRule type="expression" dxfId="308" priority="2502">
      <formula>IF(AND($B341="",$C341=""),TRUE,FALSE)</formula>
    </cfRule>
    <cfRule type="expression" dxfId="307" priority="2501">
      <formula>IF(AND($B341="",$C341="",LEN($A341)&lt;=2),TRUE,FALSE)</formula>
    </cfRule>
  </conditionalFormatting>
  <conditionalFormatting sqref="D342">
    <cfRule type="expression" dxfId="306" priority="13">
      <formula>IF(AND($B342="",$C342=""),TRUE,FALSE)</formula>
    </cfRule>
    <cfRule type="expression" dxfId="305" priority="14">
      <formula>IF(AND($B342="",$C342="",LEN($A342)&lt;=2),TRUE,FALSE)</formula>
    </cfRule>
    <cfRule type="expression" dxfId="304" priority="15">
      <formula>IF(AND($B342="",$C342=""),TRUE,FALSE)</formula>
    </cfRule>
  </conditionalFormatting>
  <conditionalFormatting sqref="D343">
    <cfRule type="expression" dxfId="303" priority="12798">
      <formula>IF(AND($B343="",$C343=""),TRUE,FALSE)</formula>
    </cfRule>
    <cfRule type="expression" dxfId="302" priority="12797">
      <formula>IF(AND($B343="",$C343="",LEN($A343)&lt;=2),TRUE,FALSE)</formula>
    </cfRule>
  </conditionalFormatting>
  <conditionalFormatting sqref="D345">
    <cfRule type="expression" dxfId="301" priority="1396">
      <formula>IF(AND($B345="",$C345=""),TRUE,FALSE)</formula>
    </cfRule>
    <cfRule type="expression" dxfId="300" priority="1394">
      <formula>IF(AND($B345="",$C345=""),TRUE,FALSE)</formula>
    </cfRule>
    <cfRule type="expression" dxfId="299" priority="1395">
      <formula>IF(AND($B345="",$C345="",LEN($A345)&lt;=2),TRUE,FALSE)</formula>
    </cfRule>
  </conditionalFormatting>
  <conditionalFormatting sqref="D346">
    <cfRule type="expression" dxfId="298" priority="1103">
      <formula>IF(AND($B346="",$C346=""),TRUE,FALSE)</formula>
    </cfRule>
    <cfRule type="expression" dxfId="297" priority="1101">
      <formula>IF(AND($B346="",$C346=""),TRUE,FALSE)</formula>
    </cfRule>
  </conditionalFormatting>
  <conditionalFormatting sqref="D347">
    <cfRule type="expression" dxfId="296" priority="749">
      <formula>IF(AND($B347="",$C347=""),TRUE,FALSE)</formula>
    </cfRule>
    <cfRule type="expression" dxfId="295" priority="751">
      <formula>IF(AND($B347="",$C347=""),TRUE,FALSE)</formula>
    </cfRule>
  </conditionalFormatting>
  <conditionalFormatting sqref="D348">
    <cfRule type="expression" dxfId="294" priority="1343">
      <formula>IF(AND($B348="",$C348=""),TRUE,FALSE)</formula>
    </cfRule>
    <cfRule type="expression" dxfId="293" priority="1345">
      <formula>IF(AND($B348="",$C348=""),TRUE,FALSE)</formula>
    </cfRule>
    <cfRule type="expression" dxfId="292" priority="1344">
      <formula>IF(AND($B348="",$C348="",LEN($A348)&lt;=2),TRUE,FALSE)</formula>
    </cfRule>
  </conditionalFormatting>
  <conditionalFormatting sqref="D351">
    <cfRule type="expression" dxfId="291" priority="12793">
      <formula>IF(AND($B351="",$C351="",LEN($A351)&lt;=2),TRUE,FALSE)</formula>
    </cfRule>
    <cfRule type="expression" dxfId="290" priority="12794">
      <formula>IF(AND($B351="",$C351=""),TRUE,FALSE)</formula>
    </cfRule>
  </conditionalFormatting>
  <conditionalFormatting sqref="D11:E11 B11">
    <cfRule type="expression" dxfId="289" priority="9027">
      <formula>IF(AND($B11="",$C11="",LEN($A11)&lt;=2),TRUE,FALSE)</formula>
    </cfRule>
  </conditionalFormatting>
  <conditionalFormatting sqref="D16:E16 B16">
    <cfRule type="expression" dxfId="288" priority="1811">
      <formula>IF(AND($B16="",$C16="",LEN($A16)&lt;=2),TRUE,FALSE)</formula>
    </cfRule>
  </conditionalFormatting>
  <conditionalFormatting sqref="D17:E17 B17">
    <cfRule type="expression" dxfId="287" priority="8067">
      <formula>IF(AND($B17="",$C17="",LEN($A17)&lt;=2),TRUE,FALSE)</formula>
    </cfRule>
  </conditionalFormatting>
  <conditionalFormatting sqref="D18:E18 B18">
    <cfRule type="expression" dxfId="286" priority="8090">
      <formula>IF(AND($B18="",$C18="",LEN($A18)&lt;=2),TRUE,FALSE)</formula>
    </cfRule>
  </conditionalFormatting>
  <conditionalFormatting sqref="D19:E19 B19 D15:E15 B15">
    <cfRule type="expression" dxfId="285" priority="8409">
      <formula>IF(AND($B15="",$C15="",LEN($A15)&lt;=2),TRUE,FALSE)</formula>
    </cfRule>
  </conditionalFormatting>
  <conditionalFormatting sqref="D105:E105">
    <cfRule type="expression" dxfId="284" priority="6928">
      <formula>IF(AND($B105="",$C105=""),TRUE,FALSE)</formula>
    </cfRule>
    <cfRule type="expression" dxfId="283" priority="6927">
      <formula>IF(AND($B105="",$C105="",LEN($A105)&lt;=2),TRUE,FALSE)</formula>
    </cfRule>
  </conditionalFormatting>
  <conditionalFormatting sqref="D110:E110">
    <cfRule type="expression" dxfId="282" priority="6688">
      <formula>IF(AND($B110="",$C110="",LEN($A110)&lt;=2),TRUE,FALSE)</formula>
    </cfRule>
    <cfRule type="expression" dxfId="281" priority="6689">
      <formula>IF(AND($B110="",$C110=""),TRUE,FALSE)</formula>
    </cfRule>
  </conditionalFormatting>
  <conditionalFormatting sqref="D157:E157 G157">
    <cfRule type="expression" dxfId="280" priority="150">
      <formula>IF(AND($B157="",$C157=""),TRUE,FALSE)</formula>
    </cfRule>
  </conditionalFormatting>
  <conditionalFormatting sqref="D216:E216 G216">
    <cfRule type="expression" dxfId="279" priority="259">
      <formula>IF(AND($B216="",$C216=""),TRUE,FALSE)</formula>
    </cfRule>
  </conditionalFormatting>
  <conditionalFormatting sqref="D232:E232 G232">
    <cfRule type="expression" dxfId="278" priority="241">
      <formula>IF(AND($B232="",$C232=""),TRUE,FALSE)</formula>
    </cfRule>
  </conditionalFormatting>
  <conditionalFormatting sqref="D310:E315">
    <cfRule type="expression" dxfId="277" priority="3502">
      <formula>IF(AND($B310="",$C310=""),TRUE,FALSE)</formula>
    </cfRule>
  </conditionalFormatting>
  <conditionalFormatting sqref="D295:F295">
    <cfRule type="expression" dxfId="276" priority="3932">
      <formula>IF(AND($B295="",$C295="",LEN($A295)&lt;=2),TRUE,FALSE)</formula>
    </cfRule>
  </conditionalFormatting>
  <conditionalFormatting sqref="D68:G68 B68">
    <cfRule type="expression" dxfId="275" priority="1222">
      <formula>IF(AND($B68="",$C68=""),TRUE,FALSE)</formula>
    </cfRule>
  </conditionalFormatting>
  <conditionalFormatting sqref="D46:I50">
    <cfRule type="expression" dxfId="274" priority="661">
      <formula>IF(AND($B46="",$C46="",LEN($A46)&lt;=2),TRUE,FALSE)</formula>
    </cfRule>
  </conditionalFormatting>
  <conditionalFormatting sqref="D52:I56">
    <cfRule type="expression" dxfId="273" priority="1237">
      <formula>IF(AND($B52="",$C52="",LEN($A52)&lt;=2),TRUE,FALSE)</formula>
    </cfRule>
  </conditionalFormatting>
  <conditionalFormatting sqref="D54:I54">
    <cfRule type="expression" dxfId="272" priority="1318">
      <formula>IF(AND($B54="",$C54=""),TRUE,FALSE)</formula>
    </cfRule>
  </conditionalFormatting>
  <conditionalFormatting sqref="D59:I60">
    <cfRule type="expression" dxfId="271" priority="7650">
      <formula>IF(AND($B59="",$C59=""),TRUE,FALSE)</formula>
    </cfRule>
  </conditionalFormatting>
  <conditionalFormatting sqref="D59:I62">
    <cfRule type="expression" dxfId="270" priority="123">
      <formula>IF(AND($B59="",$C59="",LEN($A59)&lt;=2),TRUE,FALSE)</formula>
    </cfRule>
  </conditionalFormatting>
  <conditionalFormatting sqref="D62:I62">
    <cfRule type="expression" dxfId="269" priority="7720">
      <formula>IF(AND($B62="",$C62=""),TRUE,FALSE)</formula>
    </cfRule>
  </conditionalFormatting>
  <conditionalFormatting sqref="D69:I69">
    <cfRule type="expression" dxfId="268" priority="12751">
      <formula>IF(AND($B69="",$C69="",LEN($A69)&lt;=2),TRUE,FALSE)</formula>
    </cfRule>
  </conditionalFormatting>
  <conditionalFormatting sqref="D71:I74">
    <cfRule type="expression" dxfId="267" priority="7425">
      <formula>IF(AND($B71="",$C71="",LEN($A71)&lt;=2),TRUE,FALSE)</formula>
    </cfRule>
    <cfRule type="expression" dxfId="266" priority="7426">
      <formula>IF(AND($B71="",$C71=""),TRUE,FALSE)</formula>
    </cfRule>
  </conditionalFormatting>
  <conditionalFormatting sqref="D78:I82">
    <cfRule type="expression" dxfId="265" priority="932">
      <formula>IF(AND($B78="",$C78="",LEN($A78)&lt;=2),TRUE,FALSE)</formula>
    </cfRule>
  </conditionalFormatting>
  <conditionalFormatting sqref="D95:I97">
    <cfRule type="expression" dxfId="264" priority="167">
      <formula>IF(AND($B95="",$C95="",LEN($A95)&lt;=2),TRUE,FALSE)</formula>
    </cfRule>
  </conditionalFormatting>
  <conditionalFormatting sqref="D96:I97">
    <cfRule type="expression" dxfId="263" priority="7177">
      <formula>IF(AND($B96="",$C96=""),TRUE,FALSE)</formula>
    </cfRule>
  </conditionalFormatting>
  <conditionalFormatting sqref="D116:I119">
    <cfRule type="expression" dxfId="262" priority="2062">
      <formula>IF(AND($B116="",$C116="",LEN($A116)&lt;=2),TRUE,FALSE)</formula>
    </cfRule>
    <cfRule type="expression" dxfId="261" priority="2063">
      <formula>IF(AND($B116="",$C116=""),TRUE,FALSE)</formula>
    </cfRule>
  </conditionalFormatting>
  <conditionalFormatting sqref="D121:I125">
    <cfRule type="expression" dxfId="260" priority="1981">
      <formula>IF(AND($B121="",$C121="",LEN($A121)&lt;=2),TRUE,FALSE)</formula>
    </cfRule>
    <cfRule type="expression" dxfId="259" priority="1982">
      <formula>IF(AND($B121="",$C121=""),TRUE,FALSE)</formula>
    </cfRule>
  </conditionalFormatting>
  <conditionalFormatting sqref="D129:I133">
    <cfRule type="expression" dxfId="258" priority="815">
      <formula>IF(AND($B129="",$C129="",LEN($A129)&lt;=2),TRUE,FALSE)</formula>
    </cfRule>
  </conditionalFormatting>
  <conditionalFormatting sqref="D133:I133">
    <cfRule type="expression" dxfId="257" priority="6521">
      <formula>IF(AND($B133="",$C133=""),TRUE,FALSE)</formula>
    </cfRule>
  </conditionalFormatting>
  <conditionalFormatting sqref="D151:I151">
    <cfRule type="expression" dxfId="256" priority="202">
      <formula>IF(AND($B151="",$C151=""),TRUE,FALSE)</formula>
    </cfRule>
  </conditionalFormatting>
  <conditionalFormatting sqref="D152:I152">
    <cfRule type="expression" dxfId="255" priority="75">
      <formula>IF(AND($B152="",$C152=""),TRUE,FALSE)</formula>
    </cfRule>
  </conditionalFormatting>
  <conditionalFormatting sqref="D153:I153">
    <cfRule type="expression" dxfId="254" priority="162">
      <formula>IF(AND($B153="",$C153=""),TRUE,FALSE)</formula>
    </cfRule>
  </conditionalFormatting>
  <conditionalFormatting sqref="D163:I175">
    <cfRule type="expression" dxfId="253" priority="1434">
      <formula>IF(AND($B163="",$C163="",LEN($A163)&lt;=2),TRUE,FALSE)</formula>
    </cfRule>
    <cfRule type="expression" dxfId="252" priority="1435">
      <formula>IF(AND($B163="",$C163=""),TRUE,FALSE)</formula>
    </cfRule>
  </conditionalFormatting>
  <conditionalFormatting sqref="D180:I181">
    <cfRule type="expression" dxfId="251" priority="5344">
      <formula>IF(AND($B180="",$C180=""),TRUE,FALSE)</formula>
    </cfRule>
  </conditionalFormatting>
  <conditionalFormatting sqref="D180:I202">
    <cfRule type="expression" dxfId="250" priority="263">
      <formula>IF(AND($B180="",$C180="",LEN($A180)&lt;=2),TRUE,FALSE)</formula>
    </cfRule>
  </conditionalFormatting>
  <conditionalFormatting sqref="D200:I202">
    <cfRule type="expression" dxfId="249" priority="5388">
      <formula>IF(AND($B200="",$C200=""),TRUE,FALSE)</formula>
    </cfRule>
  </conditionalFormatting>
  <conditionalFormatting sqref="D205:I205">
    <cfRule type="expression" dxfId="248" priority="5141">
      <formula>IF(AND($B205="",$C205=""),TRUE,FALSE)</formula>
    </cfRule>
  </conditionalFormatting>
  <conditionalFormatting sqref="D205:I210">
    <cfRule type="expression" dxfId="247" priority="1142">
      <formula>IF(AND($B205="",$C205="",LEN($A205)&lt;=2),TRUE,FALSE)</formula>
    </cfRule>
  </conditionalFormatting>
  <conditionalFormatting sqref="D207:I210">
    <cfRule type="expression" dxfId="246" priority="5156">
      <formula>IF(AND($B207="",$C207=""),TRUE,FALSE)</formula>
    </cfRule>
  </conditionalFormatting>
  <conditionalFormatting sqref="D212:I212">
    <cfRule type="expression" dxfId="245" priority="5104">
      <formula>IF(AND($B212="",$C212="",LEN($A212)&lt;=2),TRUE,FALSE)</formula>
    </cfRule>
    <cfRule type="expression" dxfId="244" priority="5105">
      <formula>IF(AND($B212="",$C212=""),TRUE,FALSE)</formula>
    </cfRule>
  </conditionalFormatting>
  <conditionalFormatting sqref="D227:I228">
    <cfRule type="expression" dxfId="243" priority="4918">
      <formula>IF(AND($B227="",$C227=""),TRUE,FALSE)</formula>
    </cfRule>
    <cfRule type="expression" dxfId="242" priority="4917">
      <formula>IF(AND($B227="",$C227="",LEN($A227)&lt;=2),TRUE,FALSE)</formula>
    </cfRule>
  </conditionalFormatting>
  <conditionalFormatting sqref="D284:I287">
    <cfRule type="expression" dxfId="241" priority="4074">
      <formula>IF(AND($B284="",$C284=""),TRUE,FALSE)</formula>
    </cfRule>
  </conditionalFormatting>
  <conditionalFormatting sqref="D284:I289">
    <cfRule type="expression" dxfId="240" priority="213">
      <formula>IF(AND($B284="",$C284="",LEN($A284)&lt;=2),TRUE,FALSE)</formula>
    </cfRule>
  </conditionalFormatting>
  <conditionalFormatting sqref="D289:I289">
    <cfRule type="expression" dxfId="239" priority="12664">
      <formula>IF(AND($B289="",$C289=""),TRUE,FALSE)</formula>
    </cfRule>
  </conditionalFormatting>
  <conditionalFormatting sqref="D291:I293">
    <cfRule type="expression" dxfId="238" priority="3882">
      <formula>IF(AND($B291="",$C291=""),TRUE,FALSE)</formula>
    </cfRule>
    <cfRule type="expression" dxfId="237" priority="3881">
      <formula>IF(AND($B291="",$C291="",LEN($A291)&lt;=2),TRUE,FALSE)</formula>
    </cfRule>
  </conditionalFormatting>
  <conditionalFormatting sqref="D295:I295">
    <cfRule type="expression" dxfId="236" priority="3933">
      <formula>IF(AND($B295="",$C295=""),TRUE,FALSE)</formula>
    </cfRule>
  </conditionalFormatting>
  <conditionalFormatting sqref="D296:I298">
    <cfRule type="expression" dxfId="235" priority="3945">
      <formula>IF(AND($B296="",$C296="",LEN($A296)&lt;=2),TRUE,FALSE)</formula>
    </cfRule>
    <cfRule type="expression" dxfId="234" priority="3946">
      <formula>IF(AND($B296="",$C296=""),TRUE,FALSE)</formula>
    </cfRule>
  </conditionalFormatting>
  <conditionalFormatting sqref="D300:I306">
    <cfRule type="expression" dxfId="233" priority="3648">
      <formula>IF(AND($B300="",$C300=""),TRUE,FALSE)</formula>
    </cfRule>
  </conditionalFormatting>
  <conditionalFormatting sqref="D300:I308">
    <cfRule type="expression" dxfId="232" priority="23">
      <formula>IF(AND($B300="",$C300="",LEN($A300)&lt;=2),TRUE,FALSE)</formula>
    </cfRule>
  </conditionalFormatting>
  <conditionalFormatting sqref="D308:I308">
    <cfRule type="expression" dxfId="231" priority="3712">
      <formula>IF(AND($B308="",$C308=""),TRUE,FALSE)</formula>
    </cfRule>
  </conditionalFormatting>
  <conditionalFormatting sqref="D310:I315">
    <cfRule type="expression" dxfId="230" priority="3501">
      <formula>IF(AND($B310="",$C310="",LEN($A310)&lt;=2),TRUE,FALSE)</formula>
    </cfRule>
  </conditionalFormatting>
  <conditionalFormatting sqref="D320:I325">
    <cfRule type="expression" dxfId="229" priority="3359">
      <formula>IF(AND($B320="",$C320=""),TRUE,FALSE)</formula>
    </cfRule>
    <cfRule type="expression" dxfId="228" priority="3358">
      <formula>IF(AND($B320="",$C320="",LEN($A320)&lt;=2),TRUE,FALSE)</formula>
    </cfRule>
  </conditionalFormatting>
  <conditionalFormatting sqref="D345:I348">
    <cfRule type="expression" dxfId="227" priority="744">
      <formula>IF(AND($B345="",$C345="",LEN($A345)&lt;=2),TRUE,FALSE)</formula>
    </cfRule>
  </conditionalFormatting>
  <conditionalFormatting sqref="D350:I351">
    <cfRule type="expression" dxfId="226" priority="1512">
      <formula>IF(AND($B350="",$C350="",LEN($A350)&lt;=2),TRUE,FALSE)</formula>
    </cfRule>
    <cfRule type="expression" dxfId="225" priority="1513">
      <formula>IF(AND($B350="",$C350=""),TRUE,FALSE)</formula>
    </cfRule>
  </conditionalFormatting>
  <conditionalFormatting sqref="D90:J91">
    <cfRule type="expression" dxfId="224" priority="8118">
      <formula>IF(AND($B90="",$C90=""),TRUE,FALSE)</formula>
    </cfRule>
    <cfRule type="expression" dxfId="223" priority="8117">
      <formula>IF(AND($B90="",$C90="",LEN($A90)&lt;=2),TRUE,FALSE)</formula>
    </cfRule>
  </conditionalFormatting>
  <conditionalFormatting sqref="D93:J93">
    <cfRule type="expression" dxfId="222" priority="3025">
      <formula>IF(AND($B93="",$C93="",LEN($A93)&lt;=2),TRUE,FALSE)</formula>
    </cfRule>
    <cfRule type="expression" dxfId="221" priority="3026">
      <formula>IF(AND($B93="",$C93=""),TRUE,FALSE)</formula>
    </cfRule>
  </conditionalFormatting>
  <conditionalFormatting sqref="E41">
    <cfRule type="expression" dxfId="220" priority="1190">
      <formula>IF(AND($B41="",$C41=""),TRUE,FALSE)</formula>
    </cfRule>
  </conditionalFormatting>
  <conditionalFormatting sqref="E42">
    <cfRule type="expression" dxfId="219" priority="99">
      <formula>IF(AND($B42="",$C42=""),TRUE,FALSE)</formula>
    </cfRule>
  </conditionalFormatting>
  <conditionalFormatting sqref="E43">
    <cfRule type="expression" dxfId="218" priority="83">
      <formula>IF(AND($B43="",$C43=""),TRUE,FALSE)</formula>
    </cfRule>
  </conditionalFormatting>
  <conditionalFormatting sqref="E46">
    <cfRule type="expression" dxfId="217" priority="682">
      <formula>IF(AND($B46="",$C46=""),TRUE,FALSE)</formula>
    </cfRule>
  </conditionalFormatting>
  <conditionalFormatting sqref="E48">
    <cfRule type="expression" dxfId="216" priority="662">
      <formula>IF(AND($B48="",$C48=""),TRUE,FALSE)</formula>
    </cfRule>
  </conditionalFormatting>
  <conditionalFormatting sqref="E49">
    <cfRule type="expression" dxfId="215" priority="698">
      <formula>IF(AND($B49="",$C49=""),TRUE,FALSE)</formula>
    </cfRule>
  </conditionalFormatting>
  <conditionalFormatting sqref="E50">
    <cfRule type="expression" dxfId="214" priority="706">
      <formula>IF(AND($B50="",$C50=""),TRUE,FALSE)</formula>
    </cfRule>
  </conditionalFormatting>
  <conditionalFormatting sqref="E52">
    <cfRule type="expression" dxfId="213" priority="1307">
      <formula>IF(AND($B52="",$C52=""),TRUE,FALSE)</formula>
    </cfRule>
  </conditionalFormatting>
  <conditionalFormatting sqref="E53">
    <cfRule type="expression" dxfId="212" priority="1258">
      <formula>IF(AND($B53="",$C53=""),TRUE,FALSE)</formula>
    </cfRule>
  </conditionalFormatting>
  <conditionalFormatting sqref="E55">
    <cfRule type="expression" dxfId="211" priority="1238">
      <formula>IF(AND($B55="",$C55=""),TRUE,FALSE)</formula>
    </cfRule>
  </conditionalFormatting>
  <conditionalFormatting sqref="E56">
    <cfRule type="expression" dxfId="210" priority="1299">
      <formula>IF(AND($B56="",$C56=""),TRUE,FALSE)</formula>
    </cfRule>
  </conditionalFormatting>
  <conditionalFormatting sqref="E61">
    <cfRule type="expression" dxfId="209" priority="124">
      <formula>IF(AND($B61="",$C61=""),TRUE,FALSE)</formula>
    </cfRule>
  </conditionalFormatting>
  <conditionalFormatting sqref="E81">
    <cfRule type="expression" dxfId="208" priority="982">
      <formula>IF(AND($B81="",$C81=""),TRUE,FALSE)</formula>
    </cfRule>
  </conditionalFormatting>
  <conditionalFormatting sqref="E82">
    <cfRule type="expression" dxfId="207" priority="933">
      <formula>IF(AND($B82="",$C82=""),TRUE,FALSE)</formula>
    </cfRule>
  </conditionalFormatting>
  <conditionalFormatting sqref="E84">
    <cfRule type="expression" dxfId="206" priority="182">
      <formula>IF(AND($B84="",$C84=""),TRUE,FALSE)</formula>
    </cfRule>
  </conditionalFormatting>
  <conditionalFormatting sqref="E85">
    <cfRule type="expression" dxfId="205" priority="974">
      <formula>IF(AND($B85="",$C85=""),TRUE,FALSE)</formula>
    </cfRule>
  </conditionalFormatting>
  <conditionalFormatting sqref="E129">
    <cfRule type="expression" dxfId="204" priority="864">
      <formula>IF(AND($B129="",$C129=""),TRUE,FALSE)</formula>
    </cfRule>
  </conditionalFormatting>
  <conditionalFormatting sqref="E130">
    <cfRule type="expression" dxfId="203" priority="816">
      <formula>IF(AND($B130="",$C130=""),TRUE,FALSE)</formula>
    </cfRule>
  </conditionalFormatting>
  <conditionalFormatting sqref="E131">
    <cfRule type="expression" dxfId="202" priority="832">
      <formula>IF(AND($B131="",$C131=""),TRUE,FALSE)</formula>
    </cfRule>
  </conditionalFormatting>
  <conditionalFormatting sqref="E132">
    <cfRule type="expression" dxfId="201" priority="848">
      <formula>IF(AND($B132="",$C132=""),TRUE,FALSE)</formula>
    </cfRule>
  </conditionalFormatting>
  <conditionalFormatting sqref="E182">
    <cfRule type="expression" dxfId="200" priority="327">
      <formula>IF(AND($B182="",$C182=""),TRUE,FALSE)</formula>
    </cfRule>
  </conditionalFormatting>
  <conditionalFormatting sqref="E183">
    <cfRule type="expression" dxfId="199" priority="340">
      <formula>IF(AND($B183="",$C183=""),TRUE,FALSE)</formula>
    </cfRule>
  </conditionalFormatting>
  <conditionalFormatting sqref="E184">
    <cfRule type="expression" dxfId="198" priority="353">
      <formula>IF(AND($B184="",$C184=""),TRUE,FALSE)</formula>
    </cfRule>
  </conditionalFormatting>
  <conditionalFormatting sqref="E185">
    <cfRule type="expression" dxfId="197" priority="371">
      <formula>IF(AND($B185="",$C185=""),TRUE,FALSE)</formula>
    </cfRule>
  </conditionalFormatting>
  <conditionalFormatting sqref="E186">
    <cfRule type="expression" dxfId="196" priority="384">
      <formula>IF(AND($B186="",$C186=""),TRUE,FALSE)</formula>
    </cfRule>
  </conditionalFormatting>
  <conditionalFormatting sqref="E187">
    <cfRule type="expression" dxfId="195" priority="397">
      <formula>IF(AND($B187="",$C187=""),TRUE,FALSE)</formula>
    </cfRule>
  </conditionalFormatting>
  <conditionalFormatting sqref="E188">
    <cfRule type="expression" dxfId="194" priority="416">
      <formula>IF(AND($B188="",$C188=""),TRUE,FALSE)</formula>
    </cfRule>
  </conditionalFormatting>
  <conditionalFormatting sqref="E189">
    <cfRule type="expression" dxfId="193" priority="429">
      <formula>IF(AND($B189="",$C189=""),TRUE,FALSE)</formula>
    </cfRule>
  </conditionalFormatting>
  <conditionalFormatting sqref="E190">
    <cfRule type="expression" dxfId="192" priority="460">
      <formula>IF(AND($B190="",$C190=""),TRUE,FALSE)</formula>
    </cfRule>
  </conditionalFormatting>
  <conditionalFormatting sqref="E191">
    <cfRule type="expression" dxfId="191" priority="473">
      <formula>IF(AND($B191="",$C191=""),TRUE,FALSE)</formula>
    </cfRule>
  </conditionalFormatting>
  <conditionalFormatting sqref="E192">
    <cfRule type="expression" dxfId="190" priority="486">
      <formula>IF(AND($B192="",$C192=""),TRUE,FALSE)</formula>
    </cfRule>
  </conditionalFormatting>
  <conditionalFormatting sqref="E193">
    <cfRule type="expression" dxfId="189" priority="505">
      <formula>IF(AND($B193="",$C193=""),TRUE,FALSE)</formula>
    </cfRule>
  </conditionalFormatting>
  <conditionalFormatting sqref="E194">
    <cfRule type="expression" dxfId="188" priority="518">
      <formula>IF(AND($B194="",$C194=""),TRUE,FALSE)</formula>
    </cfRule>
  </conditionalFormatting>
  <conditionalFormatting sqref="E195">
    <cfRule type="expression" dxfId="187" priority="264">
      <formula>IF(AND($B195="",$C195=""),TRUE,FALSE)</formula>
    </cfRule>
  </conditionalFormatting>
  <conditionalFormatting sqref="E196">
    <cfRule type="expression" dxfId="186" priority="282">
      <formula>IF(AND($B196="",$C196=""),TRUE,FALSE)</formula>
    </cfRule>
  </conditionalFormatting>
  <conditionalFormatting sqref="E197">
    <cfRule type="expression" dxfId="185" priority="295">
      <formula>IF(AND($B197="",$C197=""),TRUE,FALSE)</formula>
    </cfRule>
  </conditionalFormatting>
  <conditionalFormatting sqref="E198">
    <cfRule type="expression" dxfId="184" priority="308">
      <formula>IF(AND($B198="",$C198=""),TRUE,FALSE)</formula>
    </cfRule>
  </conditionalFormatting>
  <conditionalFormatting sqref="E199">
    <cfRule type="expression" dxfId="183" priority="531">
      <formula>IF(AND($B199="",$C199=""),TRUE,FALSE)</formula>
    </cfRule>
  </conditionalFormatting>
  <conditionalFormatting sqref="E206">
    <cfRule type="expression" dxfId="182" priority="1143">
      <formula>IF(AND($B206="",$C206=""),TRUE,FALSE)</formula>
    </cfRule>
  </conditionalFormatting>
  <conditionalFormatting sqref="E274">
    <cfRule type="expression" dxfId="181" priority="578">
      <formula>IF(AND($B274="",$C274=""),TRUE,FALSE)</formula>
    </cfRule>
  </conditionalFormatting>
  <conditionalFormatting sqref="E278">
    <cfRule type="expression" dxfId="180" priority="549">
      <formula>IF(AND($B278="",$C278=""),TRUE,FALSE)</formula>
    </cfRule>
  </conditionalFormatting>
  <conditionalFormatting sqref="E279">
    <cfRule type="expression" dxfId="179" priority="564">
      <formula>IF(AND($B279="",$C279=""),TRUE,FALSE)</formula>
    </cfRule>
  </conditionalFormatting>
  <conditionalFormatting sqref="E288">
    <cfRule type="expression" dxfId="178" priority="214">
      <formula>IF(AND($B288="",$C288=""),TRUE,FALSE)</formula>
    </cfRule>
  </conditionalFormatting>
  <conditionalFormatting sqref="E307">
    <cfRule type="expression" dxfId="177" priority="24">
      <formula>IF(AND($B307="",$C307=""),TRUE,FALSE)</formula>
    </cfRule>
  </conditionalFormatting>
  <conditionalFormatting sqref="E333">
    <cfRule type="expression" dxfId="176" priority="1084">
      <formula>IF(AND($B333="",$C333=""),TRUE,FALSE)</formula>
    </cfRule>
  </conditionalFormatting>
  <conditionalFormatting sqref="E342">
    <cfRule type="expression" dxfId="175" priority="9">
      <formula>IF(AND($B342="",$C342=""),TRUE,FALSE)</formula>
    </cfRule>
  </conditionalFormatting>
  <conditionalFormatting sqref="E345">
    <cfRule type="expression" dxfId="174" priority="1390">
      <formula>IF(AND($B345="",$C345=""),TRUE,FALSE)</formula>
    </cfRule>
  </conditionalFormatting>
  <conditionalFormatting sqref="E346">
    <cfRule type="expression" dxfId="173" priority="1097">
      <formula>IF(AND($B346="",$C346=""),TRUE,FALSE)</formula>
    </cfRule>
  </conditionalFormatting>
  <conditionalFormatting sqref="E347">
    <cfRule type="expression" dxfId="172" priority="745">
      <formula>IF(AND($B347="",$C347=""),TRUE,FALSE)</formula>
    </cfRule>
  </conditionalFormatting>
  <conditionalFormatting sqref="E348">
    <cfRule type="expression" dxfId="171" priority="1339">
      <formula>IF(AND($B348="",$C348=""),TRUE,FALSE)</formula>
    </cfRule>
  </conditionalFormatting>
  <conditionalFormatting sqref="F9:F11">
    <cfRule type="expression" dxfId="170" priority="9026">
      <formula>IF(AND($B9="",$C9=""),TRUE,FALSE)</formula>
    </cfRule>
  </conditionalFormatting>
  <conditionalFormatting sqref="F13:F16">
    <cfRule type="expression" dxfId="169" priority="1810">
      <formula>IF(AND($B13="",$C13=""),TRUE,FALSE)</formula>
    </cfRule>
  </conditionalFormatting>
  <conditionalFormatting sqref="F41 H41:I41">
    <cfRule type="expression" dxfId="168" priority="1194">
      <formula>IF(AND($B41="",$C41=""),TRUE,FALSE)</formula>
    </cfRule>
  </conditionalFormatting>
  <conditionalFormatting sqref="F42 H42:I42">
    <cfRule type="expression" dxfId="167" priority="103">
      <formula>IF(AND($B42="",$C42=""),TRUE,FALSE)</formula>
    </cfRule>
  </conditionalFormatting>
  <conditionalFormatting sqref="F43 H43:I43">
    <cfRule type="expression" dxfId="166" priority="87">
      <formula>IF(AND($B43="",$C43=""),TRUE,FALSE)</formula>
    </cfRule>
  </conditionalFormatting>
  <conditionalFormatting sqref="F46 H46:I46">
    <cfRule type="expression" dxfId="165" priority="686">
      <formula>IF(AND($B46="",$C46=""),TRUE,FALSE)</formula>
    </cfRule>
  </conditionalFormatting>
  <conditionalFormatting sqref="F48 H48:I48">
    <cfRule type="expression" dxfId="164" priority="666">
      <formula>IF(AND($B48="",$C48=""),TRUE,FALSE)</formula>
    </cfRule>
  </conditionalFormatting>
  <conditionalFormatting sqref="F49 H49:I49">
    <cfRule type="expression" dxfId="163" priority="702">
      <formula>IF(AND($B49="",$C49=""),TRUE,FALSE)</formula>
    </cfRule>
  </conditionalFormatting>
  <conditionalFormatting sqref="F50 H50:I50">
    <cfRule type="expression" dxfId="162" priority="710">
      <formula>IF(AND($B50="",$C50=""),TRUE,FALSE)</formula>
    </cfRule>
  </conditionalFormatting>
  <conditionalFormatting sqref="F52 H52:I52">
    <cfRule type="expression" dxfId="161" priority="1315">
      <formula>IF(AND($B52="",$C52=""),TRUE,FALSE)</formula>
    </cfRule>
  </conditionalFormatting>
  <conditionalFormatting sqref="F53 H53:I53">
    <cfRule type="expression" dxfId="160" priority="1262">
      <formula>IF(AND($B53="",$C53=""),TRUE,FALSE)</formula>
    </cfRule>
  </conditionalFormatting>
  <conditionalFormatting sqref="F55 H55:I55">
    <cfRule type="expression" dxfId="159" priority="1242">
      <formula>IF(AND($B55="",$C55=""),TRUE,FALSE)</formula>
    </cfRule>
  </conditionalFormatting>
  <conditionalFormatting sqref="F56 H56:I56">
    <cfRule type="expression" dxfId="158" priority="1303">
      <formula>IF(AND($B56="",$C56=""),TRUE,FALSE)</formula>
    </cfRule>
  </conditionalFormatting>
  <conditionalFormatting sqref="F61 H61:I61">
    <cfRule type="expression" dxfId="157" priority="128">
      <formula>IF(AND($B61="",$C61=""),TRUE,FALSE)</formula>
    </cfRule>
  </conditionalFormatting>
  <conditionalFormatting sqref="F69">
    <cfRule type="expression" dxfId="156" priority="12761">
      <formula>IF(AND($B69="",$C69=""),TRUE,FALSE)</formula>
    </cfRule>
  </conditionalFormatting>
  <conditionalFormatting sqref="F78 H78:I78">
    <cfRule type="expression" dxfId="155" priority="1027">
      <formula>IF(AND($B78="",$C78=""),TRUE,FALSE)</formula>
    </cfRule>
  </conditionalFormatting>
  <conditionalFormatting sqref="F79 H79:I79">
    <cfRule type="expression" dxfId="154" priority="1010">
      <formula>IF(AND($B79="",$C79=""),TRUE,FALSE)</formula>
    </cfRule>
  </conditionalFormatting>
  <conditionalFormatting sqref="F80 H80:I80">
    <cfRule type="expression" dxfId="153" priority="1015">
      <formula>IF(AND($B80="",$C80=""),TRUE,FALSE)</formula>
    </cfRule>
  </conditionalFormatting>
  <conditionalFormatting sqref="F81 H81:I81">
    <cfRule type="expression" dxfId="152" priority="990">
      <formula>IF(AND($B81="",$C81=""),TRUE,FALSE)</formula>
    </cfRule>
  </conditionalFormatting>
  <conditionalFormatting sqref="F82 H82:I82">
    <cfRule type="expression" dxfId="151" priority="937">
      <formula>IF(AND($B82="",$C82=""),TRUE,FALSE)</formula>
    </cfRule>
  </conditionalFormatting>
  <conditionalFormatting sqref="F84 H84:I84">
    <cfRule type="expression" dxfId="150" priority="186">
      <formula>IF(AND($B84="",$C84=""),TRUE,FALSE)</formula>
    </cfRule>
  </conditionalFormatting>
  <conditionalFormatting sqref="F85 H85:I85">
    <cfRule type="expression" dxfId="149" priority="978">
      <formula>IF(AND($B85="",$C85=""),TRUE,FALSE)</formula>
    </cfRule>
  </conditionalFormatting>
  <conditionalFormatting sqref="F86 H86:I86">
    <cfRule type="expression" dxfId="148" priority="907">
      <formula>IF(AND($B86="",$C86=""),TRUE,FALSE)</formula>
    </cfRule>
  </conditionalFormatting>
  <conditionalFormatting sqref="F87 H87:I87">
    <cfRule type="expression" dxfId="147" priority="890">
      <formula>IF(AND($B87="",$C87=""),TRUE,FALSE)</formula>
    </cfRule>
  </conditionalFormatting>
  <conditionalFormatting sqref="F88 H88:I88">
    <cfRule type="expression" dxfId="146" priority="1021">
      <formula>IF(AND($B88="",$C88=""),TRUE,FALSE)</formula>
    </cfRule>
  </conditionalFormatting>
  <conditionalFormatting sqref="F92">
    <cfRule type="expression" dxfId="145" priority="11426">
      <formula>IF(AND($B92="",$C92=""),TRUE,FALSE)</formula>
    </cfRule>
  </conditionalFormatting>
  <conditionalFormatting sqref="F95">
    <cfRule type="expression" dxfId="144" priority="168">
      <formula>IF(AND($B95="",$C95=""),TRUE,FALSE)</formula>
    </cfRule>
  </conditionalFormatting>
  <conditionalFormatting sqref="F129">
    <cfRule type="expression" dxfId="143" priority="872">
      <formula>IF(AND($B129="",$C129=""),TRUE,FALSE)</formula>
    </cfRule>
  </conditionalFormatting>
  <conditionalFormatting sqref="F130">
    <cfRule type="expression" dxfId="142" priority="824">
      <formula>IF(AND($B130="",$C130=""),TRUE,FALSE)</formula>
    </cfRule>
  </conditionalFormatting>
  <conditionalFormatting sqref="F131">
    <cfRule type="expression" dxfId="141" priority="840">
      <formula>IF(AND($B131="",$C131=""),TRUE,FALSE)</formula>
    </cfRule>
  </conditionalFormatting>
  <conditionalFormatting sqref="F132">
    <cfRule type="expression" dxfId="140" priority="856">
      <formula>IF(AND($B132="",$C132=""),TRUE,FALSE)</formula>
    </cfRule>
  </conditionalFormatting>
  <conditionalFormatting sqref="F157">
    <cfRule type="expression" dxfId="139" priority="145">
      <formula>IF(AND($B157="",$C157=""),TRUE,FALSE)</formula>
    </cfRule>
  </conditionalFormatting>
  <conditionalFormatting sqref="F182">
    <cfRule type="expression" dxfId="138" priority="335">
      <formula>IF(AND($B182="",$C182=""),TRUE,FALSE)</formula>
    </cfRule>
  </conditionalFormatting>
  <conditionalFormatting sqref="F183">
    <cfRule type="expression" dxfId="137" priority="348">
      <formula>IF(AND($B183="",$C183=""),TRUE,FALSE)</formula>
    </cfRule>
  </conditionalFormatting>
  <conditionalFormatting sqref="F184">
    <cfRule type="expression" dxfId="136" priority="361">
      <formula>IF(AND($B184="",$C184=""),TRUE,FALSE)</formula>
    </cfRule>
  </conditionalFormatting>
  <conditionalFormatting sqref="F185">
    <cfRule type="expression" dxfId="135" priority="379">
      <formula>IF(AND($B185="",$C185=""),TRUE,FALSE)</formula>
    </cfRule>
  </conditionalFormatting>
  <conditionalFormatting sqref="F186">
    <cfRule type="expression" dxfId="134" priority="392">
      <formula>IF(AND($B186="",$C186=""),TRUE,FALSE)</formula>
    </cfRule>
  </conditionalFormatting>
  <conditionalFormatting sqref="F187">
    <cfRule type="expression" dxfId="133" priority="405">
      <formula>IF(AND($B187="",$C187=""),TRUE,FALSE)</formula>
    </cfRule>
  </conditionalFormatting>
  <conditionalFormatting sqref="F188">
    <cfRule type="expression" dxfId="132" priority="424">
      <formula>IF(AND($B188="",$C188=""),TRUE,FALSE)</formula>
    </cfRule>
  </conditionalFormatting>
  <conditionalFormatting sqref="F189">
    <cfRule type="expression" dxfId="131" priority="437">
      <formula>IF(AND($B189="",$C189=""),TRUE,FALSE)</formula>
    </cfRule>
  </conditionalFormatting>
  <conditionalFormatting sqref="F190">
    <cfRule type="expression" dxfId="130" priority="468">
      <formula>IF(AND($B190="",$C190=""),TRUE,FALSE)</formula>
    </cfRule>
  </conditionalFormatting>
  <conditionalFormatting sqref="F191">
    <cfRule type="expression" dxfId="129" priority="481">
      <formula>IF(AND($B191="",$C191=""),TRUE,FALSE)</formula>
    </cfRule>
  </conditionalFormatting>
  <conditionalFormatting sqref="F192">
    <cfRule type="expression" dxfId="128" priority="494">
      <formula>IF(AND($B192="",$C192=""),TRUE,FALSE)</formula>
    </cfRule>
  </conditionalFormatting>
  <conditionalFormatting sqref="F193">
    <cfRule type="expression" dxfId="127" priority="513">
      <formula>IF(AND($B193="",$C193=""),TRUE,FALSE)</formula>
    </cfRule>
  </conditionalFormatting>
  <conditionalFormatting sqref="F194">
    <cfRule type="expression" dxfId="126" priority="526">
      <formula>IF(AND($B194="",$C194=""),TRUE,FALSE)</formula>
    </cfRule>
  </conditionalFormatting>
  <conditionalFormatting sqref="F195">
    <cfRule type="expression" dxfId="125" priority="272">
      <formula>IF(AND($B195="",$C195=""),TRUE,FALSE)</formula>
    </cfRule>
  </conditionalFormatting>
  <conditionalFormatting sqref="F196">
    <cfRule type="expression" dxfId="124" priority="290">
      <formula>IF(AND($B196="",$C196=""),TRUE,FALSE)</formula>
    </cfRule>
  </conditionalFormatting>
  <conditionalFormatting sqref="F197">
    <cfRule type="expression" dxfId="123" priority="303">
      <formula>IF(AND($B197="",$C197=""),TRUE,FALSE)</formula>
    </cfRule>
  </conditionalFormatting>
  <conditionalFormatting sqref="F198">
    <cfRule type="expression" dxfId="122" priority="316">
      <formula>IF(AND($B198="",$C198=""),TRUE,FALSE)</formula>
    </cfRule>
  </conditionalFormatting>
  <conditionalFormatting sqref="F199">
    <cfRule type="expression" dxfId="121" priority="539">
      <formula>IF(AND($B199="",$C199=""),TRUE,FALSE)</formula>
    </cfRule>
  </conditionalFormatting>
  <conditionalFormatting sqref="F206">
    <cfRule type="expression" dxfId="120" priority="1151">
      <formula>IF(AND($B206="",$C206=""),TRUE,FALSE)</formula>
    </cfRule>
  </conditionalFormatting>
  <conditionalFormatting sqref="F216">
    <cfRule type="expression" dxfId="119" priority="255">
      <formula>IF(AND($B216="",$C216=""),TRUE,FALSE)</formula>
    </cfRule>
  </conditionalFormatting>
  <conditionalFormatting sqref="F232">
    <cfRule type="expression" dxfId="118" priority="237">
      <formula>IF(AND($B232="",$C232=""),TRUE,FALSE)</formula>
    </cfRule>
  </conditionalFormatting>
  <conditionalFormatting sqref="F274">
    <cfRule type="expression" dxfId="117" priority="580">
      <formula>IF(AND($B274="",$C274=""),TRUE,FALSE)</formula>
    </cfRule>
  </conditionalFormatting>
  <conditionalFormatting sqref="F278">
    <cfRule type="expression" dxfId="116" priority="551">
      <formula>IF(AND($B278="",$C278=""),TRUE,FALSE)</formula>
    </cfRule>
  </conditionalFormatting>
  <conditionalFormatting sqref="F279">
    <cfRule type="expression" dxfId="115" priority="566">
      <formula>IF(AND($B279="",$C279=""),TRUE,FALSE)</formula>
    </cfRule>
  </conditionalFormatting>
  <conditionalFormatting sqref="F288">
    <cfRule type="expression" dxfId="114" priority="222">
      <formula>IF(AND($B288="",$C288=""),TRUE,FALSE)</formula>
    </cfRule>
  </conditionalFormatting>
  <conditionalFormatting sqref="F294">
    <cfRule type="expression" dxfId="113" priority="3926">
      <formula>IF(AND($B294="",$C294=""),TRUE,FALSE)</formula>
    </cfRule>
  </conditionalFormatting>
  <conditionalFormatting sqref="F307">
    <cfRule type="expression" dxfId="112" priority="32">
      <formula>IF(AND($B307="",$C307=""),TRUE,FALSE)</formula>
    </cfRule>
  </conditionalFormatting>
  <conditionalFormatting sqref="F310:F317">
    <cfRule type="expression" dxfId="111" priority="3510">
      <formula>IF(AND($B310="",$C310=""),TRUE,FALSE)</formula>
    </cfRule>
  </conditionalFormatting>
  <conditionalFormatting sqref="F326">
    <cfRule type="expression" dxfId="110" priority="3436">
      <formula>IF(AND($B326="",$C326=""),TRUE,FALSE)</formula>
    </cfRule>
  </conditionalFormatting>
  <conditionalFormatting sqref="F333">
    <cfRule type="expression" dxfId="109" priority="1092">
      <formula>IF(AND($B333="",$C333=""),TRUE,FALSE)</formula>
    </cfRule>
  </conditionalFormatting>
  <conditionalFormatting sqref="F342">
    <cfRule type="expression" dxfId="108" priority="17">
      <formula>IF(AND($B342="",$C342=""),TRUE,FALSE)</formula>
    </cfRule>
  </conditionalFormatting>
  <conditionalFormatting sqref="F345">
    <cfRule type="expression" dxfId="107" priority="1402">
      <formula>IF(AND($B345="",$C345=""),TRUE,FALSE)</formula>
    </cfRule>
  </conditionalFormatting>
  <conditionalFormatting sqref="F346">
    <cfRule type="expression" dxfId="106" priority="1109">
      <formula>IF(AND($B346="",$C346=""),TRUE,FALSE)</formula>
    </cfRule>
  </conditionalFormatting>
  <conditionalFormatting sqref="F347">
    <cfRule type="expression" dxfId="105" priority="757">
      <formula>IF(AND($B347="",$C347=""),TRUE,FALSE)</formula>
    </cfRule>
  </conditionalFormatting>
  <conditionalFormatting sqref="F348">
    <cfRule type="expression" dxfId="104" priority="1351">
      <formula>IF(AND($B348="",$C348=""),TRUE,FALSE)</formula>
    </cfRule>
  </conditionalFormatting>
  <conditionalFormatting sqref="F107:G108">
    <cfRule type="expression" dxfId="103" priority="6875">
      <formula>IF(AND($B107="",$C107="",LEN($A107)&lt;=2),TRUE,FALSE)</formula>
    </cfRule>
    <cfRule type="expression" dxfId="102" priority="6876">
      <formula>IF(AND($B107="",$C107=""),TRUE,FALSE)</formula>
    </cfRule>
  </conditionalFormatting>
  <conditionalFormatting sqref="F105:I105">
    <cfRule type="expression" dxfId="101" priority="6938">
      <formula>IF(AND($B105="",$C105=""),TRUE,FALSE)</formula>
    </cfRule>
    <cfRule type="expression" dxfId="100" priority="6937">
      <formula>IF(AND($B105="",$C105="",LEN($A105)&lt;=2),TRUE,FALSE)</formula>
    </cfRule>
  </conditionalFormatting>
  <conditionalFormatting sqref="F110:I110">
    <cfRule type="expression" dxfId="99" priority="6701">
      <formula>IF(AND($B110="",$C110=""),TRUE,FALSE)</formula>
    </cfRule>
    <cfRule type="expression" dxfId="98" priority="6700">
      <formula>IF(AND($B110="",$C110="",LEN($A110)&lt;=2),TRUE,FALSE)</formula>
    </cfRule>
  </conditionalFormatting>
  <conditionalFormatting sqref="G6:G60 G62:G67 G69:G93 G95:G112 G119:G174 G176:G336 G343:G351 G114:G116 G340">
    <cfRule type="expression" dxfId="97" priority="18603">
      <formula>IF((SUMIF(#REF!,#REF!,G:G)/COUNTIF(#REF!,#REF!))&lt;&gt;G6,TRUE,FALSE)</formula>
    </cfRule>
  </conditionalFormatting>
  <conditionalFormatting sqref="G41">
    <cfRule type="expression" dxfId="96" priority="1192">
      <formula>IF(AND($B41="",$C41=""),TRUE,FALSE)</formula>
    </cfRule>
  </conditionalFormatting>
  <conditionalFormatting sqref="G42">
    <cfRule type="expression" dxfId="95" priority="101">
      <formula>IF(AND($B42="",$C42=""),TRUE,FALSE)</formula>
    </cfRule>
  </conditionalFormatting>
  <conditionalFormatting sqref="G43">
    <cfRule type="expression" dxfId="94" priority="85">
      <formula>IF(AND($B43="",$C43=""),TRUE,FALSE)</formula>
    </cfRule>
  </conditionalFormatting>
  <conditionalFormatting sqref="G46">
    <cfRule type="expression" dxfId="93" priority="684">
      <formula>IF(AND($B46="",$C46=""),TRUE,FALSE)</formula>
    </cfRule>
  </conditionalFormatting>
  <conditionalFormatting sqref="G48">
    <cfRule type="expression" dxfId="92" priority="664">
      <formula>IF(AND($B48="",$C48=""),TRUE,FALSE)</formula>
    </cfRule>
  </conditionalFormatting>
  <conditionalFormatting sqref="G49">
    <cfRule type="expression" dxfId="91" priority="700">
      <formula>IF(AND($B49="",$C49=""),TRUE,FALSE)</formula>
    </cfRule>
  </conditionalFormatting>
  <conditionalFormatting sqref="G50">
    <cfRule type="expression" dxfId="90" priority="708">
      <formula>IF(AND($B50="",$C50=""),TRUE,FALSE)</formula>
    </cfRule>
  </conditionalFormatting>
  <conditionalFormatting sqref="G52">
    <cfRule type="expression" dxfId="89" priority="1309">
      <formula>IF(AND($B52="",$C52=""),TRUE,FALSE)</formula>
    </cfRule>
  </conditionalFormatting>
  <conditionalFormatting sqref="G53">
    <cfRule type="expression" dxfId="88" priority="1260">
      <formula>IF(AND($B53="",$C53=""),TRUE,FALSE)</formula>
    </cfRule>
  </conditionalFormatting>
  <conditionalFormatting sqref="G55">
    <cfRule type="expression" dxfId="87" priority="1240">
      <formula>IF(AND($B55="",$C55=""),TRUE,FALSE)</formula>
    </cfRule>
  </conditionalFormatting>
  <conditionalFormatting sqref="G56">
    <cfRule type="expression" dxfId="86" priority="1301">
      <formula>IF(AND($B56="",$C56=""),TRUE,FALSE)</formula>
    </cfRule>
  </conditionalFormatting>
  <conditionalFormatting sqref="G61">
    <cfRule type="expression" dxfId="85" priority="126">
      <formula>IF(AND($B61="",$C61=""),TRUE,FALSE)</formula>
    </cfRule>
  </conditionalFormatting>
  <conditionalFormatting sqref="G76 D76:E76 A76">
    <cfRule type="expression" dxfId="84" priority="1047">
      <formula>IF(AND($B76="",$C76=""),TRUE,FALSE)</formula>
    </cfRule>
  </conditionalFormatting>
  <conditionalFormatting sqref="G78 D78:E78 A78:A83">
    <cfRule type="expression" dxfId="83" priority="1030">
      <formula>IF(AND($B78="",$C78=""),TRUE,FALSE)</formula>
    </cfRule>
  </conditionalFormatting>
  <conditionalFormatting sqref="G79 D79:E79">
    <cfRule type="expression" dxfId="82" priority="1013">
      <formula>IF(AND($B79="",$C79=""),TRUE,FALSE)</formula>
    </cfRule>
  </conditionalFormatting>
  <conditionalFormatting sqref="G80 D80:E80">
    <cfRule type="expression" dxfId="81" priority="1018">
      <formula>IF(AND($B80="",$C80=""),TRUE,FALSE)</formula>
    </cfRule>
  </conditionalFormatting>
  <conditionalFormatting sqref="G81">
    <cfRule type="expression" dxfId="80" priority="984">
      <formula>IF(AND($B81="",$C81=""),TRUE,FALSE)</formula>
    </cfRule>
  </conditionalFormatting>
  <conditionalFormatting sqref="G82">
    <cfRule type="expression" dxfId="79" priority="935">
      <formula>IF(AND($B82="",$C82=""),TRUE,FALSE)</formula>
    </cfRule>
  </conditionalFormatting>
  <conditionalFormatting sqref="G84">
    <cfRule type="expression" dxfId="78" priority="184">
      <formula>IF(AND($B84="",$C84=""),TRUE,FALSE)</formula>
    </cfRule>
  </conditionalFormatting>
  <conditionalFormatting sqref="G85">
    <cfRule type="expression" dxfId="77" priority="976">
      <formula>IF(AND($B85="",$C85=""),TRUE,FALSE)</formula>
    </cfRule>
  </conditionalFormatting>
  <conditionalFormatting sqref="G86 D86:E86">
    <cfRule type="expression" dxfId="76" priority="910">
      <formula>IF(AND($B86="",$C86=""),TRUE,FALSE)</formula>
    </cfRule>
  </conditionalFormatting>
  <conditionalFormatting sqref="G87 D87:E87">
    <cfRule type="expression" dxfId="75" priority="892">
      <formula>IF(AND($B87="",$C87=""),TRUE,FALSE)</formula>
    </cfRule>
  </conditionalFormatting>
  <conditionalFormatting sqref="G88 D88:E88">
    <cfRule type="expression" dxfId="74" priority="1024">
      <formula>IF(AND($B88="",$C88=""),TRUE,FALSE)</formula>
    </cfRule>
  </conditionalFormatting>
  <conditionalFormatting sqref="G89 D89:E89">
    <cfRule type="expression" dxfId="73" priority="1036">
      <formula>IF(AND($B89="",$C89=""),TRUE,FALSE)</formula>
    </cfRule>
  </conditionalFormatting>
  <conditionalFormatting sqref="G95 D95:E95">
    <cfRule type="expression" dxfId="72" priority="172">
      <formula>IF(AND($B95="",$C95=""),TRUE,FALSE)</formula>
    </cfRule>
  </conditionalFormatting>
  <conditionalFormatting sqref="G105">
    <cfRule type="expression" dxfId="71" priority="6929">
      <formula>IF(AND($B105="",$C105="",LEN($A105)&lt;=2),TRUE,FALSE)</formula>
    </cfRule>
    <cfRule type="expression" dxfId="70" priority="6930">
      <formula>IF(AND($B105="",$C105=""),TRUE,FALSE)</formula>
    </cfRule>
  </conditionalFormatting>
  <conditionalFormatting sqref="G110">
    <cfRule type="expression" dxfId="69" priority="6691">
      <formula>IF(AND($B110="",$C110=""),TRUE,FALSE)</formula>
    </cfRule>
    <cfRule type="expression" dxfId="68" priority="6690">
      <formula>IF(AND($B110="",$C110="",LEN($A110)&lt;=2),TRUE,FALSE)</formula>
    </cfRule>
  </conditionalFormatting>
  <conditionalFormatting sqref="G113 G94 G337:G339 G117:G118 G175 G68 G61 G341:G342">
    <cfRule type="expression" dxfId="67" priority="2693">
      <formula>IF((SUMIF(#REF!,#REF!,G:G)/COUNTIF(#REF!,#REF!))&lt;&gt;G61,TRUE,FALSE)</formula>
    </cfRule>
  </conditionalFormatting>
  <conditionalFormatting sqref="G129">
    <cfRule type="expression" dxfId="66" priority="866">
      <formula>IF(AND($B129="",$C129=""),TRUE,FALSE)</formula>
    </cfRule>
  </conditionalFormatting>
  <conditionalFormatting sqref="G130">
    <cfRule type="expression" dxfId="65" priority="818">
      <formula>IF(AND($B130="",$C130=""),TRUE,FALSE)</formula>
    </cfRule>
  </conditionalFormatting>
  <conditionalFormatting sqref="G131">
    <cfRule type="expression" dxfId="64" priority="834">
      <formula>IF(AND($B131="",$C131=""),TRUE,FALSE)</formula>
    </cfRule>
  </conditionalFormatting>
  <conditionalFormatting sqref="G132">
    <cfRule type="expression" dxfId="63" priority="850">
      <formula>IF(AND($B132="",$C132=""),TRUE,FALSE)</formula>
    </cfRule>
  </conditionalFormatting>
  <conditionalFormatting sqref="G182">
    <cfRule type="expression" dxfId="62" priority="329">
      <formula>IF(AND($B182="",$C182=""),TRUE,FALSE)</formula>
    </cfRule>
  </conditionalFormatting>
  <conditionalFormatting sqref="G183">
    <cfRule type="expression" dxfId="61" priority="342">
      <formula>IF(AND($B183="",$C183=""),TRUE,FALSE)</formula>
    </cfRule>
  </conditionalFormatting>
  <conditionalFormatting sqref="G184">
    <cfRule type="expression" dxfId="60" priority="355">
      <formula>IF(AND($B184="",$C184=""),TRUE,FALSE)</formula>
    </cfRule>
  </conditionalFormatting>
  <conditionalFormatting sqref="G185">
    <cfRule type="expression" dxfId="59" priority="373">
      <formula>IF(AND($B185="",$C185=""),TRUE,FALSE)</formula>
    </cfRule>
  </conditionalFormatting>
  <conditionalFormatting sqref="G186">
    <cfRule type="expression" dxfId="58" priority="386">
      <formula>IF(AND($B186="",$C186=""),TRUE,FALSE)</formula>
    </cfRule>
  </conditionalFormatting>
  <conditionalFormatting sqref="G187">
    <cfRule type="expression" dxfId="57" priority="399">
      <formula>IF(AND($B187="",$C187=""),TRUE,FALSE)</formula>
    </cfRule>
  </conditionalFormatting>
  <conditionalFormatting sqref="G188">
    <cfRule type="expression" dxfId="56" priority="418">
      <formula>IF(AND($B188="",$C188=""),TRUE,FALSE)</formula>
    </cfRule>
  </conditionalFormatting>
  <conditionalFormatting sqref="G189">
    <cfRule type="expression" dxfId="55" priority="431">
      <formula>IF(AND($B189="",$C189=""),TRUE,FALSE)</formula>
    </cfRule>
  </conditionalFormatting>
  <conditionalFormatting sqref="G190">
    <cfRule type="expression" dxfId="54" priority="462">
      <formula>IF(AND($B190="",$C190=""),TRUE,FALSE)</formula>
    </cfRule>
  </conditionalFormatting>
  <conditionalFormatting sqref="G191">
    <cfRule type="expression" dxfId="53" priority="475">
      <formula>IF(AND($B191="",$C191=""),TRUE,FALSE)</formula>
    </cfRule>
  </conditionalFormatting>
  <conditionalFormatting sqref="G192">
    <cfRule type="expression" dxfId="52" priority="488">
      <formula>IF(AND($B192="",$C192=""),TRUE,FALSE)</formula>
    </cfRule>
  </conditionalFormatting>
  <conditionalFormatting sqref="G193">
    <cfRule type="expression" dxfId="51" priority="507">
      <formula>IF(AND($B193="",$C193=""),TRUE,FALSE)</formula>
    </cfRule>
  </conditionalFormatting>
  <conditionalFormatting sqref="G194">
    <cfRule type="expression" dxfId="50" priority="520">
      <formula>IF(AND($B194="",$C194=""),TRUE,FALSE)</formula>
    </cfRule>
  </conditionalFormatting>
  <conditionalFormatting sqref="G195">
    <cfRule type="expression" dxfId="49" priority="266">
      <formula>IF(AND($B195="",$C195=""),TRUE,FALSE)</formula>
    </cfRule>
  </conditionalFormatting>
  <conditionalFormatting sqref="G196">
    <cfRule type="expression" dxfId="48" priority="284">
      <formula>IF(AND($B196="",$C196=""),TRUE,FALSE)</formula>
    </cfRule>
  </conditionalFormatting>
  <conditionalFormatting sqref="G197">
    <cfRule type="expression" dxfId="47" priority="297">
      <formula>IF(AND($B197="",$C197=""),TRUE,FALSE)</formula>
    </cfRule>
  </conditionalFormatting>
  <conditionalFormatting sqref="G198">
    <cfRule type="expression" dxfId="46" priority="310">
      <formula>IF(AND($B198="",$C198=""),TRUE,FALSE)</formula>
    </cfRule>
  </conditionalFormatting>
  <conditionalFormatting sqref="G199">
    <cfRule type="expression" dxfId="45" priority="533">
      <formula>IF(AND($B199="",$C199=""),TRUE,FALSE)</formula>
    </cfRule>
  </conditionalFormatting>
  <conditionalFormatting sqref="G206">
    <cfRule type="expression" dxfId="44" priority="1145">
      <formula>IF(AND($B206="",$C206=""),TRUE,FALSE)</formula>
    </cfRule>
  </conditionalFormatting>
  <conditionalFormatting sqref="G274">
    <cfRule type="expression" dxfId="43" priority="576">
      <formula>IF(AND($B274="",$C274=""),TRUE,FALSE)</formula>
    </cfRule>
  </conditionalFormatting>
  <conditionalFormatting sqref="G278">
    <cfRule type="expression" dxfId="42" priority="547">
      <formula>IF(AND($B278="",$C278=""),TRUE,FALSE)</formula>
    </cfRule>
  </conditionalFormatting>
  <conditionalFormatting sqref="G279">
    <cfRule type="expression" dxfId="41" priority="562">
      <formula>IF(AND($B279="",$C279=""),TRUE,FALSE)</formula>
    </cfRule>
  </conditionalFormatting>
  <conditionalFormatting sqref="G288">
    <cfRule type="expression" dxfId="40" priority="216">
      <formula>IF(AND($B288="",$C288=""),TRUE,FALSE)</formula>
    </cfRule>
  </conditionalFormatting>
  <conditionalFormatting sqref="G307">
    <cfRule type="expression" dxfId="39" priority="26">
      <formula>IF(AND($B307="",$C307=""),TRUE,FALSE)</formula>
    </cfRule>
  </conditionalFormatting>
  <conditionalFormatting sqref="G310:G315">
    <cfRule type="expression" dxfId="38" priority="3504">
      <formula>IF(AND($B310="",$C310=""),TRUE,FALSE)</formula>
    </cfRule>
  </conditionalFormatting>
  <conditionalFormatting sqref="G333">
    <cfRule type="expression" dxfId="37" priority="1086">
      <formula>IF(AND($B333="",$C333=""),TRUE,FALSE)</formula>
    </cfRule>
  </conditionalFormatting>
  <conditionalFormatting sqref="G342">
    <cfRule type="expression" dxfId="36" priority="11">
      <formula>IF(AND($B342="",$C342=""),TRUE,FALSE)</formula>
    </cfRule>
  </conditionalFormatting>
  <conditionalFormatting sqref="G345">
    <cfRule type="expression" dxfId="35" priority="1392">
      <formula>IF(AND($B345="",$C345=""),TRUE,FALSE)</formula>
    </cfRule>
  </conditionalFormatting>
  <conditionalFormatting sqref="G346">
    <cfRule type="expression" dxfId="34" priority="1099">
      <formula>IF(AND($B346="",$C346=""),TRUE,FALSE)</formula>
    </cfRule>
  </conditionalFormatting>
  <conditionalFormatting sqref="G347">
    <cfRule type="expression" dxfId="33" priority="747">
      <formula>IF(AND($B347="",$C347=""),TRUE,FALSE)</formula>
    </cfRule>
  </conditionalFormatting>
  <conditionalFormatting sqref="G348">
    <cfRule type="expression" dxfId="32" priority="1341">
      <formula>IF(AND($B348="",$C348=""),TRUE,FALSE)</formula>
    </cfRule>
  </conditionalFormatting>
  <conditionalFormatting sqref="G108:I108">
    <cfRule type="expression" dxfId="31" priority="6878">
      <formula>IF(AND($B108="",$C108=""),TRUE,FALSE)</formula>
    </cfRule>
    <cfRule type="expression" dxfId="30" priority="6877">
      <formula>IF(AND($B108="",$C108="",LEN($A108)&lt;=2),TRUE,FALSE)</formula>
    </cfRule>
  </conditionalFormatting>
  <conditionalFormatting sqref="G294:I295">
    <cfRule type="expression" dxfId="29" priority="3927">
      <formula>IF(AND($B294="",$C294="",LEN($A294)&lt;=2),TRUE,FALSE)</formula>
    </cfRule>
  </conditionalFormatting>
  <conditionalFormatting sqref="H9:I11 B11:D11">
    <cfRule type="expression" dxfId="28" priority="9024">
      <formula>IF(AND($B9="",$C9=""),TRUE,FALSE)</formula>
    </cfRule>
  </conditionalFormatting>
  <conditionalFormatting sqref="H13:I16 B16:D16">
    <cfRule type="expression" dxfId="27" priority="1808">
      <formula>IF(AND($B13="",$C13=""),TRUE,FALSE)</formula>
    </cfRule>
  </conditionalFormatting>
  <conditionalFormatting sqref="H65:I67 C67">
    <cfRule type="expression" dxfId="26" priority="12782">
      <formula>IF(AND($B65="",$C65=""),TRUE,FALSE)</formula>
    </cfRule>
  </conditionalFormatting>
  <conditionalFormatting sqref="H92:I92">
    <cfRule type="expression" dxfId="25" priority="11428">
      <formula>IF(AND($B92="",$C92=""),TRUE,FALSE)</formula>
    </cfRule>
  </conditionalFormatting>
  <conditionalFormatting sqref="H95:I95">
    <cfRule type="expression" dxfId="24" priority="170">
      <formula>IF(AND($B95="",$C95=""),TRUE,FALSE)</formula>
    </cfRule>
  </conditionalFormatting>
  <conditionalFormatting sqref="H206:I206">
    <cfRule type="expression" dxfId="23" priority="1153">
      <formula>IF(AND($B206="",$C206=""),TRUE,FALSE)</formula>
    </cfRule>
  </conditionalFormatting>
  <conditionalFormatting sqref="H216:I216">
    <cfRule type="expression" dxfId="22" priority="257">
      <formula>IF(AND($B216="",$C216=""),TRUE,FALSE)</formula>
    </cfRule>
  </conditionalFormatting>
  <conditionalFormatting sqref="H232:I232">
    <cfRule type="expression" dxfId="21" priority="239">
      <formula>IF(AND($B232="",$C232=""),TRUE,FALSE)</formula>
    </cfRule>
  </conditionalFormatting>
  <conditionalFormatting sqref="H274:I274">
    <cfRule type="expression" dxfId="20" priority="582">
      <formula>IF(AND($B274="",$C274=""),TRUE,FALSE)</formula>
    </cfRule>
  </conditionalFormatting>
  <conditionalFormatting sqref="H278:I278">
    <cfRule type="expression" dxfId="19" priority="553">
      <formula>IF(AND($B278="",$C278=""),TRUE,FALSE)</formula>
    </cfRule>
  </conditionalFormatting>
  <conditionalFormatting sqref="H279:I279">
    <cfRule type="expression" dxfId="18" priority="568">
      <formula>IF(AND($B279="",$C279=""),TRUE,FALSE)</formula>
    </cfRule>
  </conditionalFormatting>
  <conditionalFormatting sqref="H294:I294 C294">
    <cfRule type="expression" dxfId="17" priority="3928">
      <formula>IF(AND($B294="",$C294=""),TRUE,FALSE)</formula>
    </cfRule>
  </conditionalFormatting>
  <conditionalFormatting sqref="H310:I317">
    <cfRule type="expression" dxfId="16" priority="3512">
      <formula>IF(AND($B310="",$C310=""),TRUE,FALSE)</formula>
    </cfRule>
  </conditionalFormatting>
  <conditionalFormatting sqref="H333:I333">
    <cfRule type="expression" dxfId="15" priority="1094">
      <formula>IF(AND($B333="",$C333=""),TRUE,FALSE)</formula>
    </cfRule>
  </conditionalFormatting>
  <conditionalFormatting sqref="H342:I342">
    <cfRule type="expression" dxfId="14" priority="19">
      <formula>IF(AND($B342="",$C342=""),TRUE,FALSE)</formula>
    </cfRule>
  </conditionalFormatting>
  <conditionalFormatting sqref="H345:I345">
    <cfRule type="expression" dxfId="13" priority="1404">
      <formula>IF(AND($B345="",$C345=""),TRUE,FALSE)</formula>
    </cfRule>
  </conditionalFormatting>
  <conditionalFormatting sqref="H346:I346 C346">
    <cfRule type="expression" dxfId="12" priority="1111">
      <formula>IF(AND($B346="",$C346=""),TRUE,FALSE)</formula>
    </cfRule>
  </conditionalFormatting>
  <conditionalFormatting sqref="H347:I347 C347">
    <cfRule type="expression" dxfId="11" priority="759">
      <formula>IF(AND($B347="",$C347=""),TRUE,FALSE)</formula>
    </cfRule>
  </conditionalFormatting>
  <conditionalFormatting sqref="H348:I348 C348">
    <cfRule type="expression" dxfId="10" priority="1353">
      <formula>IF(AND($B348="",$C348=""),TRUE,FALSE)</formula>
    </cfRule>
  </conditionalFormatting>
  <conditionalFormatting sqref="I128:J128">
    <cfRule type="expression" dxfId="9" priority="6501">
      <formula>IF(AND($B128="",$C128="",LEN($A128)&lt;=2),TRUE,FALSE)</formula>
    </cfRule>
    <cfRule type="expression" dxfId="8" priority="6502">
      <formula>IF(AND($B128="",$C128=""),TRUE,FALSE)</formula>
    </cfRule>
  </conditionalFormatting>
  <conditionalFormatting sqref="I161:J161">
    <cfRule type="expression" dxfId="7" priority="6090">
      <formula>IF(AND($B161="",$C161="",LEN($A161)&lt;=2),TRUE,FALSE)</formula>
    </cfRule>
    <cfRule type="expression" dxfId="6" priority="6091">
      <formula>IF(AND($B161="",$C161=""),TRUE,FALSE)</formula>
    </cfRule>
  </conditionalFormatting>
  <conditionalFormatting sqref="J96">
    <cfRule type="expression" dxfId="5" priority="1337">
      <formula>IF(AND($B96="",$C96=""),TRUE,FALSE)</formula>
    </cfRule>
    <cfRule type="expression" dxfId="4" priority="1336">
      <formula>IF(AND($B96="",$C96="",LEN($A96)&lt;=2),TRUE,FALSE)</formula>
    </cfRule>
  </conditionalFormatting>
  <conditionalFormatting sqref="J99">
    <cfRule type="expression" dxfId="3" priority="1335">
      <formula>IF(AND($B99="",$C99=""),TRUE,FALSE)</formula>
    </cfRule>
    <cfRule type="expression" dxfId="2" priority="1334">
      <formula>IF(AND($B99="",$C99="",LEN($A99)&lt;=2),TRUE,FALSE)</formula>
    </cfRule>
  </conditionalFormatting>
  <conditionalFormatting sqref="J101">
    <cfRule type="expression" dxfId="1" priority="591">
      <formula>IF(AND($B101="",$C101="",LEN($A101)&lt;=2),TRUE,FALSE)</formula>
    </cfRule>
    <cfRule type="expression" dxfId="0" priority="592">
      <formula>IF(AND($B101="",$C101=""),TRUE,FALSE)</formula>
    </cfRule>
  </conditionalFormatting>
  <dataValidations disablePrompts="1" count="2">
    <dataValidation type="list" errorStyle="warning" allowBlank="1" showInputMessage="1" showErrorMessage="1" error="Selecionar Referencial compatível" sqref="M4 K1:XFD3" xr:uid="{00000000-0002-0000-0900-000000000000}">
      <formula1>DADOS</formula1>
    </dataValidation>
    <dataValidation type="list" allowBlank="1" showInputMessage="1" showErrorMessage="1" error="Selecionar Referencial compatível" sqref="B277:B281 B205:B210 B212 B350:B351 B180:B202 B264 B271:B272 B266:B269 B274:B275 B310:B318 B291:B298 B148:B153 B92 B39:B44 B7:B19 B112:B113 B65:B69 B139:B142 B52:B56 B136:B137 B144:B145 B237:B261 B97:B98 B105 B107:B108 B110 B328:B335 B116:B119 B32:B36 B121:B127 B320:B326 B345:B348 B21:B30 B46:B50 B76 B94:B95 B58:B62 B100 B102 B215:B232 B234 B78:B89 B284:B289 B155:B160 B163:B178 B71:B74 B300:B308 B337:B343 B129:B133" xr:uid="{00000000-0002-0000-0900-000001000000}">
      <formula1>DADOS</formula1>
    </dataValidation>
  </dataValidations>
  <printOptions horizontalCentered="1"/>
  <pageMargins left="0.78740157480314965" right="0.39370078740157483" top="1.3779527559055118" bottom="0.78740157480314965" header="0" footer="0"/>
  <pageSetup paperSize="9" scale="81" fitToHeight="0" pageOrder="overThenDown" orientation="portrait" useFirstPageNumber="1" r:id="rId1"/>
  <headerFooter scaleWithDoc="0" alignWithMargins="0">
    <oddHeader>&amp;C&amp;G</oddHeader>
    <oddFooter>&amp;R&amp;"Arial,Normal"&amp;8Página &amp;P de &amp;N</oddFooter>
  </headerFooter>
  <colBreaks count="1" manualBreakCount="1">
    <brk id="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1:XER1613"/>
  <sheetViews>
    <sheetView zoomScaleNormal="100" zoomScaleSheetLayoutView="100" workbookViewId="0">
      <selection activeCell="N1597" sqref="N1597"/>
    </sheetView>
  </sheetViews>
  <sheetFormatPr defaultColWidth="9" defaultRowHeight="20.100000000000001" customHeight="1"/>
  <cols>
    <col min="1" max="1" width="25.625" style="99" customWidth="1"/>
    <col min="2" max="2" width="10.625" style="100" customWidth="1"/>
    <col min="3" max="3" width="10.625" style="101" customWidth="1"/>
    <col min="4" max="4" width="10.625" style="99" customWidth="1"/>
    <col min="5" max="5" width="10.625" style="101" customWidth="1"/>
    <col min="6" max="7" width="10.625" style="99" customWidth="1"/>
    <col min="8" max="8" width="10.625" style="102" customWidth="1"/>
    <col min="9" max="16384" width="9" style="90"/>
  </cols>
  <sheetData>
    <row r="1" spans="1:991 16372:16372" s="87" customFormat="1" ht="39.950000000000003" customHeight="1">
      <c r="A1" s="373" t="s">
        <v>7243</v>
      </c>
      <c r="B1" s="373"/>
      <c r="C1" s="373"/>
      <c r="D1" s="373"/>
      <c r="E1" s="373"/>
      <c r="F1" s="373"/>
      <c r="G1" s="373"/>
      <c r="H1" s="373"/>
      <c r="I1" s="83"/>
      <c r="J1" s="83"/>
      <c r="K1" s="83"/>
      <c r="L1" s="84"/>
      <c r="M1" s="85"/>
      <c r="N1" s="86"/>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3"/>
      <c r="IX1" s="83"/>
      <c r="IY1" s="83"/>
      <c r="IZ1" s="83"/>
      <c r="JA1" s="83"/>
      <c r="JB1" s="83"/>
      <c r="JC1" s="83"/>
      <c r="JD1" s="83"/>
      <c r="JE1" s="83"/>
      <c r="JF1" s="83"/>
      <c r="JG1" s="83"/>
      <c r="JH1" s="83"/>
      <c r="JI1" s="83"/>
      <c r="JJ1" s="83"/>
      <c r="JK1" s="83"/>
      <c r="JL1" s="83"/>
      <c r="JM1" s="83"/>
      <c r="JN1" s="83"/>
      <c r="JO1" s="83"/>
      <c r="JP1" s="83"/>
      <c r="JQ1" s="83"/>
      <c r="JR1" s="83"/>
      <c r="JS1" s="83"/>
      <c r="JT1" s="83"/>
      <c r="JU1" s="83"/>
      <c r="JV1" s="83"/>
      <c r="JW1" s="83"/>
      <c r="JX1" s="83"/>
      <c r="JY1" s="83"/>
      <c r="JZ1" s="83"/>
      <c r="KA1" s="83"/>
      <c r="KB1" s="83"/>
      <c r="KC1" s="83"/>
      <c r="KD1" s="83"/>
      <c r="KE1" s="83"/>
      <c r="KF1" s="83"/>
      <c r="KG1" s="83"/>
      <c r="KH1" s="83"/>
      <c r="KI1" s="83"/>
      <c r="KJ1" s="83"/>
      <c r="KK1" s="83"/>
      <c r="KL1" s="83"/>
      <c r="KM1" s="83"/>
      <c r="KN1" s="83"/>
      <c r="KO1" s="83"/>
      <c r="KP1" s="83"/>
      <c r="KQ1" s="83"/>
      <c r="KR1" s="83"/>
      <c r="KS1" s="83"/>
      <c r="KT1" s="83"/>
      <c r="KU1" s="83"/>
      <c r="KV1" s="83"/>
      <c r="KW1" s="83"/>
      <c r="KX1" s="83"/>
      <c r="KY1" s="83"/>
      <c r="KZ1" s="83"/>
      <c r="LA1" s="83"/>
      <c r="LB1" s="83"/>
      <c r="LC1" s="83"/>
      <c r="LD1" s="83"/>
      <c r="LE1" s="83"/>
      <c r="LF1" s="83"/>
      <c r="LG1" s="83"/>
      <c r="LH1" s="83"/>
      <c r="LI1" s="83"/>
      <c r="LJ1" s="83"/>
      <c r="LK1" s="83"/>
      <c r="LL1" s="83"/>
      <c r="LM1" s="83"/>
      <c r="LN1" s="83"/>
      <c r="LO1" s="83"/>
      <c r="LP1" s="83"/>
      <c r="LQ1" s="83"/>
      <c r="LR1" s="83"/>
      <c r="LS1" s="83"/>
      <c r="LT1" s="83"/>
      <c r="LU1" s="83"/>
      <c r="LV1" s="83"/>
      <c r="LW1" s="83"/>
      <c r="LX1" s="83"/>
      <c r="LY1" s="83"/>
      <c r="LZ1" s="83"/>
      <c r="MA1" s="83"/>
      <c r="MB1" s="83"/>
      <c r="MC1" s="83"/>
      <c r="MD1" s="83"/>
      <c r="ME1" s="83"/>
      <c r="MF1" s="83"/>
      <c r="MG1" s="83"/>
      <c r="MH1" s="83"/>
      <c r="MI1" s="83"/>
      <c r="MJ1" s="83"/>
      <c r="MK1" s="83"/>
      <c r="ML1" s="83"/>
      <c r="MM1" s="83"/>
      <c r="MN1" s="83"/>
      <c r="MO1" s="83"/>
      <c r="MP1" s="83"/>
      <c r="MQ1" s="83"/>
      <c r="MR1" s="83"/>
      <c r="MS1" s="83"/>
      <c r="MT1" s="83"/>
      <c r="MU1" s="83"/>
      <c r="MV1" s="83"/>
      <c r="MW1" s="83"/>
      <c r="MX1" s="83"/>
      <c r="MY1" s="83"/>
      <c r="MZ1" s="83"/>
      <c r="NA1" s="83"/>
      <c r="NB1" s="83"/>
      <c r="NC1" s="83"/>
      <c r="ND1" s="83"/>
      <c r="NE1" s="83"/>
      <c r="NF1" s="83"/>
      <c r="NG1" s="83"/>
      <c r="NH1" s="83"/>
      <c r="NI1" s="83"/>
      <c r="NJ1" s="83"/>
      <c r="NK1" s="83"/>
      <c r="NL1" s="83"/>
      <c r="NM1" s="83"/>
      <c r="NN1" s="83"/>
      <c r="NO1" s="83"/>
      <c r="NP1" s="83"/>
      <c r="NQ1" s="83"/>
      <c r="NR1" s="83"/>
      <c r="NS1" s="83"/>
      <c r="NT1" s="83"/>
      <c r="NU1" s="83"/>
      <c r="NV1" s="83"/>
      <c r="NW1" s="83"/>
      <c r="NX1" s="83"/>
      <c r="NY1" s="83"/>
      <c r="NZ1" s="83"/>
      <c r="OA1" s="83"/>
      <c r="OB1" s="83"/>
      <c r="OC1" s="83"/>
      <c r="OD1" s="83"/>
      <c r="OE1" s="83"/>
      <c r="OF1" s="83"/>
      <c r="OG1" s="83"/>
      <c r="OH1" s="83"/>
      <c r="OI1" s="83"/>
      <c r="OJ1" s="83"/>
      <c r="OK1" s="83"/>
      <c r="OL1" s="83"/>
      <c r="OM1" s="83"/>
      <c r="ON1" s="83"/>
      <c r="OO1" s="83"/>
      <c r="OP1" s="83"/>
      <c r="OQ1" s="83"/>
      <c r="OR1" s="83"/>
      <c r="OS1" s="83"/>
      <c r="OT1" s="83"/>
      <c r="OU1" s="83"/>
      <c r="OV1" s="83"/>
      <c r="OW1" s="83"/>
      <c r="OX1" s="83"/>
      <c r="OY1" s="83"/>
      <c r="OZ1" s="83"/>
      <c r="PA1" s="83"/>
      <c r="PB1" s="83"/>
      <c r="PC1" s="83"/>
      <c r="PD1" s="83"/>
      <c r="PE1" s="83"/>
      <c r="PF1" s="83"/>
      <c r="PG1" s="83"/>
      <c r="PH1" s="83"/>
      <c r="PI1" s="83"/>
      <c r="PJ1" s="83"/>
      <c r="PK1" s="83"/>
      <c r="PL1" s="83"/>
      <c r="PM1" s="83"/>
      <c r="PN1" s="83"/>
      <c r="PO1" s="83"/>
      <c r="PP1" s="83"/>
      <c r="PQ1" s="83"/>
      <c r="PR1" s="83"/>
      <c r="PS1" s="83"/>
      <c r="PT1" s="83"/>
      <c r="PU1" s="83"/>
      <c r="PV1" s="83"/>
      <c r="PW1" s="83"/>
      <c r="PX1" s="83"/>
      <c r="PY1" s="83"/>
      <c r="PZ1" s="83"/>
      <c r="QA1" s="83"/>
      <c r="QB1" s="83"/>
      <c r="QC1" s="83"/>
      <c r="QD1" s="83"/>
      <c r="QE1" s="83"/>
      <c r="QF1" s="83"/>
      <c r="QG1" s="83"/>
      <c r="QH1" s="83"/>
      <c r="QI1" s="83"/>
      <c r="QJ1" s="83"/>
      <c r="QK1" s="83"/>
      <c r="QL1" s="83"/>
      <c r="QM1" s="83"/>
      <c r="QN1" s="83"/>
      <c r="QO1" s="83"/>
      <c r="QP1" s="83"/>
      <c r="QQ1" s="83"/>
      <c r="QR1" s="83"/>
      <c r="QS1" s="83"/>
      <c r="QT1" s="83"/>
      <c r="QU1" s="83"/>
      <c r="QV1" s="83"/>
      <c r="QW1" s="83"/>
      <c r="QX1" s="83"/>
      <c r="QY1" s="83"/>
      <c r="QZ1" s="83"/>
      <c r="RA1" s="83"/>
      <c r="RB1" s="83"/>
      <c r="RC1" s="83"/>
      <c r="RD1" s="83"/>
      <c r="RE1" s="83"/>
      <c r="RF1" s="83"/>
      <c r="RG1" s="83"/>
      <c r="RH1" s="83"/>
      <c r="RI1" s="83"/>
      <c r="RJ1" s="83"/>
      <c r="RK1" s="83"/>
      <c r="RL1" s="83"/>
      <c r="RM1" s="83"/>
      <c r="RN1" s="83"/>
      <c r="RO1" s="83"/>
      <c r="RP1" s="83"/>
      <c r="RQ1" s="83"/>
      <c r="RR1" s="83"/>
      <c r="RS1" s="83"/>
      <c r="RT1" s="83"/>
      <c r="RU1" s="83"/>
      <c r="RV1" s="83"/>
      <c r="RW1" s="83"/>
      <c r="RX1" s="83"/>
      <c r="RY1" s="83"/>
      <c r="RZ1" s="83"/>
      <c r="SA1" s="83"/>
      <c r="SB1" s="83"/>
      <c r="SC1" s="83"/>
      <c r="SD1" s="83"/>
      <c r="SE1" s="83"/>
      <c r="SF1" s="83"/>
      <c r="SG1" s="83"/>
      <c r="SH1" s="83"/>
      <c r="SI1" s="83"/>
      <c r="SJ1" s="83"/>
      <c r="SK1" s="83"/>
      <c r="SL1" s="83"/>
      <c r="SM1" s="83"/>
      <c r="SN1" s="83"/>
      <c r="SO1" s="83"/>
      <c r="SP1" s="83"/>
      <c r="SQ1" s="83"/>
      <c r="SR1" s="83"/>
      <c r="SS1" s="83"/>
      <c r="ST1" s="83"/>
      <c r="SU1" s="83"/>
      <c r="SV1" s="83"/>
      <c r="SW1" s="83"/>
      <c r="SX1" s="83"/>
      <c r="SY1" s="83"/>
      <c r="SZ1" s="83"/>
      <c r="TA1" s="83"/>
      <c r="TB1" s="83"/>
      <c r="TC1" s="83"/>
      <c r="TD1" s="83"/>
      <c r="TE1" s="83"/>
      <c r="TF1" s="83"/>
      <c r="TG1" s="83"/>
      <c r="TH1" s="83"/>
      <c r="TI1" s="83"/>
      <c r="TJ1" s="83"/>
      <c r="TK1" s="83"/>
      <c r="TL1" s="83"/>
      <c r="TM1" s="83"/>
      <c r="TN1" s="83"/>
      <c r="TO1" s="83"/>
      <c r="TP1" s="83"/>
      <c r="TQ1" s="83"/>
      <c r="TR1" s="83"/>
      <c r="TS1" s="83"/>
      <c r="TT1" s="83"/>
      <c r="TU1" s="83"/>
      <c r="TV1" s="83"/>
      <c r="TW1" s="83"/>
      <c r="TX1" s="83"/>
      <c r="TY1" s="83"/>
      <c r="TZ1" s="83"/>
      <c r="UA1" s="83"/>
      <c r="UB1" s="83"/>
      <c r="UC1" s="83"/>
      <c r="UD1" s="83"/>
      <c r="UE1" s="83"/>
      <c r="UF1" s="83"/>
      <c r="UG1" s="83"/>
      <c r="UH1" s="83"/>
      <c r="UI1" s="83"/>
      <c r="UJ1" s="83"/>
      <c r="UK1" s="83"/>
      <c r="UL1" s="83"/>
      <c r="UM1" s="83"/>
      <c r="UN1" s="83"/>
      <c r="UO1" s="83"/>
      <c r="UP1" s="83"/>
      <c r="UQ1" s="83"/>
      <c r="UR1" s="83"/>
      <c r="US1" s="83"/>
      <c r="UT1" s="83"/>
      <c r="UU1" s="83"/>
      <c r="UV1" s="83"/>
      <c r="UW1" s="83"/>
      <c r="UX1" s="83"/>
      <c r="UY1" s="83"/>
      <c r="UZ1" s="83"/>
      <c r="VA1" s="83"/>
      <c r="VB1" s="83"/>
      <c r="VC1" s="83"/>
      <c r="VD1" s="83"/>
      <c r="VE1" s="83"/>
      <c r="VF1" s="83"/>
      <c r="VG1" s="83"/>
      <c r="VH1" s="83"/>
      <c r="VI1" s="83"/>
      <c r="VJ1" s="83"/>
      <c r="VK1" s="83"/>
      <c r="VL1" s="83"/>
      <c r="VM1" s="83"/>
      <c r="VN1" s="83"/>
      <c r="VO1" s="83"/>
      <c r="VP1" s="83"/>
      <c r="VQ1" s="83"/>
      <c r="VR1" s="83"/>
      <c r="VS1" s="83"/>
      <c r="VT1" s="83"/>
      <c r="VU1" s="83"/>
      <c r="VV1" s="83"/>
      <c r="VW1" s="83"/>
      <c r="VX1" s="83"/>
      <c r="VY1" s="83"/>
      <c r="VZ1" s="83"/>
      <c r="WA1" s="83"/>
      <c r="WB1" s="83"/>
      <c r="WC1" s="83"/>
      <c r="WD1" s="83"/>
      <c r="WE1" s="83"/>
      <c r="WF1" s="83"/>
      <c r="WG1" s="83"/>
      <c r="WH1" s="83"/>
      <c r="WI1" s="83"/>
      <c r="WJ1" s="83"/>
      <c r="WK1" s="83"/>
      <c r="WL1" s="83"/>
      <c r="WM1" s="83"/>
      <c r="WN1" s="83"/>
      <c r="WO1" s="83"/>
      <c r="WP1" s="83"/>
      <c r="WQ1" s="83"/>
      <c r="WR1" s="83"/>
      <c r="WS1" s="83"/>
      <c r="WT1" s="83"/>
      <c r="WU1" s="83"/>
      <c r="WV1" s="83"/>
      <c r="WW1" s="83"/>
      <c r="WX1" s="83"/>
      <c r="WY1" s="83"/>
      <c r="WZ1" s="83"/>
      <c r="XA1" s="83"/>
      <c r="XB1" s="83"/>
      <c r="XC1" s="83"/>
      <c r="XD1" s="83"/>
      <c r="XE1" s="83"/>
      <c r="XF1" s="83"/>
      <c r="XG1" s="83"/>
      <c r="XH1" s="83"/>
      <c r="XI1" s="83"/>
      <c r="XJ1" s="83"/>
      <c r="XK1" s="83"/>
      <c r="XL1" s="83"/>
      <c r="XM1" s="83"/>
      <c r="XN1" s="83"/>
      <c r="XO1" s="83"/>
      <c r="XP1" s="83"/>
      <c r="XQ1" s="83"/>
      <c r="XR1" s="83"/>
      <c r="XS1" s="83"/>
      <c r="XT1" s="83"/>
      <c r="XU1" s="83"/>
      <c r="XV1" s="83"/>
      <c r="XW1" s="83"/>
      <c r="XX1" s="83"/>
      <c r="XY1" s="83"/>
      <c r="XZ1" s="83"/>
      <c r="YA1" s="83"/>
      <c r="YB1" s="83"/>
      <c r="YC1" s="83"/>
      <c r="YD1" s="83"/>
      <c r="YE1" s="83"/>
      <c r="YF1" s="83"/>
      <c r="YG1" s="83"/>
      <c r="YH1" s="83"/>
      <c r="YI1" s="83"/>
      <c r="YJ1" s="83"/>
      <c r="YK1" s="83"/>
      <c r="YL1" s="83"/>
      <c r="YM1" s="83"/>
      <c r="YN1" s="83"/>
      <c r="YO1" s="83"/>
      <c r="YP1" s="83"/>
      <c r="YQ1" s="83"/>
      <c r="YR1" s="83"/>
      <c r="YS1" s="83"/>
      <c r="YT1" s="83"/>
      <c r="YU1" s="83"/>
      <c r="YV1" s="83"/>
      <c r="YW1" s="83"/>
      <c r="YX1" s="83"/>
      <c r="YY1" s="83"/>
      <c r="YZ1" s="83"/>
      <c r="ZA1" s="83"/>
      <c r="ZB1" s="83"/>
      <c r="ZC1" s="83"/>
      <c r="ZD1" s="83"/>
      <c r="ZE1" s="83"/>
      <c r="ZF1" s="83"/>
      <c r="ZG1" s="83"/>
      <c r="ZH1" s="83"/>
      <c r="ZI1" s="83"/>
      <c r="ZJ1" s="83"/>
      <c r="ZK1" s="83"/>
      <c r="ZL1" s="83"/>
      <c r="ZM1" s="83"/>
      <c r="ZN1" s="83"/>
      <c r="ZO1" s="83"/>
      <c r="ZP1" s="83"/>
      <c r="ZQ1" s="83"/>
      <c r="ZR1" s="83"/>
      <c r="ZS1" s="83"/>
      <c r="ZT1" s="83"/>
      <c r="ZU1" s="83"/>
      <c r="ZV1" s="83"/>
      <c r="ZW1" s="83"/>
      <c r="ZX1" s="83"/>
      <c r="ZY1" s="83"/>
      <c r="ZZ1" s="83"/>
      <c r="AAA1" s="83"/>
      <c r="AAB1" s="83"/>
      <c r="AAC1" s="83"/>
      <c r="AAD1" s="83"/>
      <c r="AAE1" s="83"/>
      <c r="AAF1" s="83"/>
      <c r="AAG1" s="83"/>
      <c r="AAH1" s="83"/>
      <c r="AAI1" s="83"/>
      <c r="AAJ1" s="83"/>
      <c r="AAK1" s="83"/>
      <c r="AAL1" s="83"/>
      <c r="AAM1" s="83"/>
      <c r="AAN1" s="83"/>
      <c r="AAO1" s="83"/>
      <c r="AAP1" s="83"/>
      <c r="AAQ1" s="83"/>
      <c r="AAR1" s="83"/>
      <c r="AAS1" s="83"/>
      <c r="AAT1" s="83"/>
      <c r="AAU1" s="83"/>
      <c r="AAV1" s="83"/>
      <c r="AAW1" s="83"/>
      <c r="AAX1" s="83"/>
      <c r="AAY1" s="83"/>
      <c r="AAZ1" s="83"/>
      <c r="ABA1" s="83"/>
      <c r="ABB1" s="83"/>
      <c r="ABC1" s="83"/>
      <c r="ABD1" s="83"/>
      <c r="ABE1" s="83"/>
      <c r="ABF1" s="83"/>
      <c r="ABG1" s="83"/>
      <c r="ABH1" s="83"/>
      <c r="ABI1" s="83"/>
      <c r="ABJ1" s="83"/>
      <c r="ABK1" s="83"/>
      <c r="ABL1" s="83"/>
      <c r="ABM1" s="83"/>
      <c r="ABN1" s="83"/>
      <c r="ABO1" s="83"/>
      <c r="ABP1" s="83"/>
      <c r="ABQ1" s="83"/>
      <c r="ABR1" s="83"/>
      <c r="ABS1" s="83"/>
      <c r="ABT1" s="83"/>
      <c r="ABU1" s="83"/>
      <c r="ABV1" s="83"/>
      <c r="ABW1" s="83"/>
      <c r="ABX1" s="83"/>
      <c r="ABY1" s="83"/>
      <c r="ABZ1" s="83"/>
      <c r="ACA1" s="83"/>
      <c r="ACB1" s="83"/>
      <c r="ACC1" s="83"/>
      <c r="ACD1" s="83"/>
      <c r="ACE1" s="83"/>
      <c r="ACF1" s="83"/>
      <c r="ACG1" s="83"/>
      <c r="ACH1" s="83"/>
      <c r="ACI1" s="83"/>
      <c r="ACJ1" s="83"/>
      <c r="ACK1" s="83"/>
      <c r="ACL1" s="83"/>
      <c r="ACM1" s="83"/>
      <c r="ACN1" s="83"/>
      <c r="ACO1" s="83"/>
      <c r="ACP1" s="83"/>
      <c r="ACQ1" s="83"/>
      <c r="ACR1" s="83"/>
      <c r="ACS1" s="83"/>
      <c r="ACT1" s="83"/>
      <c r="ACU1" s="83"/>
      <c r="ACV1" s="83"/>
      <c r="ACW1" s="83"/>
      <c r="ACX1" s="83"/>
      <c r="ACY1" s="83"/>
      <c r="ACZ1" s="83"/>
      <c r="ADA1" s="83"/>
      <c r="ADB1" s="83"/>
      <c r="ADC1" s="83"/>
      <c r="ADD1" s="83"/>
      <c r="ADE1" s="83"/>
      <c r="ADF1" s="83"/>
      <c r="ADG1" s="83"/>
      <c r="ADH1" s="83"/>
      <c r="ADI1" s="83"/>
      <c r="ADJ1" s="83"/>
      <c r="ADK1" s="83"/>
      <c r="ADL1" s="83"/>
      <c r="ADM1" s="83"/>
      <c r="ADN1" s="83"/>
      <c r="ADO1" s="83"/>
      <c r="ADP1" s="83"/>
      <c r="ADQ1" s="83"/>
      <c r="ADR1" s="83"/>
      <c r="ADS1" s="83"/>
      <c r="ADT1" s="83"/>
      <c r="ADU1" s="83"/>
      <c r="ADV1" s="83"/>
      <c r="ADW1" s="83"/>
      <c r="ADX1" s="83"/>
      <c r="ADY1" s="83"/>
      <c r="ADZ1" s="83"/>
      <c r="AEA1" s="83"/>
      <c r="AEB1" s="83"/>
      <c r="AEC1" s="83"/>
      <c r="AED1" s="83"/>
      <c r="AEE1" s="83"/>
      <c r="AEF1" s="83"/>
      <c r="AEG1" s="83"/>
      <c r="AEH1" s="83"/>
      <c r="AEI1" s="83"/>
      <c r="AEJ1" s="83"/>
      <c r="AEK1" s="83"/>
      <c r="AEL1" s="83"/>
      <c r="AEM1" s="83"/>
      <c r="AEN1" s="83"/>
      <c r="AEO1" s="83"/>
      <c r="AEP1" s="83"/>
      <c r="AEQ1" s="83"/>
      <c r="AER1" s="83"/>
      <c r="AES1" s="83"/>
      <c r="AET1" s="83"/>
      <c r="AEU1" s="83"/>
      <c r="AEV1" s="83"/>
      <c r="AEW1" s="83"/>
      <c r="AEX1" s="83"/>
      <c r="AEY1" s="83"/>
      <c r="AEZ1" s="83"/>
      <c r="AFA1" s="83"/>
      <c r="AFB1" s="83"/>
      <c r="AFC1" s="83"/>
      <c r="AFD1" s="83"/>
      <c r="AFE1" s="83"/>
      <c r="AFF1" s="83"/>
      <c r="AFG1" s="83"/>
      <c r="AFH1" s="83"/>
      <c r="AFI1" s="83"/>
      <c r="AFJ1" s="83"/>
      <c r="AFK1" s="83"/>
      <c r="AFL1" s="83"/>
      <c r="AFM1" s="83"/>
      <c r="AFN1" s="83"/>
      <c r="AFO1" s="83"/>
      <c r="AFP1" s="83"/>
      <c r="AFQ1" s="83"/>
      <c r="AFR1" s="83"/>
      <c r="AFS1" s="83"/>
      <c r="AFT1" s="83"/>
      <c r="AFU1" s="83"/>
      <c r="AFV1" s="83"/>
      <c r="AFW1" s="83"/>
      <c r="AFX1" s="83"/>
      <c r="AFY1" s="83"/>
      <c r="AFZ1" s="83"/>
      <c r="AGA1" s="83"/>
      <c r="AGB1" s="83"/>
      <c r="AGC1" s="83"/>
      <c r="AGD1" s="83"/>
      <c r="AGE1" s="83"/>
      <c r="AGF1" s="83"/>
      <c r="AGG1" s="83"/>
      <c r="AGH1" s="83"/>
      <c r="AGI1" s="83"/>
      <c r="AGJ1" s="83"/>
      <c r="AGK1" s="83"/>
      <c r="AGL1" s="83"/>
      <c r="AGM1" s="83"/>
      <c r="AGN1" s="83"/>
      <c r="AGO1" s="83"/>
      <c r="AGP1" s="83"/>
      <c r="AGQ1" s="83"/>
      <c r="AGR1" s="83"/>
      <c r="AGS1" s="83"/>
      <c r="AGT1" s="83"/>
      <c r="AGU1" s="83"/>
      <c r="AGV1" s="83"/>
      <c r="AGW1" s="83"/>
      <c r="AGX1" s="83"/>
      <c r="AGY1" s="83"/>
      <c r="AGZ1" s="83"/>
      <c r="AHA1" s="83"/>
      <c r="AHB1" s="83"/>
      <c r="AHC1" s="83"/>
      <c r="AHD1" s="83"/>
      <c r="AHE1" s="83"/>
      <c r="AHF1" s="83"/>
      <c r="AHG1" s="83"/>
      <c r="AHH1" s="83"/>
      <c r="AHI1" s="83"/>
      <c r="AHJ1" s="83"/>
      <c r="AHK1" s="83"/>
      <c r="AHL1" s="83"/>
      <c r="AHM1" s="83"/>
      <c r="AHN1" s="83"/>
      <c r="AHO1" s="83"/>
      <c r="AHP1" s="83"/>
      <c r="AHQ1" s="83"/>
      <c r="AHR1" s="83"/>
      <c r="AHS1" s="83"/>
      <c r="AHT1" s="83"/>
      <c r="AHU1" s="83"/>
      <c r="AHV1" s="83"/>
      <c r="AHW1" s="83"/>
      <c r="AHX1" s="83"/>
      <c r="AHY1" s="83"/>
      <c r="AHZ1" s="83"/>
      <c r="AIA1" s="83"/>
      <c r="AIB1" s="83"/>
      <c r="AIC1" s="83"/>
      <c r="AID1" s="83"/>
      <c r="AIE1" s="83"/>
      <c r="AIF1" s="83"/>
      <c r="AIG1" s="83"/>
      <c r="AIH1" s="83"/>
      <c r="AII1" s="83"/>
      <c r="AIJ1" s="83"/>
      <c r="AIK1" s="83"/>
      <c r="AIL1" s="83"/>
      <c r="AIM1" s="83"/>
      <c r="AIN1" s="83"/>
      <c r="AIO1" s="83"/>
      <c r="AIP1" s="83"/>
      <c r="AIQ1" s="83"/>
      <c r="AIR1" s="83"/>
      <c r="AIS1" s="83"/>
      <c r="AIT1" s="83"/>
      <c r="AIU1" s="83"/>
      <c r="AIV1" s="83"/>
      <c r="AIW1" s="83"/>
      <c r="AIX1" s="83"/>
      <c r="AIY1" s="83"/>
      <c r="AIZ1" s="83"/>
      <c r="AJA1" s="83"/>
      <c r="AJB1" s="83"/>
      <c r="AJC1" s="83"/>
      <c r="AJD1" s="83"/>
      <c r="AJE1" s="83"/>
      <c r="AJF1" s="83"/>
      <c r="AJG1" s="83"/>
      <c r="AJH1" s="83"/>
      <c r="AJI1" s="83"/>
      <c r="AJJ1" s="83"/>
      <c r="AJK1" s="83"/>
      <c r="AJL1" s="83"/>
      <c r="AJM1" s="83"/>
      <c r="AJN1" s="83"/>
      <c r="AJO1" s="83"/>
      <c r="AJP1" s="83"/>
      <c r="AJQ1" s="83"/>
      <c r="AJR1" s="83"/>
      <c r="AJS1" s="83"/>
      <c r="AJT1" s="83"/>
      <c r="AJU1" s="83"/>
      <c r="AJV1" s="83"/>
      <c r="AJW1" s="83"/>
      <c r="AJX1" s="83"/>
      <c r="AJY1" s="83"/>
      <c r="AJZ1" s="83"/>
      <c r="AKA1" s="83"/>
      <c r="AKB1" s="83"/>
      <c r="AKC1" s="83"/>
      <c r="AKD1" s="83"/>
      <c r="AKE1" s="83"/>
      <c r="AKF1" s="83"/>
      <c r="AKG1" s="83"/>
      <c r="AKH1" s="83"/>
      <c r="AKI1" s="83"/>
      <c r="AKJ1" s="83"/>
      <c r="AKK1" s="83"/>
      <c r="AKL1" s="83"/>
      <c r="AKM1" s="83"/>
      <c r="AKN1" s="83"/>
      <c r="AKO1" s="83"/>
      <c r="AKP1" s="83"/>
      <c r="AKQ1" s="83"/>
      <c r="AKR1" s="83"/>
      <c r="AKS1" s="83"/>
      <c r="AKT1" s="83"/>
      <c r="AKU1" s="83"/>
      <c r="AKV1" s="83"/>
      <c r="AKW1" s="83"/>
      <c r="AKX1" s="83"/>
      <c r="AKY1" s="83"/>
      <c r="AKZ1" s="83"/>
      <c r="ALA1" s="83"/>
      <c r="ALB1" s="83"/>
      <c r="ALC1" s="83"/>
      <c r="XER1" s="87" t="s">
        <v>928</v>
      </c>
    </row>
    <row r="2" spans="1:991 16372:16372" s="87" customFormat="1" ht="20.100000000000001" customHeight="1">
      <c r="A2" s="88" t="s">
        <v>891</v>
      </c>
      <c r="B2" s="374" t="str">
        <f>OBRA</f>
        <v>QUADRA POLIESPORTIVA DE MASCARENHAS</v>
      </c>
      <c r="C2" s="374"/>
      <c r="D2" s="374"/>
      <c r="E2" s="374"/>
      <c r="F2" s="374"/>
      <c r="G2" s="374"/>
      <c r="H2" s="374"/>
      <c r="I2" s="83"/>
      <c r="J2" s="83"/>
      <c r="K2" s="83"/>
      <c r="L2" s="84"/>
      <c r="M2" s="85"/>
      <c r="N2" s="86"/>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c r="IX2" s="83"/>
      <c r="IY2" s="83"/>
      <c r="IZ2" s="83"/>
      <c r="JA2" s="83"/>
      <c r="JB2" s="83"/>
      <c r="JC2" s="83"/>
      <c r="JD2" s="83"/>
      <c r="JE2" s="83"/>
      <c r="JF2" s="83"/>
      <c r="JG2" s="83"/>
      <c r="JH2" s="83"/>
      <c r="JI2" s="83"/>
      <c r="JJ2" s="83"/>
      <c r="JK2" s="83"/>
      <c r="JL2" s="83"/>
      <c r="JM2" s="83"/>
      <c r="JN2" s="83"/>
      <c r="JO2" s="83"/>
      <c r="JP2" s="83"/>
      <c r="JQ2" s="83"/>
      <c r="JR2" s="83"/>
      <c r="JS2" s="83"/>
      <c r="JT2" s="83"/>
      <c r="JU2" s="83"/>
      <c r="JV2" s="83"/>
      <c r="JW2" s="83"/>
      <c r="JX2" s="83"/>
      <c r="JY2" s="83"/>
      <c r="JZ2" s="83"/>
      <c r="KA2" s="83"/>
      <c r="KB2" s="83"/>
      <c r="KC2" s="83"/>
      <c r="KD2" s="83"/>
      <c r="KE2" s="83"/>
      <c r="KF2" s="83"/>
      <c r="KG2" s="83"/>
      <c r="KH2" s="83"/>
      <c r="KI2" s="83"/>
      <c r="KJ2" s="83"/>
      <c r="KK2" s="83"/>
      <c r="KL2" s="83"/>
      <c r="KM2" s="83"/>
      <c r="KN2" s="83"/>
      <c r="KO2" s="83"/>
      <c r="KP2" s="83"/>
      <c r="KQ2" s="83"/>
      <c r="KR2" s="83"/>
      <c r="KS2" s="83"/>
      <c r="KT2" s="83"/>
      <c r="KU2" s="83"/>
      <c r="KV2" s="83"/>
      <c r="KW2" s="83"/>
      <c r="KX2" s="83"/>
      <c r="KY2" s="83"/>
      <c r="KZ2" s="83"/>
      <c r="LA2" s="83"/>
      <c r="LB2" s="83"/>
      <c r="LC2" s="83"/>
      <c r="LD2" s="83"/>
      <c r="LE2" s="83"/>
      <c r="LF2" s="83"/>
      <c r="LG2" s="83"/>
      <c r="LH2" s="83"/>
      <c r="LI2" s="83"/>
      <c r="LJ2" s="83"/>
      <c r="LK2" s="83"/>
      <c r="LL2" s="83"/>
      <c r="LM2" s="83"/>
      <c r="LN2" s="83"/>
      <c r="LO2" s="83"/>
      <c r="LP2" s="83"/>
      <c r="LQ2" s="83"/>
      <c r="LR2" s="83"/>
      <c r="LS2" s="83"/>
      <c r="LT2" s="83"/>
      <c r="LU2" s="83"/>
      <c r="LV2" s="83"/>
      <c r="LW2" s="83"/>
      <c r="LX2" s="83"/>
      <c r="LY2" s="83"/>
      <c r="LZ2" s="83"/>
      <c r="MA2" s="83"/>
      <c r="MB2" s="83"/>
      <c r="MC2" s="83"/>
      <c r="MD2" s="83"/>
      <c r="ME2" s="83"/>
      <c r="MF2" s="83"/>
      <c r="MG2" s="83"/>
      <c r="MH2" s="83"/>
      <c r="MI2" s="83"/>
      <c r="MJ2" s="83"/>
      <c r="MK2" s="83"/>
      <c r="ML2" s="83"/>
      <c r="MM2" s="83"/>
      <c r="MN2" s="83"/>
      <c r="MO2" s="83"/>
      <c r="MP2" s="83"/>
      <c r="MQ2" s="83"/>
      <c r="MR2" s="83"/>
      <c r="MS2" s="83"/>
      <c r="MT2" s="83"/>
      <c r="MU2" s="83"/>
      <c r="MV2" s="83"/>
      <c r="MW2" s="83"/>
      <c r="MX2" s="83"/>
      <c r="MY2" s="83"/>
      <c r="MZ2" s="83"/>
      <c r="NA2" s="83"/>
      <c r="NB2" s="83"/>
      <c r="NC2" s="83"/>
      <c r="ND2" s="83"/>
      <c r="NE2" s="83"/>
      <c r="NF2" s="83"/>
      <c r="NG2" s="83"/>
      <c r="NH2" s="83"/>
      <c r="NI2" s="83"/>
      <c r="NJ2" s="83"/>
      <c r="NK2" s="83"/>
      <c r="NL2" s="83"/>
      <c r="NM2" s="83"/>
      <c r="NN2" s="83"/>
      <c r="NO2" s="83"/>
      <c r="NP2" s="83"/>
      <c r="NQ2" s="83"/>
      <c r="NR2" s="83"/>
      <c r="NS2" s="83"/>
      <c r="NT2" s="83"/>
      <c r="NU2" s="83"/>
      <c r="NV2" s="83"/>
      <c r="NW2" s="83"/>
      <c r="NX2" s="83"/>
      <c r="NY2" s="83"/>
      <c r="NZ2" s="83"/>
      <c r="OA2" s="83"/>
      <c r="OB2" s="83"/>
      <c r="OC2" s="83"/>
      <c r="OD2" s="83"/>
      <c r="OE2" s="83"/>
      <c r="OF2" s="83"/>
      <c r="OG2" s="83"/>
      <c r="OH2" s="83"/>
      <c r="OI2" s="83"/>
      <c r="OJ2" s="83"/>
      <c r="OK2" s="83"/>
      <c r="OL2" s="83"/>
      <c r="OM2" s="83"/>
      <c r="ON2" s="83"/>
      <c r="OO2" s="83"/>
      <c r="OP2" s="83"/>
      <c r="OQ2" s="83"/>
      <c r="OR2" s="83"/>
      <c r="OS2" s="83"/>
      <c r="OT2" s="83"/>
      <c r="OU2" s="83"/>
      <c r="OV2" s="83"/>
      <c r="OW2" s="83"/>
      <c r="OX2" s="83"/>
      <c r="OY2" s="83"/>
      <c r="OZ2" s="83"/>
      <c r="PA2" s="83"/>
      <c r="PB2" s="83"/>
      <c r="PC2" s="83"/>
      <c r="PD2" s="83"/>
      <c r="PE2" s="83"/>
      <c r="PF2" s="83"/>
      <c r="PG2" s="83"/>
      <c r="PH2" s="83"/>
      <c r="PI2" s="83"/>
      <c r="PJ2" s="83"/>
      <c r="PK2" s="83"/>
      <c r="PL2" s="83"/>
      <c r="PM2" s="83"/>
      <c r="PN2" s="83"/>
      <c r="PO2" s="83"/>
      <c r="PP2" s="83"/>
      <c r="PQ2" s="83"/>
      <c r="PR2" s="83"/>
      <c r="PS2" s="83"/>
      <c r="PT2" s="83"/>
      <c r="PU2" s="83"/>
      <c r="PV2" s="83"/>
      <c r="PW2" s="83"/>
      <c r="PX2" s="83"/>
      <c r="PY2" s="83"/>
      <c r="PZ2" s="83"/>
      <c r="QA2" s="83"/>
      <c r="QB2" s="83"/>
      <c r="QC2" s="83"/>
      <c r="QD2" s="83"/>
      <c r="QE2" s="83"/>
      <c r="QF2" s="83"/>
      <c r="QG2" s="83"/>
      <c r="QH2" s="83"/>
      <c r="QI2" s="83"/>
      <c r="QJ2" s="83"/>
      <c r="QK2" s="83"/>
      <c r="QL2" s="83"/>
      <c r="QM2" s="83"/>
      <c r="QN2" s="83"/>
      <c r="QO2" s="83"/>
      <c r="QP2" s="83"/>
      <c r="QQ2" s="83"/>
      <c r="QR2" s="83"/>
      <c r="QS2" s="83"/>
      <c r="QT2" s="83"/>
      <c r="QU2" s="83"/>
      <c r="QV2" s="83"/>
      <c r="QW2" s="83"/>
      <c r="QX2" s="83"/>
      <c r="QY2" s="83"/>
      <c r="QZ2" s="83"/>
      <c r="RA2" s="83"/>
      <c r="RB2" s="83"/>
      <c r="RC2" s="83"/>
      <c r="RD2" s="83"/>
      <c r="RE2" s="83"/>
      <c r="RF2" s="83"/>
      <c r="RG2" s="83"/>
      <c r="RH2" s="83"/>
      <c r="RI2" s="83"/>
      <c r="RJ2" s="83"/>
      <c r="RK2" s="83"/>
      <c r="RL2" s="83"/>
      <c r="RM2" s="83"/>
      <c r="RN2" s="83"/>
      <c r="RO2" s="83"/>
      <c r="RP2" s="83"/>
      <c r="RQ2" s="83"/>
      <c r="RR2" s="83"/>
      <c r="RS2" s="83"/>
      <c r="RT2" s="83"/>
      <c r="RU2" s="83"/>
      <c r="RV2" s="83"/>
      <c r="RW2" s="83"/>
      <c r="RX2" s="83"/>
      <c r="RY2" s="83"/>
      <c r="RZ2" s="83"/>
      <c r="SA2" s="83"/>
      <c r="SB2" s="83"/>
      <c r="SC2" s="83"/>
      <c r="SD2" s="83"/>
      <c r="SE2" s="83"/>
      <c r="SF2" s="83"/>
      <c r="SG2" s="83"/>
      <c r="SH2" s="83"/>
      <c r="SI2" s="83"/>
      <c r="SJ2" s="83"/>
      <c r="SK2" s="83"/>
      <c r="SL2" s="83"/>
      <c r="SM2" s="83"/>
      <c r="SN2" s="83"/>
      <c r="SO2" s="83"/>
      <c r="SP2" s="83"/>
      <c r="SQ2" s="83"/>
      <c r="SR2" s="83"/>
      <c r="SS2" s="83"/>
      <c r="ST2" s="83"/>
      <c r="SU2" s="83"/>
      <c r="SV2" s="83"/>
      <c r="SW2" s="83"/>
      <c r="SX2" s="83"/>
      <c r="SY2" s="83"/>
      <c r="SZ2" s="83"/>
      <c r="TA2" s="83"/>
      <c r="TB2" s="83"/>
      <c r="TC2" s="83"/>
      <c r="TD2" s="83"/>
      <c r="TE2" s="83"/>
      <c r="TF2" s="83"/>
      <c r="TG2" s="83"/>
      <c r="TH2" s="83"/>
      <c r="TI2" s="83"/>
      <c r="TJ2" s="83"/>
      <c r="TK2" s="83"/>
      <c r="TL2" s="83"/>
      <c r="TM2" s="83"/>
      <c r="TN2" s="83"/>
      <c r="TO2" s="83"/>
      <c r="TP2" s="83"/>
      <c r="TQ2" s="83"/>
      <c r="TR2" s="83"/>
      <c r="TS2" s="83"/>
      <c r="TT2" s="83"/>
      <c r="TU2" s="83"/>
      <c r="TV2" s="83"/>
      <c r="TW2" s="83"/>
      <c r="TX2" s="83"/>
      <c r="TY2" s="83"/>
      <c r="TZ2" s="83"/>
      <c r="UA2" s="83"/>
      <c r="UB2" s="83"/>
      <c r="UC2" s="83"/>
      <c r="UD2" s="83"/>
      <c r="UE2" s="83"/>
      <c r="UF2" s="83"/>
      <c r="UG2" s="83"/>
      <c r="UH2" s="83"/>
      <c r="UI2" s="83"/>
      <c r="UJ2" s="83"/>
      <c r="UK2" s="83"/>
      <c r="UL2" s="83"/>
      <c r="UM2" s="83"/>
      <c r="UN2" s="83"/>
      <c r="UO2" s="83"/>
      <c r="UP2" s="83"/>
      <c r="UQ2" s="83"/>
      <c r="UR2" s="83"/>
      <c r="US2" s="83"/>
      <c r="UT2" s="83"/>
      <c r="UU2" s="83"/>
      <c r="UV2" s="83"/>
      <c r="UW2" s="83"/>
      <c r="UX2" s="83"/>
      <c r="UY2" s="83"/>
      <c r="UZ2" s="83"/>
      <c r="VA2" s="83"/>
      <c r="VB2" s="83"/>
      <c r="VC2" s="83"/>
      <c r="VD2" s="83"/>
      <c r="VE2" s="83"/>
      <c r="VF2" s="83"/>
      <c r="VG2" s="83"/>
      <c r="VH2" s="83"/>
      <c r="VI2" s="83"/>
      <c r="VJ2" s="83"/>
      <c r="VK2" s="83"/>
      <c r="VL2" s="83"/>
      <c r="VM2" s="83"/>
      <c r="VN2" s="83"/>
      <c r="VO2" s="83"/>
      <c r="VP2" s="83"/>
      <c r="VQ2" s="83"/>
      <c r="VR2" s="83"/>
      <c r="VS2" s="83"/>
      <c r="VT2" s="83"/>
      <c r="VU2" s="83"/>
      <c r="VV2" s="83"/>
      <c r="VW2" s="83"/>
      <c r="VX2" s="83"/>
      <c r="VY2" s="83"/>
      <c r="VZ2" s="83"/>
      <c r="WA2" s="83"/>
      <c r="WB2" s="83"/>
      <c r="WC2" s="83"/>
      <c r="WD2" s="83"/>
      <c r="WE2" s="83"/>
      <c r="WF2" s="83"/>
      <c r="WG2" s="83"/>
      <c r="WH2" s="83"/>
      <c r="WI2" s="83"/>
      <c r="WJ2" s="83"/>
      <c r="WK2" s="83"/>
      <c r="WL2" s="83"/>
      <c r="WM2" s="83"/>
      <c r="WN2" s="83"/>
      <c r="WO2" s="83"/>
      <c r="WP2" s="83"/>
      <c r="WQ2" s="83"/>
      <c r="WR2" s="83"/>
      <c r="WS2" s="83"/>
      <c r="WT2" s="83"/>
      <c r="WU2" s="83"/>
      <c r="WV2" s="83"/>
      <c r="WW2" s="83"/>
      <c r="WX2" s="83"/>
      <c r="WY2" s="83"/>
      <c r="WZ2" s="83"/>
      <c r="XA2" s="83"/>
      <c r="XB2" s="83"/>
      <c r="XC2" s="83"/>
      <c r="XD2" s="83"/>
      <c r="XE2" s="83"/>
      <c r="XF2" s="83"/>
      <c r="XG2" s="83"/>
      <c r="XH2" s="83"/>
      <c r="XI2" s="83"/>
      <c r="XJ2" s="83"/>
      <c r="XK2" s="83"/>
      <c r="XL2" s="83"/>
      <c r="XM2" s="83"/>
      <c r="XN2" s="83"/>
      <c r="XO2" s="83"/>
      <c r="XP2" s="83"/>
      <c r="XQ2" s="83"/>
      <c r="XR2" s="83"/>
      <c r="XS2" s="83"/>
      <c r="XT2" s="83"/>
      <c r="XU2" s="83"/>
      <c r="XV2" s="83"/>
      <c r="XW2" s="83"/>
      <c r="XX2" s="83"/>
      <c r="XY2" s="83"/>
      <c r="XZ2" s="83"/>
      <c r="YA2" s="83"/>
      <c r="YB2" s="83"/>
      <c r="YC2" s="83"/>
      <c r="YD2" s="83"/>
      <c r="YE2" s="83"/>
      <c r="YF2" s="83"/>
      <c r="YG2" s="83"/>
      <c r="YH2" s="83"/>
      <c r="YI2" s="83"/>
      <c r="YJ2" s="83"/>
      <c r="YK2" s="83"/>
      <c r="YL2" s="83"/>
      <c r="YM2" s="83"/>
      <c r="YN2" s="83"/>
      <c r="YO2" s="83"/>
      <c r="YP2" s="83"/>
      <c r="YQ2" s="83"/>
      <c r="YR2" s="83"/>
      <c r="YS2" s="83"/>
      <c r="YT2" s="83"/>
      <c r="YU2" s="83"/>
      <c r="YV2" s="83"/>
      <c r="YW2" s="83"/>
      <c r="YX2" s="83"/>
      <c r="YY2" s="83"/>
      <c r="YZ2" s="83"/>
      <c r="ZA2" s="83"/>
      <c r="ZB2" s="83"/>
      <c r="ZC2" s="83"/>
      <c r="ZD2" s="83"/>
      <c r="ZE2" s="83"/>
      <c r="ZF2" s="83"/>
      <c r="ZG2" s="83"/>
      <c r="ZH2" s="83"/>
      <c r="ZI2" s="83"/>
      <c r="ZJ2" s="83"/>
      <c r="ZK2" s="83"/>
      <c r="ZL2" s="83"/>
      <c r="ZM2" s="83"/>
      <c r="ZN2" s="83"/>
      <c r="ZO2" s="83"/>
      <c r="ZP2" s="83"/>
      <c r="ZQ2" s="83"/>
      <c r="ZR2" s="83"/>
      <c r="ZS2" s="83"/>
      <c r="ZT2" s="83"/>
      <c r="ZU2" s="83"/>
      <c r="ZV2" s="83"/>
      <c r="ZW2" s="83"/>
      <c r="ZX2" s="83"/>
      <c r="ZY2" s="83"/>
      <c r="ZZ2" s="83"/>
      <c r="AAA2" s="83"/>
      <c r="AAB2" s="83"/>
      <c r="AAC2" s="83"/>
      <c r="AAD2" s="83"/>
      <c r="AAE2" s="83"/>
      <c r="AAF2" s="83"/>
      <c r="AAG2" s="83"/>
      <c r="AAH2" s="83"/>
      <c r="AAI2" s="83"/>
      <c r="AAJ2" s="83"/>
      <c r="AAK2" s="83"/>
      <c r="AAL2" s="83"/>
      <c r="AAM2" s="83"/>
      <c r="AAN2" s="83"/>
      <c r="AAO2" s="83"/>
      <c r="AAP2" s="83"/>
      <c r="AAQ2" s="83"/>
      <c r="AAR2" s="83"/>
      <c r="AAS2" s="83"/>
      <c r="AAT2" s="83"/>
      <c r="AAU2" s="83"/>
      <c r="AAV2" s="83"/>
      <c r="AAW2" s="83"/>
      <c r="AAX2" s="83"/>
      <c r="AAY2" s="83"/>
      <c r="AAZ2" s="83"/>
      <c r="ABA2" s="83"/>
      <c r="ABB2" s="83"/>
      <c r="ABC2" s="83"/>
      <c r="ABD2" s="83"/>
      <c r="ABE2" s="83"/>
      <c r="ABF2" s="83"/>
      <c r="ABG2" s="83"/>
      <c r="ABH2" s="83"/>
      <c r="ABI2" s="83"/>
      <c r="ABJ2" s="83"/>
      <c r="ABK2" s="83"/>
      <c r="ABL2" s="83"/>
      <c r="ABM2" s="83"/>
      <c r="ABN2" s="83"/>
      <c r="ABO2" s="83"/>
      <c r="ABP2" s="83"/>
      <c r="ABQ2" s="83"/>
      <c r="ABR2" s="83"/>
      <c r="ABS2" s="83"/>
      <c r="ABT2" s="83"/>
      <c r="ABU2" s="83"/>
      <c r="ABV2" s="83"/>
      <c r="ABW2" s="83"/>
      <c r="ABX2" s="83"/>
      <c r="ABY2" s="83"/>
      <c r="ABZ2" s="83"/>
      <c r="ACA2" s="83"/>
      <c r="ACB2" s="83"/>
      <c r="ACC2" s="83"/>
      <c r="ACD2" s="83"/>
      <c r="ACE2" s="83"/>
      <c r="ACF2" s="83"/>
      <c r="ACG2" s="83"/>
      <c r="ACH2" s="83"/>
      <c r="ACI2" s="83"/>
      <c r="ACJ2" s="83"/>
      <c r="ACK2" s="83"/>
      <c r="ACL2" s="83"/>
      <c r="ACM2" s="83"/>
      <c r="ACN2" s="83"/>
      <c r="ACO2" s="83"/>
      <c r="ACP2" s="83"/>
      <c r="ACQ2" s="83"/>
      <c r="ACR2" s="83"/>
      <c r="ACS2" s="83"/>
      <c r="ACT2" s="83"/>
      <c r="ACU2" s="83"/>
      <c r="ACV2" s="83"/>
      <c r="ACW2" s="83"/>
      <c r="ACX2" s="83"/>
      <c r="ACY2" s="83"/>
      <c r="ACZ2" s="83"/>
      <c r="ADA2" s="83"/>
      <c r="ADB2" s="83"/>
      <c r="ADC2" s="83"/>
      <c r="ADD2" s="83"/>
      <c r="ADE2" s="83"/>
      <c r="ADF2" s="83"/>
      <c r="ADG2" s="83"/>
      <c r="ADH2" s="83"/>
      <c r="ADI2" s="83"/>
      <c r="ADJ2" s="83"/>
      <c r="ADK2" s="83"/>
      <c r="ADL2" s="83"/>
      <c r="ADM2" s="83"/>
      <c r="ADN2" s="83"/>
      <c r="ADO2" s="83"/>
      <c r="ADP2" s="83"/>
      <c r="ADQ2" s="83"/>
      <c r="ADR2" s="83"/>
      <c r="ADS2" s="83"/>
      <c r="ADT2" s="83"/>
      <c r="ADU2" s="83"/>
      <c r="ADV2" s="83"/>
      <c r="ADW2" s="83"/>
      <c r="ADX2" s="83"/>
      <c r="ADY2" s="83"/>
      <c r="ADZ2" s="83"/>
      <c r="AEA2" s="83"/>
      <c r="AEB2" s="83"/>
      <c r="AEC2" s="83"/>
      <c r="AED2" s="83"/>
      <c r="AEE2" s="83"/>
      <c r="AEF2" s="83"/>
      <c r="AEG2" s="83"/>
      <c r="AEH2" s="83"/>
      <c r="AEI2" s="83"/>
      <c r="AEJ2" s="83"/>
      <c r="AEK2" s="83"/>
      <c r="AEL2" s="83"/>
      <c r="AEM2" s="83"/>
      <c r="AEN2" s="83"/>
      <c r="AEO2" s="83"/>
      <c r="AEP2" s="83"/>
      <c r="AEQ2" s="83"/>
      <c r="AER2" s="83"/>
      <c r="AES2" s="83"/>
      <c r="AET2" s="83"/>
      <c r="AEU2" s="83"/>
      <c r="AEV2" s="83"/>
      <c r="AEW2" s="83"/>
      <c r="AEX2" s="83"/>
      <c r="AEY2" s="83"/>
      <c r="AEZ2" s="83"/>
      <c r="AFA2" s="83"/>
      <c r="AFB2" s="83"/>
      <c r="AFC2" s="83"/>
      <c r="AFD2" s="83"/>
      <c r="AFE2" s="83"/>
      <c r="AFF2" s="83"/>
      <c r="AFG2" s="83"/>
      <c r="AFH2" s="83"/>
      <c r="AFI2" s="83"/>
      <c r="AFJ2" s="83"/>
      <c r="AFK2" s="83"/>
      <c r="AFL2" s="83"/>
      <c r="AFM2" s="83"/>
      <c r="AFN2" s="83"/>
      <c r="AFO2" s="83"/>
      <c r="AFP2" s="83"/>
      <c r="AFQ2" s="83"/>
      <c r="AFR2" s="83"/>
      <c r="AFS2" s="83"/>
      <c r="AFT2" s="83"/>
      <c r="AFU2" s="83"/>
      <c r="AFV2" s="83"/>
      <c r="AFW2" s="83"/>
      <c r="AFX2" s="83"/>
      <c r="AFY2" s="83"/>
      <c r="AFZ2" s="83"/>
      <c r="AGA2" s="83"/>
      <c r="AGB2" s="83"/>
      <c r="AGC2" s="83"/>
      <c r="AGD2" s="83"/>
      <c r="AGE2" s="83"/>
      <c r="AGF2" s="83"/>
      <c r="AGG2" s="83"/>
      <c r="AGH2" s="83"/>
      <c r="AGI2" s="83"/>
      <c r="AGJ2" s="83"/>
      <c r="AGK2" s="83"/>
      <c r="AGL2" s="83"/>
      <c r="AGM2" s="83"/>
      <c r="AGN2" s="83"/>
      <c r="AGO2" s="83"/>
      <c r="AGP2" s="83"/>
      <c r="AGQ2" s="83"/>
      <c r="AGR2" s="83"/>
      <c r="AGS2" s="83"/>
      <c r="AGT2" s="83"/>
      <c r="AGU2" s="83"/>
      <c r="AGV2" s="83"/>
      <c r="AGW2" s="83"/>
      <c r="AGX2" s="83"/>
      <c r="AGY2" s="83"/>
      <c r="AGZ2" s="83"/>
      <c r="AHA2" s="83"/>
      <c r="AHB2" s="83"/>
      <c r="AHC2" s="83"/>
      <c r="AHD2" s="83"/>
      <c r="AHE2" s="83"/>
      <c r="AHF2" s="83"/>
      <c r="AHG2" s="83"/>
      <c r="AHH2" s="83"/>
      <c r="AHI2" s="83"/>
      <c r="AHJ2" s="83"/>
      <c r="AHK2" s="83"/>
      <c r="AHL2" s="83"/>
      <c r="AHM2" s="83"/>
      <c r="AHN2" s="83"/>
      <c r="AHO2" s="83"/>
      <c r="AHP2" s="83"/>
      <c r="AHQ2" s="83"/>
      <c r="AHR2" s="83"/>
      <c r="AHS2" s="83"/>
      <c r="AHT2" s="83"/>
      <c r="AHU2" s="83"/>
      <c r="AHV2" s="83"/>
      <c r="AHW2" s="83"/>
      <c r="AHX2" s="83"/>
      <c r="AHY2" s="83"/>
      <c r="AHZ2" s="83"/>
      <c r="AIA2" s="83"/>
      <c r="AIB2" s="83"/>
      <c r="AIC2" s="83"/>
      <c r="AID2" s="83"/>
      <c r="AIE2" s="83"/>
      <c r="AIF2" s="83"/>
      <c r="AIG2" s="83"/>
      <c r="AIH2" s="83"/>
      <c r="AII2" s="83"/>
      <c r="AIJ2" s="83"/>
      <c r="AIK2" s="83"/>
      <c r="AIL2" s="83"/>
      <c r="AIM2" s="83"/>
      <c r="AIN2" s="83"/>
      <c r="AIO2" s="83"/>
      <c r="AIP2" s="83"/>
      <c r="AIQ2" s="83"/>
      <c r="AIR2" s="83"/>
      <c r="AIS2" s="83"/>
      <c r="AIT2" s="83"/>
      <c r="AIU2" s="83"/>
      <c r="AIV2" s="83"/>
      <c r="AIW2" s="83"/>
      <c r="AIX2" s="83"/>
      <c r="AIY2" s="83"/>
      <c r="AIZ2" s="83"/>
      <c r="AJA2" s="83"/>
      <c r="AJB2" s="83"/>
      <c r="AJC2" s="83"/>
      <c r="AJD2" s="83"/>
      <c r="AJE2" s="83"/>
      <c r="AJF2" s="83"/>
      <c r="AJG2" s="83"/>
      <c r="AJH2" s="83"/>
      <c r="AJI2" s="83"/>
      <c r="AJJ2" s="83"/>
      <c r="AJK2" s="83"/>
      <c r="AJL2" s="83"/>
      <c r="AJM2" s="83"/>
      <c r="AJN2" s="83"/>
      <c r="AJO2" s="83"/>
      <c r="AJP2" s="83"/>
      <c r="AJQ2" s="83"/>
      <c r="AJR2" s="83"/>
      <c r="AJS2" s="83"/>
      <c r="AJT2" s="83"/>
      <c r="AJU2" s="83"/>
      <c r="AJV2" s="83"/>
      <c r="AJW2" s="83"/>
      <c r="AJX2" s="83"/>
      <c r="AJY2" s="83"/>
      <c r="AJZ2" s="83"/>
      <c r="AKA2" s="83"/>
      <c r="AKB2" s="83"/>
      <c r="AKC2" s="83"/>
      <c r="AKD2" s="83"/>
      <c r="AKE2" s="83"/>
      <c r="AKF2" s="83"/>
      <c r="AKG2" s="83"/>
      <c r="AKH2" s="83"/>
      <c r="AKI2" s="83"/>
      <c r="AKJ2" s="83"/>
      <c r="AKK2" s="83"/>
      <c r="AKL2" s="83"/>
      <c r="AKM2" s="83"/>
      <c r="AKN2" s="83"/>
      <c r="AKO2" s="83"/>
      <c r="AKP2" s="83"/>
      <c r="AKQ2" s="83"/>
      <c r="AKR2" s="83"/>
      <c r="AKS2" s="83"/>
      <c r="AKT2" s="83"/>
      <c r="AKU2" s="83"/>
      <c r="AKV2" s="83"/>
      <c r="AKW2" s="83"/>
      <c r="AKX2" s="83"/>
      <c r="AKY2" s="83"/>
      <c r="AKZ2" s="83"/>
      <c r="ALA2" s="83"/>
      <c r="ALB2" s="83"/>
      <c r="ALC2" s="83"/>
      <c r="XER2" s="87" t="s">
        <v>32</v>
      </c>
    </row>
    <row r="3" spans="1:991 16372:16372" s="87" customFormat="1" ht="20.100000000000001" customHeight="1">
      <c r="A3" s="88" t="s">
        <v>7242</v>
      </c>
      <c r="B3" s="375" t="str">
        <f>CONTRATO</f>
        <v>Distrito de Macarenhas - Baixo Guandu/ ES</v>
      </c>
      <c r="C3" s="375"/>
      <c r="D3" s="375"/>
      <c r="E3" s="375"/>
      <c r="F3" s="375"/>
      <c r="G3" s="375"/>
      <c r="H3" s="375"/>
      <c r="I3" s="83"/>
      <c r="J3" s="83"/>
      <c r="K3" s="83"/>
      <c r="L3" s="84"/>
      <c r="M3" s="85"/>
      <c r="N3" s="86"/>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83"/>
      <c r="FT3" s="83"/>
      <c r="FU3" s="83"/>
      <c r="FV3" s="83"/>
      <c r="FW3" s="83"/>
      <c r="FX3" s="83"/>
      <c r="FY3" s="83"/>
      <c r="FZ3" s="83"/>
      <c r="GA3" s="83"/>
      <c r="GB3" s="83"/>
      <c r="GC3" s="83"/>
      <c r="GD3" s="83"/>
      <c r="GE3" s="83"/>
      <c r="GF3" s="83"/>
      <c r="GG3" s="83"/>
      <c r="GH3" s="83"/>
      <c r="GI3" s="83"/>
      <c r="GJ3" s="83"/>
      <c r="GK3" s="83"/>
      <c r="GL3" s="83"/>
      <c r="GM3" s="83"/>
      <c r="GN3" s="83"/>
      <c r="GO3" s="83"/>
      <c r="GP3" s="83"/>
      <c r="GQ3" s="83"/>
      <c r="GR3" s="83"/>
      <c r="GS3" s="83"/>
      <c r="GT3" s="83"/>
      <c r="GU3" s="83"/>
      <c r="GV3" s="83"/>
      <c r="GW3" s="83"/>
      <c r="GX3" s="83"/>
      <c r="GY3" s="83"/>
      <c r="GZ3" s="83"/>
      <c r="HA3" s="83"/>
      <c r="HB3" s="83"/>
      <c r="HC3" s="83"/>
      <c r="HD3" s="83"/>
      <c r="HE3" s="83"/>
      <c r="HF3" s="83"/>
      <c r="HG3" s="83"/>
      <c r="HH3" s="83"/>
      <c r="HI3" s="83"/>
      <c r="HJ3" s="83"/>
      <c r="HK3" s="83"/>
      <c r="HL3" s="83"/>
      <c r="HM3" s="83"/>
      <c r="HN3" s="83"/>
      <c r="HO3" s="83"/>
      <c r="HP3" s="83"/>
      <c r="HQ3" s="83"/>
      <c r="HR3" s="83"/>
      <c r="HS3" s="83"/>
      <c r="HT3" s="83"/>
      <c r="HU3" s="83"/>
      <c r="HV3" s="83"/>
      <c r="HW3" s="83"/>
      <c r="HX3" s="83"/>
      <c r="HY3" s="83"/>
      <c r="HZ3" s="83"/>
      <c r="IA3" s="83"/>
      <c r="IB3" s="83"/>
      <c r="IC3" s="83"/>
      <c r="ID3" s="83"/>
      <c r="IE3" s="83"/>
      <c r="IF3" s="83"/>
      <c r="IG3" s="83"/>
      <c r="IH3" s="83"/>
      <c r="II3" s="83"/>
      <c r="IJ3" s="83"/>
      <c r="IK3" s="83"/>
      <c r="IL3" s="83"/>
      <c r="IM3" s="83"/>
      <c r="IN3" s="83"/>
      <c r="IO3" s="83"/>
      <c r="IP3" s="83"/>
      <c r="IQ3" s="83"/>
      <c r="IR3" s="83"/>
      <c r="IS3" s="83"/>
      <c r="IT3" s="83"/>
      <c r="IU3" s="83"/>
      <c r="IV3" s="83"/>
      <c r="IW3" s="83"/>
      <c r="IX3" s="83"/>
      <c r="IY3" s="83"/>
      <c r="IZ3" s="83"/>
      <c r="JA3" s="83"/>
      <c r="JB3" s="83"/>
      <c r="JC3" s="83"/>
      <c r="JD3" s="83"/>
      <c r="JE3" s="83"/>
      <c r="JF3" s="83"/>
      <c r="JG3" s="83"/>
      <c r="JH3" s="83"/>
      <c r="JI3" s="83"/>
      <c r="JJ3" s="83"/>
      <c r="JK3" s="83"/>
      <c r="JL3" s="83"/>
      <c r="JM3" s="83"/>
      <c r="JN3" s="83"/>
      <c r="JO3" s="83"/>
      <c r="JP3" s="83"/>
      <c r="JQ3" s="83"/>
      <c r="JR3" s="83"/>
      <c r="JS3" s="83"/>
      <c r="JT3" s="83"/>
      <c r="JU3" s="83"/>
      <c r="JV3" s="83"/>
      <c r="JW3" s="83"/>
      <c r="JX3" s="83"/>
      <c r="JY3" s="83"/>
      <c r="JZ3" s="83"/>
      <c r="KA3" s="83"/>
      <c r="KB3" s="83"/>
      <c r="KC3" s="83"/>
      <c r="KD3" s="83"/>
      <c r="KE3" s="83"/>
      <c r="KF3" s="83"/>
      <c r="KG3" s="83"/>
      <c r="KH3" s="83"/>
      <c r="KI3" s="83"/>
      <c r="KJ3" s="83"/>
      <c r="KK3" s="83"/>
      <c r="KL3" s="83"/>
      <c r="KM3" s="83"/>
      <c r="KN3" s="83"/>
      <c r="KO3" s="83"/>
      <c r="KP3" s="83"/>
      <c r="KQ3" s="83"/>
      <c r="KR3" s="83"/>
      <c r="KS3" s="83"/>
      <c r="KT3" s="83"/>
      <c r="KU3" s="83"/>
      <c r="KV3" s="83"/>
      <c r="KW3" s="83"/>
      <c r="KX3" s="83"/>
      <c r="KY3" s="83"/>
      <c r="KZ3" s="83"/>
      <c r="LA3" s="83"/>
      <c r="LB3" s="83"/>
      <c r="LC3" s="83"/>
      <c r="LD3" s="83"/>
      <c r="LE3" s="83"/>
      <c r="LF3" s="83"/>
      <c r="LG3" s="83"/>
      <c r="LH3" s="83"/>
      <c r="LI3" s="83"/>
      <c r="LJ3" s="83"/>
      <c r="LK3" s="83"/>
      <c r="LL3" s="83"/>
      <c r="LM3" s="83"/>
      <c r="LN3" s="83"/>
      <c r="LO3" s="83"/>
      <c r="LP3" s="83"/>
      <c r="LQ3" s="83"/>
      <c r="LR3" s="83"/>
      <c r="LS3" s="83"/>
      <c r="LT3" s="83"/>
      <c r="LU3" s="83"/>
      <c r="LV3" s="83"/>
      <c r="LW3" s="83"/>
      <c r="LX3" s="83"/>
      <c r="LY3" s="83"/>
      <c r="LZ3" s="83"/>
      <c r="MA3" s="83"/>
      <c r="MB3" s="83"/>
      <c r="MC3" s="83"/>
      <c r="MD3" s="83"/>
      <c r="ME3" s="83"/>
      <c r="MF3" s="83"/>
      <c r="MG3" s="83"/>
      <c r="MH3" s="83"/>
      <c r="MI3" s="83"/>
      <c r="MJ3" s="83"/>
      <c r="MK3" s="83"/>
      <c r="ML3" s="83"/>
      <c r="MM3" s="83"/>
      <c r="MN3" s="83"/>
      <c r="MO3" s="83"/>
      <c r="MP3" s="83"/>
      <c r="MQ3" s="83"/>
      <c r="MR3" s="83"/>
      <c r="MS3" s="83"/>
      <c r="MT3" s="83"/>
      <c r="MU3" s="83"/>
      <c r="MV3" s="83"/>
      <c r="MW3" s="83"/>
      <c r="MX3" s="83"/>
      <c r="MY3" s="83"/>
      <c r="MZ3" s="83"/>
      <c r="NA3" s="83"/>
      <c r="NB3" s="83"/>
      <c r="NC3" s="83"/>
      <c r="ND3" s="83"/>
      <c r="NE3" s="83"/>
      <c r="NF3" s="83"/>
      <c r="NG3" s="83"/>
      <c r="NH3" s="83"/>
      <c r="NI3" s="83"/>
      <c r="NJ3" s="83"/>
      <c r="NK3" s="83"/>
      <c r="NL3" s="83"/>
      <c r="NM3" s="83"/>
      <c r="NN3" s="83"/>
      <c r="NO3" s="83"/>
      <c r="NP3" s="83"/>
      <c r="NQ3" s="83"/>
      <c r="NR3" s="83"/>
      <c r="NS3" s="83"/>
      <c r="NT3" s="83"/>
      <c r="NU3" s="83"/>
      <c r="NV3" s="83"/>
      <c r="NW3" s="83"/>
      <c r="NX3" s="83"/>
      <c r="NY3" s="83"/>
      <c r="NZ3" s="83"/>
      <c r="OA3" s="83"/>
      <c r="OB3" s="83"/>
      <c r="OC3" s="83"/>
      <c r="OD3" s="83"/>
      <c r="OE3" s="83"/>
      <c r="OF3" s="83"/>
      <c r="OG3" s="83"/>
      <c r="OH3" s="83"/>
      <c r="OI3" s="83"/>
      <c r="OJ3" s="83"/>
      <c r="OK3" s="83"/>
      <c r="OL3" s="83"/>
      <c r="OM3" s="83"/>
      <c r="ON3" s="83"/>
      <c r="OO3" s="83"/>
      <c r="OP3" s="83"/>
      <c r="OQ3" s="83"/>
      <c r="OR3" s="83"/>
      <c r="OS3" s="83"/>
      <c r="OT3" s="83"/>
      <c r="OU3" s="83"/>
      <c r="OV3" s="83"/>
      <c r="OW3" s="83"/>
      <c r="OX3" s="83"/>
      <c r="OY3" s="83"/>
      <c r="OZ3" s="83"/>
      <c r="PA3" s="83"/>
      <c r="PB3" s="83"/>
      <c r="PC3" s="83"/>
      <c r="PD3" s="83"/>
      <c r="PE3" s="83"/>
      <c r="PF3" s="83"/>
      <c r="PG3" s="83"/>
      <c r="PH3" s="83"/>
      <c r="PI3" s="83"/>
      <c r="PJ3" s="83"/>
      <c r="PK3" s="83"/>
      <c r="PL3" s="83"/>
      <c r="PM3" s="83"/>
      <c r="PN3" s="83"/>
      <c r="PO3" s="83"/>
      <c r="PP3" s="83"/>
      <c r="PQ3" s="83"/>
      <c r="PR3" s="83"/>
      <c r="PS3" s="83"/>
      <c r="PT3" s="83"/>
      <c r="PU3" s="83"/>
      <c r="PV3" s="83"/>
      <c r="PW3" s="83"/>
      <c r="PX3" s="83"/>
      <c r="PY3" s="83"/>
      <c r="PZ3" s="83"/>
      <c r="QA3" s="83"/>
      <c r="QB3" s="83"/>
      <c r="QC3" s="83"/>
      <c r="QD3" s="83"/>
      <c r="QE3" s="83"/>
      <c r="QF3" s="83"/>
      <c r="QG3" s="83"/>
      <c r="QH3" s="83"/>
      <c r="QI3" s="83"/>
      <c r="QJ3" s="83"/>
      <c r="QK3" s="83"/>
      <c r="QL3" s="83"/>
      <c r="QM3" s="83"/>
      <c r="QN3" s="83"/>
      <c r="QO3" s="83"/>
      <c r="QP3" s="83"/>
      <c r="QQ3" s="83"/>
      <c r="QR3" s="83"/>
      <c r="QS3" s="83"/>
      <c r="QT3" s="83"/>
      <c r="QU3" s="83"/>
      <c r="QV3" s="83"/>
      <c r="QW3" s="83"/>
      <c r="QX3" s="83"/>
      <c r="QY3" s="83"/>
      <c r="QZ3" s="83"/>
      <c r="RA3" s="83"/>
      <c r="RB3" s="83"/>
      <c r="RC3" s="83"/>
      <c r="RD3" s="83"/>
      <c r="RE3" s="83"/>
      <c r="RF3" s="83"/>
      <c r="RG3" s="83"/>
      <c r="RH3" s="83"/>
      <c r="RI3" s="83"/>
      <c r="RJ3" s="83"/>
      <c r="RK3" s="83"/>
      <c r="RL3" s="83"/>
      <c r="RM3" s="83"/>
      <c r="RN3" s="83"/>
      <c r="RO3" s="83"/>
      <c r="RP3" s="83"/>
      <c r="RQ3" s="83"/>
      <c r="RR3" s="83"/>
      <c r="RS3" s="83"/>
      <c r="RT3" s="83"/>
      <c r="RU3" s="83"/>
      <c r="RV3" s="83"/>
      <c r="RW3" s="83"/>
      <c r="RX3" s="83"/>
      <c r="RY3" s="83"/>
      <c r="RZ3" s="83"/>
      <c r="SA3" s="83"/>
      <c r="SB3" s="83"/>
      <c r="SC3" s="83"/>
      <c r="SD3" s="83"/>
      <c r="SE3" s="83"/>
      <c r="SF3" s="83"/>
      <c r="SG3" s="83"/>
      <c r="SH3" s="83"/>
      <c r="SI3" s="83"/>
      <c r="SJ3" s="83"/>
      <c r="SK3" s="83"/>
      <c r="SL3" s="83"/>
      <c r="SM3" s="83"/>
      <c r="SN3" s="83"/>
      <c r="SO3" s="83"/>
      <c r="SP3" s="83"/>
      <c r="SQ3" s="83"/>
      <c r="SR3" s="83"/>
      <c r="SS3" s="83"/>
      <c r="ST3" s="83"/>
      <c r="SU3" s="83"/>
      <c r="SV3" s="83"/>
      <c r="SW3" s="83"/>
      <c r="SX3" s="83"/>
      <c r="SY3" s="83"/>
      <c r="SZ3" s="83"/>
      <c r="TA3" s="83"/>
      <c r="TB3" s="83"/>
      <c r="TC3" s="83"/>
      <c r="TD3" s="83"/>
      <c r="TE3" s="83"/>
      <c r="TF3" s="83"/>
      <c r="TG3" s="83"/>
      <c r="TH3" s="83"/>
      <c r="TI3" s="83"/>
      <c r="TJ3" s="83"/>
      <c r="TK3" s="83"/>
      <c r="TL3" s="83"/>
      <c r="TM3" s="83"/>
      <c r="TN3" s="83"/>
      <c r="TO3" s="83"/>
      <c r="TP3" s="83"/>
      <c r="TQ3" s="83"/>
      <c r="TR3" s="83"/>
      <c r="TS3" s="83"/>
      <c r="TT3" s="83"/>
      <c r="TU3" s="83"/>
      <c r="TV3" s="83"/>
      <c r="TW3" s="83"/>
      <c r="TX3" s="83"/>
      <c r="TY3" s="83"/>
      <c r="TZ3" s="83"/>
      <c r="UA3" s="83"/>
      <c r="UB3" s="83"/>
      <c r="UC3" s="83"/>
      <c r="UD3" s="83"/>
      <c r="UE3" s="83"/>
      <c r="UF3" s="83"/>
      <c r="UG3" s="83"/>
      <c r="UH3" s="83"/>
      <c r="UI3" s="83"/>
      <c r="UJ3" s="83"/>
      <c r="UK3" s="83"/>
      <c r="UL3" s="83"/>
      <c r="UM3" s="83"/>
      <c r="UN3" s="83"/>
      <c r="UO3" s="83"/>
      <c r="UP3" s="83"/>
      <c r="UQ3" s="83"/>
      <c r="UR3" s="83"/>
      <c r="US3" s="83"/>
      <c r="UT3" s="83"/>
      <c r="UU3" s="83"/>
      <c r="UV3" s="83"/>
      <c r="UW3" s="83"/>
      <c r="UX3" s="83"/>
      <c r="UY3" s="83"/>
      <c r="UZ3" s="83"/>
      <c r="VA3" s="83"/>
      <c r="VB3" s="83"/>
      <c r="VC3" s="83"/>
      <c r="VD3" s="83"/>
      <c r="VE3" s="83"/>
      <c r="VF3" s="83"/>
      <c r="VG3" s="83"/>
      <c r="VH3" s="83"/>
      <c r="VI3" s="83"/>
      <c r="VJ3" s="83"/>
      <c r="VK3" s="83"/>
      <c r="VL3" s="83"/>
      <c r="VM3" s="83"/>
      <c r="VN3" s="83"/>
      <c r="VO3" s="83"/>
      <c r="VP3" s="83"/>
      <c r="VQ3" s="83"/>
      <c r="VR3" s="83"/>
      <c r="VS3" s="83"/>
      <c r="VT3" s="83"/>
      <c r="VU3" s="83"/>
      <c r="VV3" s="83"/>
      <c r="VW3" s="83"/>
      <c r="VX3" s="83"/>
      <c r="VY3" s="83"/>
      <c r="VZ3" s="83"/>
      <c r="WA3" s="83"/>
      <c r="WB3" s="83"/>
      <c r="WC3" s="83"/>
      <c r="WD3" s="83"/>
      <c r="WE3" s="83"/>
      <c r="WF3" s="83"/>
      <c r="WG3" s="83"/>
      <c r="WH3" s="83"/>
      <c r="WI3" s="83"/>
      <c r="WJ3" s="83"/>
      <c r="WK3" s="83"/>
      <c r="WL3" s="83"/>
      <c r="WM3" s="83"/>
      <c r="WN3" s="83"/>
      <c r="WO3" s="83"/>
      <c r="WP3" s="83"/>
      <c r="WQ3" s="83"/>
      <c r="WR3" s="83"/>
      <c r="WS3" s="83"/>
      <c r="WT3" s="83"/>
      <c r="WU3" s="83"/>
      <c r="WV3" s="83"/>
      <c r="WW3" s="83"/>
      <c r="WX3" s="83"/>
      <c r="WY3" s="83"/>
      <c r="WZ3" s="83"/>
      <c r="XA3" s="83"/>
      <c r="XB3" s="83"/>
      <c r="XC3" s="83"/>
      <c r="XD3" s="83"/>
      <c r="XE3" s="83"/>
      <c r="XF3" s="83"/>
      <c r="XG3" s="83"/>
      <c r="XH3" s="83"/>
      <c r="XI3" s="83"/>
      <c r="XJ3" s="83"/>
      <c r="XK3" s="83"/>
      <c r="XL3" s="83"/>
      <c r="XM3" s="83"/>
      <c r="XN3" s="83"/>
      <c r="XO3" s="83"/>
      <c r="XP3" s="83"/>
      <c r="XQ3" s="83"/>
      <c r="XR3" s="83"/>
      <c r="XS3" s="83"/>
      <c r="XT3" s="83"/>
      <c r="XU3" s="83"/>
      <c r="XV3" s="83"/>
      <c r="XW3" s="83"/>
      <c r="XX3" s="83"/>
      <c r="XY3" s="83"/>
      <c r="XZ3" s="83"/>
      <c r="YA3" s="83"/>
      <c r="YB3" s="83"/>
      <c r="YC3" s="83"/>
      <c r="YD3" s="83"/>
      <c r="YE3" s="83"/>
      <c r="YF3" s="83"/>
      <c r="YG3" s="83"/>
      <c r="YH3" s="83"/>
      <c r="YI3" s="83"/>
      <c r="YJ3" s="83"/>
      <c r="YK3" s="83"/>
      <c r="YL3" s="83"/>
      <c r="YM3" s="83"/>
      <c r="YN3" s="83"/>
      <c r="YO3" s="83"/>
      <c r="YP3" s="83"/>
      <c r="YQ3" s="83"/>
      <c r="YR3" s="83"/>
      <c r="YS3" s="83"/>
      <c r="YT3" s="83"/>
      <c r="YU3" s="83"/>
      <c r="YV3" s="83"/>
      <c r="YW3" s="83"/>
      <c r="YX3" s="83"/>
      <c r="YY3" s="83"/>
      <c r="YZ3" s="83"/>
      <c r="ZA3" s="83"/>
      <c r="ZB3" s="83"/>
      <c r="ZC3" s="83"/>
      <c r="ZD3" s="83"/>
      <c r="ZE3" s="83"/>
      <c r="ZF3" s="83"/>
      <c r="ZG3" s="83"/>
      <c r="ZH3" s="83"/>
      <c r="ZI3" s="83"/>
      <c r="ZJ3" s="83"/>
      <c r="ZK3" s="83"/>
      <c r="ZL3" s="83"/>
      <c r="ZM3" s="83"/>
      <c r="ZN3" s="83"/>
      <c r="ZO3" s="83"/>
      <c r="ZP3" s="83"/>
      <c r="ZQ3" s="83"/>
      <c r="ZR3" s="83"/>
      <c r="ZS3" s="83"/>
      <c r="ZT3" s="83"/>
      <c r="ZU3" s="83"/>
      <c r="ZV3" s="83"/>
      <c r="ZW3" s="83"/>
      <c r="ZX3" s="83"/>
      <c r="ZY3" s="83"/>
      <c r="ZZ3" s="83"/>
      <c r="AAA3" s="83"/>
      <c r="AAB3" s="83"/>
      <c r="AAC3" s="83"/>
      <c r="AAD3" s="83"/>
      <c r="AAE3" s="83"/>
      <c r="AAF3" s="83"/>
      <c r="AAG3" s="83"/>
      <c r="AAH3" s="83"/>
      <c r="AAI3" s="83"/>
      <c r="AAJ3" s="83"/>
      <c r="AAK3" s="83"/>
      <c r="AAL3" s="83"/>
      <c r="AAM3" s="83"/>
      <c r="AAN3" s="83"/>
      <c r="AAO3" s="83"/>
      <c r="AAP3" s="83"/>
      <c r="AAQ3" s="83"/>
      <c r="AAR3" s="83"/>
      <c r="AAS3" s="83"/>
      <c r="AAT3" s="83"/>
      <c r="AAU3" s="83"/>
      <c r="AAV3" s="83"/>
      <c r="AAW3" s="83"/>
      <c r="AAX3" s="83"/>
      <c r="AAY3" s="83"/>
      <c r="AAZ3" s="83"/>
      <c r="ABA3" s="83"/>
      <c r="ABB3" s="83"/>
      <c r="ABC3" s="83"/>
      <c r="ABD3" s="83"/>
      <c r="ABE3" s="83"/>
      <c r="ABF3" s="83"/>
      <c r="ABG3" s="83"/>
      <c r="ABH3" s="83"/>
      <c r="ABI3" s="83"/>
      <c r="ABJ3" s="83"/>
      <c r="ABK3" s="83"/>
      <c r="ABL3" s="83"/>
      <c r="ABM3" s="83"/>
      <c r="ABN3" s="83"/>
      <c r="ABO3" s="83"/>
      <c r="ABP3" s="83"/>
      <c r="ABQ3" s="83"/>
      <c r="ABR3" s="83"/>
      <c r="ABS3" s="83"/>
      <c r="ABT3" s="83"/>
      <c r="ABU3" s="83"/>
      <c r="ABV3" s="83"/>
      <c r="ABW3" s="83"/>
      <c r="ABX3" s="83"/>
      <c r="ABY3" s="83"/>
      <c r="ABZ3" s="83"/>
      <c r="ACA3" s="83"/>
      <c r="ACB3" s="83"/>
      <c r="ACC3" s="83"/>
      <c r="ACD3" s="83"/>
      <c r="ACE3" s="83"/>
      <c r="ACF3" s="83"/>
      <c r="ACG3" s="83"/>
      <c r="ACH3" s="83"/>
      <c r="ACI3" s="83"/>
      <c r="ACJ3" s="83"/>
      <c r="ACK3" s="83"/>
      <c r="ACL3" s="83"/>
      <c r="ACM3" s="83"/>
      <c r="ACN3" s="83"/>
      <c r="ACO3" s="83"/>
      <c r="ACP3" s="83"/>
      <c r="ACQ3" s="83"/>
      <c r="ACR3" s="83"/>
      <c r="ACS3" s="83"/>
      <c r="ACT3" s="83"/>
      <c r="ACU3" s="83"/>
      <c r="ACV3" s="83"/>
      <c r="ACW3" s="83"/>
      <c r="ACX3" s="83"/>
      <c r="ACY3" s="83"/>
      <c r="ACZ3" s="83"/>
      <c r="ADA3" s="83"/>
      <c r="ADB3" s="83"/>
      <c r="ADC3" s="83"/>
      <c r="ADD3" s="83"/>
      <c r="ADE3" s="83"/>
      <c r="ADF3" s="83"/>
      <c r="ADG3" s="83"/>
      <c r="ADH3" s="83"/>
      <c r="ADI3" s="83"/>
      <c r="ADJ3" s="83"/>
      <c r="ADK3" s="83"/>
      <c r="ADL3" s="83"/>
      <c r="ADM3" s="83"/>
      <c r="ADN3" s="83"/>
      <c r="ADO3" s="83"/>
      <c r="ADP3" s="83"/>
      <c r="ADQ3" s="83"/>
      <c r="ADR3" s="83"/>
      <c r="ADS3" s="83"/>
      <c r="ADT3" s="83"/>
      <c r="ADU3" s="83"/>
      <c r="ADV3" s="83"/>
      <c r="ADW3" s="83"/>
      <c r="ADX3" s="83"/>
      <c r="ADY3" s="83"/>
      <c r="ADZ3" s="83"/>
      <c r="AEA3" s="83"/>
      <c r="AEB3" s="83"/>
      <c r="AEC3" s="83"/>
      <c r="AED3" s="83"/>
      <c r="AEE3" s="83"/>
      <c r="AEF3" s="83"/>
      <c r="AEG3" s="83"/>
      <c r="AEH3" s="83"/>
      <c r="AEI3" s="83"/>
      <c r="AEJ3" s="83"/>
      <c r="AEK3" s="83"/>
      <c r="AEL3" s="83"/>
      <c r="AEM3" s="83"/>
      <c r="AEN3" s="83"/>
      <c r="AEO3" s="83"/>
      <c r="AEP3" s="83"/>
      <c r="AEQ3" s="83"/>
      <c r="AER3" s="83"/>
      <c r="AES3" s="83"/>
      <c r="AET3" s="83"/>
      <c r="AEU3" s="83"/>
      <c r="AEV3" s="83"/>
      <c r="AEW3" s="83"/>
      <c r="AEX3" s="83"/>
      <c r="AEY3" s="83"/>
      <c r="AEZ3" s="83"/>
      <c r="AFA3" s="83"/>
      <c r="AFB3" s="83"/>
      <c r="AFC3" s="83"/>
      <c r="AFD3" s="83"/>
      <c r="AFE3" s="83"/>
      <c r="AFF3" s="83"/>
      <c r="AFG3" s="83"/>
      <c r="AFH3" s="83"/>
      <c r="AFI3" s="83"/>
      <c r="AFJ3" s="83"/>
      <c r="AFK3" s="83"/>
      <c r="AFL3" s="83"/>
      <c r="AFM3" s="83"/>
      <c r="AFN3" s="83"/>
      <c r="AFO3" s="83"/>
      <c r="AFP3" s="83"/>
      <c r="AFQ3" s="83"/>
      <c r="AFR3" s="83"/>
      <c r="AFS3" s="83"/>
      <c r="AFT3" s="83"/>
      <c r="AFU3" s="83"/>
      <c r="AFV3" s="83"/>
      <c r="AFW3" s="83"/>
      <c r="AFX3" s="83"/>
      <c r="AFY3" s="83"/>
      <c r="AFZ3" s="83"/>
      <c r="AGA3" s="83"/>
      <c r="AGB3" s="83"/>
      <c r="AGC3" s="83"/>
      <c r="AGD3" s="83"/>
      <c r="AGE3" s="83"/>
      <c r="AGF3" s="83"/>
      <c r="AGG3" s="83"/>
      <c r="AGH3" s="83"/>
      <c r="AGI3" s="83"/>
      <c r="AGJ3" s="83"/>
      <c r="AGK3" s="83"/>
      <c r="AGL3" s="83"/>
      <c r="AGM3" s="83"/>
      <c r="AGN3" s="83"/>
      <c r="AGO3" s="83"/>
      <c r="AGP3" s="83"/>
      <c r="AGQ3" s="83"/>
      <c r="AGR3" s="83"/>
      <c r="AGS3" s="83"/>
      <c r="AGT3" s="83"/>
      <c r="AGU3" s="83"/>
      <c r="AGV3" s="83"/>
      <c r="AGW3" s="83"/>
      <c r="AGX3" s="83"/>
      <c r="AGY3" s="83"/>
      <c r="AGZ3" s="83"/>
      <c r="AHA3" s="83"/>
      <c r="AHB3" s="83"/>
      <c r="AHC3" s="83"/>
      <c r="AHD3" s="83"/>
      <c r="AHE3" s="83"/>
      <c r="AHF3" s="83"/>
      <c r="AHG3" s="83"/>
      <c r="AHH3" s="83"/>
      <c r="AHI3" s="83"/>
      <c r="AHJ3" s="83"/>
      <c r="AHK3" s="83"/>
      <c r="AHL3" s="83"/>
      <c r="AHM3" s="83"/>
      <c r="AHN3" s="83"/>
      <c r="AHO3" s="83"/>
      <c r="AHP3" s="83"/>
      <c r="AHQ3" s="83"/>
      <c r="AHR3" s="83"/>
      <c r="AHS3" s="83"/>
      <c r="AHT3" s="83"/>
      <c r="AHU3" s="83"/>
      <c r="AHV3" s="83"/>
      <c r="AHW3" s="83"/>
      <c r="AHX3" s="83"/>
      <c r="AHY3" s="83"/>
      <c r="AHZ3" s="83"/>
      <c r="AIA3" s="83"/>
      <c r="AIB3" s="83"/>
      <c r="AIC3" s="83"/>
      <c r="AID3" s="83"/>
      <c r="AIE3" s="83"/>
      <c r="AIF3" s="83"/>
      <c r="AIG3" s="83"/>
      <c r="AIH3" s="83"/>
      <c r="AII3" s="83"/>
      <c r="AIJ3" s="83"/>
      <c r="AIK3" s="83"/>
      <c r="AIL3" s="83"/>
      <c r="AIM3" s="83"/>
      <c r="AIN3" s="83"/>
      <c r="AIO3" s="83"/>
      <c r="AIP3" s="83"/>
      <c r="AIQ3" s="83"/>
      <c r="AIR3" s="83"/>
      <c r="AIS3" s="83"/>
      <c r="AIT3" s="83"/>
      <c r="AIU3" s="83"/>
      <c r="AIV3" s="83"/>
      <c r="AIW3" s="83"/>
      <c r="AIX3" s="83"/>
      <c r="AIY3" s="83"/>
      <c r="AIZ3" s="83"/>
      <c r="AJA3" s="83"/>
      <c r="AJB3" s="83"/>
      <c r="AJC3" s="83"/>
      <c r="AJD3" s="83"/>
      <c r="AJE3" s="83"/>
      <c r="AJF3" s="83"/>
      <c r="AJG3" s="83"/>
      <c r="AJH3" s="83"/>
      <c r="AJI3" s="83"/>
      <c r="AJJ3" s="83"/>
      <c r="AJK3" s="83"/>
      <c r="AJL3" s="83"/>
      <c r="AJM3" s="83"/>
      <c r="AJN3" s="83"/>
      <c r="AJO3" s="83"/>
      <c r="AJP3" s="83"/>
      <c r="AJQ3" s="83"/>
      <c r="AJR3" s="83"/>
      <c r="AJS3" s="83"/>
      <c r="AJT3" s="83"/>
      <c r="AJU3" s="83"/>
      <c r="AJV3" s="83"/>
      <c r="AJW3" s="83"/>
      <c r="AJX3" s="83"/>
      <c r="AJY3" s="83"/>
      <c r="AJZ3" s="83"/>
      <c r="AKA3" s="83"/>
      <c r="AKB3" s="83"/>
      <c r="AKC3" s="83"/>
      <c r="AKD3" s="83"/>
      <c r="AKE3" s="83"/>
      <c r="AKF3" s="83"/>
      <c r="AKG3" s="83"/>
      <c r="AKH3" s="83"/>
      <c r="AKI3" s="83"/>
      <c r="AKJ3" s="83"/>
      <c r="AKK3" s="83"/>
      <c r="AKL3" s="83"/>
      <c r="AKM3" s="83"/>
      <c r="AKN3" s="83"/>
      <c r="AKO3" s="83"/>
      <c r="AKP3" s="83"/>
      <c r="AKQ3" s="83"/>
      <c r="AKR3" s="83"/>
      <c r="AKS3" s="83"/>
      <c r="AKT3" s="83"/>
      <c r="AKU3" s="83"/>
      <c r="AKV3" s="83"/>
      <c r="AKW3" s="83"/>
      <c r="AKX3" s="83"/>
      <c r="AKY3" s="83"/>
      <c r="AKZ3" s="83"/>
      <c r="ALA3" s="83"/>
      <c r="ALB3" s="83"/>
      <c r="ALC3" s="83"/>
      <c r="XER3" s="87" t="s">
        <v>1943</v>
      </c>
    </row>
    <row r="4" spans="1:991 16372:16372" ht="15" customHeight="1">
      <c r="A4" s="89" t="s">
        <v>7229</v>
      </c>
      <c r="B4" s="367" t="str">
        <f>VLOOKUP($A4,SERVICOS,4,FALSE)</f>
        <v>SERVIÇOS PRELIMINARES</v>
      </c>
      <c r="C4" s="367"/>
      <c r="D4" s="367"/>
      <c r="E4" s="367"/>
      <c r="F4" s="367"/>
      <c r="G4" s="367">
        <f>VLOOKUP($A4,SERVICOS,5,FALSE)</f>
        <v>0</v>
      </c>
      <c r="H4" s="367" t="e">
        <f>ROUND(SUM(#REF!),2)</f>
        <v>#REF!</v>
      </c>
    </row>
    <row r="5" spans="1:991 16372:16372" s="93" customFormat="1" ht="15" customHeight="1">
      <c r="A5" s="91" t="str">
        <f>ORCAMENTO!A7</f>
        <v>1.1</v>
      </c>
      <c r="B5" s="364" t="str">
        <f>VLOOKUP($A5,SERVICOS,4,FALSE)</f>
        <v>Placa De Obra Nas Dimensões De 2.0 X 4.0 M, Padrão Der</v>
      </c>
      <c r="C5" s="365"/>
      <c r="D5" s="365"/>
      <c r="E5" s="365"/>
      <c r="F5" s="366"/>
      <c r="G5" s="91" t="str">
        <f>VLOOKUP($A5,SERVICOS,5,FALSE)</f>
        <v>m2</v>
      </c>
      <c r="H5" s="92">
        <f>ROUND(SUM(H7:H7),2)</f>
        <v>8</v>
      </c>
    </row>
    <row r="6" spans="1:991 16372:16372" ht="15" customHeight="1">
      <c r="A6" s="94" t="s">
        <v>938</v>
      </c>
      <c r="B6" s="94" t="s">
        <v>7319</v>
      </c>
      <c r="C6" s="95" t="s">
        <v>14191</v>
      </c>
      <c r="D6" s="95" t="s">
        <v>7320</v>
      </c>
      <c r="E6" s="94"/>
      <c r="F6" s="94"/>
      <c r="G6" s="94"/>
      <c r="H6" s="96"/>
    </row>
    <row r="7" spans="1:991 16372:16372" ht="15" customHeight="1">
      <c r="A7" s="97" t="s">
        <v>14928</v>
      </c>
      <c r="B7" s="98">
        <v>1</v>
      </c>
      <c r="C7" s="98">
        <v>2</v>
      </c>
      <c r="D7" s="98">
        <v>4</v>
      </c>
      <c r="E7" s="205"/>
      <c r="F7" s="98"/>
      <c r="G7" s="98"/>
      <c r="H7" s="98">
        <f>B7*C7*D7</f>
        <v>8</v>
      </c>
    </row>
    <row r="8" spans="1:991 16372:16372" s="93" customFormat="1" ht="15" customHeight="1">
      <c r="A8" s="91" t="s">
        <v>7231</v>
      </c>
      <c r="B8" s="364" t="str">
        <f>VLOOKUP($A8,SERVICOS,4,FALSE)</f>
        <v>Tapume Com Telha Metálica. Af_05/2018</v>
      </c>
      <c r="C8" s="365"/>
      <c r="D8" s="365"/>
      <c r="E8" s="365"/>
      <c r="F8" s="366"/>
      <c r="G8" s="91" t="str">
        <f>VLOOKUP($A8,SERVICOS,5,FALSE)</f>
        <v>m2</v>
      </c>
      <c r="H8" s="92">
        <f>ROUND(SUM(H10:H13),2)</f>
        <v>240</v>
      </c>
    </row>
    <row r="9" spans="1:991 16372:16372" ht="15" customHeight="1">
      <c r="A9" s="94" t="s">
        <v>938</v>
      </c>
      <c r="B9" s="94" t="s">
        <v>7319</v>
      </c>
      <c r="C9" s="95" t="s">
        <v>14193</v>
      </c>
      <c r="D9" s="95" t="s">
        <v>14192</v>
      </c>
      <c r="E9" s="94"/>
      <c r="F9" s="94"/>
      <c r="G9" s="94"/>
      <c r="H9" s="96"/>
    </row>
    <row r="10" spans="1:991 16372:16372" ht="15" customHeight="1">
      <c r="A10" s="204" t="s">
        <v>14296</v>
      </c>
      <c r="B10" s="98">
        <v>1</v>
      </c>
      <c r="C10" s="98">
        <v>10</v>
      </c>
      <c r="D10" s="98">
        <v>2</v>
      </c>
      <c r="E10" s="98"/>
      <c r="F10" s="98"/>
      <c r="G10" s="98"/>
      <c r="H10" s="98">
        <f>B10*C10*D10</f>
        <v>20</v>
      </c>
    </row>
    <row r="11" spans="1:991 16372:16372" ht="15" customHeight="1">
      <c r="A11" s="204" t="s">
        <v>14297</v>
      </c>
      <c r="B11" s="98">
        <v>1</v>
      </c>
      <c r="C11" s="98">
        <v>28</v>
      </c>
      <c r="D11" s="98">
        <v>2</v>
      </c>
      <c r="E11" s="98"/>
      <c r="F11" s="98"/>
      <c r="G11" s="98"/>
      <c r="H11" s="98">
        <f>B11*C11*D11</f>
        <v>56</v>
      </c>
    </row>
    <row r="12" spans="1:991 16372:16372" ht="15" customHeight="1">
      <c r="A12" s="204" t="s">
        <v>14216</v>
      </c>
      <c r="B12" s="98">
        <v>1</v>
      </c>
      <c r="C12" s="98">
        <v>50</v>
      </c>
      <c r="D12" s="98">
        <v>2</v>
      </c>
      <c r="E12" s="98"/>
      <c r="F12" s="98"/>
      <c r="G12" s="98"/>
      <c r="H12" s="98">
        <f>B12*C12*D12</f>
        <v>100</v>
      </c>
    </row>
    <row r="13" spans="1:991 16372:16372" ht="15" customHeight="1">
      <c r="A13" s="204" t="s">
        <v>14298</v>
      </c>
      <c r="B13" s="98">
        <v>1</v>
      </c>
      <c r="C13" s="98">
        <v>32</v>
      </c>
      <c r="D13" s="98">
        <v>2</v>
      </c>
      <c r="E13" s="98"/>
      <c r="F13" s="98"/>
      <c r="G13" s="98"/>
      <c r="H13" s="98">
        <f>B13*C13*D13</f>
        <v>64</v>
      </c>
    </row>
    <row r="14" spans="1:991 16372:16372" s="93" customFormat="1" ht="60" customHeight="1">
      <c r="A14" s="91" t="s">
        <v>7314</v>
      </c>
      <c r="B14" s="364" t="str">
        <f>VLOOKUP($A14,SERVICOS,4,FALSE)</f>
        <v>Rede De Água Com Padrão De Entrada D Água Diâm. 3/4", Conf. Espec. Cesan, Incl. Tubos E Conexões Para Alimentação, Distribuição, Extravasor E Limpeza, Cons. O Padrão A 25M, Conf. Projeto (1 Utilização)</v>
      </c>
      <c r="C14" s="365"/>
      <c r="D14" s="365"/>
      <c r="E14" s="365"/>
      <c r="F14" s="366"/>
      <c r="G14" s="91" t="str">
        <f>VLOOKUP($A14,SERVICOS,5,FALSE)</f>
        <v>m</v>
      </c>
      <c r="H14" s="92">
        <f>ROUND(SUM(H16:H16),2)</f>
        <v>10</v>
      </c>
    </row>
    <row r="15" spans="1:991 16372:16372" ht="15" customHeight="1">
      <c r="A15" s="94" t="s">
        <v>938</v>
      </c>
      <c r="B15" s="95" t="s">
        <v>7320</v>
      </c>
      <c r="C15" s="95"/>
      <c r="D15" s="95"/>
      <c r="E15" s="94"/>
      <c r="F15" s="94"/>
      <c r="G15" s="94"/>
      <c r="H15" s="96"/>
    </row>
    <row r="16" spans="1:991 16372:16372" ht="15" customHeight="1">
      <c r="A16" s="97" t="s">
        <v>13896</v>
      </c>
      <c r="B16" s="98">
        <v>10</v>
      </c>
      <c r="C16" s="98"/>
      <c r="D16" s="98"/>
      <c r="E16" s="98"/>
      <c r="F16" s="98"/>
      <c r="G16" s="98"/>
      <c r="H16" s="98">
        <f>B16</f>
        <v>10</v>
      </c>
    </row>
    <row r="17" spans="1:8" s="93" customFormat="1" ht="60" customHeight="1">
      <c r="A17" s="91" t="s">
        <v>12234</v>
      </c>
      <c r="B17" s="364" t="str">
        <f>VLOOKUP($A17,SERVICOS,4,FALSE)</f>
        <v>Rede De Luz, Incl. Padrão Entrada De Energia Trifás., Cabo De Ligação Até Barracões, Quadro De Distrib., Disj. E Chave De Força (Quando Necessário), Cons. 20M Entre Padrão Entrada E Qdg, Conf. Projeto (1 Utilização)</v>
      </c>
      <c r="C17" s="365"/>
      <c r="D17" s="365"/>
      <c r="E17" s="365"/>
      <c r="F17" s="366"/>
      <c r="G17" s="91" t="str">
        <f>VLOOKUP($A17,SERVICOS,5,FALSE)</f>
        <v>m</v>
      </c>
      <c r="H17" s="92">
        <f>ROUND(SUM(H19:H19),2)</f>
        <v>10</v>
      </c>
    </row>
    <row r="18" spans="1:8" ht="15" customHeight="1">
      <c r="A18" s="94" t="s">
        <v>938</v>
      </c>
      <c r="B18" s="95" t="s">
        <v>7320</v>
      </c>
      <c r="C18" s="95"/>
      <c r="D18" s="95"/>
      <c r="E18" s="94"/>
      <c r="F18" s="94"/>
      <c r="G18" s="94"/>
      <c r="H18" s="96"/>
    </row>
    <row r="19" spans="1:8" ht="15" customHeight="1">
      <c r="A19" s="97" t="s">
        <v>13896</v>
      </c>
      <c r="B19" s="98">
        <v>10</v>
      </c>
      <c r="C19" s="98"/>
      <c r="D19" s="98"/>
      <c r="E19" s="98"/>
      <c r="F19" s="98"/>
      <c r="G19" s="98"/>
      <c r="H19" s="98">
        <f>B19</f>
        <v>10</v>
      </c>
    </row>
    <row r="20" spans="1:8" s="93" customFormat="1" ht="45" customHeight="1">
      <c r="A20" s="91" t="s">
        <v>12235</v>
      </c>
      <c r="B20" s="364" t="str">
        <f>VLOOKUP($A20,SERVICOS,4,FALSE)</f>
        <v>Rede De Esgoto, Contendo Fossa E Filtro, Inclusive Tubos E Conexões De Ligação Entre Caixas, Considerando Distância De 25M, Conforme Projeto (1 Utilização)</v>
      </c>
      <c r="C20" s="365"/>
      <c r="D20" s="365"/>
      <c r="E20" s="365"/>
      <c r="F20" s="366"/>
      <c r="G20" s="91" t="str">
        <f>VLOOKUP($A20,SERVICOS,5,FALSE)</f>
        <v>m</v>
      </c>
      <c r="H20" s="92">
        <f>ROUND(SUM(H22:H22),2)</f>
        <v>10</v>
      </c>
    </row>
    <row r="21" spans="1:8" ht="15" customHeight="1">
      <c r="A21" s="94" t="s">
        <v>938</v>
      </c>
      <c r="B21" s="95" t="s">
        <v>7320</v>
      </c>
      <c r="C21" s="95"/>
      <c r="D21" s="95"/>
      <c r="E21" s="94"/>
      <c r="F21" s="94"/>
      <c r="G21" s="94"/>
      <c r="H21" s="96"/>
    </row>
    <row r="22" spans="1:8" ht="15" customHeight="1">
      <c r="A22" s="97" t="s">
        <v>13896</v>
      </c>
      <c r="B22" s="98">
        <v>10</v>
      </c>
      <c r="C22" s="98"/>
      <c r="D22" s="98"/>
      <c r="E22" s="98"/>
      <c r="F22" s="98"/>
      <c r="G22" s="98"/>
      <c r="H22" s="98">
        <f>B22</f>
        <v>10</v>
      </c>
    </row>
    <row r="23" spans="1:8" s="93" customFormat="1" ht="30" customHeight="1">
      <c r="A23" s="91" t="s">
        <v>12236</v>
      </c>
      <c r="B23" s="364" t="str">
        <f>VLOOKUP($A23,SERVICOS,4,FALSE)</f>
        <v>Mobilização E Desmobilização De Conteiner Locado Para Barracão De Obra</v>
      </c>
      <c r="C23" s="365"/>
      <c r="D23" s="365"/>
      <c r="E23" s="365"/>
      <c r="F23" s="366"/>
      <c r="G23" s="91" t="str">
        <f>VLOOKUP($A23,SERVICOS,5,FALSE)</f>
        <v>und</v>
      </c>
      <c r="H23" s="92">
        <f>ROUND(SUM(H25:H28),2)</f>
        <v>4</v>
      </c>
    </row>
    <row r="24" spans="1:8" ht="15" customHeight="1">
      <c r="A24" s="94" t="s">
        <v>938</v>
      </c>
      <c r="B24" s="94" t="s">
        <v>7319</v>
      </c>
      <c r="C24" s="94"/>
      <c r="D24" s="95"/>
      <c r="E24" s="94"/>
      <c r="F24" s="94"/>
      <c r="G24" s="94"/>
      <c r="H24" s="96"/>
    </row>
    <row r="25" spans="1:8" ht="15" customHeight="1">
      <c r="A25" s="204" t="s">
        <v>12615</v>
      </c>
      <c r="B25" s="98">
        <v>1</v>
      </c>
      <c r="C25" s="98"/>
      <c r="D25" s="98"/>
      <c r="E25" s="98"/>
      <c r="F25" s="98"/>
      <c r="G25" s="98"/>
      <c r="H25" s="98">
        <f>B25</f>
        <v>1</v>
      </c>
    </row>
    <row r="26" spans="1:8" ht="15" customHeight="1">
      <c r="A26" s="204" t="s">
        <v>13898</v>
      </c>
      <c r="B26" s="98">
        <v>1</v>
      </c>
      <c r="C26" s="98"/>
      <c r="D26" s="98"/>
      <c r="E26" s="98"/>
      <c r="F26" s="98"/>
      <c r="G26" s="98"/>
      <c r="H26" s="98">
        <f>B26</f>
        <v>1</v>
      </c>
    </row>
    <row r="27" spans="1:8" ht="15" customHeight="1">
      <c r="A27" s="204" t="s">
        <v>14323</v>
      </c>
      <c r="B27" s="98">
        <v>1</v>
      </c>
      <c r="C27" s="98"/>
      <c r="D27" s="98"/>
      <c r="E27" s="98"/>
      <c r="F27" s="98"/>
      <c r="G27" s="98"/>
      <c r="H27" s="98">
        <f>B27</f>
        <v>1</v>
      </c>
    </row>
    <row r="28" spans="1:8" ht="15" customHeight="1">
      <c r="A28" s="204" t="s">
        <v>14309</v>
      </c>
      <c r="B28" s="98">
        <v>1</v>
      </c>
      <c r="C28" s="98"/>
      <c r="D28" s="98"/>
      <c r="E28" s="98"/>
      <c r="F28" s="98"/>
      <c r="G28" s="98"/>
      <c r="H28" s="98">
        <f>B28</f>
        <v>1</v>
      </c>
    </row>
    <row r="29" spans="1:8" ht="15" customHeight="1">
      <c r="A29" s="97" t="s">
        <v>14663</v>
      </c>
      <c r="B29" s="236"/>
      <c r="C29" s="237"/>
      <c r="D29" s="237"/>
      <c r="E29" s="237"/>
      <c r="F29" s="238"/>
      <c r="G29" s="98"/>
      <c r="H29" s="98"/>
    </row>
    <row r="30" spans="1:8" s="93" customFormat="1" ht="75" customHeight="1">
      <c r="A30" s="91" t="s">
        <v>12592</v>
      </c>
      <c r="B30" s="364" t="str">
        <f>VLOOKUP($A30,SERVICOS,4,FALSE)</f>
        <v>Aluguel Mensal Container Para Escritório, Dim. 6.00X2.40M, C/ Banheiro (Vaso+Lavat+Chuveiro E Básc), Incl. Porta, 2 Janelas, Abert P/ Ar Cond., 2 Pt Iluminação, 2 Tom. Elét. E 1 Tom.Telef. Isolam.Térmico(Teto E Paredes), Piso Em Comp. Naval, Cert. Nr18, Incl. Laudo Descontaminação.</v>
      </c>
      <c r="C30" s="365"/>
      <c r="D30" s="365"/>
      <c r="E30" s="365"/>
      <c r="F30" s="366"/>
      <c r="G30" s="91" t="str">
        <f>VLOOKUP($A30,SERVICOS,5,FALSE)</f>
        <v>ms</v>
      </c>
      <c r="H30" s="92">
        <f>ROUND(SUM(H32:H32),2)</f>
        <v>8</v>
      </c>
    </row>
    <row r="31" spans="1:8" ht="15" customHeight="1">
      <c r="A31" s="94" t="s">
        <v>938</v>
      </c>
      <c r="B31" s="94" t="s">
        <v>7319</v>
      </c>
      <c r="C31" s="95" t="s">
        <v>14321</v>
      </c>
      <c r="D31" s="95"/>
      <c r="E31" s="94"/>
      <c r="F31" s="94"/>
      <c r="G31" s="94"/>
      <c r="H31" s="96"/>
    </row>
    <row r="32" spans="1:8" ht="15" customHeight="1">
      <c r="A32" s="97" t="s">
        <v>12615</v>
      </c>
      <c r="B32" s="98">
        <v>1</v>
      </c>
      <c r="C32" s="98">
        <v>8</v>
      </c>
      <c r="D32" s="98"/>
      <c r="E32" s="98"/>
      <c r="F32" s="98"/>
      <c r="G32" s="98"/>
      <c r="H32" s="98">
        <f>B32*C32</f>
        <v>8</v>
      </c>
    </row>
    <row r="33" spans="1:8" s="93" customFormat="1" ht="60" customHeight="1">
      <c r="A33" s="91" t="s">
        <v>12593</v>
      </c>
      <c r="B33" s="364" t="str">
        <f>VLOOKUP($A33,SERVICOS,4,FALSE)</f>
        <v>Aluguel Mensal Container Para Refeitorio, Incl. Porta, 2 Janelas, Abert P/ Ar Cond., 2 Pt Iluminação, 2 Tomadas Elét. E 1 Tomada Telef. Isolamento Térmico (Paredes E Teto), Piso Em Comp. Naval Pintado, Cert. Nr18, Incl. Laudo Descontaminação.</v>
      </c>
      <c r="C33" s="365"/>
      <c r="D33" s="365"/>
      <c r="E33" s="365"/>
      <c r="F33" s="366"/>
      <c r="G33" s="91" t="str">
        <f>VLOOKUP($A33,SERVICOS,5,FALSE)</f>
        <v>ms</v>
      </c>
      <c r="H33" s="92">
        <f>ROUND(SUM(H35),2)</f>
        <v>8</v>
      </c>
    </row>
    <row r="34" spans="1:8" ht="15" customHeight="1">
      <c r="A34" s="94" t="s">
        <v>938</v>
      </c>
      <c r="B34" s="94" t="s">
        <v>7319</v>
      </c>
      <c r="C34" s="95" t="s">
        <v>14321</v>
      </c>
      <c r="D34" s="95"/>
      <c r="E34" s="94"/>
      <c r="F34" s="94"/>
      <c r="G34" s="94"/>
      <c r="H34" s="96"/>
    </row>
    <row r="35" spans="1:8" ht="15" customHeight="1">
      <c r="A35" s="97" t="s">
        <v>13898</v>
      </c>
      <c r="B35" s="98">
        <v>1</v>
      </c>
      <c r="C35" s="98">
        <v>8</v>
      </c>
      <c r="D35" s="98"/>
      <c r="E35" s="98"/>
      <c r="F35" s="98"/>
      <c r="G35" s="98"/>
      <c r="H35" s="98">
        <f>B35*C35</f>
        <v>8</v>
      </c>
    </row>
    <row r="36" spans="1:8" s="93" customFormat="1" ht="60" customHeight="1">
      <c r="A36" s="91" t="s">
        <v>13892</v>
      </c>
      <c r="B36" s="364" t="str">
        <f>VLOOKUP($A36,SERVICOS,4,FALSE)</f>
        <v>Aluguel Mensal Container Sanitário, Incl Porta, Básc, 2 Ptos Luz, 1 Pto Aterram., 3Vasos, 3Lavatórios, Calha Mictório, 6 Chuveiros (1 Eletrico), Torn.,Registros, Piso Comp. Naval Pintado, Cert Nr18 E Laudo Descontaminação</v>
      </c>
      <c r="C36" s="365"/>
      <c r="D36" s="365"/>
      <c r="E36" s="365"/>
      <c r="F36" s="366"/>
      <c r="G36" s="91" t="str">
        <f>VLOOKUP($A36,SERVICOS,5,FALSE)</f>
        <v>ms</v>
      </c>
      <c r="H36" s="92">
        <f>ROUND(SUM(H38),2)</f>
        <v>8</v>
      </c>
    </row>
    <row r="37" spans="1:8" ht="15" customHeight="1">
      <c r="A37" s="94" t="s">
        <v>938</v>
      </c>
      <c r="B37" s="94" t="s">
        <v>7319</v>
      </c>
      <c r="C37" s="95" t="s">
        <v>14321</v>
      </c>
      <c r="D37" s="95"/>
      <c r="E37" s="94"/>
      <c r="F37" s="94"/>
      <c r="G37" s="94"/>
      <c r="H37" s="96"/>
    </row>
    <row r="38" spans="1:8" ht="15" customHeight="1">
      <c r="A38" s="97" t="s">
        <v>14324</v>
      </c>
      <c r="B38" s="98">
        <v>1</v>
      </c>
      <c r="C38" s="98">
        <v>8</v>
      </c>
      <c r="D38" s="98"/>
      <c r="E38" s="98"/>
      <c r="F38" s="98"/>
      <c r="G38" s="98"/>
      <c r="H38" s="98">
        <f>B38*C38</f>
        <v>8</v>
      </c>
    </row>
    <row r="39" spans="1:8" s="93" customFormat="1" ht="45" customHeight="1">
      <c r="A39" s="91" t="s">
        <v>13897</v>
      </c>
      <c r="B39" s="364" t="str">
        <f>VLOOKUP($A39,SERVICOS,4,FALSE)</f>
        <v>Aluguel Mensal Container Para Almoxarifado, Incl. Porta, 2 Janelas, 1 Pt Iluminação, Isolamento Térmico (Teto), Piso Em Comp. Naval Pintado, Cert. Nr18, Incl. Laudo Descontaminação.</v>
      </c>
      <c r="C39" s="365"/>
      <c r="D39" s="365"/>
      <c r="E39" s="365"/>
      <c r="F39" s="366"/>
      <c r="G39" s="91" t="str">
        <f>VLOOKUP($A39,SERVICOS,5,FALSE)</f>
        <v>ms</v>
      </c>
      <c r="H39" s="92">
        <f>ROUND(SUM(H41),2)</f>
        <v>8</v>
      </c>
    </row>
    <row r="40" spans="1:8" ht="15" customHeight="1">
      <c r="A40" s="94" t="s">
        <v>938</v>
      </c>
      <c r="B40" s="94" t="s">
        <v>7319</v>
      </c>
      <c r="C40" s="95" t="s">
        <v>14321</v>
      </c>
      <c r="D40" s="95"/>
      <c r="E40" s="94"/>
      <c r="F40" s="94"/>
      <c r="G40" s="94"/>
      <c r="H40" s="96"/>
    </row>
    <row r="41" spans="1:8" ht="15" customHeight="1">
      <c r="A41" s="97" t="s">
        <v>14309</v>
      </c>
      <c r="B41" s="98">
        <v>1</v>
      </c>
      <c r="C41" s="98">
        <v>8</v>
      </c>
      <c r="D41" s="98"/>
      <c r="E41" s="98"/>
      <c r="F41" s="98"/>
      <c r="G41" s="98"/>
      <c r="H41" s="98">
        <f>B41*C41</f>
        <v>8</v>
      </c>
    </row>
    <row r="42" spans="1:8" s="93" customFormat="1" ht="30" customHeight="1">
      <c r="A42" s="91" t="s">
        <v>13900</v>
      </c>
      <c r="B42" s="364" t="str">
        <f>VLOOKUP($A42,SERVICOS,4,FALSE)</f>
        <v>Reservatório De Poliestileno De 1000 L, Incl. Suporte Em Madeira De 7X12Cm E 8X7Cm, Elevado De 4M, Conf. Projeto (1 Utilização)</v>
      </c>
      <c r="C42" s="365"/>
      <c r="D42" s="365"/>
      <c r="E42" s="365"/>
      <c r="F42" s="366"/>
      <c r="G42" s="91" t="str">
        <f>VLOOKUP($A42,SERVICOS,5,FALSE)</f>
        <v>und</v>
      </c>
      <c r="H42" s="92">
        <f>ROUND(SUM(H44),2)</f>
        <v>1</v>
      </c>
    </row>
    <row r="43" spans="1:8" ht="15" customHeight="1">
      <c r="A43" s="94" t="s">
        <v>938</v>
      </c>
      <c r="B43" s="94" t="s">
        <v>7319</v>
      </c>
      <c r="C43" s="94"/>
      <c r="D43" s="95"/>
      <c r="E43" s="94"/>
      <c r="F43" s="94"/>
      <c r="G43" s="94"/>
      <c r="H43" s="96"/>
    </row>
    <row r="44" spans="1:8" ht="15" customHeight="1">
      <c r="A44" s="204" t="s">
        <v>12616</v>
      </c>
      <c r="B44" s="98">
        <v>1</v>
      </c>
      <c r="C44" s="98"/>
      <c r="D44" s="98"/>
      <c r="E44" s="98"/>
      <c r="F44" s="98"/>
      <c r="G44" s="98"/>
      <c r="H44" s="98">
        <f>B44</f>
        <v>1</v>
      </c>
    </row>
    <row r="45" spans="1:8" s="93" customFormat="1" ht="15" customHeight="1">
      <c r="A45" s="91" t="s">
        <v>13901</v>
      </c>
      <c r="B45" s="364" t="str">
        <f>VLOOKUP($A45,SERVICOS,4,FALSE)</f>
        <v>Locação De Obra Com Gabarito De Madeira</v>
      </c>
      <c r="C45" s="365"/>
      <c r="D45" s="365"/>
      <c r="E45" s="365"/>
      <c r="F45" s="366"/>
      <c r="G45" s="91" t="str">
        <f>VLOOKUP($A45,SERVICOS,5,FALSE)</f>
        <v>m2</v>
      </c>
      <c r="H45" s="92">
        <f>ROUND(SUM(H47),2)</f>
        <v>1200</v>
      </c>
    </row>
    <row r="46" spans="1:8" ht="15" customHeight="1">
      <c r="A46" s="94" t="s">
        <v>938</v>
      </c>
      <c r="B46" s="94" t="s">
        <v>7319</v>
      </c>
      <c r="C46" s="94" t="s">
        <v>12639</v>
      </c>
      <c r="D46" s="95"/>
      <c r="E46" s="94"/>
      <c r="F46" s="94"/>
      <c r="G46" s="94"/>
      <c r="H46" s="96"/>
    </row>
    <row r="47" spans="1:8" ht="15" customHeight="1">
      <c r="A47" s="204" t="s">
        <v>14664</v>
      </c>
      <c r="B47" s="98">
        <v>1</v>
      </c>
      <c r="C47" s="98">
        <v>1200</v>
      </c>
      <c r="D47" s="98"/>
      <c r="E47" s="98"/>
      <c r="F47" s="98"/>
      <c r="G47" s="98"/>
      <c r="H47" s="98">
        <f>B47*C47</f>
        <v>1200</v>
      </c>
    </row>
    <row r="48" spans="1:8" s="93" customFormat="1" ht="30" customHeight="1">
      <c r="A48" s="91" t="s">
        <v>14322</v>
      </c>
      <c r="B48" s="364" t="str">
        <f>VLOOKUP($A48,SERVICOS,4,FALSE)</f>
        <v>Equipe Topográfica Para Serviços Simples De Locação E Nivelamento (Incluindo Equipamento, Transporte E Profissionais Nivel Médio)</v>
      </c>
      <c r="C48" s="365"/>
      <c r="D48" s="365"/>
      <c r="E48" s="365"/>
      <c r="F48" s="366"/>
      <c r="G48" s="91" t="str">
        <f>VLOOKUP($A48,SERVICOS,5,FALSE)</f>
        <v>mês</v>
      </c>
      <c r="H48" s="92">
        <f>ROUND(SUM(H50),2)</f>
        <v>0.17</v>
      </c>
    </row>
    <row r="49" spans="1:8" ht="15" customHeight="1">
      <c r="A49" s="94" t="s">
        <v>938</v>
      </c>
      <c r="B49" s="94" t="s">
        <v>7319</v>
      </c>
      <c r="C49" s="95"/>
      <c r="D49" s="95"/>
      <c r="E49" s="94"/>
      <c r="F49" s="94"/>
      <c r="G49" s="94"/>
      <c r="H49" s="96"/>
    </row>
    <row r="50" spans="1:8" ht="15" customHeight="1">
      <c r="A50" s="204" t="s">
        <v>14326</v>
      </c>
      <c r="B50" s="98">
        <f>5/30</f>
        <v>0.16666666666666666</v>
      </c>
      <c r="C50" s="205" t="s">
        <v>14476</v>
      </c>
      <c r="D50" s="98"/>
      <c r="E50" s="98"/>
      <c r="F50" s="98"/>
      <c r="G50" s="98"/>
      <c r="H50" s="98">
        <f>B50</f>
        <v>0.16666666666666666</v>
      </c>
    </row>
    <row r="51" spans="1:8" ht="15" customHeight="1">
      <c r="A51" s="89" t="s">
        <v>7232</v>
      </c>
      <c r="B51" s="367" t="str">
        <f>VLOOKUP($A51,SERVICOS,4,FALSE)</f>
        <v>DEMOLIÇÕES E RETIRADAS</v>
      </c>
      <c r="C51" s="367"/>
      <c r="D51" s="367"/>
      <c r="E51" s="367"/>
      <c r="F51" s="367"/>
      <c r="G51" s="367">
        <f>VLOOKUP($A51,SERVICOS,5,FALSE)</f>
        <v>0</v>
      </c>
      <c r="H51" s="367" t="e">
        <f>ROUND(SUM(#REF!),2)</f>
        <v>#REF!</v>
      </c>
    </row>
    <row r="52" spans="1:8" s="93" customFormat="1" ht="15" customHeight="1">
      <c r="A52" s="91" t="s">
        <v>9106</v>
      </c>
      <c r="B52" s="364" t="str">
        <f>VLOOKUP($A52,SERVICOS,4,FALSE)</f>
        <v>Demolição De Piso Cimentado Inclusive Lastro De Concreto</v>
      </c>
      <c r="C52" s="365"/>
      <c r="D52" s="365"/>
      <c r="E52" s="365"/>
      <c r="F52" s="366"/>
      <c r="G52" s="91" t="str">
        <f>VLOOKUP($A52,SERVICOS,5,FALSE)</f>
        <v>m2</v>
      </c>
      <c r="H52" s="92">
        <f>ROUND(SUM(H54:H57),2)</f>
        <v>668.91</v>
      </c>
    </row>
    <row r="53" spans="1:8" ht="15" customHeight="1">
      <c r="A53" s="94" t="s">
        <v>938</v>
      </c>
      <c r="B53" s="94" t="s">
        <v>12639</v>
      </c>
      <c r="C53" s="95"/>
      <c r="D53" s="94"/>
      <c r="E53" s="95"/>
      <c r="F53" s="95"/>
      <c r="G53" s="94"/>
      <c r="H53" s="96"/>
    </row>
    <row r="54" spans="1:8" ht="15" customHeight="1">
      <c r="A54" s="97" t="s">
        <v>14397</v>
      </c>
      <c r="B54" s="98">
        <v>521.84</v>
      </c>
      <c r="C54" s="98"/>
      <c r="D54" s="98"/>
      <c r="E54" s="98"/>
      <c r="F54" s="98"/>
      <c r="G54" s="98"/>
      <c r="H54" s="98">
        <f>B54</f>
        <v>521.84</v>
      </c>
    </row>
    <row r="55" spans="1:8" ht="15" customHeight="1">
      <c r="A55" s="97" t="s">
        <v>14399</v>
      </c>
      <c r="B55" s="98">
        <f>27*3</f>
        <v>81</v>
      </c>
      <c r="C55" s="98"/>
      <c r="D55" s="98"/>
      <c r="E55" s="98"/>
      <c r="F55" s="98"/>
      <c r="G55" s="98"/>
      <c r="H55" s="98">
        <f t="shared" ref="H55:H57" si="0">B55</f>
        <v>81</v>
      </c>
    </row>
    <row r="56" spans="1:8" ht="15" customHeight="1">
      <c r="A56" s="97" t="s">
        <v>14396</v>
      </c>
      <c r="B56" s="98">
        <v>34.61</v>
      </c>
      <c r="C56" s="98"/>
      <c r="D56" s="98"/>
      <c r="E56" s="98"/>
      <c r="F56" s="98"/>
      <c r="G56" s="98"/>
      <c r="H56" s="98">
        <f t="shared" si="0"/>
        <v>34.61</v>
      </c>
    </row>
    <row r="57" spans="1:8" ht="15" customHeight="1">
      <c r="A57" s="97" t="s">
        <v>14398</v>
      </c>
      <c r="B57" s="98">
        <v>31.46</v>
      </c>
      <c r="C57" s="98"/>
      <c r="D57" s="98"/>
      <c r="E57" s="98"/>
      <c r="F57" s="98"/>
      <c r="G57" s="98"/>
      <c r="H57" s="98">
        <f t="shared" si="0"/>
        <v>31.46</v>
      </c>
    </row>
    <row r="58" spans="1:8" s="93" customFormat="1" ht="15" customHeight="1">
      <c r="A58" s="91" t="s">
        <v>12233</v>
      </c>
      <c r="B58" s="364" t="str">
        <f>VLOOKUP($A58,SERVICOS,4,FALSE)</f>
        <v>Demolição De Alvenaria</v>
      </c>
      <c r="C58" s="365"/>
      <c r="D58" s="365"/>
      <c r="E58" s="365"/>
      <c r="F58" s="366"/>
      <c r="G58" s="91" t="str">
        <f>VLOOKUP($A58,SERVICOS,5,FALSE)</f>
        <v>m3</v>
      </c>
      <c r="H58" s="92">
        <f>ROUND(SUM(H60:H63),2)</f>
        <v>90.13</v>
      </c>
    </row>
    <row r="59" spans="1:8" ht="15" customHeight="1">
      <c r="A59" s="94" t="s">
        <v>938</v>
      </c>
      <c r="B59" s="94" t="s">
        <v>14193</v>
      </c>
      <c r="C59" s="95" t="s">
        <v>14192</v>
      </c>
      <c r="D59" s="94" t="s">
        <v>14201</v>
      </c>
      <c r="E59" s="95"/>
      <c r="F59" s="95"/>
      <c r="G59" s="94"/>
      <c r="H59" s="96"/>
    </row>
    <row r="60" spans="1:8" ht="15" customHeight="1">
      <c r="A60" s="97" t="s">
        <v>14397</v>
      </c>
      <c r="B60" s="98">
        <f>(18.5+28.5)*2</f>
        <v>94</v>
      </c>
      <c r="C60" s="98">
        <v>1</v>
      </c>
      <c r="D60" s="98">
        <v>0.2</v>
      </c>
      <c r="E60" s="98"/>
      <c r="F60" s="98"/>
      <c r="G60" s="98"/>
      <c r="H60" s="98">
        <f>B60*C60*D60</f>
        <v>18.8</v>
      </c>
    </row>
    <row r="61" spans="1:8" ht="15" customHeight="1">
      <c r="A61" s="97" t="s">
        <v>14399</v>
      </c>
      <c r="B61" s="98">
        <f>4*12.5*3</f>
        <v>150</v>
      </c>
      <c r="C61" s="98">
        <f>0.9*2+0.45</f>
        <v>2.25</v>
      </c>
      <c r="D61" s="98">
        <v>0.15</v>
      </c>
      <c r="E61" s="98"/>
      <c r="F61" s="98"/>
      <c r="G61" s="98"/>
      <c r="H61" s="98">
        <f t="shared" ref="H61:H63" si="1">B61*C61*D61</f>
        <v>50.625</v>
      </c>
    </row>
    <row r="62" spans="1:8" ht="15" customHeight="1">
      <c r="A62" s="97" t="s">
        <v>14396</v>
      </c>
      <c r="B62" s="98">
        <f>25.5</f>
        <v>25.5</v>
      </c>
      <c r="C62" s="98">
        <v>3</v>
      </c>
      <c r="D62" s="98">
        <v>0.15</v>
      </c>
      <c r="E62" s="98"/>
      <c r="F62" s="98"/>
      <c r="G62" s="98"/>
      <c r="H62" s="98">
        <f t="shared" si="1"/>
        <v>11.475</v>
      </c>
    </row>
    <row r="63" spans="1:8" ht="15" customHeight="1">
      <c r="A63" s="97" t="s">
        <v>14398</v>
      </c>
      <c r="B63" s="98">
        <v>20.5</v>
      </c>
      <c r="C63" s="98">
        <v>3</v>
      </c>
      <c r="D63" s="98">
        <v>0.15</v>
      </c>
      <c r="E63" s="98"/>
      <c r="F63" s="98"/>
      <c r="G63" s="98"/>
      <c r="H63" s="98">
        <f t="shared" si="1"/>
        <v>9.2249999999999996</v>
      </c>
    </row>
    <row r="64" spans="1:8" s="93" customFormat="1" ht="30" customHeight="1">
      <c r="A64" s="91" t="s">
        <v>14199</v>
      </c>
      <c r="B64" s="364" t="str">
        <f>VLOOKUP($A64,SERVICOS,4,FALSE)</f>
        <v>Retirada Manual De Pavimento Em Paralelepípedos, Incluindo Empilhamento Para Reaproveitamento</v>
      </c>
      <c r="C64" s="365"/>
      <c r="D64" s="365"/>
      <c r="E64" s="365"/>
      <c r="F64" s="366"/>
      <c r="G64" s="91" t="str">
        <f>VLOOKUP($A64,SERVICOS,5,FALSE)</f>
        <v>m2</v>
      </c>
      <c r="H64" s="92">
        <f>ROUND(SUM(H66:H66),2)</f>
        <v>300</v>
      </c>
    </row>
    <row r="65" spans="1:8" ht="15" customHeight="1">
      <c r="A65" s="94" t="s">
        <v>938</v>
      </c>
      <c r="B65" s="94" t="s">
        <v>12639</v>
      </c>
      <c r="C65" s="95"/>
      <c r="D65" s="94"/>
      <c r="E65" s="95"/>
      <c r="F65" s="95"/>
      <c r="G65" s="94"/>
      <c r="H65" s="96"/>
    </row>
    <row r="66" spans="1:8" ht="15" customHeight="1">
      <c r="A66" s="97" t="s">
        <v>14403</v>
      </c>
      <c r="B66" s="98">
        <v>300</v>
      </c>
      <c r="C66" s="98" t="s">
        <v>14404</v>
      </c>
      <c r="D66" s="98"/>
      <c r="E66" s="98"/>
      <c r="F66" s="98"/>
      <c r="G66" s="98"/>
      <c r="H66" s="98">
        <f>B66</f>
        <v>300</v>
      </c>
    </row>
    <row r="67" spans="1:8" s="93" customFormat="1" ht="15" customHeight="1">
      <c r="A67" s="91" t="s">
        <v>14200</v>
      </c>
      <c r="B67" s="364" t="str">
        <f>VLOOKUP($A67,SERVICOS,4,FALSE)</f>
        <v>Retirada De Portas E Janelas De Madeira, Inclusive Batentes</v>
      </c>
      <c r="C67" s="365"/>
      <c r="D67" s="365"/>
      <c r="E67" s="365"/>
      <c r="F67" s="366"/>
      <c r="G67" s="91" t="str">
        <f>VLOOKUP($A67,SERVICOS,5,FALSE)</f>
        <v>m2</v>
      </c>
      <c r="H67" s="92">
        <f>ROUND(SUM(H69:H70),2)</f>
        <v>10.08</v>
      </c>
    </row>
    <row r="68" spans="1:8" ht="15" customHeight="1">
      <c r="A68" s="94" t="s">
        <v>938</v>
      </c>
      <c r="B68" s="94" t="s">
        <v>7319</v>
      </c>
      <c r="C68" s="95"/>
      <c r="D68" s="94"/>
      <c r="E68" s="95"/>
      <c r="F68" s="95"/>
      <c r="G68" s="94"/>
      <c r="H68" s="96"/>
    </row>
    <row r="69" spans="1:8" ht="15" customHeight="1">
      <c r="A69" s="97" t="s">
        <v>14396</v>
      </c>
      <c r="B69" s="98">
        <v>3</v>
      </c>
      <c r="C69" s="98">
        <v>0.8</v>
      </c>
      <c r="D69" s="98">
        <v>2.1</v>
      </c>
      <c r="E69" s="98"/>
      <c r="F69" s="98"/>
      <c r="G69" s="98"/>
      <c r="H69" s="98">
        <f>B69*C69*D69</f>
        <v>5.0400000000000009</v>
      </c>
    </row>
    <row r="70" spans="1:8" ht="15" customHeight="1">
      <c r="A70" s="97" t="s">
        <v>14398</v>
      </c>
      <c r="B70" s="98">
        <v>3</v>
      </c>
      <c r="C70" s="98">
        <v>0.8</v>
      </c>
      <c r="D70" s="98">
        <v>2.1</v>
      </c>
      <c r="E70" s="98"/>
      <c r="F70" s="98"/>
      <c r="G70" s="98"/>
      <c r="H70" s="98">
        <f>B70*C70*D70</f>
        <v>5.0400000000000009</v>
      </c>
    </row>
    <row r="71" spans="1:8" ht="15" customHeight="1">
      <c r="A71" s="381" t="s">
        <v>14929</v>
      </c>
      <c r="B71" s="379"/>
      <c r="C71" s="379"/>
      <c r="D71" s="379"/>
      <c r="E71" s="379"/>
      <c r="F71" s="379"/>
      <c r="G71" s="379"/>
      <c r="H71" s="380"/>
    </row>
    <row r="72" spans="1:8" s="93" customFormat="1" ht="15" customHeight="1">
      <c r="A72" s="91" t="s">
        <v>14393</v>
      </c>
      <c r="B72" s="364" t="str">
        <f>VLOOKUP($A72,SERVICOS,4,FALSE)</f>
        <v>Retirada De Grades, Gradis, Alambrados, Cercas E Portões</v>
      </c>
      <c r="C72" s="365"/>
      <c r="D72" s="365"/>
      <c r="E72" s="365"/>
      <c r="F72" s="366"/>
      <c r="G72" s="91" t="str">
        <f>VLOOKUP($A72,SERVICOS,5,FALSE)</f>
        <v>m2</v>
      </c>
      <c r="H72" s="92">
        <f>ROUND(SUM(H74:H76),2)</f>
        <v>389</v>
      </c>
    </row>
    <row r="73" spans="1:8" ht="15" customHeight="1">
      <c r="A73" s="94" t="s">
        <v>938</v>
      </c>
      <c r="B73" s="94" t="s">
        <v>7319</v>
      </c>
      <c r="C73" s="95" t="s">
        <v>7320</v>
      </c>
      <c r="D73" s="94" t="s">
        <v>14192</v>
      </c>
      <c r="E73" s="95"/>
      <c r="F73" s="95"/>
      <c r="G73" s="94"/>
      <c r="H73" s="96"/>
    </row>
    <row r="74" spans="1:8" ht="15" customHeight="1">
      <c r="A74" s="97" t="s">
        <v>14405</v>
      </c>
      <c r="B74" s="98">
        <v>2</v>
      </c>
      <c r="C74" s="98">
        <v>18.5</v>
      </c>
      <c r="D74" s="98">
        <v>5</v>
      </c>
      <c r="E74" s="98"/>
      <c r="F74" s="98"/>
      <c r="G74" s="98"/>
      <c r="H74" s="98">
        <f>B74*C74*D74</f>
        <v>185</v>
      </c>
    </row>
    <row r="75" spans="1:8" ht="15" customHeight="1">
      <c r="A75" s="97" t="s">
        <v>14406</v>
      </c>
      <c r="B75" s="98">
        <v>2</v>
      </c>
      <c r="C75" s="98">
        <v>12</v>
      </c>
      <c r="D75" s="98">
        <v>4.5</v>
      </c>
      <c r="E75" s="98"/>
      <c r="F75" s="98"/>
      <c r="G75" s="98"/>
      <c r="H75" s="98">
        <f>B75*C75*D75</f>
        <v>108</v>
      </c>
    </row>
    <row r="76" spans="1:8" ht="15" customHeight="1">
      <c r="A76" s="97" t="s">
        <v>14407</v>
      </c>
      <c r="B76" s="98">
        <v>2</v>
      </c>
      <c r="C76" s="98">
        <v>16</v>
      </c>
      <c r="D76" s="98">
        <v>3</v>
      </c>
      <c r="E76" s="98"/>
      <c r="F76" s="98"/>
      <c r="G76" s="98"/>
      <c r="H76" s="98">
        <f>B76*C76*D76</f>
        <v>96</v>
      </c>
    </row>
    <row r="77" spans="1:8" ht="15" customHeight="1">
      <c r="A77" s="381" t="s">
        <v>14930</v>
      </c>
      <c r="B77" s="379"/>
      <c r="C77" s="379"/>
      <c r="D77" s="379"/>
      <c r="E77" s="379"/>
      <c r="F77" s="379"/>
      <c r="G77" s="379"/>
      <c r="H77" s="380"/>
    </row>
    <row r="78" spans="1:8" s="93" customFormat="1" ht="15" customHeight="1">
      <c r="A78" s="91" t="s">
        <v>14394</v>
      </c>
      <c r="B78" s="364" t="str">
        <f>VLOOKUP($A78,SERVICOS,4,FALSE)</f>
        <v>Retirada De Poste De Aço De 4 A 6 M</v>
      </c>
      <c r="C78" s="365"/>
      <c r="D78" s="365"/>
      <c r="E78" s="365"/>
      <c r="F78" s="366"/>
      <c r="G78" s="91" t="str">
        <f>VLOOKUP($A78,SERVICOS,5,FALSE)</f>
        <v>und</v>
      </c>
      <c r="H78" s="92">
        <f>ROUND(SUM(H80),2)</f>
        <v>4</v>
      </c>
    </row>
    <row r="79" spans="1:8" ht="15" customHeight="1">
      <c r="A79" s="94" t="s">
        <v>938</v>
      </c>
      <c r="B79" s="94" t="s">
        <v>7319</v>
      </c>
      <c r="C79" s="95"/>
      <c r="D79" s="94"/>
      <c r="E79" s="95"/>
      <c r="F79" s="95"/>
      <c r="G79" s="94"/>
      <c r="H79" s="96"/>
    </row>
    <row r="80" spans="1:8" ht="15" customHeight="1">
      <c r="A80" s="97" t="s">
        <v>14931</v>
      </c>
      <c r="B80" s="98">
        <v>4</v>
      </c>
      <c r="C80" s="98"/>
      <c r="D80" s="98"/>
      <c r="E80" s="98"/>
      <c r="F80" s="98"/>
      <c r="G80" s="98"/>
      <c r="H80" s="98">
        <f t="shared" ref="H80" si="2">B80</f>
        <v>4</v>
      </c>
    </row>
    <row r="81" spans="1:8" s="93" customFormat="1" ht="15" customHeight="1">
      <c r="A81" s="91" t="s">
        <v>14395</v>
      </c>
      <c r="B81" s="364" t="str">
        <f>VLOOKUP($A81,SERVICOS,4,FALSE)</f>
        <v>Retirada De Pontos Elétricos (Luminárias, Interruptores E Tomadas)</v>
      </c>
      <c r="C81" s="365"/>
      <c r="D81" s="365"/>
      <c r="E81" s="365"/>
      <c r="F81" s="366"/>
      <c r="G81" s="91" t="str">
        <f>VLOOKUP($A81,SERVICOS,5,FALSE)</f>
        <v>und</v>
      </c>
      <c r="H81" s="92">
        <f>ROUND(SUM(H83),2)</f>
        <v>8</v>
      </c>
    </row>
    <row r="82" spans="1:8" ht="15" customHeight="1">
      <c r="A82" s="94" t="s">
        <v>938</v>
      </c>
      <c r="B82" s="94" t="s">
        <v>7319</v>
      </c>
      <c r="C82" s="95"/>
      <c r="D82" s="94"/>
      <c r="E82" s="95"/>
      <c r="F82" s="95"/>
      <c r="G82" s="94"/>
      <c r="H82" s="96"/>
    </row>
    <row r="83" spans="1:8" ht="15" customHeight="1">
      <c r="A83" s="97" t="s">
        <v>14572</v>
      </c>
      <c r="B83" s="98">
        <f>4*2</f>
        <v>8</v>
      </c>
      <c r="C83" s="98"/>
      <c r="D83" s="98"/>
      <c r="E83" s="98"/>
      <c r="F83" s="98"/>
      <c r="G83" s="98"/>
      <c r="H83" s="98">
        <f t="shared" ref="H83" si="3">B83</f>
        <v>8</v>
      </c>
    </row>
    <row r="84" spans="1:8" s="93" customFormat="1" ht="15" customHeight="1">
      <c r="A84" s="91" t="s">
        <v>14400</v>
      </c>
      <c r="B84" s="364" t="str">
        <f>VLOOKUP($A84,SERVICOS,4,FALSE)</f>
        <v>Remoção De Telha Ondulada De Fibrocimento, Inclusive Cumeeira</v>
      </c>
      <c r="C84" s="365"/>
      <c r="D84" s="365"/>
      <c r="E84" s="365"/>
      <c r="F84" s="366"/>
      <c r="G84" s="91" t="str">
        <f>VLOOKUP($A84,SERVICOS,5,FALSE)</f>
        <v>m2</v>
      </c>
      <c r="H84" s="92">
        <f>ROUND(SUM(H86:H87),2)</f>
        <v>90.61</v>
      </c>
    </row>
    <row r="85" spans="1:8" ht="15" customHeight="1">
      <c r="A85" s="94" t="s">
        <v>938</v>
      </c>
      <c r="B85" s="94" t="s">
        <v>12639</v>
      </c>
      <c r="C85" s="95"/>
      <c r="D85" s="94"/>
      <c r="E85" s="95"/>
      <c r="F85" s="95"/>
      <c r="G85" s="94"/>
      <c r="H85" s="96"/>
    </row>
    <row r="86" spans="1:8" ht="15" customHeight="1">
      <c r="A86" s="97" t="s">
        <v>14396</v>
      </c>
      <c r="B86" s="98">
        <v>34.61</v>
      </c>
      <c r="C86" s="98"/>
      <c r="D86" s="98"/>
      <c r="E86" s="98"/>
      <c r="F86" s="98"/>
      <c r="G86" s="98"/>
      <c r="H86" s="98">
        <f t="shared" ref="H86:H87" si="4">B86</f>
        <v>34.61</v>
      </c>
    </row>
    <row r="87" spans="1:8" ht="15" customHeight="1">
      <c r="A87" s="97" t="s">
        <v>14398</v>
      </c>
      <c r="B87" s="98">
        <v>56</v>
      </c>
      <c r="C87" s="98"/>
      <c r="D87" s="98"/>
      <c r="E87" s="98"/>
      <c r="F87" s="98"/>
      <c r="G87" s="98"/>
      <c r="H87" s="98">
        <f t="shared" si="4"/>
        <v>56</v>
      </c>
    </row>
    <row r="88" spans="1:8" s="93" customFormat="1" ht="15" customHeight="1">
      <c r="A88" s="91" t="s">
        <v>14570</v>
      </c>
      <c r="B88" s="364" t="str">
        <f>VLOOKUP($A88,SERVICOS,4,FALSE)</f>
        <v>Retirada De Estrutura Em Madeira Do Telhado</v>
      </c>
      <c r="C88" s="365"/>
      <c r="D88" s="365"/>
      <c r="E88" s="365"/>
      <c r="F88" s="366"/>
      <c r="G88" s="91" t="str">
        <f>VLOOKUP($A88,SERVICOS,5,FALSE)</f>
        <v>m2</v>
      </c>
      <c r="H88" s="92">
        <f>ROUND(SUM(H90:H91),2)</f>
        <v>90.61</v>
      </c>
    </row>
    <row r="89" spans="1:8" ht="15" customHeight="1">
      <c r="A89" s="94" t="s">
        <v>938</v>
      </c>
      <c r="B89" s="94" t="s">
        <v>12639</v>
      </c>
      <c r="C89" s="95"/>
      <c r="D89" s="94"/>
      <c r="E89" s="95"/>
      <c r="F89" s="95"/>
      <c r="G89" s="94"/>
      <c r="H89" s="96"/>
    </row>
    <row r="90" spans="1:8" ht="15" customHeight="1">
      <c r="A90" s="97" t="s">
        <v>14396</v>
      </c>
      <c r="B90" s="98">
        <v>34.61</v>
      </c>
      <c r="C90" s="98"/>
      <c r="D90" s="98"/>
      <c r="E90" s="98"/>
      <c r="F90" s="98"/>
      <c r="G90" s="98"/>
      <c r="H90" s="98">
        <f t="shared" ref="H90:H91" si="5">B90</f>
        <v>34.61</v>
      </c>
    </row>
    <row r="91" spans="1:8" ht="15" customHeight="1">
      <c r="A91" s="97" t="s">
        <v>14398</v>
      </c>
      <c r="B91" s="98">
        <v>56</v>
      </c>
      <c r="C91" s="98"/>
      <c r="D91" s="98"/>
      <c r="E91" s="98"/>
      <c r="F91" s="98"/>
      <c r="G91" s="98"/>
      <c r="H91" s="98">
        <f t="shared" si="5"/>
        <v>56</v>
      </c>
    </row>
    <row r="92" spans="1:8" s="93" customFormat="1" ht="45" customHeight="1">
      <c r="A92" s="91" t="s">
        <v>14571</v>
      </c>
      <c r="B92" s="364" t="str">
        <f>VLOOKUP($A92,SERVICOS,4,FALSE)</f>
        <v>Índice De Preço Para Remoção De Entulho Decorrente Da Execução De Obras (Classe A Conama - Nbr 10.004 - Classe Ii-B), Incluindo Aluguel Da Caçamba, Carga, Transporte E Descarga Em Área Licenciada</v>
      </c>
      <c r="C92" s="365"/>
      <c r="D92" s="365"/>
      <c r="E92" s="365"/>
      <c r="F92" s="366"/>
      <c r="G92" s="91" t="str">
        <f>VLOOKUP($A92,SERVICOS,5,FALSE)</f>
        <v>m3</v>
      </c>
      <c r="H92" s="92">
        <f>ROUND(SUM(H94:H98),2)</f>
        <v>341.84</v>
      </c>
    </row>
    <row r="93" spans="1:8" ht="25.5">
      <c r="A93" s="94" t="s">
        <v>938</v>
      </c>
      <c r="B93" s="94" t="s">
        <v>12639</v>
      </c>
      <c r="C93" s="95" t="s">
        <v>14402</v>
      </c>
      <c r="D93" s="94" t="s">
        <v>13903</v>
      </c>
      <c r="E93" s="95"/>
      <c r="F93" s="95"/>
      <c r="G93" s="94" t="s">
        <v>14408</v>
      </c>
      <c r="H93" s="96"/>
    </row>
    <row r="94" spans="1:8" ht="15" customHeight="1">
      <c r="A94" s="97" t="s">
        <v>14401</v>
      </c>
      <c r="B94" s="98">
        <f>H52</f>
        <v>668.91</v>
      </c>
      <c r="C94" s="98">
        <v>0.1</v>
      </c>
      <c r="D94" s="98"/>
      <c r="E94" s="98"/>
      <c r="F94" s="98"/>
      <c r="G94" s="98">
        <v>1.5</v>
      </c>
      <c r="H94" s="98">
        <f>B94*C94*G94</f>
        <v>100.3365</v>
      </c>
    </row>
    <row r="95" spans="1:8" ht="15" customHeight="1">
      <c r="A95" s="97" t="s">
        <v>14409</v>
      </c>
      <c r="B95" s="98"/>
      <c r="C95" s="98"/>
      <c r="D95" s="98">
        <f>H58</f>
        <v>90.13</v>
      </c>
      <c r="E95" s="98"/>
      <c r="F95" s="98"/>
      <c r="G95" s="98">
        <v>1.5</v>
      </c>
      <c r="H95" s="98">
        <f>D95*G95</f>
        <v>135.19499999999999</v>
      </c>
    </row>
    <row r="96" spans="1:8" ht="15" customHeight="1">
      <c r="A96" s="204" t="s">
        <v>14410</v>
      </c>
      <c r="B96" s="98">
        <f>H64</f>
        <v>300</v>
      </c>
      <c r="C96" s="98">
        <v>0.2</v>
      </c>
      <c r="D96" s="98"/>
      <c r="E96" s="98"/>
      <c r="F96" s="98"/>
      <c r="G96" s="98">
        <v>1.5</v>
      </c>
      <c r="H96" s="98">
        <f>B96*C96*G96</f>
        <v>90</v>
      </c>
    </row>
    <row r="97" spans="1:8" ht="15" customHeight="1">
      <c r="A97" s="97" t="s">
        <v>14411</v>
      </c>
      <c r="B97" s="98">
        <f>H84</f>
        <v>90.61</v>
      </c>
      <c r="C97" s="98">
        <v>0.06</v>
      </c>
      <c r="D97" s="98"/>
      <c r="E97" s="98"/>
      <c r="F97" s="98"/>
      <c r="G97" s="98">
        <v>1.5</v>
      </c>
      <c r="H97" s="98">
        <f t="shared" ref="H97:H98" si="6">B97*C97*G97</f>
        <v>8.1548999999999996</v>
      </c>
    </row>
    <row r="98" spans="1:8" ht="15" customHeight="1">
      <c r="A98" s="97" t="s">
        <v>14412</v>
      </c>
      <c r="B98" s="98">
        <f>H88</f>
        <v>90.61</v>
      </c>
      <c r="C98" s="98">
        <v>0.06</v>
      </c>
      <c r="D98" s="98"/>
      <c r="E98" s="98"/>
      <c r="F98" s="98"/>
      <c r="G98" s="98">
        <v>1.5</v>
      </c>
      <c r="H98" s="98">
        <f t="shared" si="6"/>
        <v>8.1548999999999996</v>
      </c>
    </row>
    <row r="99" spans="1:8" ht="15" customHeight="1">
      <c r="A99" s="89" t="s">
        <v>7233</v>
      </c>
      <c r="B99" s="367" t="str">
        <f>VLOOKUP($A99,SERVICOS,4,FALSE)</f>
        <v>MOVIMENTAÇÃO DE TERRA PARA FUNDAÇÕES</v>
      </c>
      <c r="C99" s="367"/>
      <c r="D99" s="367"/>
      <c r="E99" s="367"/>
      <c r="F99" s="367"/>
      <c r="G99" s="367">
        <f>VLOOKUP($A99,SERVICOS,5,FALSE)</f>
        <v>0</v>
      </c>
      <c r="H99" s="367" t="e">
        <f>ROUND(SUM(#REF!),2)</f>
        <v>#REF!</v>
      </c>
    </row>
    <row r="100" spans="1:8" s="93" customFormat="1" ht="45" customHeight="1">
      <c r="A100" s="91" t="s">
        <v>12230</v>
      </c>
      <c r="B100" s="364" t="str">
        <f>VLOOKUP($A100,SERVICOS,4,FALSE)</f>
        <v>Aterro Mecanizado De Vala Com Retroescavadeira (Capacidade Da Caçamba Da Retro: 0,26 M³ / Potência: 88 Hp), Largura Até 1,5 M, Profundidade De 1,5 A 3,0 M, Com Solo Argilo-Arenoso. Af_08/2023</v>
      </c>
      <c r="C100" s="365"/>
      <c r="D100" s="365"/>
      <c r="E100" s="365"/>
      <c r="F100" s="366"/>
      <c r="G100" s="91" t="str">
        <f>VLOOKUP($A100,SERVICOS,5,FALSE)</f>
        <v>m3</v>
      </c>
      <c r="H100" s="92">
        <f>ROUND(SUM(H102:H102),2)</f>
        <v>360</v>
      </c>
    </row>
    <row r="101" spans="1:8" ht="15" customHeight="1">
      <c r="A101" s="94" t="s">
        <v>938</v>
      </c>
      <c r="B101" s="95" t="s">
        <v>12639</v>
      </c>
      <c r="C101" s="95" t="s">
        <v>14201</v>
      </c>
      <c r="D101" s="95"/>
      <c r="E101" s="95"/>
      <c r="F101" s="95"/>
      <c r="G101" s="94"/>
      <c r="H101" s="96"/>
    </row>
    <row r="102" spans="1:8" ht="15" customHeight="1">
      <c r="A102" s="97" t="s">
        <v>14413</v>
      </c>
      <c r="B102" s="98">
        <v>1200</v>
      </c>
      <c r="C102" s="98">
        <v>0.3</v>
      </c>
      <c r="D102" s="205" t="s">
        <v>14785</v>
      </c>
      <c r="E102" s="98"/>
      <c r="F102" s="98"/>
      <c r="G102" s="98"/>
      <c r="H102" s="98">
        <f>B102*C102</f>
        <v>360</v>
      </c>
    </row>
    <row r="103" spans="1:8" s="93" customFormat="1" ht="30" customHeight="1">
      <c r="A103" s="91" t="s">
        <v>12231</v>
      </c>
      <c r="B103" s="364" t="str">
        <f>VLOOKUP($A103,SERVICOS,4,FALSE)</f>
        <v>Execução E Compactação De Aterro Com Solo Predominantemente Argiloso - Exclusive Solo, Escavação, Carga E Transporte. Af_11/2019</v>
      </c>
      <c r="C103" s="365"/>
      <c r="D103" s="365"/>
      <c r="E103" s="365"/>
      <c r="F103" s="366"/>
      <c r="G103" s="91" t="str">
        <f>VLOOKUP($A103,SERVICOS,5,FALSE)</f>
        <v>m3</v>
      </c>
      <c r="H103" s="92">
        <f>ROUND(SUM(H105:H105),2)</f>
        <v>360</v>
      </c>
    </row>
    <row r="104" spans="1:8" ht="15" customHeight="1">
      <c r="A104" s="94" t="s">
        <v>938</v>
      </c>
      <c r="B104" s="95" t="s">
        <v>12639</v>
      </c>
      <c r="C104" s="95" t="s">
        <v>14201</v>
      </c>
      <c r="D104" s="95"/>
      <c r="E104" s="95"/>
      <c r="F104" s="95"/>
      <c r="G104" s="94"/>
      <c r="H104" s="96"/>
    </row>
    <row r="105" spans="1:8" ht="15" customHeight="1">
      <c r="A105" s="97" t="str">
        <f>A102</f>
        <v>Nova área quadra</v>
      </c>
      <c r="B105" s="98">
        <f>B102</f>
        <v>1200</v>
      </c>
      <c r="C105" s="98">
        <f>C102</f>
        <v>0.3</v>
      </c>
      <c r="D105" s="98"/>
      <c r="E105" s="98"/>
      <c r="F105" s="98"/>
      <c r="G105" s="98"/>
      <c r="H105" s="98">
        <f>B105*C105</f>
        <v>360</v>
      </c>
    </row>
    <row r="106" spans="1:8" s="93" customFormat="1" ht="45" customHeight="1">
      <c r="A106" s="91" t="s">
        <v>12232</v>
      </c>
      <c r="B106" s="364" t="str">
        <f>VLOOKUP($A106,SERVICOS,4,FALSE)</f>
        <v>Escavação Mecanizada Para Bloco De Coroamento Ou Sapata Com Retroescavadeira (Incluindo Escavação Para Colocação De Fôrmas). Af_06/2017</v>
      </c>
      <c r="C106" s="365"/>
      <c r="D106" s="365"/>
      <c r="E106" s="365"/>
      <c r="F106" s="366"/>
      <c r="G106" s="91" t="str">
        <f>VLOOKUP($A106,SERVICOS,5,FALSE)</f>
        <v>m3</v>
      </c>
      <c r="H106" s="92">
        <f>ROUND(SUM(H109:H134),2)</f>
        <v>271.12</v>
      </c>
    </row>
    <row r="107" spans="1:8" ht="25.5">
      <c r="A107" s="94" t="s">
        <v>938</v>
      </c>
      <c r="B107" s="95" t="s">
        <v>14480</v>
      </c>
      <c r="C107" s="94" t="s">
        <v>7319</v>
      </c>
      <c r="D107" s="95" t="s">
        <v>14191</v>
      </c>
      <c r="E107" s="94" t="s">
        <v>7320</v>
      </c>
      <c r="F107" s="95" t="s">
        <v>14192</v>
      </c>
      <c r="G107" s="94"/>
      <c r="H107" s="96"/>
    </row>
    <row r="108" spans="1:8" ht="15" customHeight="1">
      <c r="A108" s="232" t="s">
        <v>14325</v>
      </c>
      <c r="B108" s="229"/>
      <c r="C108" s="229"/>
      <c r="D108" s="230"/>
      <c r="E108" s="229"/>
      <c r="F108" s="230"/>
      <c r="G108" s="229"/>
      <c r="H108" s="231"/>
    </row>
    <row r="109" spans="1:8" ht="15" customHeight="1">
      <c r="A109" s="97" t="s">
        <v>14787</v>
      </c>
      <c r="B109" s="206" t="s">
        <v>14799</v>
      </c>
      <c r="C109" s="98">
        <v>2</v>
      </c>
      <c r="D109" s="98">
        <f>1+0.4</f>
        <v>1.4</v>
      </c>
      <c r="E109" s="98">
        <f>1+0.4</f>
        <v>1.4</v>
      </c>
      <c r="F109" s="98">
        <v>1.55</v>
      </c>
      <c r="G109" s="98"/>
      <c r="H109" s="98">
        <f>C109*D109*E109*F109</f>
        <v>6.0759999999999996</v>
      </c>
    </row>
    <row r="110" spans="1:8" ht="15" customHeight="1">
      <c r="A110" s="97" t="s">
        <v>14788</v>
      </c>
      <c r="B110" s="98" t="s">
        <v>14800</v>
      </c>
      <c r="C110" s="98">
        <v>4</v>
      </c>
      <c r="D110" s="98">
        <f>0.8+0.4</f>
        <v>1.2000000000000002</v>
      </c>
      <c r="E110" s="98">
        <f>0.8+0.4</f>
        <v>1.2000000000000002</v>
      </c>
      <c r="F110" s="98">
        <v>1.55</v>
      </c>
      <c r="G110" s="98"/>
      <c r="H110" s="98">
        <f t="shared" ref="H110:H116" si="7">C110*D110*E110*F110</f>
        <v>8.9280000000000026</v>
      </c>
    </row>
    <row r="111" spans="1:8" ht="15" customHeight="1">
      <c r="A111" s="97" t="s">
        <v>14789</v>
      </c>
      <c r="B111" s="98" t="s">
        <v>14801</v>
      </c>
      <c r="C111" s="98">
        <v>3</v>
      </c>
      <c r="D111" s="98">
        <f>1+0.4</f>
        <v>1.4</v>
      </c>
      <c r="E111" s="98">
        <f>0.8+0.4</f>
        <v>1.2000000000000002</v>
      </c>
      <c r="F111" s="98">
        <v>1.55</v>
      </c>
      <c r="G111" s="98"/>
      <c r="H111" s="98">
        <f t="shared" si="7"/>
        <v>7.8120000000000003</v>
      </c>
    </row>
    <row r="112" spans="1:8" ht="15" customHeight="1">
      <c r="A112" s="97" t="s">
        <v>14790</v>
      </c>
      <c r="B112" s="98" t="s">
        <v>14802</v>
      </c>
      <c r="C112" s="98">
        <v>4</v>
      </c>
      <c r="D112" s="98">
        <f>0.8+0.4</f>
        <v>1.2000000000000002</v>
      </c>
      <c r="E112" s="98">
        <f>0.6+0.4</f>
        <v>1</v>
      </c>
      <c r="F112" s="98">
        <v>1.55</v>
      </c>
      <c r="G112" s="98"/>
      <c r="H112" s="98">
        <f t="shared" si="7"/>
        <v>7.4400000000000013</v>
      </c>
    </row>
    <row r="113" spans="1:8" ht="25.5">
      <c r="A113" s="204" t="s">
        <v>14791</v>
      </c>
      <c r="B113" s="98" t="s">
        <v>14803</v>
      </c>
      <c r="C113" s="98">
        <v>10</v>
      </c>
      <c r="D113" s="98">
        <f>1.5+0.4</f>
        <v>1.9</v>
      </c>
      <c r="E113" s="98">
        <f>1.8+0.4</f>
        <v>2.2000000000000002</v>
      </c>
      <c r="F113" s="98">
        <v>1.55</v>
      </c>
      <c r="G113" s="98"/>
      <c r="H113" s="98">
        <f t="shared" si="7"/>
        <v>64.790000000000006</v>
      </c>
    </row>
    <row r="114" spans="1:8" ht="15" customHeight="1">
      <c r="A114" s="204" t="s">
        <v>14792</v>
      </c>
      <c r="B114" s="98" t="s">
        <v>14803</v>
      </c>
      <c r="C114" s="98">
        <v>6</v>
      </c>
      <c r="D114" s="98">
        <f>1.5+0.4</f>
        <v>1.9</v>
      </c>
      <c r="E114" s="98">
        <f>1.8+0.4</f>
        <v>2.2000000000000002</v>
      </c>
      <c r="F114" s="98">
        <v>2.0499999999999998</v>
      </c>
      <c r="G114" s="98"/>
      <c r="H114" s="98">
        <f t="shared" ref="H114:H115" si="8">C114*D114*E114*F114</f>
        <v>51.413999999999994</v>
      </c>
    </row>
    <row r="115" spans="1:8" ht="15" customHeight="1">
      <c r="A115" s="97" t="s">
        <v>14793</v>
      </c>
      <c r="B115" s="98" t="s">
        <v>14804</v>
      </c>
      <c r="C115" s="98">
        <v>3</v>
      </c>
      <c r="D115" s="98">
        <f>1.3+0.4</f>
        <v>1.7000000000000002</v>
      </c>
      <c r="E115" s="98">
        <f>1.4+0.4</f>
        <v>1.7999999999999998</v>
      </c>
      <c r="F115" s="98">
        <v>1.55</v>
      </c>
      <c r="G115" s="98"/>
      <c r="H115" s="98">
        <f t="shared" si="8"/>
        <v>14.228999999999999</v>
      </c>
    </row>
    <row r="116" spans="1:8" ht="15" customHeight="1">
      <c r="A116" s="97" t="s">
        <v>14794</v>
      </c>
      <c r="B116" s="98" t="s">
        <v>14804</v>
      </c>
      <c r="C116" s="98">
        <v>3</v>
      </c>
      <c r="D116" s="98">
        <f>1.3+0.4</f>
        <v>1.7000000000000002</v>
      </c>
      <c r="E116" s="98">
        <f>1.4+0.4</f>
        <v>1.7999999999999998</v>
      </c>
      <c r="F116" s="98">
        <v>2.0499999999999998</v>
      </c>
      <c r="G116" s="98"/>
      <c r="H116" s="98">
        <f t="shared" si="7"/>
        <v>18.818999999999999</v>
      </c>
    </row>
    <row r="117" spans="1:8" ht="15" customHeight="1">
      <c r="A117" s="232" t="s">
        <v>14416</v>
      </c>
      <c r="B117" s="229"/>
      <c r="C117" s="229"/>
      <c r="D117" s="230"/>
      <c r="E117" s="229"/>
      <c r="F117" s="230"/>
      <c r="G117" s="229"/>
      <c r="H117" s="231"/>
    </row>
    <row r="118" spans="1:8" ht="15" customHeight="1">
      <c r="A118" s="97" t="s">
        <v>14329</v>
      </c>
      <c r="B118" s="98" t="s">
        <v>14575</v>
      </c>
      <c r="C118" s="98">
        <v>1</v>
      </c>
      <c r="D118" s="98">
        <f>0.15+0.4</f>
        <v>0.55000000000000004</v>
      </c>
      <c r="E118" s="98">
        <f>5.5*2+1.5+3.25+4.45</f>
        <v>20.2</v>
      </c>
      <c r="F118" s="98">
        <v>0.45</v>
      </c>
      <c r="G118" s="98"/>
      <c r="H118" s="98">
        <f>C118*D118*E118*F118</f>
        <v>4.9995000000000003</v>
      </c>
    </row>
    <row r="119" spans="1:8" ht="15" customHeight="1">
      <c r="A119" s="97" t="s">
        <v>14482</v>
      </c>
      <c r="B119" s="98" t="s">
        <v>14574</v>
      </c>
      <c r="C119" s="98">
        <v>1</v>
      </c>
      <c r="D119" s="98">
        <f>0.2+0.4</f>
        <v>0.60000000000000009</v>
      </c>
      <c r="E119" s="98">
        <f>4.11+3.94*2</f>
        <v>11.99</v>
      </c>
      <c r="F119" s="98">
        <v>0.45</v>
      </c>
      <c r="G119" s="98"/>
      <c r="H119" s="98">
        <f>C119*D119*E119*F119</f>
        <v>3.2373000000000003</v>
      </c>
    </row>
    <row r="120" spans="1:8" ht="15" customHeight="1">
      <c r="A120" s="97" t="s">
        <v>14483</v>
      </c>
      <c r="B120" s="98" t="s">
        <v>14806</v>
      </c>
      <c r="C120" s="98">
        <v>1</v>
      </c>
      <c r="D120" s="98">
        <f>0.2+0.4</f>
        <v>0.60000000000000009</v>
      </c>
      <c r="E120" s="98">
        <f>3.56+4.52+0.56</f>
        <v>8.64</v>
      </c>
      <c r="F120" s="98">
        <v>0.85</v>
      </c>
      <c r="G120" s="98"/>
      <c r="H120" s="98">
        <f>C120*D120*E120*F120</f>
        <v>4.4064000000000005</v>
      </c>
    </row>
    <row r="121" spans="1:8" ht="15" customHeight="1">
      <c r="A121" s="97" t="s">
        <v>14481</v>
      </c>
      <c r="B121" s="98" t="s">
        <v>14805</v>
      </c>
      <c r="C121" s="98">
        <v>1</v>
      </c>
      <c r="D121" s="98">
        <f>0.15+0.4</f>
        <v>0.55000000000000004</v>
      </c>
      <c r="E121" s="98">
        <f>5.7*6+1.2</f>
        <v>35.400000000000006</v>
      </c>
      <c r="F121" s="98">
        <v>0.55000000000000004</v>
      </c>
      <c r="G121" s="98"/>
      <c r="H121" s="98">
        <f t="shared" ref="H121:H123" si="9">C121*D121*E121*F121</f>
        <v>10.708500000000004</v>
      </c>
    </row>
    <row r="122" spans="1:8" ht="15" customHeight="1">
      <c r="A122" s="97" t="s">
        <v>14641</v>
      </c>
      <c r="B122" s="98" t="s">
        <v>14575</v>
      </c>
      <c r="C122" s="98">
        <v>1</v>
      </c>
      <c r="D122" s="98">
        <f>0.15+0.4</f>
        <v>0.55000000000000004</v>
      </c>
      <c r="E122" s="98">
        <v>4.3499999999999996</v>
      </c>
      <c r="F122" s="98">
        <v>0.45</v>
      </c>
      <c r="G122" s="98"/>
      <c r="H122" s="98">
        <f t="shared" si="9"/>
        <v>1.0766250000000002</v>
      </c>
    </row>
    <row r="123" spans="1:8" ht="15" customHeight="1">
      <c r="A123" s="97" t="s">
        <v>14642</v>
      </c>
      <c r="B123" s="98" t="s">
        <v>14805</v>
      </c>
      <c r="C123" s="98">
        <v>1</v>
      </c>
      <c r="D123" s="98">
        <f>0.15+0.4</f>
        <v>0.55000000000000004</v>
      </c>
      <c r="E123" s="98">
        <f>5.7*5</f>
        <v>28.5</v>
      </c>
      <c r="F123" s="98">
        <v>0.55000000000000004</v>
      </c>
      <c r="G123" s="98"/>
      <c r="H123" s="98">
        <f t="shared" si="9"/>
        <v>8.6212500000000016</v>
      </c>
    </row>
    <row r="124" spans="1:8" ht="15" customHeight="1">
      <c r="A124" s="97" t="s">
        <v>14643</v>
      </c>
      <c r="B124" s="98" t="s">
        <v>14807</v>
      </c>
      <c r="C124" s="98">
        <v>1</v>
      </c>
      <c r="D124" s="98">
        <f>0.15+0.4</f>
        <v>0.55000000000000004</v>
      </c>
      <c r="E124" s="98">
        <f>5.7*2</f>
        <v>11.4</v>
      </c>
      <c r="F124" s="98">
        <v>0.85</v>
      </c>
      <c r="G124" s="98"/>
      <c r="H124" s="98">
        <f>C124*D124*E124*F124</f>
        <v>5.3295000000000003</v>
      </c>
    </row>
    <row r="125" spans="1:8" ht="15" customHeight="1">
      <c r="A125" s="97" t="s">
        <v>14644</v>
      </c>
      <c r="B125" s="98" t="s">
        <v>14805</v>
      </c>
      <c r="C125" s="98">
        <v>1</v>
      </c>
      <c r="D125" s="98">
        <f>0.15+0.4</f>
        <v>0.55000000000000004</v>
      </c>
      <c r="E125" s="98">
        <f>5.85*4</f>
        <v>23.4</v>
      </c>
      <c r="F125" s="98">
        <v>0.55000000000000004</v>
      </c>
      <c r="G125" s="98"/>
      <c r="H125" s="98">
        <f>C125*D125*E125*F125</f>
        <v>7.0785000000000009</v>
      </c>
    </row>
    <row r="126" spans="1:8" ht="15" customHeight="1">
      <c r="A126" s="97" t="s">
        <v>14645</v>
      </c>
      <c r="B126" s="98" t="s">
        <v>14575</v>
      </c>
      <c r="C126" s="98">
        <v>4</v>
      </c>
      <c r="D126" s="98">
        <f t="shared" ref="D126:D128" si="10">0.15+0.4</f>
        <v>0.55000000000000004</v>
      </c>
      <c r="E126" s="98">
        <f>3.5</f>
        <v>3.5</v>
      </c>
      <c r="F126" s="98">
        <v>0.45</v>
      </c>
      <c r="G126" s="98"/>
      <c r="H126" s="98">
        <f t="shared" ref="H126:H128" si="11">C126*D126*E126*F126</f>
        <v>3.4650000000000007</v>
      </c>
    </row>
    <row r="127" spans="1:8" ht="15" customHeight="1">
      <c r="A127" s="97" t="s">
        <v>14646</v>
      </c>
      <c r="B127" s="98" t="s">
        <v>14575</v>
      </c>
      <c r="C127" s="98">
        <v>1</v>
      </c>
      <c r="D127" s="98">
        <f t="shared" si="10"/>
        <v>0.55000000000000004</v>
      </c>
      <c r="E127" s="98">
        <v>3.08</v>
      </c>
      <c r="F127" s="98">
        <v>0.45</v>
      </c>
      <c r="G127" s="98"/>
      <c r="H127" s="98">
        <f t="shared" ref="H127" si="12">C127*D127*E127*F127</f>
        <v>0.76230000000000009</v>
      </c>
    </row>
    <row r="128" spans="1:8" ht="15" customHeight="1">
      <c r="A128" s="97" t="s">
        <v>14647</v>
      </c>
      <c r="B128" s="98" t="s">
        <v>14807</v>
      </c>
      <c r="C128" s="98">
        <v>1</v>
      </c>
      <c r="D128" s="98">
        <f t="shared" si="10"/>
        <v>0.55000000000000004</v>
      </c>
      <c r="E128" s="98">
        <f>5.85*3+4.25+1.3</f>
        <v>23.099999999999998</v>
      </c>
      <c r="F128" s="98">
        <v>0.85</v>
      </c>
      <c r="G128" s="98"/>
      <c r="H128" s="98">
        <f t="shared" si="11"/>
        <v>10.799249999999999</v>
      </c>
    </row>
    <row r="129" spans="1:8" ht="15" customHeight="1">
      <c r="A129" s="232" t="s">
        <v>14417</v>
      </c>
      <c r="B129" s="229"/>
      <c r="C129" s="229"/>
      <c r="D129" s="230"/>
      <c r="E129" s="229"/>
      <c r="F129" s="230"/>
      <c r="G129" s="229"/>
      <c r="H129" s="231"/>
    </row>
    <row r="130" spans="1:8" ht="15" customHeight="1">
      <c r="A130" s="204" t="s">
        <v>14418</v>
      </c>
      <c r="B130" s="98" t="s">
        <v>14808</v>
      </c>
      <c r="C130" s="98">
        <v>1</v>
      </c>
      <c r="D130" s="98">
        <f>0.6+0.4</f>
        <v>1</v>
      </c>
      <c r="E130" s="98">
        <v>10.96</v>
      </c>
      <c r="F130" s="98">
        <v>0.4</v>
      </c>
      <c r="G130" s="98"/>
      <c r="H130" s="98">
        <f>C130*D130*E130*F130</f>
        <v>4.3840000000000003</v>
      </c>
    </row>
    <row r="131" spans="1:8" ht="15" customHeight="1">
      <c r="A131" s="97" t="s">
        <v>14311</v>
      </c>
      <c r="B131" s="98" t="s">
        <v>14808</v>
      </c>
      <c r="C131" s="98">
        <v>1</v>
      </c>
      <c r="D131" s="98">
        <f>0.6+0.4</f>
        <v>1</v>
      </c>
      <c r="E131" s="98">
        <v>6.03</v>
      </c>
      <c r="F131" s="98">
        <v>0.4</v>
      </c>
      <c r="G131" s="98"/>
      <c r="H131" s="98">
        <f t="shared" ref="H131:H133" si="13">C131*D131*E131*F131</f>
        <v>2.4120000000000004</v>
      </c>
    </row>
    <row r="132" spans="1:8" ht="15" customHeight="1">
      <c r="A132" s="97" t="s">
        <v>14319</v>
      </c>
      <c r="B132" s="98" t="s">
        <v>14808</v>
      </c>
      <c r="C132" s="98">
        <v>1</v>
      </c>
      <c r="D132" s="98">
        <f>0.6+0.4</f>
        <v>1</v>
      </c>
      <c r="E132" s="98">
        <v>34.11</v>
      </c>
      <c r="F132" s="98">
        <v>0.45</v>
      </c>
      <c r="G132" s="98"/>
      <c r="H132" s="98">
        <f t="shared" si="13"/>
        <v>15.349500000000001</v>
      </c>
    </row>
    <row r="133" spans="1:8" ht="15" customHeight="1">
      <c r="A133" s="97" t="s">
        <v>14925</v>
      </c>
      <c r="B133" s="98" t="s">
        <v>14915</v>
      </c>
      <c r="C133" s="98">
        <v>1</v>
      </c>
      <c r="D133" s="98">
        <f>0.4+0.4</f>
        <v>0.8</v>
      </c>
      <c r="E133" s="98">
        <v>3.56</v>
      </c>
      <c r="F133" s="98">
        <v>0.4</v>
      </c>
      <c r="G133" s="98"/>
      <c r="H133" s="98">
        <f t="shared" si="13"/>
        <v>1.1392000000000002</v>
      </c>
    </row>
    <row r="134" spans="1:8" ht="15" customHeight="1">
      <c r="A134" s="97" t="s">
        <v>14914</v>
      </c>
      <c r="B134" s="98" t="s">
        <v>14915</v>
      </c>
      <c r="C134" s="98">
        <v>2</v>
      </c>
      <c r="D134" s="98">
        <f>0.4+0.4</f>
        <v>0.8</v>
      </c>
      <c r="E134" s="98">
        <v>12.26</v>
      </c>
      <c r="F134" s="98">
        <v>0.4</v>
      </c>
      <c r="G134" s="98"/>
      <c r="H134" s="98">
        <f t="shared" ref="H134" si="14">C134*D134*E134*F134</f>
        <v>7.8464</v>
      </c>
    </row>
    <row r="135" spans="1:8" ht="30" customHeight="1">
      <c r="A135" s="376" t="s">
        <v>14943</v>
      </c>
      <c r="B135" s="379"/>
      <c r="C135" s="379"/>
      <c r="D135" s="379"/>
      <c r="E135" s="379"/>
      <c r="F135" s="379"/>
      <c r="G135" s="379"/>
      <c r="H135" s="380"/>
    </row>
    <row r="136" spans="1:8" s="93" customFormat="1" ht="15" customHeight="1">
      <c r="A136" s="91" t="s">
        <v>14211</v>
      </c>
      <c r="B136" s="364" t="str">
        <f>VLOOKUP($A136,SERVICOS,4,FALSE)</f>
        <v>Apiloamento Do Fundo De Vala Com Maço De 30 A 60Kg</v>
      </c>
      <c r="C136" s="365"/>
      <c r="D136" s="365"/>
      <c r="E136" s="365"/>
      <c r="F136" s="366"/>
      <c r="G136" s="91" t="str">
        <f>VLOOKUP($A136,SERVICOS,5,FALSE)</f>
        <v>m2</v>
      </c>
      <c r="H136" s="92">
        <f>ROUND(SUM(H139:H164),2)</f>
        <v>280.58999999999997</v>
      </c>
    </row>
    <row r="137" spans="1:8" ht="25.5">
      <c r="A137" s="94" t="s">
        <v>938</v>
      </c>
      <c r="B137" s="95" t="s">
        <v>14480</v>
      </c>
      <c r="C137" s="94" t="s">
        <v>7319</v>
      </c>
      <c r="D137" s="95" t="s">
        <v>14191</v>
      </c>
      <c r="E137" s="94" t="s">
        <v>7320</v>
      </c>
      <c r="F137" s="95"/>
      <c r="G137" s="94"/>
      <c r="H137" s="96"/>
    </row>
    <row r="138" spans="1:8" ht="15" customHeight="1">
      <c r="A138" s="232" t="str">
        <f t="shared" ref="A138:A148" si="15">A108</f>
        <v>SAPATAS:</v>
      </c>
      <c r="B138" s="229"/>
      <c r="C138" s="229"/>
      <c r="D138" s="230"/>
      <c r="E138" s="229"/>
      <c r="F138" s="230"/>
      <c r="G138" s="229"/>
      <c r="H138" s="231"/>
    </row>
    <row r="139" spans="1:8" ht="15" customHeight="1">
      <c r="A139" s="97" t="str">
        <f t="shared" si="15"/>
        <v>S1=S2</v>
      </c>
      <c r="B139" s="224" t="str">
        <f t="shared" ref="B139:E139" si="16">B109</f>
        <v>100x100</v>
      </c>
      <c r="C139" s="224">
        <f t="shared" si="16"/>
        <v>2</v>
      </c>
      <c r="D139" s="224">
        <f t="shared" si="16"/>
        <v>1.4</v>
      </c>
      <c r="E139" s="224">
        <f t="shared" si="16"/>
        <v>1.4</v>
      </c>
      <c r="F139" s="98"/>
      <c r="G139" s="98"/>
      <c r="H139" s="98">
        <f>C139*D139*E139</f>
        <v>3.9199999999999995</v>
      </c>
    </row>
    <row r="140" spans="1:8" ht="15" customHeight="1">
      <c r="A140" s="97" t="str">
        <f t="shared" si="15"/>
        <v>S3=S19=S20=S21</v>
      </c>
      <c r="B140" s="224" t="str">
        <f t="shared" ref="B140:E140" si="17">B110</f>
        <v>80x80</v>
      </c>
      <c r="C140" s="224">
        <f t="shared" si="17"/>
        <v>4</v>
      </c>
      <c r="D140" s="224">
        <f t="shared" si="17"/>
        <v>1.2000000000000002</v>
      </c>
      <c r="E140" s="224">
        <f t="shared" si="17"/>
        <v>1.2000000000000002</v>
      </c>
      <c r="F140" s="98"/>
      <c r="G140" s="98"/>
      <c r="H140" s="98">
        <f t="shared" ref="H140:H164" si="18">C140*D140*E140</f>
        <v>5.7600000000000016</v>
      </c>
    </row>
    <row r="141" spans="1:8" ht="15" customHeight="1">
      <c r="A141" s="97" t="str">
        <f t="shared" si="15"/>
        <v>S4=S5=S6</v>
      </c>
      <c r="B141" s="224" t="str">
        <f t="shared" ref="B141:E141" si="19">B111</f>
        <v>100x80</v>
      </c>
      <c r="C141" s="224">
        <f t="shared" si="19"/>
        <v>3</v>
      </c>
      <c r="D141" s="224">
        <f t="shared" si="19"/>
        <v>1.4</v>
      </c>
      <c r="E141" s="224">
        <f t="shared" si="19"/>
        <v>1.2000000000000002</v>
      </c>
      <c r="F141" s="98"/>
      <c r="G141" s="98"/>
      <c r="H141" s="98">
        <f t="shared" si="18"/>
        <v>5.04</v>
      </c>
    </row>
    <row r="142" spans="1:8" ht="15" customHeight="1">
      <c r="A142" s="97" t="str">
        <f t="shared" si="15"/>
        <v>S7=S8=S9=S10</v>
      </c>
      <c r="B142" s="224" t="str">
        <f t="shared" ref="B142:E142" si="20">B112</f>
        <v>80x60</v>
      </c>
      <c r="C142" s="224">
        <f t="shared" si="20"/>
        <v>4</v>
      </c>
      <c r="D142" s="224">
        <f t="shared" si="20"/>
        <v>1.2000000000000002</v>
      </c>
      <c r="E142" s="224">
        <f t="shared" si="20"/>
        <v>1</v>
      </c>
      <c r="F142" s="98"/>
      <c r="G142" s="98"/>
      <c r="H142" s="98">
        <f t="shared" si="18"/>
        <v>4.8000000000000007</v>
      </c>
    </row>
    <row r="143" spans="1:8" ht="25.5">
      <c r="A143" s="204" t="str">
        <f t="shared" si="15"/>
        <v>S11=S12=S13=S14=S15=S28=S29=S30=31=S32</v>
      </c>
      <c r="B143" s="224" t="str">
        <f t="shared" ref="B143:E143" si="21">B113</f>
        <v>150x180</v>
      </c>
      <c r="C143" s="224">
        <f t="shared" si="21"/>
        <v>10</v>
      </c>
      <c r="D143" s="224">
        <f t="shared" si="21"/>
        <v>1.9</v>
      </c>
      <c r="E143" s="224">
        <f t="shared" si="21"/>
        <v>2.2000000000000002</v>
      </c>
      <c r="F143" s="98"/>
      <c r="G143" s="98"/>
      <c r="H143" s="98">
        <f t="shared" ref="H143:H144" si="22">C143*D143*E143</f>
        <v>41.800000000000004</v>
      </c>
    </row>
    <row r="144" spans="1:8" ht="15" customHeight="1">
      <c r="A144" s="97" t="str">
        <f t="shared" si="15"/>
        <v>S16=S17=S18=S33=S34=S35</v>
      </c>
      <c r="B144" s="224" t="str">
        <f t="shared" ref="B144:E144" si="23">B114</f>
        <v>150x180</v>
      </c>
      <c r="C144" s="224">
        <f t="shared" si="23"/>
        <v>6</v>
      </c>
      <c r="D144" s="224">
        <f t="shared" si="23"/>
        <v>1.9</v>
      </c>
      <c r="E144" s="224">
        <f t="shared" si="23"/>
        <v>2.2000000000000002</v>
      </c>
      <c r="F144" s="98"/>
      <c r="G144" s="98"/>
      <c r="H144" s="98">
        <f t="shared" si="22"/>
        <v>25.08</v>
      </c>
    </row>
    <row r="145" spans="1:8" ht="15" customHeight="1">
      <c r="A145" s="97" t="str">
        <f t="shared" si="15"/>
        <v>S22=S24=S26</v>
      </c>
      <c r="B145" s="224" t="str">
        <f t="shared" ref="B145:E145" si="24">B115</f>
        <v>130x140</v>
      </c>
      <c r="C145" s="224">
        <f t="shared" si="24"/>
        <v>3</v>
      </c>
      <c r="D145" s="224">
        <f t="shared" si="24"/>
        <v>1.7000000000000002</v>
      </c>
      <c r="E145" s="224">
        <f t="shared" si="24"/>
        <v>1.7999999999999998</v>
      </c>
      <c r="F145" s="98"/>
      <c r="G145" s="98"/>
      <c r="H145" s="98">
        <f t="shared" si="18"/>
        <v>9.18</v>
      </c>
    </row>
    <row r="146" spans="1:8" ht="15" customHeight="1">
      <c r="A146" s="97" t="str">
        <f t="shared" si="15"/>
        <v>S23=S25=S27</v>
      </c>
      <c r="B146" s="224" t="str">
        <f t="shared" ref="B146:E146" si="25">B116</f>
        <v>130x140</v>
      </c>
      <c r="C146" s="224">
        <f t="shared" si="25"/>
        <v>3</v>
      </c>
      <c r="D146" s="224">
        <f t="shared" si="25"/>
        <v>1.7000000000000002</v>
      </c>
      <c r="E146" s="224">
        <f t="shared" si="25"/>
        <v>1.7999999999999998</v>
      </c>
      <c r="F146" s="98"/>
      <c r="G146" s="98"/>
      <c r="H146" s="98">
        <f t="shared" si="18"/>
        <v>9.18</v>
      </c>
    </row>
    <row r="147" spans="1:8" ht="15" customHeight="1">
      <c r="A147" s="284" t="str">
        <f t="shared" si="15"/>
        <v>CINTAS:</v>
      </c>
      <c r="B147" s="229"/>
      <c r="C147" s="229"/>
      <c r="D147" s="230"/>
      <c r="E147" s="229"/>
      <c r="F147" s="230"/>
      <c r="G147" s="229"/>
      <c r="H147" s="231"/>
    </row>
    <row r="148" spans="1:8" ht="15" customHeight="1">
      <c r="A148" s="204" t="str">
        <f t="shared" si="15"/>
        <v>V1</v>
      </c>
      <c r="B148" s="301" t="str">
        <f t="shared" ref="B148:E148" si="26">B118</f>
        <v>15x40</v>
      </c>
      <c r="C148" s="301">
        <f t="shared" si="26"/>
        <v>1</v>
      </c>
      <c r="D148" s="301">
        <f t="shared" si="26"/>
        <v>0.55000000000000004</v>
      </c>
      <c r="E148" s="301">
        <f t="shared" si="26"/>
        <v>20.2</v>
      </c>
      <c r="F148" s="98"/>
      <c r="G148" s="98"/>
      <c r="H148" s="98">
        <f t="shared" ref="H148" si="27">C148*D148*E148</f>
        <v>11.110000000000001</v>
      </c>
    </row>
    <row r="149" spans="1:8" ht="15" customHeight="1">
      <c r="A149" s="204" t="str">
        <f t="shared" ref="A149:E149" si="28">A119</f>
        <v>V2-A</v>
      </c>
      <c r="B149" s="301" t="str">
        <f t="shared" si="28"/>
        <v>20x40</v>
      </c>
      <c r="C149" s="301">
        <f t="shared" si="28"/>
        <v>1</v>
      </c>
      <c r="D149" s="301">
        <f t="shared" si="28"/>
        <v>0.60000000000000009</v>
      </c>
      <c r="E149" s="301">
        <f t="shared" si="28"/>
        <v>11.99</v>
      </c>
      <c r="F149" s="98"/>
      <c r="G149" s="98"/>
      <c r="H149" s="98">
        <f t="shared" ref="H149:H153" si="29">C149*D149*E149</f>
        <v>7.1940000000000008</v>
      </c>
    </row>
    <row r="150" spans="1:8" ht="15" customHeight="1">
      <c r="A150" s="204" t="str">
        <f t="shared" ref="A150:E150" si="30">A120</f>
        <v>V2-B</v>
      </c>
      <c r="B150" s="301" t="str">
        <f t="shared" si="30"/>
        <v>20x80</v>
      </c>
      <c r="C150" s="301">
        <f t="shared" si="30"/>
        <v>1</v>
      </c>
      <c r="D150" s="301">
        <f t="shared" si="30"/>
        <v>0.60000000000000009</v>
      </c>
      <c r="E150" s="301">
        <f t="shared" si="30"/>
        <v>8.64</v>
      </c>
      <c r="F150" s="98"/>
      <c r="G150" s="98"/>
      <c r="H150" s="98">
        <f t="shared" si="29"/>
        <v>5.1840000000000011</v>
      </c>
    </row>
    <row r="151" spans="1:8" ht="15" customHeight="1">
      <c r="A151" s="204" t="str">
        <f t="shared" ref="A151:E151" si="31">A121</f>
        <v>V3</v>
      </c>
      <c r="B151" s="301" t="str">
        <f t="shared" si="31"/>
        <v>15x50</v>
      </c>
      <c r="C151" s="301">
        <f t="shared" si="31"/>
        <v>1</v>
      </c>
      <c r="D151" s="301">
        <f t="shared" si="31"/>
        <v>0.55000000000000004</v>
      </c>
      <c r="E151" s="301">
        <f t="shared" si="31"/>
        <v>35.400000000000006</v>
      </c>
      <c r="F151" s="98"/>
      <c r="G151" s="98"/>
      <c r="H151" s="98">
        <f t="shared" si="29"/>
        <v>19.470000000000006</v>
      </c>
    </row>
    <row r="152" spans="1:8" ht="15" customHeight="1">
      <c r="A152" s="204" t="str">
        <f t="shared" ref="A152:E152" si="32">A122</f>
        <v>V4</v>
      </c>
      <c r="B152" s="301" t="str">
        <f t="shared" si="32"/>
        <v>15x40</v>
      </c>
      <c r="C152" s="301">
        <f t="shared" si="32"/>
        <v>1</v>
      </c>
      <c r="D152" s="301">
        <f t="shared" si="32"/>
        <v>0.55000000000000004</v>
      </c>
      <c r="E152" s="301">
        <f t="shared" si="32"/>
        <v>4.3499999999999996</v>
      </c>
      <c r="F152" s="98"/>
      <c r="G152" s="98"/>
      <c r="H152" s="98">
        <f t="shared" si="29"/>
        <v>2.3925000000000001</v>
      </c>
    </row>
    <row r="153" spans="1:8" ht="15" customHeight="1">
      <c r="A153" s="204" t="str">
        <f t="shared" ref="A153:E153" si="33">A123</f>
        <v>V5-A</v>
      </c>
      <c r="B153" s="301" t="str">
        <f t="shared" si="33"/>
        <v>15x50</v>
      </c>
      <c r="C153" s="301">
        <f t="shared" si="33"/>
        <v>1</v>
      </c>
      <c r="D153" s="301">
        <f t="shared" si="33"/>
        <v>0.55000000000000004</v>
      </c>
      <c r="E153" s="301">
        <f t="shared" si="33"/>
        <v>28.5</v>
      </c>
      <c r="F153" s="98"/>
      <c r="G153" s="98"/>
      <c r="H153" s="98">
        <f t="shared" si="29"/>
        <v>15.675000000000001</v>
      </c>
    </row>
    <row r="154" spans="1:8" ht="15" customHeight="1">
      <c r="A154" s="204" t="str">
        <f t="shared" ref="A154:E154" si="34">A124</f>
        <v>V5-B</v>
      </c>
      <c r="B154" s="301" t="str">
        <f t="shared" si="34"/>
        <v>15x80</v>
      </c>
      <c r="C154" s="301">
        <f t="shared" si="34"/>
        <v>1</v>
      </c>
      <c r="D154" s="301">
        <f t="shared" si="34"/>
        <v>0.55000000000000004</v>
      </c>
      <c r="E154" s="301">
        <f t="shared" si="34"/>
        <v>11.4</v>
      </c>
      <c r="F154" s="98"/>
      <c r="G154" s="98"/>
      <c r="H154" s="98">
        <f t="shared" si="18"/>
        <v>6.2700000000000005</v>
      </c>
    </row>
    <row r="155" spans="1:8" ht="15" customHeight="1">
      <c r="A155" s="204" t="str">
        <f t="shared" ref="A155:E155" si="35">A125</f>
        <v>V6</v>
      </c>
      <c r="B155" s="301" t="str">
        <f t="shared" si="35"/>
        <v>15x50</v>
      </c>
      <c r="C155" s="301">
        <f t="shared" si="35"/>
        <v>1</v>
      </c>
      <c r="D155" s="301">
        <f t="shared" si="35"/>
        <v>0.55000000000000004</v>
      </c>
      <c r="E155" s="301">
        <f t="shared" si="35"/>
        <v>23.4</v>
      </c>
      <c r="F155" s="98"/>
      <c r="G155" s="98"/>
      <c r="H155" s="98">
        <f t="shared" ref="H155:H156" si="36">C155*D155*E155</f>
        <v>12.870000000000001</v>
      </c>
    </row>
    <row r="156" spans="1:8" ht="15" customHeight="1">
      <c r="A156" s="204" t="str">
        <f t="shared" ref="A156:E156" si="37">A126</f>
        <v>V7=V8=V9=V10</v>
      </c>
      <c r="B156" s="301" t="str">
        <f t="shared" si="37"/>
        <v>15x40</v>
      </c>
      <c r="C156" s="301">
        <f t="shared" si="37"/>
        <v>4</v>
      </c>
      <c r="D156" s="301">
        <f t="shared" si="37"/>
        <v>0.55000000000000004</v>
      </c>
      <c r="E156" s="301">
        <f t="shared" si="37"/>
        <v>3.5</v>
      </c>
      <c r="F156" s="98"/>
      <c r="G156" s="98"/>
      <c r="H156" s="98">
        <f t="shared" si="36"/>
        <v>7.7000000000000011</v>
      </c>
    </row>
    <row r="157" spans="1:8" ht="15" customHeight="1">
      <c r="A157" s="204" t="str">
        <f t="shared" ref="A157:E157" si="38">A127</f>
        <v>V11</v>
      </c>
      <c r="B157" s="301" t="str">
        <f t="shared" si="38"/>
        <v>15x40</v>
      </c>
      <c r="C157" s="301">
        <f t="shared" si="38"/>
        <v>1</v>
      </c>
      <c r="D157" s="301">
        <f t="shared" si="38"/>
        <v>0.55000000000000004</v>
      </c>
      <c r="E157" s="301">
        <f t="shared" si="38"/>
        <v>3.08</v>
      </c>
      <c r="F157" s="98"/>
      <c r="G157" s="98"/>
      <c r="H157" s="98">
        <f t="shared" si="18"/>
        <v>1.6940000000000002</v>
      </c>
    </row>
    <row r="158" spans="1:8" ht="15" customHeight="1">
      <c r="A158" s="204" t="str">
        <f t="shared" ref="A158:E158" si="39">A128</f>
        <v>V12</v>
      </c>
      <c r="B158" s="301" t="str">
        <f t="shared" si="39"/>
        <v>15x80</v>
      </c>
      <c r="C158" s="301">
        <f t="shared" si="39"/>
        <v>1</v>
      </c>
      <c r="D158" s="301">
        <f t="shared" si="39"/>
        <v>0.55000000000000004</v>
      </c>
      <c r="E158" s="301">
        <f t="shared" si="39"/>
        <v>23.099999999999998</v>
      </c>
      <c r="F158" s="98"/>
      <c r="G158" s="98"/>
      <c r="H158" s="98">
        <f t="shared" si="18"/>
        <v>12.705</v>
      </c>
    </row>
    <row r="159" spans="1:8" ht="15" customHeight="1">
      <c r="A159" s="284" t="str">
        <f t="shared" ref="A159:A164" si="40">A129</f>
        <v>SAPATA CORRIDA:</v>
      </c>
      <c r="B159" s="229"/>
      <c r="C159" s="229"/>
      <c r="D159" s="230"/>
      <c r="E159" s="229"/>
      <c r="F159" s="230"/>
      <c r="G159" s="229"/>
      <c r="H159" s="98"/>
    </row>
    <row r="160" spans="1:8" ht="15" customHeight="1">
      <c r="A160" s="97" t="str">
        <f t="shared" si="40"/>
        <v>Vestiários</v>
      </c>
      <c r="B160" s="224" t="str">
        <f t="shared" ref="B160:E160" si="41">B130</f>
        <v>60x15</v>
      </c>
      <c r="C160" s="224">
        <f t="shared" si="41"/>
        <v>1</v>
      </c>
      <c r="D160" s="224">
        <f t="shared" si="41"/>
        <v>1</v>
      </c>
      <c r="E160" s="224">
        <f t="shared" si="41"/>
        <v>10.96</v>
      </c>
      <c r="F160" s="98"/>
      <c r="G160" s="98"/>
      <c r="H160" s="98">
        <f t="shared" si="18"/>
        <v>10.96</v>
      </c>
    </row>
    <row r="161" spans="1:8" ht="15" customHeight="1">
      <c r="A161" s="97" t="str">
        <f t="shared" si="40"/>
        <v>Sanitário masculino</v>
      </c>
      <c r="B161" s="224" t="str">
        <f t="shared" ref="B161:E161" si="42">B131</f>
        <v>60x15</v>
      </c>
      <c r="C161" s="224">
        <f t="shared" si="42"/>
        <v>1</v>
      </c>
      <c r="D161" s="224">
        <f t="shared" si="42"/>
        <v>1</v>
      </c>
      <c r="E161" s="224">
        <f t="shared" si="42"/>
        <v>6.03</v>
      </c>
      <c r="F161" s="98"/>
      <c r="G161" s="98"/>
      <c r="H161" s="98">
        <f t="shared" si="18"/>
        <v>6.03</v>
      </c>
    </row>
    <row r="162" spans="1:8" ht="15" customHeight="1">
      <c r="A162" s="97" t="str">
        <f t="shared" si="40"/>
        <v>Palco</v>
      </c>
      <c r="B162" s="224" t="str">
        <f t="shared" ref="B162:E164" si="43">B132</f>
        <v>60x15</v>
      </c>
      <c r="C162" s="224">
        <f t="shared" si="43"/>
        <v>1</v>
      </c>
      <c r="D162" s="224">
        <f t="shared" si="43"/>
        <v>1</v>
      </c>
      <c r="E162" s="224">
        <f t="shared" si="43"/>
        <v>34.11</v>
      </c>
      <c r="F162" s="98"/>
      <c r="G162" s="98"/>
      <c r="H162" s="98">
        <f t="shared" ref="H162:H163" si="44">C162*D162*E162</f>
        <v>34.11</v>
      </c>
    </row>
    <row r="163" spans="1:8" ht="15" customHeight="1">
      <c r="A163" s="97" t="str">
        <f t="shared" si="40"/>
        <v>Escada interna</v>
      </c>
      <c r="B163" s="224" t="str">
        <f t="shared" si="43"/>
        <v>40x15</v>
      </c>
      <c r="C163" s="224">
        <f t="shared" si="43"/>
        <v>1</v>
      </c>
      <c r="D163" s="224">
        <f t="shared" si="43"/>
        <v>0.8</v>
      </c>
      <c r="E163" s="224">
        <f t="shared" si="43"/>
        <v>3.56</v>
      </c>
      <c r="F163" s="98"/>
      <c r="G163" s="98"/>
      <c r="H163" s="98">
        <f t="shared" si="44"/>
        <v>2.8480000000000003</v>
      </c>
    </row>
    <row r="164" spans="1:8" ht="15" customHeight="1">
      <c r="A164" s="97" t="str">
        <f t="shared" si="40"/>
        <v>Escada e rampa externa</v>
      </c>
      <c r="B164" s="224" t="str">
        <f t="shared" si="43"/>
        <v>40x15</v>
      </c>
      <c r="C164" s="224">
        <f t="shared" si="43"/>
        <v>2</v>
      </c>
      <c r="D164" s="224">
        <f t="shared" si="43"/>
        <v>0.8</v>
      </c>
      <c r="E164" s="224">
        <f t="shared" si="43"/>
        <v>12.26</v>
      </c>
      <c r="F164" s="98"/>
      <c r="G164" s="98"/>
      <c r="H164" s="98">
        <f t="shared" si="18"/>
        <v>19.616</v>
      </c>
    </row>
    <row r="165" spans="1:8" s="93" customFormat="1" ht="15" customHeight="1">
      <c r="A165" s="91" t="s">
        <v>14414</v>
      </c>
      <c r="B165" s="364" t="str">
        <f>VLOOKUP($A165,SERVICOS,4,FALSE)</f>
        <v>Reaterro Apiloado De Cavas De Fundação, Em Camadas De 20 Cm</v>
      </c>
      <c r="C165" s="365"/>
      <c r="D165" s="365"/>
      <c r="E165" s="365"/>
      <c r="F165" s="366"/>
      <c r="G165" s="91" t="str">
        <f>VLOOKUP($A165,SERVICOS,5,FALSE)</f>
        <v>m3</v>
      </c>
      <c r="H165" s="92">
        <f>ROUND(SUM(H167:H167),2)</f>
        <v>212.78</v>
      </c>
    </row>
    <row r="166" spans="1:8" ht="51">
      <c r="A166" s="94" t="s">
        <v>938</v>
      </c>
      <c r="B166" s="95" t="s">
        <v>14477</v>
      </c>
      <c r="C166" s="95" t="s">
        <v>14933</v>
      </c>
      <c r="D166" s="95" t="s">
        <v>14478</v>
      </c>
      <c r="E166" s="95" t="s">
        <v>14479</v>
      </c>
      <c r="F166" s="95" t="s">
        <v>14932</v>
      </c>
      <c r="G166" s="94"/>
      <c r="H166" s="96"/>
    </row>
    <row r="167" spans="1:8" ht="15" customHeight="1">
      <c r="A167" s="97" t="s">
        <v>13904</v>
      </c>
      <c r="B167" s="99">
        <f>H106</f>
        <v>271.12</v>
      </c>
      <c r="C167" s="98">
        <f>H170+H305</f>
        <v>6.67</v>
      </c>
      <c r="D167" s="98">
        <f>H234</f>
        <v>30.94</v>
      </c>
      <c r="E167" s="98">
        <f>H375</f>
        <v>15.56</v>
      </c>
      <c r="F167" s="98">
        <f>H294</f>
        <v>5.17</v>
      </c>
      <c r="G167" s="98"/>
      <c r="H167" s="98">
        <f>B167-(C167+D167+E167+F167)</f>
        <v>212.78</v>
      </c>
    </row>
    <row r="168" spans="1:8" ht="15" customHeight="1">
      <c r="A168" s="89" t="s">
        <v>7234</v>
      </c>
      <c r="B168" s="367" t="str">
        <f>VLOOKUP($A168,SERVICOS,4,FALSE)</f>
        <v>FUNDAÇÕES E CONTENÇÕES</v>
      </c>
      <c r="C168" s="367"/>
      <c r="D168" s="367"/>
      <c r="E168" s="367"/>
      <c r="F168" s="367"/>
      <c r="G168" s="367">
        <f>VLOOKUP($A168,SERVICOS,5,FALSE)</f>
        <v>0</v>
      </c>
      <c r="H168" s="367" t="e">
        <f>ROUND(SUM(#REF!),2)</f>
        <v>#REF!</v>
      </c>
    </row>
    <row r="169" spans="1:8" ht="15" customHeight="1">
      <c r="A169" s="89" t="s">
        <v>12227</v>
      </c>
      <c r="B169" s="367" t="str">
        <f>VLOOKUP($A169,SERVICOS,4,FALSE)</f>
        <v>SAPATAS</v>
      </c>
      <c r="C169" s="367"/>
      <c r="D169" s="367"/>
      <c r="E169" s="367"/>
      <c r="F169" s="367"/>
      <c r="G169" s="367"/>
      <c r="H169" s="367"/>
    </row>
    <row r="170" spans="1:8" s="93" customFormat="1" ht="45" customHeight="1">
      <c r="A170" s="91" t="s">
        <v>13905</v>
      </c>
      <c r="B170" s="364" t="str">
        <f>VLOOKUP($A170,SERVICOS,4,FALSE)</f>
        <v>Fornecimento, Preparo E Aplicação De Concreto Magro Com Consumo Mínimo De Cimento De 250 Kg/M3 (Brita 1 E 2) - (5% De Perdas Já Incluído No Custo)</v>
      </c>
      <c r="C170" s="365"/>
      <c r="D170" s="365"/>
      <c r="E170" s="365"/>
      <c r="F170" s="366"/>
      <c r="G170" s="91" t="str">
        <f>VLOOKUP($A170,SERVICOS,5,FALSE)</f>
        <v>m3</v>
      </c>
      <c r="H170" s="92">
        <f>ROUND(SUM(H172:H184),2)</f>
        <v>5.24</v>
      </c>
    </row>
    <row r="171" spans="1:8" ht="25.5">
      <c r="A171" s="94" t="s">
        <v>938</v>
      </c>
      <c r="B171" s="95" t="s">
        <v>14480</v>
      </c>
      <c r="C171" s="94" t="s">
        <v>7319</v>
      </c>
      <c r="D171" s="95" t="s">
        <v>14191</v>
      </c>
      <c r="E171" s="94" t="s">
        <v>7320</v>
      </c>
      <c r="F171" s="95" t="s">
        <v>14192</v>
      </c>
      <c r="G171" s="94"/>
      <c r="H171" s="96"/>
    </row>
    <row r="172" spans="1:8" ht="15" customHeight="1">
      <c r="A172" s="232" t="s">
        <v>14325</v>
      </c>
      <c r="B172" s="229"/>
      <c r="C172" s="229"/>
      <c r="D172" s="230"/>
      <c r="E172" s="229"/>
      <c r="F172" s="230"/>
      <c r="G172" s="229"/>
      <c r="H172" s="231"/>
    </row>
    <row r="173" spans="1:8" ht="15" customHeight="1">
      <c r="A173" s="97" t="str">
        <f>A139</f>
        <v>S1=S2</v>
      </c>
      <c r="B173" s="224" t="str">
        <f t="shared" ref="B173:C173" si="45">B139</f>
        <v>100x100</v>
      </c>
      <c r="C173" s="224">
        <f t="shared" si="45"/>
        <v>2</v>
      </c>
      <c r="D173" s="98">
        <v>1</v>
      </c>
      <c r="E173" s="98">
        <v>1</v>
      </c>
      <c r="F173" s="98">
        <v>0.05</v>
      </c>
      <c r="G173" s="98"/>
      <c r="H173" s="98">
        <f>C173*D173*E173*F173</f>
        <v>0.1</v>
      </c>
    </row>
    <row r="174" spans="1:8" ht="15" customHeight="1">
      <c r="A174" s="97" t="str">
        <f>A140</f>
        <v>S3=S19=S20=S21</v>
      </c>
      <c r="B174" s="224" t="str">
        <f t="shared" ref="B174:C176" si="46">B140</f>
        <v>80x80</v>
      </c>
      <c r="C174" s="224">
        <f t="shared" si="46"/>
        <v>4</v>
      </c>
      <c r="D174" s="98">
        <v>0.8</v>
      </c>
      <c r="E174" s="98">
        <v>0.8</v>
      </c>
      <c r="F174" s="98">
        <v>0.05</v>
      </c>
      <c r="G174" s="98"/>
      <c r="H174" s="98">
        <f t="shared" ref="H174:H178" si="47">C174*D174*E174*F174</f>
        <v>0.12800000000000003</v>
      </c>
    </row>
    <row r="175" spans="1:8" ht="15" customHeight="1">
      <c r="A175" s="97" t="str">
        <f>A141</f>
        <v>S4=S5=S6</v>
      </c>
      <c r="B175" s="224" t="str">
        <f t="shared" si="46"/>
        <v>100x80</v>
      </c>
      <c r="C175" s="224">
        <f t="shared" si="46"/>
        <v>3</v>
      </c>
      <c r="D175" s="98">
        <v>1</v>
      </c>
      <c r="E175" s="98">
        <v>0.8</v>
      </c>
      <c r="F175" s="98">
        <v>0.05</v>
      </c>
      <c r="G175" s="98"/>
      <c r="H175" s="98">
        <f t="shared" si="47"/>
        <v>0.12000000000000002</v>
      </c>
    </row>
    <row r="176" spans="1:8" ht="15" customHeight="1">
      <c r="A176" s="97" t="str">
        <f>A142</f>
        <v>S7=S8=S9=S10</v>
      </c>
      <c r="B176" s="224" t="str">
        <f t="shared" si="46"/>
        <v>80x60</v>
      </c>
      <c r="C176" s="224">
        <f t="shared" si="46"/>
        <v>4</v>
      </c>
      <c r="D176" s="98">
        <v>0.8</v>
      </c>
      <c r="E176" s="98">
        <v>0.6</v>
      </c>
      <c r="F176" s="98">
        <v>0.05</v>
      </c>
      <c r="G176" s="98"/>
      <c r="H176" s="98">
        <f t="shared" si="47"/>
        <v>9.6000000000000002E-2</v>
      </c>
    </row>
    <row r="177" spans="1:8" ht="38.25">
      <c r="A177" s="204" t="s">
        <v>14796</v>
      </c>
      <c r="B177" s="224" t="str">
        <f>B143</f>
        <v>150x180</v>
      </c>
      <c r="C177" s="224">
        <v>16</v>
      </c>
      <c r="D177" s="98">
        <v>1.5</v>
      </c>
      <c r="E177" s="98">
        <v>1.8</v>
      </c>
      <c r="F177" s="98">
        <v>0.05</v>
      </c>
      <c r="G177" s="98"/>
      <c r="H177" s="98">
        <f t="shared" ref="H177" si="48">C177*D177*E177*F177</f>
        <v>2.16</v>
      </c>
    </row>
    <row r="178" spans="1:8" ht="15" customHeight="1">
      <c r="A178" s="97" t="s">
        <v>14797</v>
      </c>
      <c r="B178" s="224" t="str">
        <f>B145</f>
        <v>130x140</v>
      </c>
      <c r="C178" s="224">
        <v>6</v>
      </c>
      <c r="D178" s="98">
        <v>1.3</v>
      </c>
      <c r="E178" s="98">
        <v>1.4</v>
      </c>
      <c r="F178" s="98">
        <v>0.05</v>
      </c>
      <c r="G178" s="98"/>
      <c r="H178" s="98">
        <f t="shared" si="47"/>
        <v>0.54600000000000004</v>
      </c>
    </row>
    <row r="179" spans="1:8" ht="15" customHeight="1">
      <c r="A179" s="232" t="s">
        <v>14417</v>
      </c>
      <c r="B179" s="229"/>
      <c r="C179" s="229"/>
      <c r="D179" s="230"/>
      <c r="E179" s="229"/>
      <c r="F179" s="230"/>
      <c r="G179" s="229"/>
      <c r="H179" s="231"/>
    </row>
    <row r="180" spans="1:8" ht="15" customHeight="1">
      <c r="A180" s="204" t="str">
        <f t="shared" ref="A180:C184" si="49">A160</f>
        <v>Vestiários</v>
      </c>
      <c r="B180" s="301" t="str">
        <f t="shared" si="49"/>
        <v>60x15</v>
      </c>
      <c r="C180" s="301">
        <f t="shared" si="49"/>
        <v>1</v>
      </c>
      <c r="D180" s="98">
        <v>0.6</v>
      </c>
      <c r="E180" s="301">
        <f>E160</f>
        <v>10.96</v>
      </c>
      <c r="F180" s="98">
        <v>0.05</v>
      </c>
      <c r="G180" s="98"/>
      <c r="H180" s="98">
        <f>C180*D180*E180*F180</f>
        <v>0.32880000000000004</v>
      </c>
    </row>
    <row r="181" spans="1:8" ht="15" customHeight="1">
      <c r="A181" s="204" t="str">
        <f t="shared" si="49"/>
        <v>Sanitário masculino</v>
      </c>
      <c r="B181" s="301" t="str">
        <f t="shared" si="49"/>
        <v>60x15</v>
      </c>
      <c r="C181" s="301">
        <f t="shared" si="49"/>
        <v>1</v>
      </c>
      <c r="D181" s="98">
        <v>0.6</v>
      </c>
      <c r="E181" s="301">
        <f>E161</f>
        <v>6.03</v>
      </c>
      <c r="F181" s="98">
        <v>0.05</v>
      </c>
      <c r="G181" s="98"/>
      <c r="H181" s="98">
        <f t="shared" ref="H181:H184" si="50">C181*D181*E181*F181</f>
        <v>0.18090000000000001</v>
      </c>
    </row>
    <row r="182" spans="1:8" ht="15" customHeight="1">
      <c r="A182" s="204" t="str">
        <f t="shared" si="49"/>
        <v>Palco</v>
      </c>
      <c r="B182" s="301" t="str">
        <f t="shared" si="49"/>
        <v>60x15</v>
      </c>
      <c r="C182" s="301">
        <f t="shared" si="49"/>
        <v>1</v>
      </c>
      <c r="D182" s="98">
        <v>0.6</v>
      </c>
      <c r="E182" s="301">
        <f>E162</f>
        <v>34.11</v>
      </c>
      <c r="F182" s="98">
        <v>0.05</v>
      </c>
      <c r="G182" s="98"/>
      <c r="H182" s="98">
        <f t="shared" ref="H182:H183" si="51">C182*D182*E182*F182</f>
        <v>1.0232999999999999</v>
      </c>
    </row>
    <row r="183" spans="1:8" ht="15" customHeight="1">
      <c r="A183" s="204" t="str">
        <f t="shared" si="49"/>
        <v>Escada interna</v>
      </c>
      <c r="B183" s="301" t="str">
        <f t="shared" si="49"/>
        <v>40x15</v>
      </c>
      <c r="C183" s="301">
        <f t="shared" si="49"/>
        <v>1</v>
      </c>
      <c r="D183" s="98">
        <v>0.4</v>
      </c>
      <c r="E183" s="301">
        <f>E163</f>
        <v>3.56</v>
      </c>
      <c r="F183" s="98">
        <v>0.05</v>
      </c>
      <c r="G183" s="98"/>
      <c r="H183" s="98">
        <f t="shared" si="51"/>
        <v>7.1200000000000013E-2</v>
      </c>
    </row>
    <row r="184" spans="1:8" ht="15" customHeight="1">
      <c r="A184" s="204" t="str">
        <f t="shared" si="49"/>
        <v>Escada e rampa externa</v>
      </c>
      <c r="B184" s="301" t="str">
        <f t="shared" si="49"/>
        <v>40x15</v>
      </c>
      <c r="C184" s="301">
        <f t="shared" si="49"/>
        <v>2</v>
      </c>
      <c r="D184" s="98">
        <v>0.4</v>
      </c>
      <c r="E184" s="301">
        <f>E164</f>
        <v>12.26</v>
      </c>
      <c r="F184" s="98">
        <v>0.05</v>
      </c>
      <c r="G184" s="98"/>
      <c r="H184" s="98">
        <f t="shared" si="50"/>
        <v>0.4904</v>
      </c>
    </row>
    <row r="185" spans="1:8" s="93" customFormat="1" ht="45" customHeight="1">
      <c r="A185" s="91" t="s">
        <v>13906</v>
      </c>
      <c r="B185" s="364" t="str">
        <f>VLOOKUP($A185,SERVICOS,4,FALSE)</f>
        <v>Fôrma De Tábua De Madeira De 2.5X30.0Cm, Levando-Se Em Conta Utilização 1 Vez (Incluindo O Material, Corte, Montagem, Escoramento E Desforma)</v>
      </c>
      <c r="C185" s="365"/>
      <c r="D185" s="365"/>
      <c r="E185" s="365"/>
      <c r="F185" s="366"/>
      <c r="G185" s="91" t="str">
        <f>VLOOKUP($A185,SERVICOS,5,FALSE)</f>
        <v>m2</v>
      </c>
      <c r="H185" s="92">
        <f>ROUND(SUM(H187:H199),2)</f>
        <v>87.43</v>
      </c>
    </row>
    <row r="186" spans="1:8" ht="25.5">
      <c r="A186" s="94" t="s">
        <v>938</v>
      </c>
      <c r="B186" s="95" t="s">
        <v>14480</v>
      </c>
      <c r="C186" s="94" t="s">
        <v>7319</v>
      </c>
      <c r="D186" s="95" t="s">
        <v>14191</v>
      </c>
      <c r="E186" s="94" t="s">
        <v>7320</v>
      </c>
      <c r="F186" s="95" t="s">
        <v>14192</v>
      </c>
      <c r="G186" s="94"/>
      <c r="H186" s="96"/>
    </row>
    <row r="187" spans="1:8" ht="15" customHeight="1">
      <c r="A187" s="232" t="s">
        <v>14325</v>
      </c>
      <c r="B187" s="229"/>
      <c r="C187" s="229"/>
      <c r="D187" s="230"/>
      <c r="E187" s="229"/>
      <c r="F187" s="230"/>
      <c r="G187" s="229"/>
      <c r="H187" s="231"/>
    </row>
    <row r="188" spans="1:8" ht="15" customHeight="1">
      <c r="A188" s="97" t="str">
        <f t="shared" ref="A188:E193" si="52">A173</f>
        <v>S1=S2</v>
      </c>
      <c r="B188" s="206" t="str">
        <f t="shared" si="52"/>
        <v>100x100</v>
      </c>
      <c r="C188" s="206">
        <f t="shared" si="52"/>
        <v>2</v>
      </c>
      <c r="D188" s="206">
        <f t="shared" si="52"/>
        <v>1</v>
      </c>
      <c r="E188" s="206">
        <f t="shared" si="52"/>
        <v>1</v>
      </c>
      <c r="F188" s="98">
        <v>0.25</v>
      </c>
      <c r="G188" s="98"/>
      <c r="H188" s="98">
        <f>C188*(D188+E188)*2*F188</f>
        <v>2</v>
      </c>
    </row>
    <row r="189" spans="1:8" ht="15" customHeight="1">
      <c r="A189" s="97" t="str">
        <f t="shared" si="52"/>
        <v>S3=S19=S20=S21</v>
      </c>
      <c r="B189" s="206" t="str">
        <f t="shared" si="52"/>
        <v>80x80</v>
      </c>
      <c r="C189" s="206">
        <f t="shared" si="52"/>
        <v>4</v>
      </c>
      <c r="D189" s="206">
        <f t="shared" si="52"/>
        <v>0.8</v>
      </c>
      <c r="E189" s="206">
        <f t="shared" si="52"/>
        <v>0.8</v>
      </c>
      <c r="F189" s="98">
        <v>0.25</v>
      </c>
      <c r="G189" s="98"/>
      <c r="H189" s="98">
        <f t="shared" ref="H189:H193" si="53">C189*(D189+E189)*2*F189</f>
        <v>3.2</v>
      </c>
    </row>
    <row r="190" spans="1:8" ht="15" customHeight="1">
      <c r="A190" s="97" t="str">
        <f t="shared" si="52"/>
        <v>S4=S5=S6</v>
      </c>
      <c r="B190" s="206" t="str">
        <f t="shared" si="52"/>
        <v>100x80</v>
      </c>
      <c r="C190" s="206">
        <f t="shared" si="52"/>
        <v>3</v>
      </c>
      <c r="D190" s="206">
        <f t="shared" si="52"/>
        <v>1</v>
      </c>
      <c r="E190" s="206">
        <f t="shared" si="52"/>
        <v>0.8</v>
      </c>
      <c r="F190" s="98">
        <v>0.25</v>
      </c>
      <c r="G190" s="98"/>
      <c r="H190" s="98">
        <f t="shared" si="53"/>
        <v>2.7</v>
      </c>
    </row>
    <row r="191" spans="1:8" ht="15" customHeight="1">
      <c r="A191" s="97" t="str">
        <f t="shared" si="52"/>
        <v>S7=S8=S9=S10</v>
      </c>
      <c r="B191" s="206" t="str">
        <f t="shared" si="52"/>
        <v>80x60</v>
      </c>
      <c r="C191" s="206">
        <f t="shared" si="52"/>
        <v>4</v>
      </c>
      <c r="D191" s="206">
        <f t="shared" si="52"/>
        <v>0.8</v>
      </c>
      <c r="E191" s="206">
        <f t="shared" si="52"/>
        <v>0.6</v>
      </c>
      <c r="F191" s="98">
        <v>0.25</v>
      </c>
      <c r="G191" s="98"/>
      <c r="H191" s="98">
        <f t="shared" si="53"/>
        <v>2.8</v>
      </c>
    </row>
    <row r="192" spans="1:8" s="302" customFormat="1" ht="38.25">
      <c r="A192" s="204" t="str">
        <f t="shared" si="52"/>
        <v>S11=S12=S13=S14=S15=S16=S17=S18=S28=S29=S30=31=S32=S33=S34=S35</v>
      </c>
      <c r="B192" s="206" t="str">
        <f t="shared" si="52"/>
        <v>150x180</v>
      </c>
      <c r="C192" s="206">
        <f t="shared" si="52"/>
        <v>16</v>
      </c>
      <c r="D192" s="206">
        <f t="shared" si="52"/>
        <v>1.5</v>
      </c>
      <c r="E192" s="206">
        <f t="shared" si="52"/>
        <v>1.8</v>
      </c>
      <c r="F192" s="206">
        <v>0.35</v>
      </c>
      <c r="G192" s="206"/>
      <c r="H192" s="206">
        <f t="shared" ref="H192" si="54">C192*(D192+E192)*2*F192</f>
        <v>36.959999999999994</v>
      </c>
    </row>
    <row r="193" spans="1:8" ht="15" customHeight="1">
      <c r="A193" s="97" t="str">
        <f t="shared" si="52"/>
        <v>S22=S23=S24=S25=S26=S27</v>
      </c>
      <c r="B193" s="206" t="str">
        <f t="shared" si="52"/>
        <v>130x140</v>
      </c>
      <c r="C193" s="206">
        <f t="shared" si="52"/>
        <v>6</v>
      </c>
      <c r="D193" s="206">
        <f t="shared" si="52"/>
        <v>1.3</v>
      </c>
      <c r="E193" s="206">
        <f t="shared" si="52"/>
        <v>1.4</v>
      </c>
      <c r="F193" s="98">
        <v>0.25</v>
      </c>
      <c r="G193" s="98"/>
      <c r="H193" s="98">
        <f t="shared" si="53"/>
        <v>8.1000000000000014</v>
      </c>
    </row>
    <row r="194" spans="1:8" ht="15" customHeight="1">
      <c r="A194" s="232" t="s">
        <v>14417</v>
      </c>
      <c r="B194" s="229"/>
      <c r="C194" s="229"/>
      <c r="D194" s="230"/>
      <c r="E194" s="229"/>
      <c r="F194" s="230"/>
      <c r="G194" s="229"/>
      <c r="H194" s="98"/>
    </row>
    <row r="195" spans="1:8" ht="15" customHeight="1">
      <c r="A195" s="97" t="str">
        <f t="shared" ref="A195:E199" si="55">A180</f>
        <v>Vestiários</v>
      </c>
      <c r="B195" s="206" t="str">
        <f t="shared" si="55"/>
        <v>60x15</v>
      </c>
      <c r="C195" s="206">
        <f t="shared" si="55"/>
        <v>1</v>
      </c>
      <c r="D195" s="206">
        <f t="shared" si="55"/>
        <v>0.6</v>
      </c>
      <c r="E195" s="206">
        <f t="shared" si="55"/>
        <v>10.96</v>
      </c>
      <c r="F195" s="98">
        <v>0.2</v>
      </c>
      <c r="G195" s="98"/>
      <c r="H195" s="98">
        <f>C195*E195*2*F195</f>
        <v>4.3840000000000003</v>
      </c>
    </row>
    <row r="196" spans="1:8" ht="15" customHeight="1">
      <c r="A196" s="97" t="str">
        <f t="shared" si="55"/>
        <v>Sanitário masculino</v>
      </c>
      <c r="B196" s="206" t="str">
        <f t="shared" si="55"/>
        <v>60x15</v>
      </c>
      <c r="C196" s="206">
        <f t="shared" si="55"/>
        <v>1</v>
      </c>
      <c r="D196" s="206">
        <f t="shared" si="55"/>
        <v>0.6</v>
      </c>
      <c r="E196" s="206">
        <f t="shared" si="55"/>
        <v>6.03</v>
      </c>
      <c r="F196" s="98">
        <v>0.2</v>
      </c>
      <c r="G196" s="98"/>
      <c r="H196" s="98">
        <f t="shared" ref="H196:H199" si="56">C196*E196*2*F196</f>
        <v>2.4120000000000004</v>
      </c>
    </row>
    <row r="197" spans="1:8" ht="15" customHeight="1">
      <c r="A197" s="97" t="str">
        <f t="shared" si="55"/>
        <v>Palco</v>
      </c>
      <c r="B197" s="206" t="str">
        <f t="shared" si="55"/>
        <v>60x15</v>
      </c>
      <c r="C197" s="206">
        <f t="shared" si="55"/>
        <v>1</v>
      </c>
      <c r="D197" s="206">
        <f t="shared" si="55"/>
        <v>0.6</v>
      </c>
      <c r="E197" s="206">
        <f t="shared" si="55"/>
        <v>34.11</v>
      </c>
      <c r="F197" s="98">
        <v>0.2</v>
      </c>
      <c r="G197" s="98"/>
      <c r="H197" s="98">
        <f t="shared" si="56"/>
        <v>13.644</v>
      </c>
    </row>
    <row r="198" spans="1:8" ht="15" customHeight="1">
      <c r="A198" s="97" t="str">
        <f t="shared" si="55"/>
        <v>Escada interna</v>
      </c>
      <c r="B198" s="206" t="str">
        <f t="shared" si="55"/>
        <v>40x15</v>
      </c>
      <c r="C198" s="206">
        <f t="shared" si="55"/>
        <v>1</v>
      </c>
      <c r="D198" s="206">
        <f t="shared" si="55"/>
        <v>0.4</v>
      </c>
      <c r="E198" s="206">
        <f t="shared" si="55"/>
        <v>3.56</v>
      </c>
      <c r="F198" s="98">
        <v>0.2</v>
      </c>
      <c r="G198" s="98"/>
      <c r="H198" s="98">
        <f t="shared" si="56"/>
        <v>1.4240000000000002</v>
      </c>
    </row>
    <row r="199" spans="1:8" ht="15" customHeight="1">
      <c r="A199" s="97" t="str">
        <f t="shared" si="55"/>
        <v>Escada e rampa externa</v>
      </c>
      <c r="B199" s="206" t="str">
        <f t="shared" si="55"/>
        <v>40x15</v>
      </c>
      <c r="C199" s="206">
        <f t="shared" si="55"/>
        <v>2</v>
      </c>
      <c r="D199" s="206">
        <f t="shared" si="55"/>
        <v>0.4</v>
      </c>
      <c r="E199" s="206">
        <f t="shared" si="55"/>
        <v>12.26</v>
      </c>
      <c r="F199" s="98">
        <v>0.2</v>
      </c>
      <c r="G199" s="98"/>
      <c r="H199" s="98">
        <f t="shared" si="56"/>
        <v>9.8079999999999998</v>
      </c>
    </row>
    <row r="200" spans="1:8" ht="15" customHeight="1">
      <c r="A200" s="97" t="s">
        <v>14824</v>
      </c>
      <c r="B200" s="303"/>
      <c r="C200" s="304"/>
      <c r="D200" s="304"/>
      <c r="E200" s="304"/>
      <c r="F200" s="238"/>
      <c r="G200" s="98"/>
      <c r="H200" s="98"/>
    </row>
    <row r="201" spans="1:8" s="93" customFormat="1" ht="30" customHeight="1">
      <c r="A201" s="91" t="s">
        <v>13907</v>
      </c>
      <c r="B201" s="364" t="str">
        <f>VLOOKUP($A201,SERVICOS,4,FALSE)</f>
        <v>Fornecimento, Dobragem E Colocação Em Fôrma, De Armadura Ca-50 A Média, Diâmetro De 6.3 A 10.0 Mm</v>
      </c>
      <c r="C201" s="365"/>
      <c r="D201" s="365"/>
      <c r="E201" s="365"/>
      <c r="F201" s="366"/>
      <c r="G201" s="91" t="str">
        <f>VLOOKUP($A201,SERVICOS,5,FALSE)</f>
        <v>kg</v>
      </c>
      <c r="H201" s="92">
        <f>ROUND(SUM(H204:H222),2)</f>
        <v>635.46</v>
      </c>
    </row>
    <row r="202" spans="1:8" ht="25.5">
      <c r="A202" s="94" t="s">
        <v>938</v>
      </c>
      <c r="B202" s="95" t="s">
        <v>14480</v>
      </c>
      <c r="C202" s="95" t="s">
        <v>7319</v>
      </c>
      <c r="D202" s="95" t="s">
        <v>14497</v>
      </c>
      <c r="E202" s="95" t="s">
        <v>7320</v>
      </c>
      <c r="F202" s="94" t="s">
        <v>14485</v>
      </c>
      <c r="G202" s="94" t="s">
        <v>14667</v>
      </c>
      <c r="H202" s="96"/>
    </row>
    <row r="203" spans="1:8" ht="15" customHeight="1">
      <c r="A203" s="232" t="s">
        <v>14325</v>
      </c>
      <c r="B203" s="229"/>
      <c r="C203" s="229"/>
      <c r="D203" s="230"/>
      <c r="E203" s="229"/>
      <c r="F203" s="230"/>
      <c r="G203" s="229"/>
      <c r="H203" s="231"/>
    </row>
    <row r="204" spans="1:8" ht="15" customHeight="1">
      <c r="A204" s="97" t="str">
        <f t="shared" ref="A204:C206" si="57">A188</f>
        <v>S1=S2</v>
      </c>
      <c r="B204" s="206" t="str">
        <f t="shared" si="57"/>
        <v>100x100</v>
      </c>
      <c r="C204" s="206">
        <f t="shared" si="57"/>
        <v>2</v>
      </c>
      <c r="D204" s="98">
        <v>12</v>
      </c>
      <c r="E204" s="98">
        <v>1.1399999999999999</v>
      </c>
      <c r="F204" s="98">
        <v>0.25</v>
      </c>
      <c r="G204" s="98" t="s">
        <v>13922</v>
      </c>
      <c r="H204" s="98">
        <f>C204*D204*E204*F204*1.1</f>
        <v>7.524</v>
      </c>
    </row>
    <row r="205" spans="1:8" ht="15" customHeight="1">
      <c r="A205" s="97" t="str">
        <f t="shared" si="57"/>
        <v>S3=S19=S20=S21</v>
      </c>
      <c r="B205" s="206" t="str">
        <f t="shared" si="57"/>
        <v>80x80</v>
      </c>
      <c r="C205" s="206">
        <f t="shared" si="57"/>
        <v>4</v>
      </c>
      <c r="D205" s="98">
        <v>10</v>
      </c>
      <c r="E205" s="98">
        <v>0.94</v>
      </c>
      <c r="F205" s="98">
        <v>0.25</v>
      </c>
      <c r="G205" s="98" t="s">
        <v>13922</v>
      </c>
      <c r="H205" s="98">
        <f t="shared" ref="H205:H211" si="58">C205*D205*E205*F205*1.1</f>
        <v>10.34</v>
      </c>
    </row>
    <row r="206" spans="1:8" ht="15" customHeight="1">
      <c r="A206" s="97" t="str">
        <f t="shared" si="57"/>
        <v>S4=S5=S6</v>
      </c>
      <c r="B206" s="206" t="str">
        <f t="shared" si="57"/>
        <v>100x80</v>
      </c>
      <c r="C206" s="206">
        <f t="shared" si="57"/>
        <v>3</v>
      </c>
      <c r="D206" s="98">
        <v>5</v>
      </c>
      <c r="E206" s="98">
        <v>1.1399999999999999</v>
      </c>
      <c r="F206" s="98">
        <v>0.25</v>
      </c>
      <c r="G206" s="98" t="s">
        <v>13922</v>
      </c>
      <c r="H206" s="98">
        <f t="shared" si="58"/>
        <v>4.7024999999999997</v>
      </c>
    </row>
    <row r="207" spans="1:8" ht="15" customHeight="1">
      <c r="A207" s="97" t="str">
        <f>A206</f>
        <v>S4=S5=S6</v>
      </c>
      <c r="B207" s="206" t="str">
        <f>B206</f>
        <v>100x80</v>
      </c>
      <c r="C207" s="206">
        <f>C206</f>
        <v>3</v>
      </c>
      <c r="D207" s="98">
        <v>6</v>
      </c>
      <c r="E207" s="98">
        <v>0.94</v>
      </c>
      <c r="F207" s="98">
        <v>0.25</v>
      </c>
      <c r="G207" s="98" t="s">
        <v>13922</v>
      </c>
      <c r="H207" s="98">
        <f t="shared" ref="H207" si="59">C207*D207*E207*F207*1.1</f>
        <v>4.6529999999999996</v>
      </c>
    </row>
    <row r="208" spans="1:8" ht="15" customHeight="1">
      <c r="A208" s="97" t="str">
        <f>A191</f>
        <v>S7=S8=S9=S10</v>
      </c>
      <c r="B208" s="206" t="str">
        <f>B191</f>
        <v>80x60</v>
      </c>
      <c r="C208" s="206">
        <f>C191</f>
        <v>4</v>
      </c>
      <c r="D208" s="98">
        <v>4</v>
      </c>
      <c r="E208" s="98">
        <v>0.94</v>
      </c>
      <c r="F208" s="98">
        <v>0.25</v>
      </c>
      <c r="G208" s="98" t="s">
        <v>13922</v>
      </c>
      <c r="H208" s="98">
        <f t="shared" si="58"/>
        <v>4.1360000000000001</v>
      </c>
    </row>
    <row r="209" spans="1:8" ht="15" customHeight="1">
      <c r="A209" s="97" t="str">
        <f>A208</f>
        <v>S7=S8=S9=S10</v>
      </c>
      <c r="B209" s="206" t="str">
        <f>B208</f>
        <v>80x60</v>
      </c>
      <c r="C209" s="206">
        <f>C208</f>
        <v>4</v>
      </c>
      <c r="D209" s="98">
        <v>5</v>
      </c>
      <c r="E209" s="98">
        <v>0.74</v>
      </c>
      <c r="F209" s="98">
        <v>0.25</v>
      </c>
      <c r="G209" s="98" t="s">
        <v>13922</v>
      </c>
      <c r="H209" s="98">
        <f t="shared" si="58"/>
        <v>4.07</v>
      </c>
    </row>
    <row r="210" spans="1:8" ht="38.25">
      <c r="A210" s="204" t="str">
        <f>A192</f>
        <v>S11=S12=S13=S14=S15=S16=S17=S18=S28=S29=S30=31=S32=S33=S34=S35</v>
      </c>
      <c r="B210" s="206" t="str">
        <f>B192</f>
        <v>150x180</v>
      </c>
      <c r="C210" s="206">
        <v>16</v>
      </c>
      <c r="D210" s="98">
        <v>12</v>
      </c>
      <c r="E210" s="98">
        <v>1.84</v>
      </c>
      <c r="F210" s="98">
        <v>0.4</v>
      </c>
      <c r="G210" s="98" t="s">
        <v>12601</v>
      </c>
      <c r="H210" s="98">
        <f t="shared" si="58"/>
        <v>155.44320000000002</v>
      </c>
    </row>
    <row r="211" spans="1:8" ht="38.25">
      <c r="A211" s="204" t="str">
        <f>A210</f>
        <v>S11=S12=S13=S14=S15=S16=S17=S18=S28=S29=S30=31=S32=S33=S34=S35</v>
      </c>
      <c r="B211" s="206" t="str">
        <f>B210</f>
        <v>150x180</v>
      </c>
      <c r="C211" s="206">
        <f>C210</f>
        <v>16</v>
      </c>
      <c r="D211" s="98">
        <v>10</v>
      </c>
      <c r="E211" s="98">
        <v>2.14</v>
      </c>
      <c r="F211" s="98">
        <v>0.4</v>
      </c>
      <c r="G211" s="98" t="s">
        <v>12601</v>
      </c>
      <c r="H211" s="98">
        <f t="shared" si="58"/>
        <v>150.65600000000003</v>
      </c>
    </row>
    <row r="212" spans="1:8" ht="15" customHeight="1">
      <c r="A212" s="204" t="str">
        <f>A193</f>
        <v>S22=S23=S24=S25=S26=S27</v>
      </c>
      <c r="B212" s="206" t="str">
        <f>B193</f>
        <v>130x140</v>
      </c>
      <c r="C212" s="206">
        <v>6</v>
      </c>
      <c r="D212" s="98">
        <v>8</v>
      </c>
      <c r="E212" s="98">
        <v>1.44</v>
      </c>
      <c r="F212" s="98">
        <v>0.4</v>
      </c>
      <c r="G212" s="98" t="s">
        <v>12601</v>
      </c>
      <c r="H212" s="98">
        <f t="shared" ref="H212" si="60">C212*D212*E212*F212*1.1</f>
        <v>30.412800000000004</v>
      </c>
    </row>
    <row r="213" spans="1:8" ht="15" customHeight="1">
      <c r="A213" s="97" t="str">
        <f>A212</f>
        <v>S22=S23=S24=S25=S26=S27</v>
      </c>
      <c r="B213" s="206" t="str">
        <f>B212</f>
        <v>130x140</v>
      </c>
      <c r="C213" s="206">
        <f>C212</f>
        <v>6</v>
      </c>
      <c r="D213" s="98">
        <v>9</v>
      </c>
      <c r="E213" s="98">
        <v>1.54</v>
      </c>
      <c r="F213" s="98">
        <v>0.4</v>
      </c>
      <c r="G213" s="98" t="s">
        <v>12601</v>
      </c>
      <c r="H213" s="98">
        <f t="shared" ref="H213:H219" si="61">C213*D213*E213*F213*1.1</f>
        <v>36.59040000000001</v>
      </c>
    </row>
    <row r="214" spans="1:8" ht="15" customHeight="1">
      <c r="A214" s="232" t="s">
        <v>14417</v>
      </c>
      <c r="B214" s="229"/>
      <c r="C214" s="229"/>
      <c r="D214" s="230"/>
      <c r="E214" s="229"/>
      <c r="F214" s="230"/>
      <c r="G214" s="229"/>
      <c r="H214" s="98"/>
    </row>
    <row r="215" spans="1:8" ht="15" customHeight="1">
      <c r="A215" s="204" t="str">
        <f>A195</f>
        <v>Vestiários</v>
      </c>
      <c r="B215" s="98" t="str">
        <f>B195</f>
        <v>60x15</v>
      </c>
      <c r="C215" s="98">
        <v>1</v>
      </c>
      <c r="D215" s="98">
        <v>4</v>
      </c>
      <c r="E215" s="98">
        <f>E195</f>
        <v>10.96</v>
      </c>
      <c r="F215" s="98">
        <v>0.25</v>
      </c>
      <c r="G215" s="98" t="s">
        <v>13922</v>
      </c>
      <c r="H215" s="98">
        <f t="shared" si="61"/>
        <v>12.056000000000003</v>
      </c>
    </row>
    <row r="216" spans="1:8" ht="15" customHeight="1">
      <c r="A216" s="204" t="str">
        <f t="shared" ref="A216:A219" si="62">A196</f>
        <v>Sanitário masculino</v>
      </c>
      <c r="B216" s="98" t="str">
        <f t="shared" ref="B216:B219" si="63">B196</f>
        <v>60x15</v>
      </c>
      <c r="C216" s="98">
        <v>1</v>
      </c>
      <c r="D216" s="98">
        <v>4</v>
      </c>
      <c r="E216" s="98">
        <f t="shared" ref="E216:E219" si="64">E196</f>
        <v>6.03</v>
      </c>
      <c r="F216" s="98">
        <v>0.25</v>
      </c>
      <c r="G216" s="98" t="s">
        <v>13922</v>
      </c>
      <c r="H216" s="98">
        <f t="shared" si="61"/>
        <v>6.6330000000000009</v>
      </c>
    </row>
    <row r="217" spans="1:8" ht="15" customHeight="1">
      <c r="A217" s="204" t="str">
        <f t="shared" si="62"/>
        <v>Palco</v>
      </c>
      <c r="B217" s="98" t="str">
        <f t="shared" si="63"/>
        <v>60x15</v>
      </c>
      <c r="C217" s="98">
        <v>1</v>
      </c>
      <c r="D217" s="98">
        <v>4</v>
      </c>
      <c r="E217" s="98">
        <f t="shared" si="64"/>
        <v>34.11</v>
      </c>
      <c r="F217" s="98">
        <v>0.25</v>
      </c>
      <c r="G217" s="98" t="s">
        <v>13922</v>
      </c>
      <c r="H217" s="98">
        <f t="shared" si="61"/>
        <v>37.521000000000001</v>
      </c>
    </row>
    <row r="218" spans="1:8" ht="15" customHeight="1">
      <c r="A218" s="204" t="str">
        <f t="shared" si="62"/>
        <v>Escada interna</v>
      </c>
      <c r="B218" s="98" t="str">
        <f t="shared" si="63"/>
        <v>40x15</v>
      </c>
      <c r="C218" s="98">
        <v>1</v>
      </c>
      <c r="D218" s="98">
        <v>3</v>
      </c>
      <c r="E218" s="98">
        <f t="shared" si="64"/>
        <v>3.56</v>
      </c>
      <c r="F218" s="98">
        <v>0.25</v>
      </c>
      <c r="G218" s="98" t="s">
        <v>13922</v>
      </c>
      <c r="H218" s="98">
        <f t="shared" si="61"/>
        <v>2.9370000000000003</v>
      </c>
    </row>
    <row r="219" spans="1:8" ht="15" customHeight="1">
      <c r="A219" s="204" t="str">
        <f t="shared" si="62"/>
        <v>Escada e rampa externa</v>
      </c>
      <c r="B219" s="98" t="str">
        <f t="shared" si="63"/>
        <v>40x15</v>
      </c>
      <c r="C219" s="98">
        <v>2</v>
      </c>
      <c r="D219" s="98">
        <v>3</v>
      </c>
      <c r="E219" s="98">
        <f t="shared" si="64"/>
        <v>12.26</v>
      </c>
      <c r="F219" s="98">
        <v>0.25</v>
      </c>
      <c r="G219" s="98" t="s">
        <v>13922</v>
      </c>
      <c r="H219" s="98">
        <f t="shared" si="61"/>
        <v>20.229000000000003</v>
      </c>
    </row>
    <row r="220" spans="1:8" ht="15" customHeight="1">
      <c r="A220" s="306" t="s">
        <v>14924</v>
      </c>
      <c r="B220" s="236"/>
      <c r="C220" s="237"/>
      <c r="D220" s="237"/>
      <c r="E220" s="237"/>
      <c r="F220" s="238"/>
      <c r="G220" s="98"/>
      <c r="H220" s="98"/>
    </row>
    <row r="221" spans="1:8" ht="25.5">
      <c r="A221" s="204" t="s">
        <v>14934</v>
      </c>
      <c r="B221" s="236" t="s">
        <v>7251</v>
      </c>
      <c r="C221" s="237">
        <v>1</v>
      </c>
      <c r="D221" s="237">
        <v>9</v>
      </c>
      <c r="E221" s="237">
        <f>2+1.16</f>
        <v>3.16</v>
      </c>
      <c r="F221" s="238">
        <v>0.62</v>
      </c>
      <c r="G221" s="98" t="s">
        <v>12605</v>
      </c>
      <c r="H221" s="98">
        <f t="shared" ref="H221:H222" si="65">C221*D221*E221*F221*1.1</f>
        <v>19.396080000000001</v>
      </c>
    </row>
    <row r="222" spans="1:8" ht="25.5">
      <c r="A222" s="204" t="s">
        <v>14937</v>
      </c>
      <c r="B222" s="236" t="s">
        <v>7251</v>
      </c>
      <c r="C222" s="237">
        <v>2</v>
      </c>
      <c r="D222" s="237">
        <v>27</v>
      </c>
      <c r="E222" s="237">
        <f>1.81+1.67</f>
        <v>3.48</v>
      </c>
      <c r="F222" s="238">
        <v>0.62</v>
      </c>
      <c r="G222" s="98" t="s">
        <v>12605</v>
      </c>
      <c r="H222" s="98">
        <f t="shared" si="65"/>
        <v>128.16144</v>
      </c>
    </row>
    <row r="223" spans="1:8" s="93" customFormat="1" ht="30" customHeight="1">
      <c r="A223" s="91" t="s">
        <v>13908</v>
      </c>
      <c r="B223" s="364" t="str">
        <f>VLOOKUP($A223,SERVICOS,4,FALSE)</f>
        <v>Fornecimento, Dobragem E Colocação Em Fôrma, De Armadura Ca-60 B Fina, Diâmetro De 4.0 A 7.0Mm</v>
      </c>
      <c r="C223" s="365"/>
      <c r="D223" s="365"/>
      <c r="E223" s="365"/>
      <c r="F223" s="366"/>
      <c r="G223" s="91" t="str">
        <f>VLOOKUP($A223,SERVICOS,5,FALSE)</f>
        <v>kg</v>
      </c>
      <c r="H223" s="92">
        <f>ROUND(SUM(H225:H233),2)</f>
        <v>75.930000000000007</v>
      </c>
    </row>
    <row r="224" spans="1:8" ht="25.5">
      <c r="A224" s="94" t="s">
        <v>938</v>
      </c>
      <c r="B224" s="95" t="s">
        <v>14480</v>
      </c>
      <c r="C224" s="95" t="s">
        <v>7319</v>
      </c>
      <c r="D224" s="95" t="s">
        <v>14497</v>
      </c>
      <c r="E224" s="95" t="s">
        <v>7320</v>
      </c>
      <c r="F224" s="94" t="s">
        <v>14485</v>
      </c>
      <c r="G224" s="94" t="s">
        <v>14667</v>
      </c>
      <c r="H224" s="96"/>
    </row>
    <row r="225" spans="1:8" ht="15" customHeight="1">
      <c r="A225" s="232" t="s">
        <v>14417</v>
      </c>
      <c r="B225" s="229"/>
      <c r="C225" s="229"/>
      <c r="D225" s="230"/>
      <c r="E225" s="229"/>
      <c r="F225" s="230"/>
      <c r="G225" s="229"/>
      <c r="H225" s="98"/>
    </row>
    <row r="226" spans="1:8" ht="15" customHeight="1">
      <c r="A226" s="204" t="str">
        <f>A195</f>
        <v>Vestiários</v>
      </c>
      <c r="B226" s="98" t="str">
        <f>B215</f>
        <v>60x15</v>
      </c>
      <c r="C226" s="98">
        <f>C215*E215</f>
        <v>10.96</v>
      </c>
      <c r="D226" s="98">
        <f>ROUNDUP(C226/0.15,0)</f>
        <v>74</v>
      </c>
      <c r="E226" s="98">
        <v>0.74</v>
      </c>
      <c r="F226" s="238">
        <v>0.16</v>
      </c>
      <c r="G226" s="98" t="s">
        <v>7235</v>
      </c>
      <c r="H226" s="98">
        <f>D226*E226*F226*1.1</f>
        <v>9.6377600000000001</v>
      </c>
    </row>
    <row r="227" spans="1:8" ht="15" customHeight="1">
      <c r="A227" s="204" t="str">
        <f t="shared" ref="A227:A230" si="66">A196</f>
        <v>Sanitário masculino</v>
      </c>
      <c r="B227" s="98" t="str">
        <f t="shared" ref="B227:B230" si="67">B216</f>
        <v>60x15</v>
      </c>
      <c r="C227" s="98">
        <f t="shared" ref="C227:C230" si="68">C216*E216</f>
        <v>6.03</v>
      </c>
      <c r="D227" s="98">
        <f t="shared" ref="D227:D230" si="69">ROUNDUP(C227/0.15,0)</f>
        <v>41</v>
      </c>
      <c r="E227" s="98">
        <v>0.74</v>
      </c>
      <c r="F227" s="238">
        <v>0.16</v>
      </c>
      <c r="G227" s="98" t="s">
        <v>7235</v>
      </c>
      <c r="H227" s="98">
        <f t="shared" ref="H227:H230" si="70">D227*E227*F227*1.1</f>
        <v>5.3398400000000006</v>
      </c>
    </row>
    <row r="228" spans="1:8" ht="15" customHeight="1">
      <c r="A228" s="204" t="str">
        <f t="shared" si="66"/>
        <v>Palco</v>
      </c>
      <c r="B228" s="98" t="str">
        <f t="shared" si="67"/>
        <v>60x15</v>
      </c>
      <c r="C228" s="98">
        <f t="shared" si="68"/>
        <v>34.11</v>
      </c>
      <c r="D228" s="98">
        <f t="shared" si="69"/>
        <v>228</v>
      </c>
      <c r="E228" s="98">
        <v>0.74</v>
      </c>
      <c r="F228" s="238">
        <v>0.16</v>
      </c>
      <c r="G228" s="98" t="s">
        <v>7235</v>
      </c>
      <c r="H228" s="98">
        <f t="shared" si="70"/>
        <v>29.694720000000004</v>
      </c>
    </row>
    <row r="229" spans="1:8" ht="15" customHeight="1">
      <c r="A229" s="204" t="str">
        <f t="shared" si="66"/>
        <v>Escada interna</v>
      </c>
      <c r="B229" s="98" t="str">
        <f t="shared" si="67"/>
        <v>40x15</v>
      </c>
      <c r="C229" s="98">
        <f t="shared" si="68"/>
        <v>3.56</v>
      </c>
      <c r="D229" s="98">
        <f t="shared" si="69"/>
        <v>24</v>
      </c>
      <c r="E229" s="98">
        <v>0.54</v>
      </c>
      <c r="F229" s="238">
        <v>0.16</v>
      </c>
      <c r="G229" s="98" t="s">
        <v>7235</v>
      </c>
      <c r="H229" s="98">
        <f t="shared" si="70"/>
        <v>2.2809600000000008</v>
      </c>
    </row>
    <row r="230" spans="1:8" ht="15" customHeight="1">
      <c r="A230" s="204" t="str">
        <f t="shared" si="66"/>
        <v>Escada e rampa externa</v>
      </c>
      <c r="B230" s="98" t="str">
        <f t="shared" si="67"/>
        <v>40x15</v>
      </c>
      <c r="C230" s="98">
        <f t="shared" si="68"/>
        <v>24.52</v>
      </c>
      <c r="D230" s="98">
        <f t="shared" si="69"/>
        <v>164</v>
      </c>
      <c r="E230" s="98">
        <v>0.54</v>
      </c>
      <c r="F230" s="238">
        <v>0.16</v>
      </c>
      <c r="G230" s="98" t="s">
        <v>7235</v>
      </c>
      <c r="H230" s="98">
        <f t="shared" si="70"/>
        <v>15.586560000000002</v>
      </c>
    </row>
    <row r="231" spans="1:8" ht="15" customHeight="1">
      <c r="A231" s="306" t="s">
        <v>14924</v>
      </c>
      <c r="B231" s="236"/>
      <c r="C231" s="237"/>
      <c r="D231" s="237"/>
      <c r="E231" s="237"/>
      <c r="F231" s="238"/>
      <c r="G231" s="98"/>
      <c r="H231" s="98"/>
    </row>
    <row r="232" spans="1:8" ht="25.5">
      <c r="A232" s="204" t="s">
        <v>14935</v>
      </c>
      <c r="B232" s="236" t="s">
        <v>7251</v>
      </c>
      <c r="C232" s="237">
        <v>1</v>
      </c>
      <c r="D232" s="237">
        <v>12</v>
      </c>
      <c r="E232" s="237">
        <v>0.94</v>
      </c>
      <c r="F232" s="238">
        <v>0.16</v>
      </c>
      <c r="G232" s="98" t="s">
        <v>7235</v>
      </c>
      <c r="H232" s="98">
        <f t="shared" ref="H232:H233" si="71">C232*D232*E232*F232*1.1</f>
        <v>1.9852800000000002</v>
      </c>
    </row>
    <row r="233" spans="1:8" ht="25.5">
      <c r="A233" s="204" t="s">
        <v>14936</v>
      </c>
      <c r="B233" s="236" t="s">
        <v>7251</v>
      </c>
      <c r="C233" s="237">
        <v>2</v>
      </c>
      <c r="D233" s="237">
        <v>12</v>
      </c>
      <c r="E233" s="237">
        <v>2.7</v>
      </c>
      <c r="F233" s="238">
        <v>0.16</v>
      </c>
      <c r="G233" s="98" t="s">
        <v>7235</v>
      </c>
      <c r="H233" s="98">
        <f t="shared" si="71"/>
        <v>11.404800000000003</v>
      </c>
    </row>
    <row r="234" spans="1:8" s="93" customFormat="1" ht="45" customHeight="1">
      <c r="A234" s="91" t="s">
        <v>14938</v>
      </c>
      <c r="B234" s="364" t="str">
        <f>VLOOKUP($A234,SERVICOS,4,FALSE)</f>
        <v>Fornecimento E Aplicação De Concreto Usinado Fck=25 Mpa - Considerando Lançamento Manual Para Infra-Estrutura (5% De Perdas Já Incluído No Custo)</v>
      </c>
      <c r="C234" s="365"/>
      <c r="D234" s="365"/>
      <c r="E234" s="365"/>
      <c r="F234" s="366"/>
      <c r="G234" s="91" t="str">
        <f>VLOOKUP($A234,SERVICOS,5,FALSE)</f>
        <v>m3</v>
      </c>
      <c r="H234" s="92">
        <f>ROUND(SUM(H236:H251),2)</f>
        <v>30.94</v>
      </c>
    </row>
    <row r="235" spans="1:8" ht="25.5">
      <c r="A235" s="94" t="s">
        <v>938</v>
      </c>
      <c r="B235" s="95" t="s">
        <v>14480</v>
      </c>
      <c r="C235" s="94" t="s">
        <v>7319</v>
      </c>
      <c r="D235" s="95" t="s">
        <v>14191</v>
      </c>
      <c r="E235" s="94" t="s">
        <v>7320</v>
      </c>
      <c r="F235" s="95" t="s">
        <v>14192</v>
      </c>
      <c r="G235" s="94"/>
      <c r="H235" s="96"/>
    </row>
    <row r="236" spans="1:8" ht="15" customHeight="1">
      <c r="A236" s="232" t="s">
        <v>14325</v>
      </c>
      <c r="B236" s="229"/>
      <c r="C236" s="229"/>
      <c r="D236" s="230"/>
      <c r="E236" s="229"/>
      <c r="F236" s="230"/>
      <c r="G236" s="229"/>
      <c r="H236" s="231"/>
    </row>
    <row r="237" spans="1:8" ht="15" customHeight="1">
      <c r="A237" s="97" t="str">
        <f t="shared" ref="A237:E242" si="72">A188</f>
        <v>S1=S2</v>
      </c>
      <c r="B237" s="224" t="str">
        <f t="shared" si="72"/>
        <v>100x100</v>
      </c>
      <c r="C237" s="224">
        <f t="shared" si="72"/>
        <v>2</v>
      </c>
      <c r="D237" s="224">
        <f t="shared" si="72"/>
        <v>1</v>
      </c>
      <c r="E237" s="224">
        <f t="shared" si="72"/>
        <v>1</v>
      </c>
      <c r="F237" s="98">
        <v>0.25</v>
      </c>
      <c r="G237" s="98"/>
      <c r="H237" s="98">
        <f>C237*D237*E237*F237</f>
        <v>0.5</v>
      </c>
    </row>
    <row r="238" spans="1:8" ht="15" customHeight="1">
      <c r="A238" s="97" t="str">
        <f t="shared" si="72"/>
        <v>S3=S19=S20=S21</v>
      </c>
      <c r="B238" s="224" t="str">
        <f t="shared" si="72"/>
        <v>80x80</v>
      </c>
      <c r="C238" s="224">
        <f t="shared" si="72"/>
        <v>4</v>
      </c>
      <c r="D238" s="224">
        <f t="shared" si="72"/>
        <v>0.8</v>
      </c>
      <c r="E238" s="224">
        <f t="shared" si="72"/>
        <v>0.8</v>
      </c>
      <c r="F238" s="98">
        <v>0.25</v>
      </c>
      <c r="G238" s="98"/>
      <c r="H238" s="98">
        <f t="shared" ref="H238:H242" si="73">C238*D238*E238*F238</f>
        <v>0.64000000000000012</v>
      </c>
    </row>
    <row r="239" spans="1:8" ht="15" customHeight="1">
      <c r="A239" s="97" t="str">
        <f t="shared" si="72"/>
        <v>S4=S5=S6</v>
      </c>
      <c r="B239" s="224" t="str">
        <f t="shared" si="72"/>
        <v>100x80</v>
      </c>
      <c r="C239" s="224">
        <f t="shared" si="72"/>
        <v>3</v>
      </c>
      <c r="D239" s="224">
        <f t="shared" si="72"/>
        <v>1</v>
      </c>
      <c r="E239" s="224">
        <f t="shared" si="72"/>
        <v>0.8</v>
      </c>
      <c r="F239" s="98">
        <v>0.25</v>
      </c>
      <c r="G239" s="98"/>
      <c r="H239" s="98">
        <f t="shared" si="73"/>
        <v>0.60000000000000009</v>
      </c>
    </row>
    <row r="240" spans="1:8" ht="15" customHeight="1">
      <c r="A240" s="97" t="str">
        <f t="shared" si="72"/>
        <v>S7=S8=S9=S10</v>
      </c>
      <c r="B240" s="224" t="str">
        <f t="shared" si="72"/>
        <v>80x60</v>
      </c>
      <c r="C240" s="224">
        <f t="shared" si="72"/>
        <v>4</v>
      </c>
      <c r="D240" s="224">
        <f t="shared" si="72"/>
        <v>0.8</v>
      </c>
      <c r="E240" s="224">
        <f t="shared" si="72"/>
        <v>0.6</v>
      </c>
      <c r="F240" s="98">
        <v>0.25</v>
      </c>
      <c r="G240" s="98"/>
      <c r="H240" s="98">
        <f t="shared" si="73"/>
        <v>0.48</v>
      </c>
    </row>
    <row r="241" spans="1:8" ht="38.25">
      <c r="A241" s="204" t="str">
        <f t="shared" si="72"/>
        <v>S11=S12=S13=S14=S15=S16=S17=S18=S28=S29=S30=31=S32=S33=S34=S35</v>
      </c>
      <c r="B241" s="224" t="str">
        <f t="shared" si="72"/>
        <v>150x180</v>
      </c>
      <c r="C241" s="224">
        <f t="shared" si="72"/>
        <v>16</v>
      </c>
      <c r="D241" s="224">
        <f t="shared" si="72"/>
        <v>1.5</v>
      </c>
      <c r="E241" s="224">
        <f t="shared" si="72"/>
        <v>1.8</v>
      </c>
      <c r="F241" s="98">
        <v>0.4</v>
      </c>
      <c r="G241" s="98"/>
      <c r="H241" s="98">
        <f t="shared" ref="H241" si="74">C241*D241*E241*F241</f>
        <v>17.28</v>
      </c>
    </row>
    <row r="242" spans="1:8" ht="15" customHeight="1">
      <c r="A242" s="97" t="str">
        <f t="shared" si="72"/>
        <v>S22=S23=S24=S25=S26=S27</v>
      </c>
      <c r="B242" s="224" t="str">
        <f t="shared" si="72"/>
        <v>130x140</v>
      </c>
      <c r="C242" s="224">
        <f t="shared" si="72"/>
        <v>6</v>
      </c>
      <c r="D242" s="224">
        <f t="shared" si="72"/>
        <v>1.3</v>
      </c>
      <c r="E242" s="224">
        <f t="shared" si="72"/>
        <v>1.4</v>
      </c>
      <c r="F242" s="98">
        <v>0.3</v>
      </c>
      <c r="G242" s="98"/>
      <c r="H242" s="98">
        <f t="shared" si="73"/>
        <v>3.2759999999999998</v>
      </c>
    </row>
    <row r="243" spans="1:8" ht="15" customHeight="1">
      <c r="A243" s="232" t="s">
        <v>14417</v>
      </c>
      <c r="B243" s="229"/>
      <c r="C243" s="229"/>
      <c r="D243" s="230"/>
      <c r="E243" s="229"/>
      <c r="F243" s="230"/>
      <c r="G243" s="229"/>
      <c r="H243" s="231"/>
    </row>
    <row r="244" spans="1:8" ht="15" customHeight="1">
      <c r="A244" s="97" t="str">
        <f t="shared" ref="A244:E248" si="75">A195</f>
        <v>Vestiários</v>
      </c>
      <c r="B244" s="224" t="str">
        <f t="shared" si="75"/>
        <v>60x15</v>
      </c>
      <c r="C244" s="224">
        <f t="shared" si="75"/>
        <v>1</v>
      </c>
      <c r="D244" s="224">
        <f t="shared" si="75"/>
        <v>0.6</v>
      </c>
      <c r="E244" s="224">
        <f t="shared" si="75"/>
        <v>10.96</v>
      </c>
      <c r="F244" s="98">
        <v>0.15</v>
      </c>
      <c r="G244" s="98"/>
      <c r="H244" s="98">
        <f>C244*D244*E244*F244</f>
        <v>0.98640000000000005</v>
      </c>
    </row>
    <row r="245" spans="1:8" ht="15" customHeight="1">
      <c r="A245" s="97" t="str">
        <f t="shared" si="75"/>
        <v>Sanitário masculino</v>
      </c>
      <c r="B245" s="224" t="str">
        <f t="shared" si="75"/>
        <v>60x15</v>
      </c>
      <c r="C245" s="224">
        <f t="shared" si="75"/>
        <v>1</v>
      </c>
      <c r="D245" s="224">
        <f t="shared" si="75"/>
        <v>0.6</v>
      </c>
      <c r="E245" s="224">
        <f t="shared" si="75"/>
        <v>6.03</v>
      </c>
      <c r="F245" s="98">
        <v>0.15</v>
      </c>
      <c r="G245" s="98"/>
      <c r="H245" s="98">
        <f t="shared" ref="H245:H248" si="76">C245*D245*E245*F245</f>
        <v>0.54269999999999996</v>
      </c>
    </row>
    <row r="246" spans="1:8" ht="15" customHeight="1">
      <c r="A246" s="97" t="str">
        <f t="shared" si="75"/>
        <v>Palco</v>
      </c>
      <c r="B246" s="224" t="str">
        <f t="shared" si="75"/>
        <v>60x15</v>
      </c>
      <c r="C246" s="224">
        <f t="shared" si="75"/>
        <v>1</v>
      </c>
      <c r="D246" s="224">
        <f t="shared" si="75"/>
        <v>0.6</v>
      </c>
      <c r="E246" s="224">
        <f t="shared" si="75"/>
        <v>34.11</v>
      </c>
      <c r="F246" s="98">
        <v>0.15</v>
      </c>
      <c r="G246" s="98"/>
      <c r="H246" s="98">
        <f t="shared" ref="H246:H247" si="77">C246*D246*E246*F246</f>
        <v>3.0698999999999996</v>
      </c>
    </row>
    <row r="247" spans="1:8" ht="15" customHeight="1">
      <c r="A247" s="97" t="str">
        <f t="shared" si="75"/>
        <v>Escada interna</v>
      </c>
      <c r="B247" s="224" t="str">
        <f t="shared" si="75"/>
        <v>40x15</v>
      </c>
      <c r="C247" s="224">
        <f t="shared" si="75"/>
        <v>1</v>
      </c>
      <c r="D247" s="224">
        <f t="shared" si="75"/>
        <v>0.4</v>
      </c>
      <c r="E247" s="224">
        <f t="shared" si="75"/>
        <v>3.56</v>
      </c>
      <c r="F247" s="98">
        <v>0.15</v>
      </c>
      <c r="G247" s="98"/>
      <c r="H247" s="98">
        <f t="shared" si="77"/>
        <v>0.21360000000000001</v>
      </c>
    </row>
    <row r="248" spans="1:8" ht="15" customHeight="1">
      <c r="A248" s="97" t="str">
        <f t="shared" si="75"/>
        <v>Escada e rampa externa</v>
      </c>
      <c r="B248" s="224" t="str">
        <f t="shared" si="75"/>
        <v>40x15</v>
      </c>
      <c r="C248" s="224">
        <f t="shared" si="75"/>
        <v>2</v>
      </c>
      <c r="D248" s="224">
        <f t="shared" si="75"/>
        <v>0.4</v>
      </c>
      <c r="E248" s="224">
        <f t="shared" si="75"/>
        <v>12.26</v>
      </c>
      <c r="F248" s="98">
        <v>0.15</v>
      </c>
      <c r="G248" s="98"/>
      <c r="H248" s="98">
        <f t="shared" si="76"/>
        <v>1.4711999999999998</v>
      </c>
    </row>
    <row r="249" spans="1:8" ht="15" customHeight="1">
      <c r="A249" s="232" t="s">
        <v>14924</v>
      </c>
      <c r="B249" s="229"/>
      <c r="C249" s="229"/>
      <c r="D249" s="230"/>
      <c r="E249" s="229"/>
      <c r="F249" s="230"/>
      <c r="G249" s="229"/>
      <c r="H249" s="231"/>
    </row>
    <row r="250" spans="1:8" ht="15" customHeight="1">
      <c r="A250" s="97" t="s">
        <v>14925</v>
      </c>
      <c r="B250" s="224" t="s">
        <v>7251</v>
      </c>
      <c r="C250" s="224">
        <v>1</v>
      </c>
      <c r="D250" s="224" t="s">
        <v>7251</v>
      </c>
      <c r="E250" s="224">
        <v>1</v>
      </c>
      <c r="F250" s="98">
        <v>0.31</v>
      </c>
      <c r="G250" s="98"/>
      <c r="H250" s="98">
        <f>C250*E250*F250</f>
        <v>0.31</v>
      </c>
    </row>
    <row r="251" spans="1:8" ht="15" customHeight="1">
      <c r="A251" s="97" t="s">
        <v>14921</v>
      </c>
      <c r="B251" s="224" t="s">
        <v>7251</v>
      </c>
      <c r="C251" s="224">
        <v>2</v>
      </c>
      <c r="D251" s="224" t="s">
        <v>7251</v>
      </c>
      <c r="E251" s="224">
        <v>2.8</v>
      </c>
      <c r="F251" s="98">
        <v>0.28000000000000003</v>
      </c>
      <c r="G251" s="98"/>
      <c r="H251" s="98">
        <f>C251*E251*F251</f>
        <v>1.5680000000000001</v>
      </c>
    </row>
    <row r="252" spans="1:8" s="93" customFormat="1" ht="45" customHeight="1">
      <c r="A252" s="91" t="s">
        <v>14939</v>
      </c>
      <c r="B252" s="364" t="str">
        <f>VLOOKUP($A252,SERVICOS,4,FALSE)</f>
        <v>Execução De Passeio (Calçada) Ou Piso De Concreto Com Concreto Moldado In Loco, Feito Em Obra, Acabamento Convencional, Espessura 8 Cm, Armado. Af_08/2022</v>
      </c>
      <c r="C252" s="365"/>
      <c r="D252" s="365"/>
      <c r="E252" s="365"/>
      <c r="F252" s="366"/>
      <c r="G252" s="91" t="str">
        <f>VLOOKUP($A252,SERVICOS,5,FALSE)</f>
        <v>m2</v>
      </c>
      <c r="H252" s="92">
        <f>ROUND(SUM(H254:H255),2)</f>
        <v>31.22</v>
      </c>
    </row>
    <row r="253" spans="1:8" ht="15" customHeight="1">
      <c r="A253" s="94" t="s">
        <v>938</v>
      </c>
      <c r="B253" s="95" t="s">
        <v>7319</v>
      </c>
      <c r="C253" s="94" t="s">
        <v>12639</v>
      </c>
      <c r="D253" s="95"/>
      <c r="E253" s="94"/>
      <c r="F253" s="95"/>
      <c r="G253" s="94"/>
      <c r="H253" s="96"/>
    </row>
    <row r="254" spans="1:8" ht="15" customHeight="1">
      <c r="A254" s="97" t="s">
        <v>14940</v>
      </c>
      <c r="B254" s="224">
        <v>1</v>
      </c>
      <c r="C254" s="224">
        <v>13.94</v>
      </c>
      <c r="D254" s="224"/>
      <c r="E254" s="224"/>
      <c r="F254" s="98"/>
      <c r="G254" s="98"/>
      <c r="H254" s="98">
        <f>B254*C254</f>
        <v>13.94</v>
      </c>
    </row>
    <row r="255" spans="1:8" ht="15" customHeight="1">
      <c r="A255" s="97" t="s">
        <v>14917</v>
      </c>
      <c r="B255" s="224">
        <v>2</v>
      </c>
      <c r="C255" s="224">
        <v>8.64</v>
      </c>
      <c r="D255" s="224"/>
      <c r="E255" s="224"/>
      <c r="F255" s="98"/>
      <c r="G255" s="98"/>
      <c r="H255" s="98">
        <f>B255*C255</f>
        <v>17.28</v>
      </c>
    </row>
    <row r="256" spans="1:8" ht="15" customHeight="1">
      <c r="A256" s="89" t="s">
        <v>12228</v>
      </c>
      <c r="B256" s="367" t="str">
        <f>VLOOKUP($A256,SERVICOS,4,FALSE)</f>
        <v>PILARETES</v>
      </c>
      <c r="C256" s="367"/>
      <c r="D256" s="367"/>
      <c r="E256" s="367"/>
      <c r="F256" s="367"/>
      <c r="G256" s="367">
        <f>VLOOKUP($A256,SERVICOS,5,FALSE)</f>
        <v>0</v>
      </c>
      <c r="H256" s="367" t="e">
        <f>ROUND(SUM(#REF!),2)</f>
        <v>#REF!</v>
      </c>
    </row>
    <row r="257" spans="1:8" s="93" customFormat="1" ht="45" customHeight="1">
      <c r="A257" s="91" t="s">
        <v>13909</v>
      </c>
      <c r="B257" s="364" t="str">
        <f>VLOOKUP($A257,SERVICOS,4,FALSE)</f>
        <v>Fôrma De Tábua De Madeira De 2.5X30.0Cm, Levando-Se Em Conta Utilização 1 Vez (Incluindo O Material, Corte, Montagem, Escoramento E Desforma)</v>
      </c>
      <c r="C257" s="365"/>
      <c r="D257" s="365"/>
      <c r="E257" s="365"/>
      <c r="F257" s="366"/>
      <c r="G257" s="91" t="str">
        <f>VLOOKUP($A257,SERVICOS,5,FALSE)</f>
        <v>m2</v>
      </c>
      <c r="H257" s="92">
        <f>ROUND(SUM(H259:H266),2)</f>
        <v>60.06</v>
      </c>
    </row>
    <row r="258" spans="1:8" ht="25.5">
      <c r="A258" s="94" t="s">
        <v>938</v>
      </c>
      <c r="B258" s="95" t="s">
        <v>14480</v>
      </c>
      <c r="C258" s="95" t="s">
        <v>7319</v>
      </c>
      <c r="D258" s="95" t="s">
        <v>14191</v>
      </c>
      <c r="E258" s="94" t="s">
        <v>7320</v>
      </c>
      <c r="F258" s="94" t="s">
        <v>14192</v>
      </c>
      <c r="G258" s="94"/>
      <c r="H258" s="96"/>
    </row>
    <row r="259" spans="1:8" ht="15" customHeight="1">
      <c r="A259" s="97" t="s">
        <v>14327</v>
      </c>
      <c r="B259" s="206" t="s">
        <v>14798</v>
      </c>
      <c r="C259" s="98">
        <v>2</v>
      </c>
      <c r="D259" s="98">
        <v>0.15</v>
      </c>
      <c r="E259" s="98">
        <v>0.3</v>
      </c>
      <c r="F259" s="98">
        <v>1.2</v>
      </c>
      <c r="G259" s="98"/>
      <c r="H259" s="98">
        <f>C259*(D259+E259)*2*F259</f>
        <v>2.1599999999999997</v>
      </c>
    </row>
    <row r="260" spans="1:8" ht="15" customHeight="1">
      <c r="A260" s="97" t="s">
        <v>14809</v>
      </c>
      <c r="B260" s="206" t="s">
        <v>14798</v>
      </c>
      <c r="C260" s="98">
        <v>4</v>
      </c>
      <c r="D260" s="98">
        <v>0.15</v>
      </c>
      <c r="E260" s="98">
        <v>0.3</v>
      </c>
      <c r="F260" s="98">
        <v>1.2</v>
      </c>
      <c r="G260" s="98"/>
      <c r="H260" s="98">
        <f t="shared" ref="H260:H266" si="78">C260*(D260+E260)*2*F260</f>
        <v>4.3199999999999994</v>
      </c>
    </row>
    <row r="261" spans="1:8" ht="15" customHeight="1">
      <c r="A261" s="97" t="s">
        <v>14810</v>
      </c>
      <c r="B261" s="206" t="s">
        <v>14798</v>
      </c>
      <c r="C261" s="98">
        <v>3</v>
      </c>
      <c r="D261" s="98">
        <v>0.15</v>
      </c>
      <c r="E261" s="98">
        <v>0.3</v>
      </c>
      <c r="F261" s="98">
        <v>1.2</v>
      </c>
      <c r="G261" s="98"/>
      <c r="H261" s="98">
        <f t="shared" si="78"/>
        <v>3.2399999999999998</v>
      </c>
    </row>
    <row r="262" spans="1:8" ht="15" customHeight="1">
      <c r="A262" s="97" t="s">
        <v>14493</v>
      </c>
      <c r="B262" s="206" t="s">
        <v>14811</v>
      </c>
      <c r="C262" s="98">
        <v>4</v>
      </c>
      <c r="D262" s="98">
        <v>0.2</v>
      </c>
      <c r="E262" s="98">
        <v>0.3</v>
      </c>
      <c r="F262" s="98">
        <v>1.2</v>
      </c>
      <c r="G262" s="98"/>
      <c r="H262" s="98">
        <f t="shared" ref="H262" si="79">C262*(D262+E262)*2*F262</f>
        <v>4.8</v>
      </c>
    </row>
    <row r="263" spans="1:8" ht="25.5">
      <c r="A263" s="204" t="s">
        <v>14812</v>
      </c>
      <c r="B263" s="206" t="s">
        <v>14813</v>
      </c>
      <c r="C263" s="98">
        <v>10</v>
      </c>
      <c r="D263" s="98">
        <v>0.3</v>
      </c>
      <c r="E263" s="98">
        <v>0.6</v>
      </c>
      <c r="F263" s="98">
        <v>1</v>
      </c>
      <c r="G263" s="98"/>
      <c r="H263" s="98">
        <f t="shared" si="78"/>
        <v>18</v>
      </c>
    </row>
    <row r="264" spans="1:8" ht="15" customHeight="1">
      <c r="A264" s="204" t="s">
        <v>14817</v>
      </c>
      <c r="B264" s="206" t="s">
        <v>14814</v>
      </c>
      <c r="C264" s="98">
        <v>6</v>
      </c>
      <c r="D264" s="98">
        <v>0.3</v>
      </c>
      <c r="E264" s="98">
        <v>0.6</v>
      </c>
      <c r="F264" s="98">
        <v>1.5</v>
      </c>
      <c r="G264" s="98"/>
      <c r="H264" s="98">
        <f t="shared" ref="H264" si="80">C264*(D264+E264)*2*F264</f>
        <v>16.2</v>
      </c>
    </row>
    <row r="265" spans="1:8" ht="15" customHeight="1">
      <c r="A265" s="97" t="s">
        <v>14815</v>
      </c>
      <c r="B265" s="98" t="s">
        <v>14818</v>
      </c>
      <c r="C265" s="98">
        <v>3</v>
      </c>
      <c r="D265" s="98">
        <v>0.3</v>
      </c>
      <c r="E265" s="98">
        <v>0.4</v>
      </c>
      <c r="F265" s="98">
        <v>1.1000000000000001</v>
      </c>
      <c r="G265" s="98"/>
      <c r="H265" s="98">
        <f t="shared" si="78"/>
        <v>4.6199999999999992</v>
      </c>
    </row>
    <row r="266" spans="1:8" ht="15" customHeight="1">
      <c r="A266" s="204" t="s">
        <v>14816</v>
      </c>
      <c r="B266" s="206" t="s">
        <v>14819</v>
      </c>
      <c r="C266" s="98">
        <v>3</v>
      </c>
      <c r="D266" s="98">
        <v>0.3</v>
      </c>
      <c r="E266" s="98">
        <v>0.4</v>
      </c>
      <c r="F266" s="98">
        <v>1.6</v>
      </c>
      <c r="G266" s="98"/>
      <c r="H266" s="98">
        <f t="shared" si="78"/>
        <v>6.7199999999999989</v>
      </c>
    </row>
    <row r="267" spans="1:8" s="93" customFormat="1" ht="30" customHeight="1">
      <c r="A267" s="91" t="s">
        <v>13910</v>
      </c>
      <c r="B267" s="364" t="str">
        <f>VLOOKUP($A267,SERVICOS,4,FALSE)</f>
        <v>Fornecimento, Dobragem E Colocação Em Fôrma, De Armadura Ca-60 B Fina, Diâmetro De 4.0 A 7.0Mm</v>
      </c>
      <c r="C267" s="365"/>
      <c r="D267" s="365"/>
      <c r="E267" s="365"/>
      <c r="F267" s="366"/>
      <c r="G267" s="91" t="str">
        <f>VLOOKUP($A267,SERVICOS,5,FALSE)</f>
        <v>kg</v>
      </c>
      <c r="H267" s="92">
        <f>ROUND(SUM(H269:H276),2)</f>
        <v>80.05</v>
      </c>
    </row>
    <row r="268" spans="1:8" ht="25.5">
      <c r="A268" s="94" t="s">
        <v>938</v>
      </c>
      <c r="B268" s="95" t="s">
        <v>14480</v>
      </c>
      <c r="C268" s="95" t="s">
        <v>7319</v>
      </c>
      <c r="D268" s="94" t="s">
        <v>14192</v>
      </c>
      <c r="E268" s="94" t="s">
        <v>14495</v>
      </c>
      <c r="F268" s="94" t="s">
        <v>7320</v>
      </c>
      <c r="G268" s="94" t="s">
        <v>14496</v>
      </c>
      <c r="H268" s="96"/>
    </row>
    <row r="269" spans="1:8" ht="15" customHeight="1">
      <c r="A269" s="97" t="str">
        <f>A259</f>
        <v>P1=P2</v>
      </c>
      <c r="B269" s="206" t="str">
        <f>B259</f>
        <v>15x30x120</v>
      </c>
      <c r="C269" s="206">
        <f>C259</f>
        <v>2</v>
      </c>
      <c r="D269" s="98">
        <v>1.5</v>
      </c>
      <c r="E269" s="98">
        <f>ROUNDUP(D269/0.15,0)</f>
        <v>10</v>
      </c>
      <c r="F269" s="98">
        <v>0.8</v>
      </c>
      <c r="G269" s="98">
        <v>0.16</v>
      </c>
      <c r="H269" s="98">
        <f>C269*E269*F269*G269</f>
        <v>2.56</v>
      </c>
    </row>
    <row r="270" spans="1:8" ht="15" customHeight="1">
      <c r="A270" s="97" t="str">
        <f t="shared" ref="A270:C270" si="81">A260</f>
        <v>P3=P19=P20=P21</v>
      </c>
      <c r="B270" s="206" t="str">
        <f t="shared" si="81"/>
        <v>15x30x120</v>
      </c>
      <c r="C270" s="206">
        <f t="shared" si="81"/>
        <v>4</v>
      </c>
      <c r="D270" s="98">
        <v>1.5</v>
      </c>
      <c r="E270" s="98">
        <f t="shared" ref="E270:E273" si="82">ROUNDUP(D270/0.15,0)</f>
        <v>10</v>
      </c>
      <c r="F270" s="98">
        <v>0.8</v>
      </c>
      <c r="G270" s="98">
        <v>0.16</v>
      </c>
      <c r="H270" s="98">
        <f t="shared" ref="H270:H276" si="83">C270*E270*F270*G270</f>
        <v>5.12</v>
      </c>
    </row>
    <row r="271" spans="1:8" ht="15" customHeight="1">
      <c r="A271" s="97" t="str">
        <f t="shared" ref="A271:C271" si="84">A261</f>
        <v>P4=P5=P6</v>
      </c>
      <c r="B271" s="206" t="str">
        <f t="shared" si="84"/>
        <v>15x30x120</v>
      </c>
      <c r="C271" s="206">
        <f t="shared" si="84"/>
        <v>3</v>
      </c>
      <c r="D271" s="98">
        <v>1.5</v>
      </c>
      <c r="E271" s="98">
        <f t="shared" si="82"/>
        <v>10</v>
      </c>
      <c r="F271" s="98">
        <v>0.8</v>
      </c>
      <c r="G271" s="98">
        <v>0.16</v>
      </c>
      <c r="H271" s="98">
        <f t="shared" si="83"/>
        <v>3.84</v>
      </c>
    </row>
    <row r="272" spans="1:8" ht="15" customHeight="1">
      <c r="A272" s="97" t="str">
        <f t="shared" ref="A272:C272" si="85">A262</f>
        <v>P7=P8=P9=P10</v>
      </c>
      <c r="B272" s="206" t="str">
        <f t="shared" si="85"/>
        <v>20x30x120</v>
      </c>
      <c r="C272" s="206">
        <f t="shared" si="85"/>
        <v>4</v>
      </c>
      <c r="D272" s="98">
        <v>1.5</v>
      </c>
      <c r="E272" s="98">
        <f t="shared" si="82"/>
        <v>10</v>
      </c>
      <c r="F272" s="98">
        <v>0.9</v>
      </c>
      <c r="G272" s="98">
        <v>0.16</v>
      </c>
      <c r="H272" s="98">
        <f t="shared" si="83"/>
        <v>5.76</v>
      </c>
    </row>
    <row r="273" spans="1:8" ht="25.5">
      <c r="A273" s="204" t="str">
        <f t="shared" ref="A273:C273" si="86">A263</f>
        <v>P11=P12=P13=P14=P15=P28=P29=P30=P31=P32</v>
      </c>
      <c r="B273" s="206" t="str">
        <f t="shared" si="86"/>
        <v>30x60x100</v>
      </c>
      <c r="C273" s="206">
        <f t="shared" si="86"/>
        <v>10</v>
      </c>
      <c r="D273" s="98">
        <v>1.5</v>
      </c>
      <c r="E273" s="98">
        <f t="shared" si="82"/>
        <v>10</v>
      </c>
      <c r="F273" s="98">
        <v>1.7</v>
      </c>
      <c r="G273" s="98">
        <v>0.16</v>
      </c>
      <c r="H273" s="98">
        <f t="shared" si="83"/>
        <v>27.2</v>
      </c>
    </row>
    <row r="274" spans="1:8" ht="15" customHeight="1">
      <c r="A274" s="97" t="str">
        <f t="shared" ref="A274:C274" si="87">A264</f>
        <v>P16=P17=P18=P33=P34=P35</v>
      </c>
      <c r="B274" s="206" t="str">
        <f t="shared" si="87"/>
        <v>30x60x150</v>
      </c>
      <c r="C274" s="206">
        <f t="shared" si="87"/>
        <v>6</v>
      </c>
      <c r="D274" s="98">
        <v>2</v>
      </c>
      <c r="E274" s="98">
        <v>13</v>
      </c>
      <c r="F274" s="98">
        <v>1.7</v>
      </c>
      <c r="G274" s="98">
        <v>0.16</v>
      </c>
      <c r="H274" s="98">
        <f t="shared" si="83"/>
        <v>21.216000000000001</v>
      </c>
    </row>
    <row r="275" spans="1:8" ht="15" customHeight="1">
      <c r="A275" s="97" t="str">
        <f t="shared" ref="A275:C275" si="88">A265</f>
        <v>P22=P24=P26</v>
      </c>
      <c r="B275" s="206" t="str">
        <f t="shared" si="88"/>
        <v>30x40x110</v>
      </c>
      <c r="C275" s="206">
        <f t="shared" si="88"/>
        <v>3</v>
      </c>
      <c r="D275" s="98">
        <v>1.5</v>
      </c>
      <c r="E275" s="98">
        <f t="shared" ref="E275" si="89">ROUNDUP(D275/0.15,0)</f>
        <v>10</v>
      </c>
      <c r="F275" s="98">
        <v>1.3</v>
      </c>
      <c r="G275" s="98">
        <v>0.16</v>
      </c>
      <c r="H275" s="98">
        <f t="shared" ref="H275" si="90">C275*E275*F275*G275</f>
        <v>6.24</v>
      </c>
    </row>
    <row r="276" spans="1:8" ht="15" customHeight="1">
      <c r="A276" s="97" t="str">
        <f t="shared" ref="A276:C276" si="91">A266</f>
        <v>P23=P25=P27</v>
      </c>
      <c r="B276" s="206" t="str">
        <f t="shared" si="91"/>
        <v>30x40x160</v>
      </c>
      <c r="C276" s="206">
        <f t="shared" si="91"/>
        <v>3</v>
      </c>
      <c r="D276" s="98">
        <v>2</v>
      </c>
      <c r="E276" s="98">
        <v>13</v>
      </c>
      <c r="F276" s="98">
        <v>1.3</v>
      </c>
      <c r="G276" s="98">
        <v>0.16</v>
      </c>
      <c r="H276" s="98">
        <f t="shared" si="83"/>
        <v>8.1120000000000001</v>
      </c>
    </row>
    <row r="277" spans="1:8" s="93" customFormat="1" ht="30" customHeight="1">
      <c r="A277" s="91" t="s">
        <v>13911</v>
      </c>
      <c r="B277" s="364" t="str">
        <f>VLOOKUP($A277,SERVICOS,4,FALSE)</f>
        <v>Fornecimento, Dobragem E Colocação Em Fôrma, De Armadura Ca-50 A Média, Diâmetro De 6.3 A 10.0 Mm</v>
      </c>
      <c r="C277" s="365"/>
      <c r="D277" s="365"/>
      <c r="E277" s="365"/>
      <c r="F277" s="366"/>
      <c r="G277" s="91" t="str">
        <f>VLOOKUP($A277,SERVICOS,5,FALSE)</f>
        <v>kg</v>
      </c>
      <c r="H277" s="92">
        <f>ROUND(SUM(H279:H281),2)</f>
        <v>61.22</v>
      </c>
    </row>
    <row r="278" spans="1:8" ht="25.5">
      <c r="A278" s="94" t="s">
        <v>938</v>
      </c>
      <c r="B278" s="95" t="s">
        <v>14480</v>
      </c>
      <c r="C278" s="95" t="s">
        <v>7319</v>
      </c>
      <c r="D278" s="95" t="s">
        <v>14497</v>
      </c>
      <c r="E278" s="94" t="s">
        <v>7320</v>
      </c>
      <c r="F278" s="94" t="s">
        <v>14496</v>
      </c>
      <c r="G278" s="94"/>
      <c r="H278" s="96"/>
    </row>
    <row r="279" spans="1:8" ht="15" customHeight="1">
      <c r="A279" s="97" t="str">
        <f t="shared" ref="A279:C281" si="92">A270</f>
        <v>P3=P19=P20=P21</v>
      </c>
      <c r="B279" s="206" t="str">
        <f t="shared" si="92"/>
        <v>15x30x120</v>
      </c>
      <c r="C279" s="98">
        <f t="shared" si="92"/>
        <v>4</v>
      </c>
      <c r="D279" s="98">
        <v>4</v>
      </c>
      <c r="E279" s="98">
        <v>2.04</v>
      </c>
      <c r="F279" s="98">
        <v>0.62</v>
      </c>
      <c r="G279" s="98" t="s">
        <v>12605</v>
      </c>
      <c r="H279" s="98">
        <f t="shared" ref="H279:H281" si="93">C279*D279*E279*F279*1.1</f>
        <v>22.260480000000001</v>
      </c>
    </row>
    <row r="280" spans="1:8" ht="15" customHeight="1">
      <c r="A280" s="97" t="str">
        <f t="shared" si="92"/>
        <v>P4=P5=P6</v>
      </c>
      <c r="B280" s="206" t="str">
        <f t="shared" si="92"/>
        <v>15x30x120</v>
      </c>
      <c r="C280" s="98">
        <f t="shared" si="92"/>
        <v>3</v>
      </c>
      <c r="D280" s="98">
        <v>4</v>
      </c>
      <c r="E280" s="98">
        <v>2.04</v>
      </c>
      <c r="F280" s="98">
        <v>0.62</v>
      </c>
      <c r="G280" s="98" t="s">
        <v>12605</v>
      </c>
      <c r="H280" s="98">
        <f t="shared" si="93"/>
        <v>16.695360000000001</v>
      </c>
    </row>
    <row r="281" spans="1:8" ht="15" customHeight="1">
      <c r="A281" s="97" t="str">
        <f t="shared" si="92"/>
        <v>P7=P8=P9=P10</v>
      </c>
      <c r="B281" s="206" t="str">
        <f t="shared" si="92"/>
        <v>20x30x120</v>
      </c>
      <c r="C281" s="98">
        <f t="shared" si="92"/>
        <v>4</v>
      </c>
      <c r="D281" s="98">
        <v>4</v>
      </c>
      <c r="E281" s="98">
        <v>2.04</v>
      </c>
      <c r="F281" s="98">
        <v>0.62</v>
      </c>
      <c r="G281" s="98" t="s">
        <v>12605</v>
      </c>
      <c r="H281" s="98">
        <f t="shared" si="93"/>
        <v>22.260480000000001</v>
      </c>
    </row>
    <row r="282" spans="1:8" s="93" customFormat="1" ht="30" customHeight="1">
      <c r="A282" s="91" t="s">
        <v>13912</v>
      </c>
      <c r="B282" s="364" t="str">
        <f>VLOOKUP($A282,SERVICOS,4,FALSE)</f>
        <v>Fornecimento, Dobragem E Colocação Em Fôrma, De Armadura Ca-50 A Grossa Diâmetro De 12.5 A 25.0 Mm (1/2 A 1")</v>
      </c>
      <c r="C282" s="365"/>
      <c r="D282" s="365"/>
      <c r="E282" s="365"/>
      <c r="F282" s="366"/>
      <c r="G282" s="91" t="str">
        <f>VLOOKUP($A282,SERVICOS,5,FALSE)</f>
        <v>kg</v>
      </c>
      <c r="H282" s="92">
        <f>ROUND(SUM(H284:H293),2)</f>
        <v>821.31</v>
      </c>
    </row>
    <row r="283" spans="1:8" ht="25.5">
      <c r="A283" s="94" t="s">
        <v>938</v>
      </c>
      <c r="B283" s="95" t="s">
        <v>14480</v>
      </c>
      <c r="C283" s="95" t="s">
        <v>7319</v>
      </c>
      <c r="D283" s="95" t="s">
        <v>14497</v>
      </c>
      <c r="E283" s="94" t="s">
        <v>7320</v>
      </c>
      <c r="F283" s="94" t="s">
        <v>14496</v>
      </c>
      <c r="G283" s="94"/>
      <c r="H283" s="96"/>
    </row>
    <row r="284" spans="1:8" ht="15" customHeight="1">
      <c r="A284" s="97" t="str">
        <f>A269</f>
        <v>P1=P2</v>
      </c>
      <c r="B284" s="206" t="str">
        <f>B269</f>
        <v>15x30x120</v>
      </c>
      <c r="C284" s="206">
        <f>C269</f>
        <v>2</v>
      </c>
      <c r="D284" s="98">
        <v>4</v>
      </c>
      <c r="E284" s="98">
        <v>2.14</v>
      </c>
      <c r="F284" s="98">
        <v>0.96</v>
      </c>
      <c r="G284" s="98" t="s">
        <v>14466</v>
      </c>
      <c r="H284" s="98">
        <f>C284*D284*E284*F284*1.1</f>
        <v>18.078720000000004</v>
      </c>
    </row>
    <row r="285" spans="1:8" ht="25.5">
      <c r="A285" s="204" t="str">
        <f>A273</f>
        <v>P11=P12=P13=P14=P15=P28=P29=P30=P31=P32</v>
      </c>
      <c r="B285" s="206" t="str">
        <f>B273</f>
        <v>30x60x100</v>
      </c>
      <c r="C285" s="206">
        <f>C273</f>
        <v>10</v>
      </c>
      <c r="D285" s="98">
        <v>4</v>
      </c>
      <c r="E285" s="98">
        <v>2.14</v>
      </c>
      <c r="F285" s="98">
        <v>0.96</v>
      </c>
      <c r="G285" s="98" t="s">
        <v>14466</v>
      </c>
      <c r="H285" s="98">
        <f>C285*D285*E285*F285*1.1</f>
        <v>90.393600000000006</v>
      </c>
    </row>
    <row r="286" spans="1:8" ht="15" customHeight="1">
      <c r="A286" s="204" t="str">
        <f t="shared" ref="A286:C288" si="94">A274</f>
        <v>P16=P17=P18=P33=P34=P35</v>
      </c>
      <c r="B286" s="206" t="str">
        <f t="shared" si="94"/>
        <v>30x60x150</v>
      </c>
      <c r="C286" s="206">
        <f t="shared" si="94"/>
        <v>6</v>
      </c>
      <c r="D286" s="98">
        <v>4</v>
      </c>
      <c r="E286" s="98">
        <v>2.64</v>
      </c>
      <c r="F286" s="98">
        <v>0.96</v>
      </c>
      <c r="G286" s="98" t="s">
        <v>14466</v>
      </c>
      <c r="H286" s="98">
        <f>C286*D286*E286*F286*1.1</f>
        <v>66.908159999999995</v>
      </c>
    </row>
    <row r="287" spans="1:8" ht="15" customHeight="1">
      <c r="A287" s="204" t="str">
        <f t="shared" si="94"/>
        <v>P22=P24=P26</v>
      </c>
      <c r="B287" s="206" t="str">
        <f t="shared" si="94"/>
        <v>30x40x110</v>
      </c>
      <c r="C287" s="206">
        <f t="shared" si="94"/>
        <v>3</v>
      </c>
      <c r="D287" s="98">
        <v>4</v>
      </c>
      <c r="E287" s="98">
        <v>2.14</v>
      </c>
      <c r="F287" s="98">
        <v>0.96</v>
      </c>
      <c r="G287" s="98" t="s">
        <v>14466</v>
      </c>
      <c r="H287" s="98">
        <f>C287*D287*E287*F287*1.1</f>
        <v>27.118080000000003</v>
      </c>
    </row>
    <row r="288" spans="1:8" ht="15" customHeight="1">
      <c r="A288" s="204" t="str">
        <f t="shared" si="94"/>
        <v>P23=P25=P27</v>
      </c>
      <c r="B288" s="206" t="str">
        <f t="shared" si="94"/>
        <v>30x40x160</v>
      </c>
      <c r="C288" s="206">
        <f t="shared" si="94"/>
        <v>3</v>
      </c>
      <c r="D288" s="98">
        <v>4</v>
      </c>
      <c r="E288" s="98">
        <v>2.64</v>
      </c>
      <c r="F288" s="98">
        <v>0.96</v>
      </c>
      <c r="G288" s="98" t="s">
        <v>14466</v>
      </c>
      <c r="H288" s="98">
        <f>C288*D288*E288*F288*1.1</f>
        <v>33.454079999999998</v>
      </c>
    </row>
    <row r="289" spans="1:8" ht="15" customHeight="1">
      <c r="A289" s="204"/>
      <c r="B289" s="206"/>
      <c r="C289" s="98"/>
      <c r="D289" s="98"/>
      <c r="E289" s="98"/>
      <c r="F289" s="98"/>
      <c r="G289" s="98"/>
      <c r="H289" s="98"/>
    </row>
    <row r="290" spans="1:8" ht="25.5">
      <c r="A290" s="204" t="str">
        <f>A273</f>
        <v>P11=P12=P13=P14=P15=P28=P29=P30=P31=P32</v>
      </c>
      <c r="B290" s="206" t="str">
        <f>B273</f>
        <v>30x60x100</v>
      </c>
      <c r="C290" s="206">
        <f>C273</f>
        <v>10</v>
      </c>
      <c r="D290" s="98">
        <v>8</v>
      </c>
      <c r="E290" s="98">
        <v>2.2400000000000002</v>
      </c>
      <c r="F290" s="98">
        <v>1.58</v>
      </c>
      <c r="G290" s="98" t="s">
        <v>12627</v>
      </c>
      <c r="H290" s="98">
        <f t="shared" ref="H290:H291" si="95">C290*D290*E290*F290</f>
        <v>283.13600000000002</v>
      </c>
    </row>
    <row r="291" spans="1:8" ht="15" customHeight="1">
      <c r="A291" s="204" t="str">
        <f t="shared" ref="A291:C293" si="96">A274</f>
        <v>P16=P17=P18=P33=P34=P35</v>
      </c>
      <c r="B291" s="206" t="str">
        <f t="shared" si="96"/>
        <v>30x60x150</v>
      </c>
      <c r="C291" s="206">
        <f t="shared" si="96"/>
        <v>6</v>
      </c>
      <c r="D291" s="98">
        <v>8</v>
      </c>
      <c r="E291" s="98">
        <v>2.74</v>
      </c>
      <c r="F291" s="98">
        <v>1.58</v>
      </c>
      <c r="G291" s="98" t="s">
        <v>12627</v>
      </c>
      <c r="H291" s="98">
        <f t="shared" si="95"/>
        <v>207.80160000000004</v>
      </c>
    </row>
    <row r="292" spans="1:8" ht="15" customHeight="1">
      <c r="A292" s="204" t="str">
        <f t="shared" si="96"/>
        <v>P22=P24=P26</v>
      </c>
      <c r="B292" s="206" t="str">
        <f t="shared" si="96"/>
        <v>30x40x110</v>
      </c>
      <c r="C292" s="206">
        <f t="shared" si="96"/>
        <v>3</v>
      </c>
      <c r="D292" s="98">
        <v>4</v>
      </c>
      <c r="E292" s="98">
        <v>2.2400000000000002</v>
      </c>
      <c r="F292" s="98">
        <v>1.58</v>
      </c>
      <c r="G292" s="98" t="s">
        <v>12627</v>
      </c>
      <c r="H292" s="98">
        <f t="shared" ref="H292:H293" si="97">C292*D292*E292*F292</f>
        <v>42.470400000000005</v>
      </c>
    </row>
    <row r="293" spans="1:8" ht="15" customHeight="1">
      <c r="A293" s="204" t="str">
        <f t="shared" si="96"/>
        <v>P23=P25=P27</v>
      </c>
      <c r="B293" s="206" t="str">
        <f t="shared" si="96"/>
        <v>30x40x160</v>
      </c>
      <c r="C293" s="206">
        <f t="shared" si="96"/>
        <v>3</v>
      </c>
      <c r="D293" s="98">
        <v>4</v>
      </c>
      <c r="E293" s="98">
        <v>2.74</v>
      </c>
      <c r="F293" s="98">
        <v>1.58</v>
      </c>
      <c r="G293" s="98" t="s">
        <v>12627</v>
      </c>
      <c r="H293" s="98">
        <f t="shared" si="97"/>
        <v>51.950400000000009</v>
      </c>
    </row>
    <row r="294" spans="1:8" s="93" customFormat="1" ht="45" customHeight="1">
      <c r="A294" s="91" t="s">
        <v>14204</v>
      </c>
      <c r="B294" s="364" t="str">
        <f>VLOOKUP($A294,SERVICOS,4,FALSE)</f>
        <v>Fornecimento E Aplicação De Concreto Usinado Fck=25 Mpa - Considerando Lançamento Manual Para Infra-Estrutura (5% De Perdas Já Incluído No Custo)</v>
      </c>
      <c r="C294" s="365"/>
      <c r="D294" s="365"/>
      <c r="E294" s="365"/>
      <c r="F294" s="366"/>
      <c r="G294" s="91" t="str">
        <f>VLOOKUP($A294,SERVICOS,5,FALSE)</f>
        <v>m3</v>
      </c>
      <c r="H294" s="92">
        <f>ROUND(SUM(H296:H303),2)</f>
        <v>5.17</v>
      </c>
    </row>
    <row r="295" spans="1:8" ht="25.5">
      <c r="A295" s="94" t="s">
        <v>938</v>
      </c>
      <c r="B295" s="95" t="s">
        <v>14480</v>
      </c>
      <c r="C295" s="95" t="s">
        <v>7319</v>
      </c>
      <c r="D295" s="95" t="s">
        <v>14191</v>
      </c>
      <c r="E295" s="94" t="s">
        <v>7320</v>
      </c>
      <c r="F295" s="94" t="s">
        <v>14192</v>
      </c>
      <c r="G295" s="94"/>
      <c r="H295" s="96"/>
    </row>
    <row r="296" spans="1:8" ht="15" customHeight="1">
      <c r="A296" s="97" t="str">
        <f>A259</f>
        <v>P1=P2</v>
      </c>
      <c r="B296" s="206" t="str">
        <f>B259</f>
        <v>15x30x120</v>
      </c>
      <c r="C296" s="206">
        <f t="shared" ref="C296:F296" si="98">C259</f>
        <v>2</v>
      </c>
      <c r="D296" s="206">
        <f t="shared" si="98"/>
        <v>0.15</v>
      </c>
      <c r="E296" s="206">
        <f t="shared" si="98"/>
        <v>0.3</v>
      </c>
      <c r="F296" s="206">
        <f t="shared" si="98"/>
        <v>1.2</v>
      </c>
      <c r="G296" s="98"/>
      <c r="H296" s="98">
        <f>C296*D296*E296*F296</f>
        <v>0.108</v>
      </c>
    </row>
    <row r="297" spans="1:8" ht="15" customHeight="1">
      <c r="A297" s="97" t="str">
        <f t="shared" ref="A297:F303" si="99">A260</f>
        <v>P3=P19=P20=P21</v>
      </c>
      <c r="B297" s="206" t="str">
        <f t="shared" ref="B297:F297" si="100">B260</f>
        <v>15x30x120</v>
      </c>
      <c r="C297" s="206">
        <f t="shared" si="100"/>
        <v>4</v>
      </c>
      <c r="D297" s="206">
        <f t="shared" si="100"/>
        <v>0.15</v>
      </c>
      <c r="E297" s="206">
        <f t="shared" si="100"/>
        <v>0.3</v>
      </c>
      <c r="F297" s="206">
        <f t="shared" si="100"/>
        <v>1.2</v>
      </c>
      <c r="G297" s="98"/>
      <c r="H297" s="98">
        <f t="shared" ref="H297:H303" si="101">C297*D297*E297*F297</f>
        <v>0.216</v>
      </c>
    </row>
    <row r="298" spans="1:8" ht="15" customHeight="1">
      <c r="A298" s="97" t="str">
        <f t="shared" si="99"/>
        <v>P4=P5=P6</v>
      </c>
      <c r="B298" s="206" t="str">
        <f t="shared" ref="B298:F298" si="102">B261</f>
        <v>15x30x120</v>
      </c>
      <c r="C298" s="206">
        <f t="shared" si="102"/>
        <v>3</v>
      </c>
      <c r="D298" s="206">
        <f t="shared" si="102"/>
        <v>0.15</v>
      </c>
      <c r="E298" s="206">
        <f t="shared" si="102"/>
        <v>0.3</v>
      </c>
      <c r="F298" s="206">
        <f t="shared" si="102"/>
        <v>1.2</v>
      </c>
      <c r="G298" s="98"/>
      <c r="H298" s="98">
        <f t="shared" si="101"/>
        <v>0.16199999999999998</v>
      </c>
    </row>
    <row r="299" spans="1:8" ht="45" customHeight="1">
      <c r="A299" s="97" t="str">
        <f t="shared" si="99"/>
        <v>P7=P8=P9=P10</v>
      </c>
      <c r="B299" s="206" t="str">
        <f t="shared" ref="B299:F299" si="103">B262</f>
        <v>20x30x120</v>
      </c>
      <c r="C299" s="206">
        <f t="shared" si="103"/>
        <v>4</v>
      </c>
      <c r="D299" s="206">
        <f t="shared" si="103"/>
        <v>0.2</v>
      </c>
      <c r="E299" s="206">
        <f t="shared" si="103"/>
        <v>0.3</v>
      </c>
      <c r="F299" s="206">
        <f t="shared" si="103"/>
        <v>1.2</v>
      </c>
      <c r="G299" s="98"/>
      <c r="H299" s="98">
        <f t="shared" si="101"/>
        <v>0.28799999999999998</v>
      </c>
    </row>
    <row r="300" spans="1:8" ht="15" customHeight="1">
      <c r="A300" s="97" t="str">
        <f t="shared" si="99"/>
        <v>P11=P12=P13=P14=P15=P28=P29=P30=P31=P32</v>
      </c>
      <c r="B300" s="206" t="str">
        <f t="shared" ref="B300:F300" si="104">B263</f>
        <v>30x60x100</v>
      </c>
      <c r="C300" s="206">
        <f t="shared" si="104"/>
        <v>10</v>
      </c>
      <c r="D300" s="206">
        <f t="shared" si="104"/>
        <v>0.3</v>
      </c>
      <c r="E300" s="206">
        <f t="shared" si="104"/>
        <v>0.6</v>
      </c>
      <c r="F300" s="206">
        <f t="shared" si="104"/>
        <v>1</v>
      </c>
      <c r="G300" s="98"/>
      <c r="H300" s="98">
        <f t="shared" si="101"/>
        <v>1.7999999999999998</v>
      </c>
    </row>
    <row r="301" spans="1:8" ht="15" customHeight="1">
      <c r="A301" s="97" t="str">
        <f t="shared" si="99"/>
        <v>P16=P17=P18=P33=P34=P35</v>
      </c>
      <c r="B301" s="206" t="str">
        <f t="shared" ref="B301:F301" si="105">B264</f>
        <v>30x60x150</v>
      </c>
      <c r="C301" s="206">
        <f t="shared" si="105"/>
        <v>6</v>
      </c>
      <c r="D301" s="206">
        <f t="shared" si="105"/>
        <v>0.3</v>
      </c>
      <c r="E301" s="206">
        <f t="shared" si="105"/>
        <v>0.6</v>
      </c>
      <c r="F301" s="206">
        <f t="shared" si="105"/>
        <v>1.5</v>
      </c>
      <c r="G301" s="98"/>
      <c r="H301" s="98">
        <f t="shared" si="101"/>
        <v>1.6199999999999997</v>
      </c>
    </row>
    <row r="302" spans="1:8" ht="15" customHeight="1">
      <c r="A302" s="97" t="str">
        <f t="shared" si="99"/>
        <v>P22=P24=P26</v>
      </c>
      <c r="B302" s="206" t="str">
        <f t="shared" si="99"/>
        <v>30x40x110</v>
      </c>
      <c r="C302" s="206">
        <f t="shared" si="99"/>
        <v>3</v>
      </c>
      <c r="D302" s="206">
        <f t="shared" si="99"/>
        <v>0.3</v>
      </c>
      <c r="E302" s="206">
        <f t="shared" si="99"/>
        <v>0.4</v>
      </c>
      <c r="F302" s="206">
        <f t="shared" si="99"/>
        <v>1.1000000000000001</v>
      </c>
      <c r="G302" s="98"/>
      <c r="H302" s="98">
        <f t="shared" ref="H302" si="106">C302*D302*E302*F302</f>
        <v>0.39600000000000002</v>
      </c>
    </row>
    <row r="303" spans="1:8" ht="15" customHeight="1">
      <c r="A303" s="97" t="str">
        <f t="shared" si="99"/>
        <v>P23=P25=P27</v>
      </c>
      <c r="B303" s="206" t="str">
        <f t="shared" si="99"/>
        <v>30x40x160</v>
      </c>
      <c r="C303" s="206">
        <f t="shared" si="99"/>
        <v>3</v>
      </c>
      <c r="D303" s="206">
        <f t="shared" si="99"/>
        <v>0.3</v>
      </c>
      <c r="E303" s="206">
        <f t="shared" si="99"/>
        <v>0.4</v>
      </c>
      <c r="F303" s="206">
        <f t="shared" si="99"/>
        <v>1.6</v>
      </c>
      <c r="G303" s="98"/>
      <c r="H303" s="98">
        <f t="shared" si="101"/>
        <v>0.57599999999999996</v>
      </c>
    </row>
    <row r="304" spans="1:8" ht="15" customHeight="1">
      <c r="A304" s="89" t="s">
        <v>14487</v>
      </c>
      <c r="B304" s="226" t="str">
        <f>VLOOKUP($A304,SERVICOS,4,FALSE)</f>
        <v>VIGAS BALDRAMES</v>
      </c>
      <c r="C304" s="226"/>
      <c r="D304" s="226"/>
      <c r="E304" s="226"/>
      <c r="F304" s="226"/>
      <c r="G304" s="226"/>
      <c r="H304" s="226"/>
    </row>
    <row r="305" spans="1:8" s="93" customFormat="1" ht="45" customHeight="1">
      <c r="A305" s="91" t="s">
        <v>14489</v>
      </c>
      <c r="B305" s="364" t="str">
        <f>VLOOKUP($A305,SERVICOS,4,FALSE)</f>
        <v>Fornecimento, Preparo E Aplicação De Concreto Magro Com Consumo Mínimo De Cimento De 250 Kg/M3 (Brita 1 E 2) - (5% De Perdas Já Incluído No Custo)</v>
      </c>
      <c r="C305" s="365"/>
      <c r="D305" s="365"/>
      <c r="E305" s="365"/>
      <c r="F305" s="366"/>
      <c r="G305" s="91" t="str">
        <f>VLOOKUP($A305,SERVICOS,5,FALSE)</f>
        <v>m3</v>
      </c>
      <c r="H305" s="92">
        <f>ROUND(SUM(H307:H317),2)</f>
        <v>1.43</v>
      </c>
    </row>
    <row r="306" spans="1:8" ht="25.5">
      <c r="A306" s="94" t="s">
        <v>938</v>
      </c>
      <c r="B306" s="95" t="s">
        <v>14480</v>
      </c>
      <c r="C306" s="94" t="s">
        <v>7319</v>
      </c>
      <c r="D306" s="95" t="s">
        <v>14191</v>
      </c>
      <c r="E306" s="94" t="s">
        <v>7320</v>
      </c>
      <c r="F306" s="95" t="s">
        <v>14192</v>
      </c>
      <c r="G306" s="94"/>
      <c r="H306" s="96"/>
    </row>
    <row r="307" spans="1:8" ht="15" customHeight="1">
      <c r="A307" s="97" t="str">
        <f>A118</f>
        <v>V1</v>
      </c>
      <c r="B307" s="98" t="str">
        <f>B118</f>
        <v>15x40</v>
      </c>
      <c r="C307" s="98">
        <f t="shared" ref="C307:E307" si="107">C118</f>
        <v>1</v>
      </c>
      <c r="D307" s="98">
        <v>0.15</v>
      </c>
      <c r="E307" s="98">
        <f t="shared" si="107"/>
        <v>20.2</v>
      </c>
      <c r="F307" s="98">
        <v>0.05</v>
      </c>
      <c r="G307" s="206"/>
      <c r="H307" s="98">
        <f t="shared" ref="H307:H317" si="108">C307*D307*E307*F307</f>
        <v>0.1515</v>
      </c>
    </row>
    <row r="308" spans="1:8" ht="15" customHeight="1">
      <c r="A308" s="97" t="s">
        <v>14482</v>
      </c>
      <c r="B308" s="98" t="str">
        <f t="shared" ref="B308:E308" si="109">B119</f>
        <v>20x40</v>
      </c>
      <c r="C308" s="98">
        <f t="shared" si="109"/>
        <v>1</v>
      </c>
      <c r="D308" s="98">
        <v>0.2</v>
      </c>
      <c r="E308" s="98">
        <f t="shared" si="109"/>
        <v>11.99</v>
      </c>
      <c r="F308" s="98">
        <v>0.05</v>
      </c>
      <c r="G308" s="206"/>
      <c r="H308" s="98">
        <f t="shared" si="108"/>
        <v>0.11990000000000001</v>
      </c>
    </row>
    <row r="309" spans="1:8" ht="15" customHeight="1">
      <c r="A309" s="97" t="s">
        <v>14483</v>
      </c>
      <c r="B309" s="98" t="str">
        <f t="shared" ref="B309:E309" si="110">B120</f>
        <v>20x80</v>
      </c>
      <c r="C309" s="98">
        <f t="shared" si="110"/>
        <v>1</v>
      </c>
      <c r="D309" s="98">
        <v>0.2</v>
      </c>
      <c r="E309" s="98">
        <f t="shared" si="110"/>
        <v>8.64</v>
      </c>
      <c r="F309" s="98">
        <v>0.05</v>
      </c>
      <c r="G309" s="206"/>
      <c r="H309" s="98">
        <f t="shared" si="108"/>
        <v>8.6400000000000018E-2</v>
      </c>
    </row>
    <row r="310" spans="1:8" ht="15" customHeight="1">
      <c r="A310" s="97" t="s">
        <v>14481</v>
      </c>
      <c r="B310" s="98" t="str">
        <f t="shared" ref="B310:E310" si="111">B121</f>
        <v>15x50</v>
      </c>
      <c r="C310" s="98">
        <f t="shared" si="111"/>
        <v>1</v>
      </c>
      <c r="D310" s="98">
        <v>0.15</v>
      </c>
      <c r="E310" s="98">
        <f t="shared" si="111"/>
        <v>35.400000000000006</v>
      </c>
      <c r="F310" s="98">
        <v>0.05</v>
      </c>
      <c r="G310" s="206"/>
      <c r="H310" s="98">
        <f t="shared" si="108"/>
        <v>0.26550000000000001</v>
      </c>
    </row>
    <row r="311" spans="1:8" ht="15" customHeight="1">
      <c r="A311" s="97" t="s">
        <v>14641</v>
      </c>
      <c r="B311" s="98" t="str">
        <f t="shared" ref="B311:E311" si="112">B122</f>
        <v>15x40</v>
      </c>
      <c r="C311" s="98">
        <f t="shared" si="112"/>
        <v>1</v>
      </c>
      <c r="D311" s="98">
        <v>0.15</v>
      </c>
      <c r="E311" s="98">
        <f t="shared" si="112"/>
        <v>4.3499999999999996</v>
      </c>
      <c r="F311" s="98">
        <v>0.05</v>
      </c>
      <c r="G311" s="206"/>
      <c r="H311" s="98">
        <f t="shared" ref="H311" si="113">C311*D311*E311*F311</f>
        <v>3.2625000000000001E-2</v>
      </c>
    </row>
    <row r="312" spans="1:8" ht="15" customHeight="1">
      <c r="A312" s="97" t="s">
        <v>14642</v>
      </c>
      <c r="B312" s="98" t="str">
        <f t="shared" ref="B312:E312" si="114">B123</f>
        <v>15x50</v>
      </c>
      <c r="C312" s="98">
        <f t="shared" si="114"/>
        <v>1</v>
      </c>
      <c r="D312" s="98">
        <v>0.15</v>
      </c>
      <c r="E312" s="98">
        <f t="shared" si="114"/>
        <v>28.5</v>
      </c>
      <c r="F312" s="98">
        <v>0.05</v>
      </c>
      <c r="G312" s="206"/>
      <c r="H312" s="98">
        <f t="shared" si="108"/>
        <v>0.21375</v>
      </c>
    </row>
    <row r="313" spans="1:8" ht="15" customHeight="1">
      <c r="A313" s="97" t="s">
        <v>14643</v>
      </c>
      <c r="B313" s="98" t="str">
        <f t="shared" ref="B313:E313" si="115">B124</f>
        <v>15x80</v>
      </c>
      <c r="C313" s="98">
        <f t="shared" si="115"/>
        <v>1</v>
      </c>
      <c r="D313" s="98">
        <v>0.15</v>
      </c>
      <c r="E313" s="98">
        <f t="shared" si="115"/>
        <v>11.4</v>
      </c>
      <c r="F313" s="98">
        <v>0.05</v>
      </c>
      <c r="G313" s="206"/>
      <c r="H313" s="98">
        <f t="shared" si="108"/>
        <v>8.5500000000000007E-2</v>
      </c>
    </row>
    <row r="314" spans="1:8" ht="15" customHeight="1">
      <c r="A314" s="97" t="s">
        <v>14644</v>
      </c>
      <c r="B314" s="98" t="str">
        <f t="shared" ref="B314:E314" si="116">B125</f>
        <v>15x50</v>
      </c>
      <c r="C314" s="98">
        <f t="shared" si="116"/>
        <v>1</v>
      </c>
      <c r="D314" s="98">
        <v>0.15</v>
      </c>
      <c r="E314" s="98">
        <f t="shared" si="116"/>
        <v>23.4</v>
      </c>
      <c r="F314" s="98">
        <v>0.05</v>
      </c>
      <c r="G314" s="206"/>
      <c r="H314" s="98">
        <f t="shared" si="108"/>
        <v>0.17549999999999999</v>
      </c>
    </row>
    <row r="315" spans="1:8" ht="15" customHeight="1">
      <c r="A315" s="97" t="s">
        <v>14645</v>
      </c>
      <c r="B315" s="98" t="str">
        <f t="shared" ref="B315:E315" si="117">B126</f>
        <v>15x40</v>
      </c>
      <c r="C315" s="98">
        <f t="shared" si="117"/>
        <v>4</v>
      </c>
      <c r="D315" s="98">
        <v>0.15</v>
      </c>
      <c r="E315" s="98">
        <f t="shared" si="117"/>
        <v>3.5</v>
      </c>
      <c r="F315" s="98">
        <v>0.05</v>
      </c>
      <c r="G315" s="206"/>
      <c r="H315" s="98">
        <f t="shared" si="108"/>
        <v>0.10500000000000001</v>
      </c>
    </row>
    <row r="316" spans="1:8" ht="15" customHeight="1">
      <c r="A316" s="97" t="s">
        <v>14646</v>
      </c>
      <c r="B316" s="98" t="str">
        <f t="shared" ref="B316:E316" si="118">B127</f>
        <v>15x40</v>
      </c>
      <c r="C316" s="98">
        <f t="shared" si="118"/>
        <v>1</v>
      </c>
      <c r="D316" s="98">
        <v>0.15</v>
      </c>
      <c r="E316" s="98">
        <f t="shared" si="118"/>
        <v>3.08</v>
      </c>
      <c r="F316" s="98">
        <v>0.05</v>
      </c>
      <c r="G316" s="206"/>
      <c r="H316" s="98">
        <f t="shared" ref="H316" si="119">C316*D316*E316*F316</f>
        <v>2.3099999999999999E-2</v>
      </c>
    </row>
    <row r="317" spans="1:8" ht="15" customHeight="1">
      <c r="A317" s="97" t="s">
        <v>14647</v>
      </c>
      <c r="B317" s="98" t="str">
        <f t="shared" ref="B317:E317" si="120">B128</f>
        <v>15x80</v>
      </c>
      <c r="C317" s="98">
        <f t="shared" si="120"/>
        <v>1</v>
      </c>
      <c r="D317" s="98">
        <v>0.15</v>
      </c>
      <c r="E317" s="98">
        <f t="shared" si="120"/>
        <v>23.099999999999998</v>
      </c>
      <c r="F317" s="98">
        <v>0.05</v>
      </c>
      <c r="G317" s="206"/>
      <c r="H317" s="98">
        <f t="shared" si="108"/>
        <v>0.17324999999999999</v>
      </c>
    </row>
    <row r="318" spans="1:8" s="93" customFormat="1" ht="45" customHeight="1">
      <c r="A318" s="91" t="s">
        <v>14490</v>
      </c>
      <c r="B318" s="364" t="str">
        <f>VLOOKUP($A318,SERVICOS,4,FALSE)</f>
        <v>Fôrma De Tábua De Madeira De 2.5X30.0Cm, Levando-Se Em Conta Utilização 1 Vez (Incluindo O Material, Corte, Montagem, Escoramento E Desforma)</v>
      </c>
      <c r="C318" s="365"/>
      <c r="D318" s="365"/>
      <c r="E318" s="365"/>
      <c r="F318" s="366"/>
      <c r="G318" s="91" t="str">
        <f>VLOOKUP($A318,SERVICOS,5,FALSE)</f>
        <v>m2</v>
      </c>
      <c r="H318" s="92">
        <f>ROUND(SUM(H320:H330),2)</f>
        <v>217.63</v>
      </c>
    </row>
    <row r="319" spans="1:8" ht="25.5">
      <c r="A319" s="94" t="s">
        <v>938</v>
      </c>
      <c r="B319" s="95" t="s">
        <v>14480</v>
      </c>
      <c r="C319" s="94" t="s">
        <v>7319</v>
      </c>
      <c r="D319" s="94" t="s">
        <v>7320</v>
      </c>
      <c r="E319" s="95" t="s">
        <v>14192</v>
      </c>
      <c r="F319" s="95"/>
      <c r="G319" s="94"/>
      <c r="H319" s="96"/>
    </row>
    <row r="320" spans="1:8" ht="15" customHeight="1">
      <c r="A320" s="97" t="str">
        <f>A307</f>
        <v>V1</v>
      </c>
      <c r="B320" s="98" t="str">
        <f>B307</f>
        <v>15x40</v>
      </c>
      <c r="C320" s="98">
        <f>C307</f>
        <v>1</v>
      </c>
      <c r="D320" s="98">
        <f>E307</f>
        <v>20.2</v>
      </c>
      <c r="E320" s="98">
        <v>0.45</v>
      </c>
      <c r="F320" s="98"/>
      <c r="G320" s="206"/>
      <c r="H320" s="98">
        <f>C320*(D320*2)*E320</f>
        <v>18.18</v>
      </c>
    </row>
    <row r="321" spans="1:8" ht="15" customHeight="1">
      <c r="A321" s="97" t="str">
        <f t="shared" ref="A321:C321" si="121">A308</f>
        <v>V2-A</v>
      </c>
      <c r="B321" s="98" t="str">
        <f t="shared" si="121"/>
        <v>20x40</v>
      </c>
      <c r="C321" s="98">
        <f t="shared" si="121"/>
        <v>1</v>
      </c>
      <c r="D321" s="98">
        <f t="shared" ref="D321:D330" si="122">E308</f>
        <v>11.99</v>
      </c>
      <c r="E321" s="98">
        <v>0.45</v>
      </c>
      <c r="F321" s="98"/>
      <c r="G321" s="206"/>
      <c r="H321" s="98">
        <f t="shared" ref="H321:H330" si="123">C321*(D321*2)*E321</f>
        <v>10.791</v>
      </c>
    </row>
    <row r="322" spans="1:8" ht="15" customHeight="1">
      <c r="A322" s="97" t="str">
        <f t="shared" ref="A322:C322" si="124">A309</f>
        <v>V2-B</v>
      </c>
      <c r="B322" s="98" t="str">
        <f t="shared" si="124"/>
        <v>20x80</v>
      </c>
      <c r="C322" s="98">
        <f t="shared" si="124"/>
        <v>1</v>
      </c>
      <c r="D322" s="98">
        <f t="shared" si="122"/>
        <v>8.64</v>
      </c>
      <c r="E322" s="98">
        <v>0.85</v>
      </c>
      <c r="F322" s="98"/>
      <c r="G322" s="206"/>
      <c r="H322" s="98">
        <f t="shared" si="123"/>
        <v>14.688000000000001</v>
      </c>
    </row>
    <row r="323" spans="1:8" ht="15" customHeight="1">
      <c r="A323" s="97" t="str">
        <f t="shared" ref="A323:C323" si="125">A310</f>
        <v>V3</v>
      </c>
      <c r="B323" s="98" t="str">
        <f t="shared" si="125"/>
        <v>15x50</v>
      </c>
      <c r="C323" s="98">
        <f t="shared" si="125"/>
        <v>1</v>
      </c>
      <c r="D323" s="98">
        <f t="shared" si="122"/>
        <v>35.400000000000006</v>
      </c>
      <c r="E323" s="98">
        <v>0.55000000000000004</v>
      </c>
      <c r="F323" s="98"/>
      <c r="G323" s="206"/>
      <c r="H323" s="98">
        <f t="shared" si="123"/>
        <v>38.940000000000012</v>
      </c>
    </row>
    <row r="324" spans="1:8" ht="15" customHeight="1">
      <c r="A324" s="97" t="str">
        <f t="shared" ref="A324:C324" si="126">A311</f>
        <v>V4</v>
      </c>
      <c r="B324" s="98" t="str">
        <f t="shared" si="126"/>
        <v>15x40</v>
      </c>
      <c r="C324" s="98">
        <f t="shared" si="126"/>
        <v>1</v>
      </c>
      <c r="D324" s="98">
        <f t="shared" si="122"/>
        <v>4.3499999999999996</v>
      </c>
      <c r="E324" s="98">
        <v>0.45</v>
      </c>
      <c r="F324" s="98"/>
      <c r="G324" s="206"/>
      <c r="H324" s="98">
        <f t="shared" si="123"/>
        <v>3.9149999999999996</v>
      </c>
    </row>
    <row r="325" spans="1:8" ht="15" customHeight="1">
      <c r="A325" s="97" t="str">
        <f t="shared" ref="A325:C325" si="127">A312</f>
        <v>V5-A</v>
      </c>
      <c r="B325" s="98" t="str">
        <f t="shared" si="127"/>
        <v>15x50</v>
      </c>
      <c r="C325" s="98">
        <f t="shared" si="127"/>
        <v>1</v>
      </c>
      <c r="D325" s="98">
        <f t="shared" si="122"/>
        <v>28.5</v>
      </c>
      <c r="E325" s="98">
        <v>0.55000000000000004</v>
      </c>
      <c r="F325" s="98"/>
      <c r="G325" s="206"/>
      <c r="H325" s="98">
        <f t="shared" si="123"/>
        <v>31.35</v>
      </c>
    </row>
    <row r="326" spans="1:8" ht="15" customHeight="1">
      <c r="A326" s="97" t="str">
        <f t="shared" ref="A326:C326" si="128">A313</f>
        <v>V5-B</v>
      </c>
      <c r="B326" s="98" t="str">
        <f t="shared" si="128"/>
        <v>15x80</v>
      </c>
      <c r="C326" s="98">
        <f t="shared" si="128"/>
        <v>1</v>
      </c>
      <c r="D326" s="98">
        <f t="shared" si="122"/>
        <v>11.4</v>
      </c>
      <c r="E326" s="98">
        <v>0.85</v>
      </c>
      <c r="F326" s="98"/>
      <c r="G326" s="206"/>
      <c r="H326" s="98">
        <f t="shared" si="123"/>
        <v>19.38</v>
      </c>
    </row>
    <row r="327" spans="1:8" ht="15" customHeight="1">
      <c r="A327" s="97" t="str">
        <f t="shared" ref="A327:C327" si="129">A314</f>
        <v>V6</v>
      </c>
      <c r="B327" s="98" t="str">
        <f t="shared" si="129"/>
        <v>15x50</v>
      </c>
      <c r="C327" s="98">
        <f t="shared" si="129"/>
        <v>1</v>
      </c>
      <c r="D327" s="98">
        <f t="shared" si="122"/>
        <v>23.4</v>
      </c>
      <c r="E327" s="98">
        <v>0.55000000000000004</v>
      </c>
      <c r="F327" s="98"/>
      <c r="G327" s="206"/>
      <c r="H327" s="98">
        <f t="shared" ref="H327:H328" si="130">C327*(D327*2)*E327</f>
        <v>25.740000000000002</v>
      </c>
    </row>
    <row r="328" spans="1:8" ht="15" customHeight="1">
      <c r="A328" s="97" t="str">
        <f t="shared" ref="A328:C328" si="131">A315</f>
        <v>V7=V8=V9=V10</v>
      </c>
      <c r="B328" s="98" t="str">
        <f t="shared" si="131"/>
        <v>15x40</v>
      </c>
      <c r="C328" s="98">
        <f t="shared" si="131"/>
        <v>4</v>
      </c>
      <c r="D328" s="98">
        <f t="shared" si="122"/>
        <v>3.5</v>
      </c>
      <c r="E328" s="98">
        <v>0.45</v>
      </c>
      <c r="F328" s="98"/>
      <c r="G328" s="206"/>
      <c r="H328" s="98">
        <f t="shared" si="130"/>
        <v>12.6</v>
      </c>
    </row>
    <row r="329" spans="1:8" ht="15" customHeight="1">
      <c r="A329" s="97" t="str">
        <f t="shared" ref="A329:C329" si="132">A316</f>
        <v>V11</v>
      </c>
      <c r="B329" s="98" t="str">
        <f t="shared" si="132"/>
        <v>15x40</v>
      </c>
      <c r="C329" s="98">
        <f t="shared" si="132"/>
        <v>1</v>
      </c>
      <c r="D329" s="98">
        <f t="shared" si="122"/>
        <v>3.08</v>
      </c>
      <c r="E329" s="98">
        <v>0.45</v>
      </c>
      <c r="F329" s="98"/>
      <c r="G329" s="206"/>
      <c r="H329" s="98">
        <f t="shared" si="123"/>
        <v>2.7720000000000002</v>
      </c>
    </row>
    <row r="330" spans="1:8" ht="15" customHeight="1">
      <c r="A330" s="97" t="str">
        <f t="shared" ref="A330:C330" si="133">A317</f>
        <v>V12</v>
      </c>
      <c r="B330" s="98" t="str">
        <f t="shared" si="133"/>
        <v>15x80</v>
      </c>
      <c r="C330" s="98">
        <f t="shared" si="133"/>
        <v>1</v>
      </c>
      <c r="D330" s="98">
        <f t="shared" si="122"/>
        <v>23.099999999999998</v>
      </c>
      <c r="E330" s="98">
        <v>0.85</v>
      </c>
      <c r="F330" s="98"/>
      <c r="G330" s="206"/>
      <c r="H330" s="98">
        <f t="shared" si="123"/>
        <v>39.269999999999996</v>
      </c>
    </row>
    <row r="331" spans="1:8" ht="15" customHeight="1">
      <c r="A331" s="97" t="s">
        <v>14820</v>
      </c>
      <c r="B331" s="236"/>
      <c r="C331" s="237"/>
      <c r="D331" s="237"/>
      <c r="E331" s="237"/>
      <c r="F331" s="238"/>
      <c r="G331" s="206"/>
      <c r="H331" s="98"/>
    </row>
    <row r="332" spans="1:8" s="93" customFormat="1" ht="30" customHeight="1">
      <c r="A332" s="91" t="s">
        <v>14491</v>
      </c>
      <c r="B332" s="364" t="str">
        <f>VLOOKUP($A332,SERVICOS,4,FALSE)</f>
        <v>Fornecimento, Dobragem E Colocação Em Fôrma, De Armadura Ca-60 B Fina, Diâmetro De 4.0 A 7.0Mm</v>
      </c>
      <c r="C332" s="365"/>
      <c r="D332" s="365"/>
      <c r="E332" s="365"/>
      <c r="F332" s="366"/>
      <c r="G332" s="91" t="str">
        <f>VLOOKUP($A332,SERVICOS,5,FALSE)</f>
        <v>kg</v>
      </c>
      <c r="H332" s="92">
        <f>ROUND(SUM(H334:H344),2)</f>
        <v>286.48</v>
      </c>
    </row>
    <row r="333" spans="1:8" ht="25.5">
      <c r="A333" s="94" t="s">
        <v>938</v>
      </c>
      <c r="B333" s="95" t="s">
        <v>14480</v>
      </c>
      <c r="C333" s="94" t="s">
        <v>7319</v>
      </c>
      <c r="D333" s="95" t="s">
        <v>14582</v>
      </c>
      <c r="E333" s="95" t="s">
        <v>14484</v>
      </c>
      <c r="F333" s="94" t="s">
        <v>7320</v>
      </c>
      <c r="G333" s="95" t="s">
        <v>14485</v>
      </c>
      <c r="H333" s="96"/>
    </row>
    <row r="334" spans="1:8" ht="15" customHeight="1">
      <c r="A334" s="97" t="str">
        <f>A320</f>
        <v>V1</v>
      </c>
      <c r="B334" s="98" t="str">
        <f>B320</f>
        <v>15x40</v>
      </c>
      <c r="C334" s="98">
        <f t="shared" ref="C334:D334" si="134">C320</f>
        <v>1</v>
      </c>
      <c r="D334" s="98">
        <f t="shared" si="134"/>
        <v>20.2</v>
      </c>
      <c r="E334" s="98">
        <f>ROUNDUP(D334/0.15,0)</f>
        <v>135</v>
      </c>
      <c r="F334" s="98">
        <f>(0.15+0.4)*2</f>
        <v>1.1000000000000001</v>
      </c>
      <c r="G334" s="98">
        <v>0.16</v>
      </c>
      <c r="H334" s="98">
        <f>C334*E334*F334*G334*1.1</f>
        <v>26.136000000000003</v>
      </c>
    </row>
    <row r="335" spans="1:8" ht="15" customHeight="1">
      <c r="A335" s="97" t="str">
        <f t="shared" ref="A335:D335" si="135">A321</f>
        <v>V2-A</v>
      </c>
      <c r="B335" s="98" t="str">
        <f t="shared" si="135"/>
        <v>20x40</v>
      </c>
      <c r="C335" s="98">
        <f t="shared" si="135"/>
        <v>1</v>
      </c>
      <c r="D335" s="98">
        <f t="shared" si="135"/>
        <v>11.99</v>
      </c>
      <c r="E335" s="98">
        <f t="shared" ref="E335:E344" si="136">ROUNDUP(D335/0.15,0)</f>
        <v>80</v>
      </c>
      <c r="F335" s="98">
        <f>(0.2+0.4)*2</f>
        <v>1.2000000000000002</v>
      </c>
      <c r="G335" s="98">
        <v>0.16</v>
      </c>
      <c r="H335" s="98">
        <f t="shared" ref="H335:H344" si="137">C335*E335*F335*G335*1.1</f>
        <v>16.896000000000004</v>
      </c>
    </row>
    <row r="336" spans="1:8" ht="15" customHeight="1">
      <c r="A336" s="97" t="str">
        <f t="shared" ref="A336:D336" si="138">A322</f>
        <v>V2-B</v>
      </c>
      <c r="B336" s="98" t="str">
        <f t="shared" si="138"/>
        <v>20x80</v>
      </c>
      <c r="C336" s="98">
        <f t="shared" si="138"/>
        <v>1</v>
      </c>
      <c r="D336" s="98">
        <f t="shared" si="138"/>
        <v>8.64</v>
      </c>
      <c r="E336" s="98">
        <f t="shared" si="136"/>
        <v>58</v>
      </c>
      <c r="F336" s="98">
        <v>1.9</v>
      </c>
      <c r="G336" s="98">
        <v>0.16</v>
      </c>
      <c r="H336" s="98">
        <f t="shared" si="137"/>
        <v>19.395199999999999</v>
      </c>
    </row>
    <row r="337" spans="1:8" ht="15" customHeight="1">
      <c r="A337" s="97" t="str">
        <f t="shared" ref="A337:D337" si="139">A323</f>
        <v>V3</v>
      </c>
      <c r="B337" s="98" t="str">
        <f t="shared" si="139"/>
        <v>15x50</v>
      </c>
      <c r="C337" s="98">
        <f t="shared" si="139"/>
        <v>1</v>
      </c>
      <c r="D337" s="98">
        <f t="shared" si="139"/>
        <v>35.400000000000006</v>
      </c>
      <c r="E337" s="98">
        <f t="shared" si="136"/>
        <v>236</v>
      </c>
      <c r="F337" s="98">
        <v>1.2</v>
      </c>
      <c r="G337" s="98">
        <v>0.16</v>
      </c>
      <c r="H337" s="98">
        <f t="shared" si="137"/>
        <v>49.843200000000003</v>
      </c>
    </row>
    <row r="338" spans="1:8" ht="15" customHeight="1">
      <c r="A338" s="97" t="str">
        <f t="shared" ref="A338:D338" si="140">A324</f>
        <v>V4</v>
      </c>
      <c r="B338" s="98" t="str">
        <f t="shared" si="140"/>
        <v>15x40</v>
      </c>
      <c r="C338" s="98">
        <f t="shared" si="140"/>
        <v>1</v>
      </c>
      <c r="D338" s="98">
        <f t="shared" si="140"/>
        <v>4.3499999999999996</v>
      </c>
      <c r="E338" s="98">
        <f t="shared" si="136"/>
        <v>29</v>
      </c>
      <c r="F338" s="98">
        <v>1.1000000000000001</v>
      </c>
      <c r="G338" s="98">
        <v>0.16</v>
      </c>
      <c r="H338" s="98">
        <f t="shared" si="137"/>
        <v>5.6144000000000007</v>
      </c>
    </row>
    <row r="339" spans="1:8" ht="15" customHeight="1">
      <c r="A339" s="97" t="str">
        <f t="shared" ref="A339:D339" si="141">A325</f>
        <v>V5-A</v>
      </c>
      <c r="B339" s="98" t="str">
        <f t="shared" si="141"/>
        <v>15x50</v>
      </c>
      <c r="C339" s="98">
        <f t="shared" si="141"/>
        <v>1</v>
      </c>
      <c r="D339" s="98">
        <f t="shared" si="141"/>
        <v>28.5</v>
      </c>
      <c r="E339" s="98">
        <f t="shared" si="136"/>
        <v>190</v>
      </c>
      <c r="F339" s="98">
        <v>1.2</v>
      </c>
      <c r="G339" s="98">
        <v>0.16</v>
      </c>
      <c r="H339" s="98">
        <f t="shared" si="137"/>
        <v>40.128000000000007</v>
      </c>
    </row>
    <row r="340" spans="1:8" ht="15" customHeight="1">
      <c r="A340" s="97" t="str">
        <f t="shared" ref="A340:D340" si="142">A326</f>
        <v>V5-B</v>
      </c>
      <c r="B340" s="98" t="str">
        <f t="shared" si="142"/>
        <v>15x80</v>
      </c>
      <c r="C340" s="98">
        <f t="shared" si="142"/>
        <v>1</v>
      </c>
      <c r="D340" s="98">
        <f t="shared" si="142"/>
        <v>11.4</v>
      </c>
      <c r="E340" s="98">
        <f t="shared" si="136"/>
        <v>76</v>
      </c>
      <c r="F340" s="98">
        <v>1.8</v>
      </c>
      <c r="G340" s="98">
        <v>0.16</v>
      </c>
      <c r="H340" s="98">
        <f t="shared" si="137"/>
        <v>24.076800000000002</v>
      </c>
    </row>
    <row r="341" spans="1:8" ht="15" customHeight="1">
      <c r="A341" s="97" t="str">
        <f t="shared" ref="A341:D341" si="143">A327</f>
        <v>V6</v>
      </c>
      <c r="B341" s="98" t="str">
        <f t="shared" si="143"/>
        <v>15x50</v>
      </c>
      <c r="C341" s="98">
        <f t="shared" si="143"/>
        <v>1</v>
      </c>
      <c r="D341" s="98">
        <f t="shared" si="143"/>
        <v>23.4</v>
      </c>
      <c r="E341" s="98">
        <f t="shared" ref="E341:E342" si="144">ROUNDUP(D341/0.15,0)</f>
        <v>156</v>
      </c>
      <c r="F341" s="98">
        <v>1.2</v>
      </c>
      <c r="G341" s="98">
        <v>0.16</v>
      </c>
      <c r="H341" s="98">
        <f t="shared" ref="H341:H342" si="145">C341*E341*F341*G341*1.1</f>
        <v>32.947200000000002</v>
      </c>
    </row>
    <row r="342" spans="1:8" ht="15" customHeight="1">
      <c r="A342" s="97" t="str">
        <f t="shared" ref="A342:D342" si="146">A328</f>
        <v>V7=V8=V9=V10</v>
      </c>
      <c r="B342" s="98" t="str">
        <f t="shared" si="146"/>
        <v>15x40</v>
      </c>
      <c r="C342" s="98">
        <f t="shared" si="146"/>
        <v>4</v>
      </c>
      <c r="D342" s="98">
        <f t="shared" si="146"/>
        <v>3.5</v>
      </c>
      <c r="E342" s="98">
        <f t="shared" si="144"/>
        <v>24</v>
      </c>
      <c r="F342" s="98">
        <v>1.1000000000000001</v>
      </c>
      <c r="G342" s="98">
        <v>0.16</v>
      </c>
      <c r="H342" s="98">
        <f t="shared" si="145"/>
        <v>18.585600000000003</v>
      </c>
    </row>
    <row r="343" spans="1:8" ht="15" customHeight="1">
      <c r="A343" s="97" t="str">
        <f t="shared" ref="A343:D343" si="147">A329</f>
        <v>V11</v>
      </c>
      <c r="B343" s="98" t="str">
        <f t="shared" si="147"/>
        <v>15x40</v>
      </c>
      <c r="C343" s="98">
        <f t="shared" si="147"/>
        <v>1</v>
      </c>
      <c r="D343" s="98">
        <f t="shared" si="147"/>
        <v>3.08</v>
      </c>
      <c r="E343" s="98">
        <f t="shared" si="136"/>
        <v>21</v>
      </c>
      <c r="F343" s="98">
        <v>1.1000000000000001</v>
      </c>
      <c r="G343" s="98">
        <v>0.16</v>
      </c>
      <c r="H343" s="98">
        <f t="shared" si="137"/>
        <v>4.0656000000000008</v>
      </c>
    </row>
    <row r="344" spans="1:8" ht="15" customHeight="1">
      <c r="A344" s="97" t="str">
        <f t="shared" ref="A344:D344" si="148">A330</f>
        <v>V12</v>
      </c>
      <c r="B344" s="98" t="str">
        <f t="shared" si="148"/>
        <v>15x80</v>
      </c>
      <c r="C344" s="98">
        <f t="shared" si="148"/>
        <v>1</v>
      </c>
      <c r="D344" s="98">
        <f t="shared" si="148"/>
        <v>23.099999999999998</v>
      </c>
      <c r="E344" s="98">
        <f t="shared" si="136"/>
        <v>154</v>
      </c>
      <c r="F344" s="98">
        <v>1.8</v>
      </c>
      <c r="G344" s="98">
        <v>0.16</v>
      </c>
      <c r="H344" s="98">
        <f t="shared" si="137"/>
        <v>48.787199999999999</v>
      </c>
    </row>
    <row r="345" spans="1:8" s="93" customFormat="1" ht="30" customHeight="1">
      <c r="A345" s="91" t="s">
        <v>14492</v>
      </c>
      <c r="B345" s="364" t="str">
        <f>VLOOKUP($A345,SERVICOS,4,FALSE)</f>
        <v>Fornecimento, Dobragem E Colocação Em Fôrma, De Armadura Ca-50 A Média, Diâmetro De 6.3 A 10.0 Mm</v>
      </c>
      <c r="C345" s="365"/>
      <c r="D345" s="365"/>
      <c r="E345" s="365"/>
      <c r="F345" s="366"/>
      <c r="G345" s="91" t="str">
        <f>VLOOKUP($A345,SERVICOS,5,FALSE)</f>
        <v>kg</v>
      </c>
      <c r="H345" s="92">
        <f>ROUND(SUM(H347:H374),2)/2</f>
        <v>484.21</v>
      </c>
    </row>
    <row r="346" spans="1:8" ht="25.5">
      <c r="A346" s="94" t="s">
        <v>938</v>
      </c>
      <c r="B346" s="95" t="s">
        <v>14480</v>
      </c>
      <c r="C346" s="94" t="s">
        <v>7319</v>
      </c>
      <c r="D346" s="94" t="s">
        <v>7320</v>
      </c>
      <c r="E346" s="95" t="s">
        <v>14484</v>
      </c>
      <c r="F346" s="95" t="s">
        <v>14485</v>
      </c>
      <c r="G346" s="94"/>
      <c r="H346" s="96"/>
    </row>
    <row r="347" spans="1:8" ht="15" customHeight="1">
      <c r="A347" s="232" t="s">
        <v>14674</v>
      </c>
      <c r="B347" s="230"/>
      <c r="C347" s="229"/>
      <c r="D347" s="229"/>
      <c r="E347" s="230"/>
      <c r="F347" s="230"/>
      <c r="G347" s="229"/>
      <c r="H347" s="231">
        <f>SUM(H348:H350)</f>
        <v>71.181000000000012</v>
      </c>
    </row>
    <row r="348" spans="1:8" ht="15" customHeight="1">
      <c r="A348" s="97" t="str">
        <f>A336</f>
        <v>V2-B</v>
      </c>
      <c r="B348" s="224" t="str">
        <f t="shared" ref="B348:D348" si="149">B336</f>
        <v>20x80</v>
      </c>
      <c r="C348" s="224">
        <f t="shared" si="149"/>
        <v>1</v>
      </c>
      <c r="D348" s="224">
        <f t="shared" si="149"/>
        <v>8.64</v>
      </c>
      <c r="E348" s="98">
        <v>6</v>
      </c>
      <c r="F348" s="98">
        <v>0.25</v>
      </c>
      <c r="G348" s="206" t="s">
        <v>13922</v>
      </c>
      <c r="H348" s="98">
        <f t="shared" ref="H348:H350" si="150">C348*D348*E348*F348*1.1</f>
        <v>14.256000000000002</v>
      </c>
    </row>
    <row r="349" spans="1:8" ht="15" customHeight="1">
      <c r="A349" s="97" t="str">
        <f>A340</f>
        <v>V5-B</v>
      </c>
      <c r="B349" s="224" t="str">
        <f t="shared" ref="B349:D349" si="151">B340</f>
        <v>15x80</v>
      </c>
      <c r="C349" s="224">
        <f t="shared" si="151"/>
        <v>1</v>
      </c>
      <c r="D349" s="224">
        <f t="shared" si="151"/>
        <v>11.4</v>
      </c>
      <c r="E349" s="98">
        <v>6</v>
      </c>
      <c r="F349" s="98">
        <v>0.25</v>
      </c>
      <c r="G349" s="206" t="s">
        <v>13922</v>
      </c>
      <c r="H349" s="98">
        <f t="shared" si="150"/>
        <v>18.810000000000002</v>
      </c>
    </row>
    <row r="350" spans="1:8" ht="15" customHeight="1">
      <c r="A350" s="97" t="str">
        <f>A344</f>
        <v>V12</v>
      </c>
      <c r="B350" s="224" t="str">
        <f t="shared" ref="B350:D350" si="152">B344</f>
        <v>15x80</v>
      </c>
      <c r="C350" s="224">
        <f t="shared" si="152"/>
        <v>1</v>
      </c>
      <c r="D350" s="224">
        <f t="shared" si="152"/>
        <v>23.099999999999998</v>
      </c>
      <c r="E350" s="98">
        <v>6</v>
      </c>
      <c r="F350" s="98">
        <v>0.25</v>
      </c>
      <c r="G350" s="206" t="s">
        <v>13922</v>
      </c>
      <c r="H350" s="98">
        <f t="shared" si="150"/>
        <v>38.115000000000002</v>
      </c>
    </row>
    <row r="351" spans="1:8" ht="15" customHeight="1">
      <c r="A351" s="284" t="s">
        <v>14675</v>
      </c>
      <c r="B351" s="98"/>
      <c r="C351" s="285"/>
      <c r="D351" s="98"/>
      <c r="E351" s="98"/>
      <c r="F351" s="98"/>
      <c r="G351" s="206"/>
      <c r="H351" s="231">
        <f>SUM(H352:H362)</f>
        <v>161.97280000000001</v>
      </c>
    </row>
    <row r="352" spans="1:8" ht="15" customHeight="1">
      <c r="A352" s="97" t="str">
        <f>A334</f>
        <v>V1</v>
      </c>
      <c r="B352" s="224" t="str">
        <f t="shared" ref="B352:D352" si="153">B334</f>
        <v>15x40</v>
      </c>
      <c r="C352" s="224">
        <f t="shared" si="153"/>
        <v>1</v>
      </c>
      <c r="D352" s="224">
        <f t="shared" si="153"/>
        <v>20.2</v>
      </c>
      <c r="E352" s="98">
        <v>2</v>
      </c>
      <c r="F352" s="98">
        <v>0.4</v>
      </c>
      <c r="G352" s="206" t="s">
        <v>12601</v>
      </c>
      <c r="H352" s="98">
        <f>C352*D352*E352*F352*1.1</f>
        <v>17.776000000000003</v>
      </c>
    </row>
    <row r="353" spans="1:8" ht="15" customHeight="1">
      <c r="A353" s="97" t="str">
        <f t="shared" ref="A353:D362" si="154">A335</f>
        <v>V2-A</v>
      </c>
      <c r="B353" s="224" t="str">
        <f t="shared" si="154"/>
        <v>20x40</v>
      </c>
      <c r="C353" s="224">
        <f t="shared" si="154"/>
        <v>1</v>
      </c>
      <c r="D353" s="224">
        <f t="shared" si="154"/>
        <v>11.99</v>
      </c>
      <c r="E353" s="98">
        <v>2</v>
      </c>
      <c r="F353" s="98">
        <v>0.4</v>
      </c>
      <c r="G353" s="206" t="s">
        <v>12601</v>
      </c>
      <c r="H353" s="98">
        <f t="shared" ref="H353:H362" si="155">C353*D353*E353*F353*1.1</f>
        <v>10.551200000000001</v>
      </c>
    </row>
    <row r="354" spans="1:8" ht="15" customHeight="1">
      <c r="A354" s="97" t="str">
        <f t="shared" si="154"/>
        <v>V2-B</v>
      </c>
      <c r="B354" s="224" t="str">
        <f t="shared" si="154"/>
        <v>20x80</v>
      </c>
      <c r="C354" s="224">
        <f t="shared" si="154"/>
        <v>1</v>
      </c>
      <c r="D354" s="224">
        <f t="shared" si="154"/>
        <v>8.64</v>
      </c>
      <c r="E354" s="98">
        <v>2</v>
      </c>
      <c r="F354" s="98">
        <v>0.4</v>
      </c>
      <c r="G354" s="206" t="s">
        <v>12601</v>
      </c>
      <c r="H354" s="98">
        <f t="shared" si="155"/>
        <v>7.6032000000000011</v>
      </c>
    </row>
    <row r="355" spans="1:8" ht="15" customHeight="1">
      <c r="A355" s="97" t="str">
        <f t="shared" si="154"/>
        <v>V3</v>
      </c>
      <c r="B355" s="224" t="str">
        <f t="shared" si="154"/>
        <v>15x50</v>
      </c>
      <c r="C355" s="224">
        <f t="shared" si="154"/>
        <v>1</v>
      </c>
      <c r="D355" s="224">
        <f t="shared" si="154"/>
        <v>35.400000000000006</v>
      </c>
      <c r="E355" s="98">
        <v>2</v>
      </c>
      <c r="F355" s="98">
        <v>0.4</v>
      </c>
      <c r="G355" s="206" t="s">
        <v>12601</v>
      </c>
      <c r="H355" s="98">
        <f t="shared" si="155"/>
        <v>31.152000000000012</v>
      </c>
    </row>
    <row r="356" spans="1:8" ht="15" customHeight="1">
      <c r="A356" s="97" t="str">
        <f t="shared" si="154"/>
        <v>V4</v>
      </c>
      <c r="B356" s="224" t="str">
        <f t="shared" si="154"/>
        <v>15x40</v>
      </c>
      <c r="C356" s="224">
        <f t="shared" si="154"/>
        <v>1</v>
      </c>
      <c r="D356" s="224">
        <f t="shared" si="154"/>
        <v>4.3499999999999996</v>
      </c>
      <c r="E356" s="98">
        <v>2</v>
      </c>
      <c r="F356" s="98">
        <v>0.4</v>
      </c>
      <c r="G356" s="206" t="s">
        <v>12601</v>
      </c>
      <c r="H356" s="98">
        <f t="shared" si="155"/>
        <v>3.8280000000000003</v>
      </c>
    </row>
    <row r="357" spans="1:8" ht="15" customHeight="1">
      <c r="A357" s="97" t="str">
        <f t="shared" si="154"/>
        <v>V5-A</v>
      </c>
      <c r="B357" s="224" t="str">
        <f t="shared" si="154"/>
        <v>15x50</v>
      </c>
      <c r="C357" s="224">
        <f t="shared" si="154"/>
        <v>1</v>
      </c>
      <c r="D357" s="224">
        <f t="shared" si="154"/>
        <v>28.5</v>
      </c>
      <c r="E357" s="98">
        <v>2</v>
      </c>
      <c r="F357" s="98">
        <v>0.4</v>
      </c>
      <c r="G357" s="206" t="s">
        <v>12601</v>
      </c>
      <c r="H357" s="98">
        <f t="shared" si="155"/>
        <v>25.080000000000002</v>
      </c>
    </row>
    <row r="358" spans="1:8" ht="15" customHeight="1">
      <c r="A358" s="97" t="str">
        <f t="shared" si="154"/>
        <v>V5-B</v>
      </c>
      <c r="B358" s="224" t="str">
        <f t="shared" si="154"/>
        <v>15x80</v>
      </c>
      <c r="C358" s="224">
        <f t="shared" si="154"/>
        <v>1</v>
      </c>
      <c r="D358" s="224">
        <f t="shared" si="154"/>
        <v>11.4</v>
      </c>
      <c r="E358" s="98">
        <v>2</v>
      </c>
      <c r="F358" s="98">
        <v>0.4</v>
      </c>
      <c r="G358" s="206" t="s">
        <v>12601</v>
      </c>
      <c r="H358" s="98">
        <f t="shared" si="155"/>
        <v>10.032000000000002</v>
      </c>
    </row>
    <row r="359" spans="1:8" ht="15" customHeight="1">
      <c r="A359" s="97" t="str">
        <f t="shared" si="154"/>
        <v>V6</v>
      </c>
      <c r="B359" s="224" t="str">
        <f t="shared" si="154"/>
        <v>15x50</v>
      </c>
      <c r="C359" s="224">
        <f t="shared" si="154"/>
        <v>1</v>
      </c>
      <c r="D359" s="224">
        <f t="shared" si="154"/>
        <v>23.4</v>
      </c>
      <c r="E359" s="98">
        <v>2</v>
      </c>
      <c r="F359" s="98">
        <v>0.4</v>
      </c>
      <c r="G359" s="206" t="s">
        <v>12601</v>
      </c>
      <c r="H359" s="98">
        <f t="shared" ref="H359:H360" si="156">C359*D359*E359*F359*1.1</f>
        <v>20.591999999999999</v>
      </c>
    </row>
    <row r="360" spans="1:8" ht="15" customHeight="1">
      <c r="A360" s="97" t="str">
        <f t="shared" si="154"/>
        <v>V7=V8=V9=V10</v>
      </c>
      <c r="B360" s="224" t="str">
        <f t="shared" si="154"/>
        <v>15x40</v>
      </c>
      <c r="C360" s="224">
        <f t="shared" si="154"/>
        <v>4</v>
      </c>
      <c r="D360" s="224">
        <f t="shared" si="154"/>
        <v>3.5</v>
      </c>
      <c r="E360" s="98">
        <v>2</v>
      </c>
      <c r="F360" s="98">
        <v>0.4</v>
      </c>
      <c r="G360" s="206" t="s">
        <v>12601</v>
      </c>
      <c r="H360" s="98">
        <f t="shared" si="156"/>
        <v>12.320000000000002</v>
      </c>
    </row>
    <row r="361" spans="1:8" ht="15" customHeight="1">
      <c r="A361" s="97" t="str">
        <f t="shared" si="154"/>
        <v>V11</v>
      </c>
      <c r="B361" s="224" t="str">
        <f t="shared" si="154"/>
        <v>15x40</v>
      </c>
      <c r="C361" s="224">
        <f t="shared" si="154"/>
        <v>1</v>
      </c>
      <c r="D361" s="224">
        <f t="shared" si="154"/>
        <v>3.08</v>
      </c>
      <c r="E361" s="98">
        <v>2</v>
      </c>
      <c r="F361" s="98">
        <v>0.4</v>
      </c>
      <c r="G361" s="206" t="s">
        <v>12601</v>
      </c>
      <c r="H361" s="98">
        <f t="shared" si="155"/>
        <v>2.7104000000000008</v>
      </c>
    </row>
    <row r="362" spans="1:8" ht="15" customHeight="1">
      <c r="A362" s="97" t="str">
        <f t="shared" si="154"/>
        <v>V12</v>
      </c>
      <c r="B362" s="224" t="str">
        <f t="shared" si="154"/>
        <v>15x80</v>
      </c>
      <c r="C362" s="224">
        <f t="shared" si="154"/>
        <v>1</v>
      </c>
      <c r="D362" s="224">
        <f t="shared" si="154"/>
        <v>23.099999999999998</v>
      </c>
      <c r="E362" s="98">
        <v>2</v>
      </c>
      <c r="F362" s="98">
        <v>0.4</v>
      </c>
      <c r="G362" s="206" t="s">
        <v>12601</v>
      </c>
      <c r="H362" s="98">
        <f t="shared" si="155"/>
        <v>20.328000000000003</v>
      </c>
    </row>
    <row r="363" spans="1:8" ht="15" customHeight="1">
      <c r="A363" s="284" t="s">
        <v>14676</v>
      </c>
      <c r="B363" s="98"/>
      <c r="C363" s="285"/>
      <c r="D363" s="98"/>
      <c r="E363" s="98"/>
      <c r="F363" s="98"/>
      <c r="G363" s="206"/>
      <c r="H363" s="231">
        <f>SUM(H364:H374)</f>
        <v>251.05784</v>
      </c>
    </row>
    <row r="364" spans="1:8" ht="15" customHeight="1">
      <c r="A364" s="97" t="str">
        <f>A352</f>
        <v>V1</v>
      </c>
      <c r="B364" s="98" t="str">
        <f>B352</f>
        <v>15x40</v>
      </c>
      <c r="C364" s="98">
        <f t="shared" ref="C364:D364" si="157">C352</f>
        <v>1</v>
      </c>
      <c r="D364" s="98">
        <f t="shared" si="157"/>
        <v>20.2</v>
      </c>
      <c r="E364" s="98">
        <v>2</v>
      </c>
      <c r="F364" s="98">
        <v>0.62</v>
      </c>
      <c r="G364" s="206" t="s">
        <v>12605</v>
      </c>
      <c r="H364" s="98">
        <f t="shared" ref="H364:H374" si="158">C364*D364*E364*F364*1.1</f>
        <v>27.552800000000001</v>
      </c>
    </row>
    <row r="365" spans="1:8" ht="15" customHeight="1">
      <c r="A365" s="97" t="str">
        <f t="shared" ref="A365:D365" si="159">A353</f>
        <v>V2-A</v>
      </c>
      <c r="B365" s="98" t="str">
        <f t="shared" si="159"/>
        <v>20x40</v>
      </c>
      <c r="C365" s="98">
        <f t="shared" si="159"/>
        <v>1</v>
      </c>
      <c r="D365" s="98">
        <f t="shared" si="159"/>
        <v>11.99</v>
      </c>
      <c r="E365" s="98">
        <v>2</v>
      </c>
      <c r="F365" s="98">
        <v>0.62</v>
      </c>
      <c r="G365" s="206" t="s">
        <v>12605</v>
      </c>
      <c r="H365" s="98">
        <f t="shared" si="158"/>
        <v>16.35436</v>
      </c>
    </row>
    <row r="366" spans="1:8" ht="15" customHeight="1">
      <c r="A366" s="97" t="str">
        <f t="shared" ref="A366:D366" si="160">A354</f>
        <v>V2-B</v>
      </c>
      <c r="B366" s="98" t="str">
        <f t="shared" si="160"/>
        <v>20x80</v>
      </c>
      <c r="C366" s="98">
        <f t="shared" si="160"/>
        <v>1</v>
      </c>
      <c r="D366" s="98">
        <f t="shared" si="160"/>
        <v>8.64</v>
      </c>
      <c r="E366" s="98">
        <v>2</v>
      </c>
      <c r="F366" s="98">
        <v>0.62</v>
      </c>
      <c r="G366" s="206" t="s">
        <v>12605</v>
      </c>
      <c r="H366" s="98">
        <f t="shared" ref="H366:H367" si="161">C366*D366*E366*F366*1.1</f>
        <v>11.784960000000002</v>
      </c>
    </row>
    <row r="367" spans="1:8" ht="15" customHeight="1">
      <c r="A367" s="97" t="str">
        <f t="shared" ref="A367:D367" si="162">A355</f>
        <v>V3</v>
      </c>
      <c r="B367" s="98" t="str">
        <f t="shared" si="162"/>
        <v>15x50</v>
      </c>
      <c r="C367" s="98">
        <f t="shared" si="162"/>
        <v>1</v>
      </c>
      <c r="D367" s="98">
        <f t="shared" si="162"/>
        <v>35.400000000000006</v>
      </c>
      <c r="E367" s="98">
        <v>2</v>
      </c>
      <c r="F367" s="98">
        <v>0.62</v>
      </c>
      <c r="G367" s="206" t="s">
        <v>12605</v>
      </c>
      <c r="H367" s="98">
        <f t="shared" si="161"/>
        <v>48.285600000000009</v>
      </c>
    </row>
    <row r="368" spans="1:8" ht="15" customHeight="1">
      <c r="A368" s="97" t="str">
        <f t="shared" ref="A368:D368" si="163">A356</f>
        <v>V4</v>
      </c>
      <c r="B368" s="98" t="str">
        <f t="shared" si="163"/>
        <v>15x40</v>
      </c>
      <c r="C368" s="98">
        <f t="shared" si="163"/>
        <v>1</v>
      </c>
      <c r="D368" s="98">
        <f t="shared" si="163"/>
        <v>4.3499999999999996</v>
      </c>
      <c r="E368" s="98">
        <v>2</v>
      </c>
      <c r="F368" s="98">
        <v>0.62</v>
      </c>
      <c r="G368" s="206" t="s">
        <v>12605</v>
      </c>
      <c r="H368" s="98">
        <f t="shared" si="158"/>
        <v>5.9333999999999998</v>
      </c>
    </row>
    <row r="369" spans="1:8" ht="15" customHeight="1">
      <c r="A369" s="97" t="str">
        <f t="shared" ref="A369:D369" si="164">A357</f>
        <v>V5-A</v>
      </c>
      <c r="B369" s="98" t="str">
        <f t="shared" si="164"/>
        <v>15x50</v>
      </c>
      <c r="C369" s="98">
        <f t="shared" si="164"/>
        <v>1</v>
      </c>
      <c r="D369" s="98">
        <f t="shared" si="164"/>
        <v>28.5</v>
      </c>
      <c r="E369" s="98">
        <v>2</v>
      </c>
      <c r="F369" s="98">
        <v>0.62</v>
      </c>
      <c r="G369" s="206" t="s">
        <v>12605</v>
      </c>
      <c r="H369" s="98">
        <f t="shared" si="158"/>
        <v>38.874000000000002</v>
      </c>
    </row>
    <row r="370" spans="1:8" ht="15" customHeight="1">
      <c r="A370" s="97" t="str">
        <f t="shared" ref="A370:D370" si="165">A358</f>
        <v>V5-B</v>
      </c>
      <c r="B370" s="98" t="str">
        <f t="shared" si="165"/>
        <v>15x80</v>
      </c>
      <c r="C370" s="98">
        <f t="shared" si="165"/>
        <v>1</v>
      </c>
      <c r="D370" s="98">
        <f t="shared" si="165"/>
        <v>11.4</v>
      </c>
      <c r="E370" s="98">
        <v>2</v>
      </c>
      <c r="F370" s="98">
        <v>0.62</v>
      </c>
      <c r="G370" s="206" t="s">
        <v>12605</v>
      </c>
      <c r="H370" s="98">
        <f t="shared" si="158"/>
        <v>15.549600000000002</v>
      </c>
    </row>
    <row r="371" spans="1:8" ht="15" customHeight="1">
      <c r="A371" s="97" t="str">
        <f t="shared" ref="A371:D371" si="166">A359</f>
        <v>V6</v>
      </c>
      <c r="B371" s="98" t="str">
        <f t="shared" si="166"/>
        <v>15x50</v>
      </c>
      <c r="C371" s="98">
        <f t="shared" si="166"/>
        <v>1</v>
      </c>
      <c r="D371" s="98">
        <f t="shared" si="166"/>
        <v>23.4</v>
      </c>
      <c r="E371" s="98">
        <v>2</v>
      </c>
      <c r="F371" s="98">
        <v>0.62</v>
      </c>
      <c r="G371" s="206" t="s">
        <v>12605</v>
      </c>
      <c r="H371" s="98">
        <f t="shared" si="158"/>
        <v>31.9176</v>
      </c>
    </row>
    <row r="372" spans="1:8" ht="15" customHeight="1">
      <c r="A372" s="97" t="str">
        <f t="shared" ref="A372:D372" si="167">A360</f>
        <v>V7=V8=V9=V10</v>
      </c>
      <c r="B372" s="98" t="str">
        <f t="shared" si="167"/>
        <v>15x40</v>
      </c>
      <c r="C372" s="98">
        <f t="shared" si="167"/>
        <v>4</v>
      </c>
      <c r="D372" s="98">
        <f t="shared" si="167"/>
        <v>3.5</v>
      </c>
      <c r="E372" s="98">
        <v>2</v>
      </c>
      <c r="F372" s="98">
        <v>0.62</v>
      </c>
      <c r="G372" s="206" t="s">
        <v>12605</v>
      </c>
      <c r="H372" s="98">
        <f t="shared" si="158"/>
        <v>19.096</v>
      </c>
    </row>
    <row r="373" spans="1:8" ht="15" customHeight="1">
      <c r="A373" s="97" t="str">
        <f t="shared" ref="A373:D373" si="168">A361</f>
        <v>V11</v>
      </c>
      <c r="B373" s="98" t="str">
        <f t="shared" si="168"/>
        <v>15x40</v>
      </c>
      <c r="C373" s="98">
        <f t="shared" si="168"/>
        <v>1</v>
      </c>
      <c r="D373" s="98">
        <f t="shared" si="168"/>
        <v>3.08</v>
      </c>
      <c r="E373" s="98">
        <v>2</v>
      </c>
      <c r="F373" s="98">
        <v>0.62</v>
      </c>
      <c r="G373" s="206" t="s">
        <v>12605</v>
      </c>
      <c r="H373" s="98">
        <f t="shared" si="158"/>
        <v>4.2011200000000004</v>
      </c>
    </row>
    <row r="374" spans="1:8" ht="15" customHeight="1">
      <c r="A374" s="97" t="str">
        <f t="shared" ref="A374:D374" si="169">A362</f>
        <v>V12</v>
      </c>
      <c r="B374" s="98" t="str">
        <f t="shared" si="169"/>
        <v>15x80</v>
      </c>
      <c r="C374" s="98">
        <f t="shared" si="169"/>
        <v>1</v>
      </c>
      <c r="D374" s="98">
        <f t="shared" si="169"/>
        <v>23.099999999999998</v>
      </c>
      <c r="E374" s="98">
        <v>2</v>
      </c>
      <c r="F374" s="98">
        <v>0.62</v>
      </c>
      <c r="G374" s="206" t="s">
        <v>12605</v>
      </c>
      <c r="H374" s="98">
        <f t="shared" si="158"/>
        <v>31.508400000000002</v>
      </c>
    </row>
    <row r="375" spans="1:8" s="93" customFormat="1" ht="45" customHeight="1">
      <c r="A375" s="91" t="s">
        <v>14668</v>
      </c>
      <c r="B375" s="364" t="str">
        <f>VLOOKUP($A375,SERVICOS,4,FALSE)</f>
        <v>Fornecimento E Aplicação De Concreto Usinado Fck=25 Mpa - Considerando Lançamento Manual Para Infra-Estrutura (5% De Perdas Já Incluído No Custo)</v>
      </c>
      <c r="C375" s="365"/>
      <c r="D375" s="365"/>
      <c r="E375" s="365"/>
      <c r="F375" s="366"/>
      <c r="G375" s="91" t="str">
        <f>VLOOKUP($A375,SERVICOS,5,FALSE)</f>
        <v>m3</v>
      </c>
      <c r="H375" s="92">
        <f>ROUND(SUM(H377:H387),2)</f>
        <v>15.56</v>
      </c>
    </row>
    <row r="376" spans="1:8" ht="25.5">
      <c r="A376" s="94" t="s">
        <v>938</v>
      </c>
      <c r="B376" s="95" t="s">
        <v>14480</v>
      </c>
      <c r="C376" s="94" t="s">
        <v>7319</v>
      </c>
      <c r="D376" s="95" t="s">
        <v>14191</v>
      </c>
      <c r="E376" s="94" t="s">
        <v>7320</v>
      </c>
      <c r="F376" s="95" t="s">
        <v>14192</v>
      </c>
      <c r="G376" s="94"/>
      <c r="H376" s="96"/>
    </row>
    <row r="377" spans="1:8" ht="15" customHeight="1">
      <c r="A377" s="97" t="str">
        <f>A364</f>
        <v>V1</v>
      </c>
      <c r="B377" s="98" t="str">
        <f>B364</f>
        <v>15x40</v>
      </c>
      <c r="C377" s="98">
        <f t="shared" ref="C377" si="170">C364</f>
        <v>1</v>
      </c>
      <c r="D377" s="98">
        <v>0.15</v>
      </c>
      <c r="E377" s="98">
        <f>D364</f>
        <v>20.2</v>
      </c>
      <c r="F377" s="98">
        <v>0.4</v>
      </c>
      <c r="G377" s="206"/>
      <c r="H377" s="98">
        <f t="shared" ref="H377:H387" si="171">C377*D377*E377*F377</f>
        <v>1.212</v>
      </c>
    </row>
    <row r="378" spans="1:8" ht="15" customHeight="1">
      <c r="A378" s="97" t="str">
        <f t="shared" ref="A378:C378" si="172">A365</f>
        <v>V2-A</v>
      </c>
      <c r="B378" s="98" t="str">
        <f t="shared" si="172"/>
        <v>20x40</v>
      </c>
      <c r="C378" s="98">
        <f t="shared" si="172"/>
        <v>1</v>
      </c>
      <c r="D378" s="98">
        <v>0.2</v>
      </c>
      <c r="E378" s="98">
        <f t="shared" ref="E378:E387" si="173">D365</f>
        <v>11.99</v>
      </c>
      <c r="F378" s="98">
        <v>0.4</v>
      </c>
      <c r="G378" s="206"/>
      <c r="H378" s="98">
        <f t="shared" si="171"/>
        <v>0.95920000000000005</v>
      </c>
    </row>
    <row r="379" spans="1:8" ht="15" customHeight="1">
      <c r="A379" s="97" t="str">
        <f t="shared" ref="A379:C379" si="174">A366</f>
        <v>V2-B</v>
      </c>
      <c r="B379" s="98" t="str">
        <f t="shared" si="174"/>
        <v>20x80</v>
      </c>
      <c r="C379" s="98">
        <f t="shared" si="174"/>
        <v>1</v>
      </c>
      <c r="D379" s="98">
        <v>0.2</v>
      </c>
      <c r="E379" s="98">
        <f t="shared" si="173"/>
        <v>8.64</v>
      </c>
      <c r="F379" s="98">
        <v>0.8</v>
      </c>
      <c r="G379" s="206"/>
      <c r="H379" s="98">
        <f t="shared" si="171"/>
        <v>1.3824000000000003</v>
      </c>
    </row>
    <row r="380" spans="1:8" ht="15" customHeight="1">
      <c r="A380" s="97" t="str">
        <f t="shared" ref="A380:C380" si="175">A367</f>
        <v>V3</v>
      </c>
      <c r="B380" s="98" t="str">
        <f t="shared" si="175"/>
        <v>15x50</v>
      </c>
      <c r="C380" s="98">
        <f t="shared" si="175"/>
        <v>1</v>
      </c>
      <c r="D380" s="98">
        <v>0.15</v>
      </c>
      <c r="E380" s="98">
        <f t="shared" si="173"/>
        <v>35.400000000000006</v>
      </c>
      <c r="F380" s="98">
        <v>0.5</v>
      </c>
      <c r="G380" s="206"/>
      <c r="H380" s="98">
        <f t="shared" si="171"/>
        <v>2.6550000000000002</v>
      </c>
    </row>
    <row r="381" spans="1:8" ht="15" customHeight="1">
      <c r="A381" s="97" t="str">
        <f t="shared" ref="A381:C381" si="176">A368</f>
        <v>V4</v>
      </c>
      <c r="B381" s="98" t="str">
        <f t="shared" si="176"/>
        <v>15x40</v>
      </c>
      <c r="C381" s="98">
        <f t="shared" si="176"/>
        <v>1</v>
      </c>
      <c r="D381" s="98">
        <v>0.15</v>
      </c>
      <c r="E381" s="98">
        <f t="shared" si="173"/>
        <v>4.3499999999999996</v>
      </c>
      <c r="F381" s="98">
        <v>0.4</v>
      </c>
      <c r="G381" s="206"/>
      <c r="H381" s="98">
        <f t="shared" si="171"/>
        <v>0.26100000000000001</v>
      </c>
    </row>
    <row r="382" spans="1:8" ht="15" customHeight="1">
      <c r="A382" s="97" t="str">
        <f t="shared" ref="A382:C382" si="177">A369</f>
        <v>V5-A</v>
      </c>
      <c r="B382" s="98" t="str">
        <f t="shared" si="177"/>
        <v>15x50</v>
      </c>
      <c r="C382" s="98">
        <f t="shared" si="177"/>
        <v>1</v>
      </c>
      <c r="D382" s="98">
        <v>0.15</v>
      </c>
      <c r="E382" s="98">
        <f t="shared" si="173"/>
        <v>28.5</v>
      </c>
      <c r="F382" s="98">
        <v>0.5</v>
      </c>
      <c r="G382" s="206"/>
      <c r="H382" s="98">
        <f t="shared" si="171"/>
        <v>2.1374999999999997</v>
      </c>
    </row>
    <row r="383" spans="1:8" ht="15" customHeight="1">
      <c r="A383" s="97" t="str">
        <f t="shared" ref="A383:C383" si="178">A370</f>
        <v>V5-B</v>
      </c>
      <c r="B383" s="98" t="str">
        <f t="shared" si="178"/>
        <v>15x80</v>
      </c>
      <c r="C383" s="98">
        <f t="shared" si="178"/>
        <v>1</v>
      </c>
      <c r="D383" s="98">
        <v>0.154</v>
      </c>
      <c r="E383" s="98">
        <f t="shared" si="173"/>
        <v>11.4</v>
      </c>
      <c r="F383" s="98">
        <v>0.8</v>
      </c>
      <c r="G383" s="206"/>
      <c r="H383" s="98">
        <f t="shared" si="171"/>
        <v>1.4044800000000002</v>
      </c>
    </row>
    <row r="384" spans="1:8" ht="15" customHeight="1">
      <c r="A384" s="97" t="str">
        <f t="shared" ref="A384:C384" si="179">A371</f>
        <v>V6</v>
      </c>
      <c r="B384" s="98" t="str">
        <f t="shared" si="179"/>
        <v>15x50</v>
      </c>
      <c r="C384" s="98">
        <f t="shared" si="179"/>
        <v>1</v>
      </c>
      <c r="D384" s="98">
        <v>0.15</v>
      </c>
      <c r="E384" s="98">
        <f t="shared" si="173"/>
        <v>23.4</v>
      </c>
      <c r="F384" s="98">
        <v>0.5</v>
      </c>
      <c r="G384" s="206"/>
      <c r="H384" s="98">
        <f t="shared" ref="H384:H385" si="180">C384*D384*E384*F384</f>
        <v>1.7549999999999999</v>
      </c>
    </row>
    <row r="385" spans="1:8" ht="15" customHeight="1">
      <c r="A385" s="97" t="str">
        <f t="shared" ref="A385:C385" si="181">A372</f>
        <v>V7=V8=V9=V10</v>
      </c>
      <c r="B385" s="98" t="str">
        <f t="shared" si="181"/>
        <v>15x40</v>
      </c>
      <c r="C385" s="98">
        <f t="shared" si="181"/>
        <v>4</v>
      </c>
      <c r="D385" s="98">
        <v>0.15</v>
      </c>
      <c r="E385" s="98">
        <f t="shared" si="173"/>
        <v>3.5</v>
      </c>
      <c r="F385" s="98">
        <v>0.4</v>
      </c>
      <c r="G385" s="206"/>
      <c r="H385" s="98">
        <f t="shared" si="180"/>
        <v>0.84000000000000008</v>
      </c>
    </row>
    <row r="386" spans="1:8" ht="15" customHeight="1">
      <c r="A386" s="97" t="str">
        <f t="shared" ref="A386:C386" si="182">A373</f>
        <v>V11</v>
      </c>
      <c r="B386" s="98" t="str">
        <f t="shared" si="182"/>
        <v>15x40</v>
      </c>
      <c r="C386" s="98">
        <f t="shared" si="182"/>
        <v>1</v>
      </c>
      <c r="D386" s="98">
        <v>0.15</v>
      </c>
      <c r="E386" s="98">
        <f t="shared" si="173"/>
        <v>3.08</v>
      </c>
      <c r="F386" s="98">
        <v>0.4</v>
      </c>
      <c r="G386" s="206"/>
      <c r="H386" s="98">
        <f t="shared" si="171"/>
        <v>0.18479999999999999</v>
      </c>
    </row>
    <row r="387" spans="1:8" ht="15" customHeight="1">
      <c r="A387" s="97" t="str">
        <f t="shared" ref="A387:C387" si="183">A374</f>
        <v>V12</v>
      </c>
      <c r="B387" s="98" t="str">
        <f t="shared" si="183"/>
        <v>15x80</v>
      </c>
      <c r="C387" s="98">
        <f t="shared" si="183"/>
        <v>1</v>
      </c>
      <c r="D387" s="98">
        <v>0.15</v>
      </c>
      <c r="E387" s="98">
        <f t="shared" si="173"/>
        <v>23.099999999999998</v>
      </c>
      <c r="F387" s="98">
        <v>0.8</v>
      </c>
      <c r="G387" s="206"/>
      <c r="H387" s="98">
        <f t="shared" si="171"/>
        <v>2.7719999999999998</v>
      </c>
    </row>
    <row r="388" spans="1:8" ht="15" customHeight="1">
      <c r="A388" s="89" t="s">
        <v>14669</v>
      </c>
      <c r="B388" s="367" t="str">
        <f>VLOOKUP($A388,SERVICOS,4,FALSE)</f>
        <v>CONTENÇÕES</v>
      </c>
      <c r="C388" s="367"/>
      <c r="D388" s="367"/>
      <c r="E388" s="367"/>
      <c r="F388" s="367"/>
      <c r="G388" s="367">
        <f>VLOOKUP($A388,SERVICOS,5,FALSE)</f>
        <v>0</v>
      </c>
      <c r="H388" s="367" t="e">
        <f>ROUND(SUM(#REF!),2)</f>
        <v>#REF!</v>
      </c>
    </row>
    <row r="389" spans="1:8" s="93" customFormat="1" ht="45" customHeight="1">
      <c r="A389" s="91" t="s">
        <v>14670</v>
      </c>
      <c r="B389" s="364" t="str">
        <f>VLOOKUP($A389,SERVICOS,4,FALSE)</f>
        <v>Alvenaria De Blocos De Concreto Estrutural 14X19X39 Cm (Espessura 14 Cm), Fbk = 4,5 Mpa, Utilizando Palheta. Af_10/2022</v>
      </c>
      <c r="C389" s="365"/>
      <c r="D389" s="365"/>
      <c r="E389" s="365"/>
      <c r="F389" s="366"/>
      <c r="G389" s="91" t="str">
        <f>VLOOKUP($A389,SERVICOS,5,FALSE)</f>
        <v>m2</v>
      </c>
      <c r="H389" s="92">
        <f>ROUND(SUM(H391:H399),2)</f>
        <v>54.31</v>
      </c>
    </row>
    <row r="390" spans="1:8" ht="15" customHeight="1">
      <c r="A390" s="94" t="s">
        <v>938</v>
      </c>
      <c r="B390" s="94" t="s">
        <v>7320</v>
      </c>
      <c r="C390" s="95" t="s">
        <v>14192</v>
      </c>
      <c r="D390" s="95"/>
      <c r="E390" s="94"/>
      <c r="F390" s="94"/>
      <c r="G390" s="94"/>
      <c r="H390" s="96"/>
    </row>
    <row r="391" spans="1:8" ht="15" customHeight="1">
      <c r="A391" s="232" t="s">
        <v>14627</v>
      </c>
      <c r="B391" s="229"/>
      <c r="C391" s="229"/>
      <c r="D391" s="230"/>
      <c r="E391" s="229"/>
      <c r="F391" s="230"/>
      <c r="G391" s="229"/>
      <c r="H391" s="98"/>
    </row>
    <row r="392" spans="1:8" ht="15" customHeight="1">
      <c r="A392" s="204" t="s">
        <v>14418</v>
      </c>
      <c r="B392" s="98">
        <v>10.96</v>
      </c>
      <c r="C392" s="98">
        <v>0.2</v>
      </c>
      <c r="D392" s="98"/>
      <c r="E392" s="98"/>
      <c r="F392" s="98"/>
      <c r="G392" s="98"/>
      <c r="H392" s="98">
        <f>B392*C392</f>
        <v>2.1920000000000002</v>
      </c>
    </row>
    <row r="393" spans="1:8" ht="15" customHeight="1">
      <c r="A393" s="97" t="s">
        <v>14311</v>
      </c>
      <c r="B393" s="98">
        <v>6.03</v>
      </c>
      <c r="C393" s="98">
        <v>0.2</v>
      </c>
      <c r="D393" s="98"/>
      <c r="E393" s="98"/>
      <c r="F393" s="98"/>
      <c r="G393" s="98"/>
      <c r="H393" s="98">
        <f t="shared" ref="H393:H394" si="184">B393*C393</f>
        <v>1.2060000000000002</v>
      </c>
    </row>
    <row r="394" spans="1:8" ht="15" customHeight="1">
      <c r="A394" s="97" t="s">
        <v>14319</v>
      </c>
      <c r="B394" s="98">
        <f>E246</f>
        <v>34.11</v>
      </c>
      <c r="C394" s="98">
        <v>0.8</v>
      </c>
      <c r="D394" s="98"/>
      <c r="E394" s="98"/>
      <c r="F394" s="98"/>
      <c r="G394" s="98"/>
      <c r="H394" s="98">
        <f t="shared" si="184"/>
        <v>27.288</v>
      </c>
    </row>
    <row r="395" spans="1:8" ht="15" customHeight="1">
      <c r="A395" s="97" t="s">
        <v>14925</v>
      </c>
      <c r="B395" s="98">
        <v>2.7</v>
      </c>
      <c r="C395" s="98">
        <v>0.6</v>
      </c>
      <c r="D395" s="98"/>
      <c r="E395" s="98"/>
      <c r="F395" s="98"/>
      <c r="G395" s="98"/>
      <c r="H395" s="98">
        <f t="shared" ref="H395" si="185">B395*C395</f>
        <v>1.62</v>
      </c>
    </row>
    <row r="396" spans="1:8" ht="15" customHeight="1">
      <c r="A396" s="97" t="s">
        <v>14914</v>
      </c>
      <c r="B396" s="98">
        <f>(7.2+1.8)*2</f>
        <v>18</v>
      </c>
      <c r="C396" s="98">
        <v>0.3</v>
      </c>
      <c r="D396" s="205" t="s">
        <v>14916</v>
      </c>
      <c r="E396" s="98"/>
      <c r="F396" s="98"/>
      <c r="G396" s="98"/>
      <c r="H396" s="98">
        <f t="shared" ref="H396" si="186">B396*C396</f>
        <v>5.3999999999999995</v>
      </c>
    </row>
    <row r="397" spans="1:8" ht="15" customHeight="1">
      <c r="A397" s="284" t="s">
        <v>14628</v>
      </c>
      <c r="B397" s="98"/>
      <c r="C397" s="98"/>
      <c r="D397" s="98"/>
      <c r="E397" s="98"/>
      <c r="F397" s="98"/>
      <c r="G397" s="98"/>
      <c r="H397" s="98"/>
    </row>
    <row r="398" spans="1:8" ht="15" customHeight="1">
      <c r="A398" s="97" t="s">
        <v>14822</v>
      </c>
      <c r="B398" s="98">
        <v>4.28</v>
      </c>
      <c r="C398" s="98">
        <v>0.6</v>
      </c>
      <c r="D398" s="98"/>
      <c r="E398" s="98"/>
      <c r="F398" s="98"/>
      <c r="G398" s="98"/>
      <c r="H398" s="98">
        <f t="shared" ref="H398" si="187">B398*C398</f>
        <v>2.5680000000000001</v>
      </c>
    </row>
    <row r="399" spans="1:8" ht="15" customHeight="1">
      <c r="A399" s="97" t="s">
        <v>14821</v>
      </c>
      <c r="B399" s="98">
        <f>5.85*4</f>
        <v>23.4</v>
      </c>
      <c r="C399" s="98">
        <v>0.6</v>
      </c>
      <c r="D399" s="98"/>
      <c r="E399" s="98"/>
      <c r="F399" s="98"/>
      <c r="G399" s="98"/>
      <c r="H399" s="98">
        <f t="shared" ref="H399" si="188">B399*C399</f>
        <v>14.04</v>
      </c>
    </row>
    <row r="400" spans="1:8" ht="15" customHeight="1">
      <c r="A400" s="97" t="s">
        <v>14823</v>
      </c>
      <c r="B400" s="236"/>
      <c r="C400" s="237"/>
      <c r="D400" s="237"/>
      <c r="E400" s="237"/>
      <c r="F400" s="238"/>
      <c r="G400" s="98"/>
      <c r="H400" s="98"/>
    </row>
    <row r="401" spans="1:8" s="93" customFormat="1" ht="30" customHeight="1">
      <c r="A401" s="91" t="s">
        <v>14671</v>
      </c>
      <c r="B401" s="364" t="str">
        <f>VLOOKUP($A401,SERVICOS,4,FALSE)</f>
        <v>Cinta De Amarração De Alvenaria Moldada In Loco Com Utilização De Blocos Canaleta. Af_03/2016</v>
      </c>
      <c r="C401" s="365"/>
      <c r="D401" s="365"/>
      <c r="E401" s="365"/>
      <c r="F401" s="366"/>
      <c r="G401" s="91" t="str">
        <f>VLOOKUP($A401,SERVICOS,5,FALSE)</f>
        <v>m</v>
      </c>
      <c r="H401" s="92">
        <f>ROUND(SUM(H403:H411),2)</f>
        <v>106.86</v>
      </c>
    </row>
    <row r="402" spans="1:8" ht="15" customHeight="1">
      <c r="A402" s="94" t="s">
        <v>938</v>
      </c>
      <c r="B402" s="94" t="s">
        <v>7320</v>
      </c>
      <c r="C402" s="95"/>
      <c r="D402" s="95"/>
      <c r="E402" s="94"/>
      <c r="F402" s="94"/>
      <c r="G402" s="94"/>
      <c r="H402" s="96"/>
    </row>
    <row r="403" spans="1:8" ht="15" customHeight="1">
      <c r="A403" s="232" t="str">
        <f>A391</f>
        <v>SOBRE SAPATA CORRIDA:</v>
      </c>
      <c r="B403" s="229"/>
      <c r="C403" s="229"/>
      <c r="D403" s="230"/>
      <c r="E403" s="229"/>
      <c r="F403" s="230"/>
      <c r="G403" s="229"/>
      <c r="H403" s="98"/>
    </row>
    <row r="404" spans="1:8" ht="15" customHeight="1">
      <c r="A404" s="305" t="str">
        <f>A392</f>
        <v>Vestiários</v>
      </c>
      <c r="B404" s="98">
        <f>B392</f>
        <v>10.96</v>
      </c>
      <c r="C404" s="98"/>
      <c r="D404" s="98"/>
      <c r="E404" s="98"/>
      <c r="F404" s="98"/>
      <c r="G404" s="98"/>
      <c r="H404" s="98">
        <f>B404</f>
        <v>10.96</v>
      </c>
    </row>
    <row r="405" spans="1:8" ht="15" customHeight="1">
      <c r="A405" s="305" t="str">
        <f>A393</f>
        <v>Sanitário masculino</v>
      </c>
      <c r="B405" s="98">
        <f>B393</f>
        <v>6.03</v>
      </c>
      <c r="C405" s="98"/>
      <c r="D405" s="98"/>
      <c r="E405" s="98"/>
      <c r="F405" s="98"/>
      <c r="G405" s="98"/>
      <c r="H405" s="98">
        <f t="shared" ref="H405:H411" si="189">B405</f>
        <v>6.03</v>
      </c>
    </row>
    <row r="406" spans="1:8" ht="15" customHeight="1">
      <c r="A406" s="305" t="str">
        <f>A394</f>
        <v>Palco</v>
      </c>
      <c r="B406" s="98">
        <f>B394</f>
        <v>34.11</v>
      </c>
      <c r="C406" s="98"/>
      <c r="D406" s="98"/>
      <c r="E406" s="98"/>
      <c r="F406" s="98"/>
      <c r="G406" s="98"/>
      <c r="H406" s="98">
        <f t="shared" si="189"/>
        <v>34.11</v>
      </c>
    </row>
    <row r="407" spans="1:8" ht="15" customHeight="1">
      <c r="A407" s="305" t="str">
        <f>A183</f>
        <v>Escada interna</v>
      </c>
      <c r="B407" s="98">
        <v>3.56</v>
      </c>
      <c r="C407" s="98"/>
      <c r="D407" s="98"/>
      <c r="E407" s="98"/>
      <c r="F407" s="98"/>
      <c r="G407" s="98"/>
      <c r="H407" s="98">
        <f t="shared" si="189"/>
        <v>3.56</v>
      </c>
    </row>
    <row r="408" spans="1:8" ht="15" customHeight="1">
      <c r="A408" s="305" t="str">
        <f>A184</f>
        <v>Escada e rampa externa</v>
      </c>
      <c r="B408" s="98">
        <f>C184*E184</f>
        <v>24.52</v>
      </c>
      <c r="C408" s="98"/>
      <c r="D408" s="98"/>
      <c r="E408" s="98"/>
      <c r="F408" s="98"/>
      <c r="G408" s="98"/>
      <c r="H408" s="98">
        <f t="shared" ref="H408" si="190">B408</f>
        <v>24.52</v>
      </c>
    </row>
    <row r="409" spans="1:8" ht="15" customHeight="1">
      <c r="A409" s="232" t="str">
        <f>A397</f>
        <v>SOBRE VIGAS BALDRAMES:</v>
      </c>
      <c r="B409" s="98"/>
      <c r="C409" s="98"/>
      <c r="D409" s="98"/>
      <c r="E409" s="98"/>
      <c r="F409" s="98"/>
      <c r="G409" s="98"/>
      <c r="H409" s="98"/>
    </row>
    <row r="410" spans="1:8" ht="15" customHeight="1">
      <c r="A410" s="305" t="str">
        <f>A398</f>
        <v>Palco - sobre V3</v>
      </c>
      <c r="B410" s="98">
        <f>B398</f>
        <v>4.28</v>
      </c>
      <c r="C410" s="98"/>
      <c r="D410" s="98"/>
      <c r="E410" s="98"/>
      <c r="F410" s="98"/>
      <c r="G410" s="98"/>
      <c r="H410" s="98">
        <f t="shared" ref="H410" si="191">B410</f>
        <v>4.28</v>
      </c>
    </row>
    <row r="411" spans="1:8" ht="15" customHeight="1">
      <c r="A411" s="305" t="str">
        <f>A399</f>
        <v xml:space="preserve">Palco - sobre V6 </v>
      </c>
      <c r="B411" s="98">
        <f>B399</f>
        <v>23.4</v>
      </c>
      <c r="C411" s="98"/>
      <c r="D411" s="98"/>
      <c r="E411" s="98"/>
      <c r="F411" s="98"/>
      <c r="G411" s="98"/>
      <c r="H411" s="98">
        <f t="shared" si="189"/>
        <v>23.4</v>
      </c>
    </row>
    <row r="412" spans="1:8" ht="15" customHeight="1">
      <c r="A412" s="97" t="s">
        <v>14823</v>
      </c>
      <c r="B412" s="236"/>
      <c r="C412" s="237"/>
      <c r="D412" s="237"/>
      <c r="E412" s="237"/>
      <c r="F412" s="238"/>
      <c r="G412" s="98"/>
      <c r="H412" s="98"/>
    </row>
    <row r="413" spans="1:8" s="93" customFormat="1" ht="30" customHeight="1">
      <c r="A413" s="91" t="s">
        <v>14672</v>
      </c>
      <c r="B413" s="364" t="str">
        <f>VLOOKUP($A413,SERVICOS,4,FALSE)</f>
        <v>Fornecimento, Dobragem E Colocação Em Fôrma, De Armadura Ca-50 A Média, Diâmetro De 6.3 A 10.0 Mm</v>
      </c>
      <c r="C413" s="365"/>
      <c r="D413" s="365"/>
      <c r="E413" s="365"/>
      <c r="F413" s="366"/>
      <c r="G413" s="91" t="str">
        <f>VLOOKUP($A413,SERVICOS,5,FALSE)</f>
        <v>kg</v>
      </c>
      <c r="H413" s="92">
        <f>ROUND(SUM(H415:H421),2)</f>
        <v>151.80000000000001</v>
      </c>
    </row>
    <row r="414" spans="1:8" ht="15" customHeight="1">
      <c r="A414" s="94" t="s">
        <v>938</v>
      </c>
      <c r="B414" s="94" t="s">
        <v>7320</v>
      </c>
      <c r="C414" s="95" t="s">
        <v>7319</v>
      </c>
      <c r="D414" s="95" t="s">
        <v>7320</v>
      </c>
      <c r="E414" s="94" t="s">
        <v>14485</v>
      </c>
      <c r="F414" s="94"/>
      <c r="G414" s="94"/>
      <c r="H414" s="96"/>
    </row>
    <row r="415" spans="1:8" ht="15" customHeight="1">
      <c r="A415" s="232" t="str">
        <f>A403</f>
        <v>SOBRE SAPATA CORRIDA:</v>
      </c>
      <c r="B415" s="229"/>
      <c r="C415" s="229"/>
      <c r="D415" s="230"/>
      <c r="E415" s="229"/>
      <c r="F415" s="230"/>
      <c r="G415" s="229"/>
      <c r="H415" s="98"/>
    </row>
    <row r="416" spans="1:8" ht="15" customHeight="1">
      <c r="A416" s="204" t="str">
        <f>A404</f>
        <v>Vestiários</v>
      </c>
      <c r="B416" s="98">
        <f>B404</f>
        <v>10.96</v>
      </c>
      <c r="C416" s="98">
        <f>ROUNDUP(B416/0.8,0)</f>
        <v>14</v>
      </c>
      <c r="D416" s="98">
        <v>0.62</v>
      </c>
      <c r="E416" s="98">
        <v>0.62</v>
      </c>
      <c r="F416" s="98" t="s">
        <v>12605</v>
      </c>
      <c r="G416" s="98"/>
      <c r="H416" s="98">
        <f>C416*2*D416*E416*1.1</f>
        <v>11.83952</v>
      </c>
    </row>
    <row r="417" spans="1:8" ht="15" customHeight="1">
      <c r="A417" s="204" t="str">
        <f>A405</f>
        <v>Sanitário masculino</v>
      </c>
      <c r="B417" s="98">
        <f>B405</f>
        <v>6.03</v>
      </c>
      <c r="C417" s="98">
        <f t="shared" ref="C417:C421" si="192">ROUNDUP(B417/0.8,0)</f>
        <v>8</v>
      </c>
      <c r="D417" s="98">
        <v>0.62</v>
      </c>
      <c r="E417" s="98">
        <v>0.62</v>
      </c>
      <c r="F417" s="98" t="s">
        <v>12605</v>
      </c>
      <c r="G417" s="98"/>
      <c r="H417" s="98">
        <f t="shared" ref="H417:H421" si="193">C417*2*D417*E417*1.1</f>
        <v>6.7654400000000008</v>
      </c>
    </row>
    <row r="418" spans="1:8" ht="15" customHeight="1">
      <c r="A418" s="204" t="str">
        <f t="shared" ref="A418:B418" si="194">A406</f>
        <v>Palco</v>
      </c>
      <c r="B418" s="98">
        <f t="shared" si="194"/>
        <v>34.11</v>
      </c>
      <c r="C418" s="98">
        <f t="shared" si="192"/>
        <v>43</v>
      </c>
      <c r="D418" s="98">
        <v>1.35</v>
      </c>
      <c r="E418" s="98">
        <v>0.62</v>
      </c>
      <c r="F418" s="98" t="s">
        <v>12605</v>
      </c>
      <c r="G418" s="98"/>
      <c r="H418" s="98">
        <f t="shared" si="193"/>
        <v>79.180199999999999</v>
      </c>
    </row>
    <row r="419" spans="1:8" ht="15" customHeight="1">
      <c r="A419" s="232" t="str">
        <f t="shared" ref="A419" si="195">A409</f>
        <v>SOBRE VIGAS BALDRAMES:</v>
      </c>
      <c r="B419" s="98"/>
      <c r="C419" s="98"/>
      <c r="D419" s="98"/>
      <c r="E419" s="98"/>
      <c r="F419" s="98"/>
      <c r="G419" s="98"/>
      <c r="H419" s="98"/>
    </row>
    <row r="420" spans="1:8" ht="15" customHeight="1">
      <c r="A420" s="305" t="str">
        <f t="shared" ref="A420:B420" si="196">A410</f>
        <v>Palco - sobre V3</v>
      </c>
      <c r="B420" s="98">
        <f t="shared" si="196"/>
        <v>4.28</v>
      </c>
      <c r="C420" s="98">
        <f t="shared" si="192"/>
        <v>6</v>
      </c>
      <c r="D420" s="98">
        <v>1.1000000000000001</v>
      </c>
      <c r="E420" s="98">
        <v>0.62</v>
      </c>
      <c r="F420" s="98" t="s">
        <v>12605</v>
      </c>
      <c r="G420" s="98"/>
      <c r="H420" s="98">
        <f t="shared" si="193"/>
        <v>9.0024000000000015</v>
      </c>
    </row>
    <row r="421" spans="1:8" ht="15" customHeight="1">
      <c r="A421" s="305" t="str">
        <f t="shared" ref="A421:B421" si="197">A411</f>
        <v xml:space="preserve">Palco - sobre V6 </v>
      </c>
      <c r="B421" s="98">
        <f t="shared" si="197"/>
        <v>23.4</v>
      </c>
      <c r="C421" s="98">
        <f t="shared" si="192"/>
        <v>30</v>
      </c>
      <c r="D421" s="98">
        <v>1.1000000000000001</v>
      </c>
      <c r="E421" s="98">
        <v>0.62</v>
      </c>
      <c r="F421" s="98" t="s">
        <v>12605</v>
      </c>
      <c r="G421" s="98"/>
      <c r="H421" s="98">
        <f t="shared" si="193"/>
        <v>45.012000000000008</v>
      </c>
    </row>
    <row r="422" spans="1:8" ht="15" customHeight="1">
      <c r="A422" s="97" t="s">
        <v>14825</v>
      </c>
      <c r="B422" s="236"/>
      <c r="C422" s="237"/>
      <c r="D422" s="237"/>
      <c r="E422" s="237"/>
      <c r="F422" s="238"/>
      <c r="G422" s="98"/>
      <c r="H422" s="98"/>
    </row>
    <row r="423" spans="1:8" s="93" customFormat="1" ht="45" customHeight="1">
      <c r="A423" s="91" t="s">
        <v>14673</v>
      </c>
      <c r="B423" s="364" t="str">
        <f>VLOOKUP($A423,SERVICOS,4,FALSE)</f>
        <v>Graute Fgk=30 Mpa; Traço 1:0,02:0,9:1,2 (Em Massa Seca De Cimento/ Cal/ Areia Grossa/ Brita 0) - Preparo Mecânico Com Betoneira 400 L. Af_09/2021</v>
      </c>
      <c r="C423" s="365"/>
      <c r="D423" s="365"/>
      <c r="E423" s="365"/>
      <c r="F423" s="366"/>
      <c r="G423" s="91" t="str">
        <f>VLOOKUP($A423,SERVICOS,5,FALSE)</f>
        <v>m3</v>
      </c>
      <c r="H423" s="92">
        <f>ROUND(SUM(H425:H431),2)</f>
        <v>1.21</v>
      </c>
    </row>
    <row r="424" spans="1:8" ht="15" customHeight="1">
      <c r="A424" s="94" t="s">
        <v>938</v>
      </c>
      <c r="B424" s="94" t="s">
        <v>7319</v>
      </c>
      <c r="C424" s="95" t="s">
        <v>14191</v>
      </c>
      <c r="D424" s="95" t="s">
        <v>7320</v>
      </c>
      <c r="E424" s="94" t="s">
        <v>14192</v>
      </c>
      <c r="F424" s="94"/>
      <c r="G424" s="94"/>
      <c r="H424" s="96"/>
    </row>
    <row r="425" spans="1:8" ht="15" customHeight="1">
      <c r="A425" s="232" t="str">
        <f>A415</f>
        <v>SOBRE SAPATA CORRIDA:</v>
      </c>
      <c r="B425" s="229"/>
      <c r="C425" s="229"/>
      <c r="D425" s="230"/>
      <c r="E425" s="229"/>
      <c r="F425" s="230"/>
      <c r="G425" s="229"/>
      <c r="H425" s="98"/>
    </row>
    <row r="426" spans="1:8" ht="15" customHeight="1">
      <c r="A426" s="204" t="str">
        <f>A416</f>
        <v>Vestiários</v>
      </c>
      <c r="B426" s="98">
        <f>C416</f>
        <v>14</v>
      </c>
      <c r="C426" s="98">
        <v>0.1</v>
      </c>
      <c r="D426" s="98">
        <v>0.2</v>
      </c>
      <c r="E426" s="98">
        <v>0.2</v>
      </c>
      <c r="F426" s="98"/>
      <c r="G426" s="98"/>
      <c r="H426" s="98">
        <f>B426*C426*D426*E426</f>
        <v>5.6000000000000008E-2</v>
      </c>
    </row>
    <row r="427" spans="1:8" ht="15" customHeight="1">
      <c r="A427" s="204" t="str">
        <f t="shared" ref="A427:A431" si="198">A417</f>
        <v>Sanitário masculino</v>
      </c>
      <c r="B427" s="98">
        <f t="shared" ref="B427:B431" si="199">C417</f>
        <v>8</v>
      </c>
      <c r="C427" s="98">
        <v>0.1</v>
      </c>
      <c r="D427" s="98">
        <v>0.2</v>
      </c>
      <c r="E427" s="98">
        <v>0.2</v>
      </c>
      <c r="F427" s="98"/>
      <c r="G427" s="98"/>
      <c r="H427" s="98">
        <f t="shared" ref="H427:H431" si="200">B427*C427*D427*E427</f>
        <v>3.2000000000000008E-2</v>
      </c>
    </row>
    <row r="428" spans="1:8" ht="15" customHeight="1">
      <c r="A428" s="204" t="str">
        <f t="shared" si="198"/>
        <v>Palco</v>
      </c>
      <c r="B428" s="98">
        <f t="shared" si="199"/>
        <v>43</v>
      </c>
      <c r="C428" s="98">
        <v>0.1</v>
      </c>
      <c r="D428" s="98">
        <v>0.2</v>
      </c>
      <c r="E428" s="98">
        <v>0.8</v>
      </c>
      <c r="F428" s="98"/>
      <c r="G428" s="98"/>
      <c r="H428" s="98">
        <f t="shared" si="200"/>
        <v>0.68800000000000006</v>
      </c>
    </row>
    <row r="429" spans="1:8" ht="15" customHeight="1">
      <c r="A429" s="306" t="str">
        <f t="shared" si="198"/>
        <v>SOBRE VIGAS BALDRAMES:</v>
      </c>
      <c r="B429" s="98"/>
      <c r="C429" s="98"/>
      <c r="D429" s="98"/>
      <c r="E429" s="98"/>
      <c r="F429" s="98"/>
      <c r="G429" s="98"/>
      <c r="H429" s="98"/>
    </row>
    <row r="430" spans="1:8" ht="15" customHeight="1">
      <c r="A430" s="204" t="str">
        <f t="shared" si="198"/>
        <v>Palco - sobre V3</v>
      </c>
      <c r="B430" s="98">
        <f t="shared" si="199"/>
        <v>6</v>
      </c>
      <c r="C430" s="98">
        <v>0.1</v>
      </c>
      <c r="D430" s="98">
        <v>0.2</v>
      </c>
      <c r="E430" s="98">
        <v>0.6</v>
      </c>
      <c r="F430" s="98"/>
      <c r="G430" s="98"/>
      <c r="H430" s="98">
        <f t="shared" ref="H430" si="201">B430*C430*D430*E430</f>
        <v>7.2000000000000008E-2</v>
      </c>
    </row>
    <row r="431" spans="1:8" ht="15" customHeight="1">
      <c r="A431" s="204" t="str">
        <f t="shared" si="198"/>
        <v xml:space="preserve">Palco - sobre V6 </v>
      </c>
      <c r="B431" s="98">
        <f t="shared" si="199"/>
        <v>30</v>
      </c>
      <c r="C431" s="98">
        <v>0.1</v>
      </c>
      <c r="D431" s="98">
        <v>0.2</v>
      </c>
      <c r="E431" s="98">
        <v>0.6</v>
      </c>
      <c r="F431" s="98"/>
      <c r="G431" s="98"/>
      <c r="H431" s="98">
        <f t="shared" si="200"/>
        <v>0.36000000000000004</v>
      </c>
    </row>
    <row r="432" spans="1:8" ht="15" customHeight="1">
      <c r="A432" s="97" t="s">
        <v>14826</v>
      </c>
      <c r="B432" s="98"/>
      <c r="C432" s="98"/>
      <c r="D432" s="98"/>
      <c r="E432" s="98"/>
      <c r="F432" s="98"/>
      <c r="G432" s="98"/>
      <c r="H432" s="98"/>
    </row>
    <row r="433" spans="1:8" s="93" customFormat="1" ht="15" customHeight="1">
      <c r="A433" s="91" t="s">
        <v>14920</v>
      </c>
      <c r="B433" s="364" t="str">
        <f>VLOOKUP($A433,SERVICOS,4,FALSE)</f>
        <v>Fornecimento E Espalhamento De Pó De Pedra</v>
      </c>
      <c r="C433" s="365"/>
      <c r="D433" s="365"/>
      <c r="E433" s="365"/>
      <c r="F433" s="366"/>
      <c r="G433" s="91" t="str">
        <f>VLOOKUP($A433,SERVICOS,5,FALSE)</f>
        <v>m3</v>
      </c>
      <c r="H433" s="92">
        <f>ROUND(SUM(H436:H439),2)</f>
        <v>12.57</v>
      </c>
    </row>
    <row r="434" spans="1:8" ht="15" customHeight="1">
      <c r="A434" s="94" t="s">
        <v>938</v>
      </c>
      <c r="B434" s="94" t="s">
        <v>7319</v>
      </c>
      <c r="C434" s="95" t="s">
        <v>14191</v>
      </c>
      <c r="D434" s="95" t="s">
        <v>12639</v>
      </c>
      <c r="E434" s="94"/>
      <c r="F434" s="94"/>
      <c r="G434" s="94"/>
      <c r="H434" s="96"/>
    </row>
    <row r="435" spans="1:8" ht="15" customHeight="1">
      <c r="A435" s="204" t="s">
        <v>14925</v>
      </c>
      <c r="B435" s="98">
        <v>1</v>
      </c>
      <c r="C435" s="98">
        <f>1-0.14</f>
        <v>0.86</v>
      </c>
      <c r="D435" s="98">
        <v>0.65</v>
      </c>
      <c r="E435" s="98"/>
      <c r="F435" s="98"/>
      <c r="G435" s="98"/>
      <c r="H435" s="98">
        <f>B435*C435*D435</f>
        <v>0.55900000000000005</v>
      </c>
    </row>
    <row r="436" spans="1:8" ht="15" customHeight="1">
      <c r="A436" s="204" t="s">
        <v>14922</v>
      </c>
      <c r="B436" s="98">
        <v>1</v>
      </c>
      <c r="C436" s="98">
        <v>1</v>
      </c>
      <c r="D436" s="98">
        <v>0.45</v>
      </c>
      <c r="E436" s="98"/>
      <c r="F436" s="98"/>
      <c r="G436" s="98"/>
      <c r="H436" s="98">
        <f>B436*C436*D436</f>
        <v>0.45</v>
      </c>
    </row>
    <row r="437" spans="1:8" ht="15" customHeight="1">
      <c r="A437" s="204" t="s">
        <v>14923</v>
      </c>
      <c r="B437" s="98">
        <v>1</v>
      </c>
      <c r="C437" s="98">
        <v>1.25</v>
      </c>
      <c r="D437" s="98">
        <v>3.81</v>
      </c>
      <c r="E437" s="98"/>
      <c r="F437" s="98"/>
      <c r="G437" s="98"/>
      <c r="H437" s="98">
        <f t="shared" ref="H437:H439" si="202">B437*C437*D437</f>
        <v>4.7625000000000002</v>
      </c>
    </row>
    <row r="438" spans="1:8" ht="15" customHeight="1">
      <c r="A438" s="204" t="s">
        <v>14917</v>
      </c>
      <c r="B438" s="98">
        <v>2</v>
      </c>
      <c r="C438" s="98">
        <v>1.2</v>
      </c>
      <c r="D438" s="98">
        <v>1.62</v>
      </c>
      <c r="E438" s="98"/>
      <c r="F438" s="98"/>
      <c r="G438" s="98"/>
      <c r="H438" s="98">
        <f t="shared" si="202"/>
        <v>3.8879999999999999</v>
      </c>
    </row>
    <row r="439" spans="1:8" ht="15" customHeight="1">
      <c r="A439" s="204" t="s">
        <v>14921</v>
      </c>
      <c r="B439" s="98">
        <v>2</v>
      </c>
      <c r="C439" s="98">
        <v>2.8</v>
      </c>
      <c r="D439" s="98">
        <v>0.62</v>
      </c>
      <c r="E439" s="98"/>
      <c r="F439" s="98"/>
      <c r="G439" s="98"/>
      <c r="H439" s="98">
        <f t="shared" si="202"/>
        <v>3.472</v>
      </c>
    </row>
    <row r="440" spans="1:8" ht="15" customHeight="1">
      <c r="A440" s="97" t="s">
        <v>14941</v>
      </c>
      <c r="B440" s="98"/>
      <c r="C440" s="98"/>
      <c r="D440" s="98"/>
      <c r="E440" s="98"/>
      <c r="F440" s="98"/>
      <c r="G440" s="98"/>
      <c r="H440" s="98"/>
    </row>
    <row r="441" spans="1:8" ht="15" customHeight="1">
      <c r="A441" s="89" t="s">
        <v>7235</v>
      </c>
      <c r="B441" s="367" t="str">
        <f>VLOOKUP($A441,SERVICOS,4,FALSE)</f>
        <v>SUPRAESTRUTURA</v>
      </c>
      <c r="C441" s="367"/>
      <c r="D441" s="367"/>
      <c r="E441" s="367"/>
      <c r="F441" s="367"/>
      <c r="G441" s="367">
        <f>VLOOKUP($A441,SERVICOS,5,FALSE)</f>
        <v>0</v>
      </c>
      <c r="H441" s="367" t="e">
        <f>ROUND(SUM(#REF!),2)</f>
        <v>#REF!</v>
      </c>
    </row>
    <row r="442" spans="1:8" ht="15" customHeight="1">
      <c r="A442" s="89" t="s">
        <v>12229</v>
      </c>
      <c r="B442" s="367" t="str">
        <f>VLOOKUP($A442,SERVICOS,4,FALSE)</f>
        <v>PILARES</v>
      </c>
      <c r="C442" s="367"/>
      <c r="D442" s="367"/>
      <c r="E442" s="367"/>
      <c r="F442" s="367"/>
      <c r="G442" s="367">
        <f>VLOOKUP($A442,SERVICOS,5,FALSE)</f>
        <v>0</v>
      </c>
      <c r="H442" s="367" t="e">
        <f>ROUND(SUM(#REF!),2)</f>
        <v>#REF!</v>
      </c>
    </row>
    <row r="443" spans="1:8" s="93" customFormat="1" ht="60" customHeight="1">
      <c r="A443" s="91" t="s">
        <v>13914</v>
      </c>
      <c r="B443" s="364" t="str">
        <f>VLOOKUP($A443,SERVICOS,4,FALSE)</f>
        <v>Forma De Chapas Madeira Compensada Resinada, Esp. 12Mm, Levando-Se Em Conta A Utilização 3 Vezes, Reforçadas Com Sarrafos De Madeira De 2.5 X 10.0Cm (Incl Material, Corte, Montagem, Escoras Em Eucalipto E Desforma)</v>
      </c>
      <c r="C443" s="365"/>
      <c r="D443" s="365"/>
      <c r="E443" s="365"/>
      <c r="F443" s="366"/>
      <c r="G443" s="91" t="str">
        <f>VLOOKUP($A443,SERVICOS,5,FALSE)</f>
        <v>m2</v>
      </c>
      <c r="H443" s="92">
        <f>ROUND(SUM(H445:H451),2)</f>
        <v>275.37</v>
      </c>
    </row>
    <row r="444" spans="1:8" ht="25.5">
      <c r="A444" s="94" t="s">
        <v>938</v>
      </c>
      <c r="B444" s="95" t="s">
        <v>14480</v>
      </c>
      <c r="C444" s="95" t="s">
        <v>7319</v>
      </c>
      <c r="D444" s="95" t="s">
        <v>14191</v>
      </c>
      <c r="E444" s="94" t="s">
        <v>7320</v>
      </c>
      <c r="F444" s="94" t="s">
        <v>14192</v>
      </c>
      <c r="G444" s="94"/>
      <c r="H444" s="96"/>
    </row>
    <row r="445" spans="1:8" ht="15" customHeight="1">
      <c r="A445" s="97" t="s">
        <v>14327</v>
      </c>
      <c r="B445" s="206" t="s">
        <v>14677</v>
      </c>
      <c r="C445" s="98">
        <v>2</v>
      </c>
      <c r="D445" s="98">
        <v>0.15</v>
      </c>
      <c r="E445" s="98">
        <v>0.3</v>
      </c>
      <c r="F445" s="98">
        <v>6</v>
      </c>
      <c r="G445" s="98"/>
      <c r="H445" s="98">
        <f>C445*(D445+E445)*2*F445</f>
        <v>10.799999999999999</v>
      </c>
    </row>
    <row r="446" spans="1:8" ht="15" customHeight="1">
      <c r="A446" s="97" t="s">
        <v>14494</v>
      </c>
      <c r="B446" s="206" t="s">
        <v>14678</v>
      </c>
      <c r="C446" s="98">
        <v>4</v>
      </c>
      <c r="D446" s="98">
        <v>0.15</v>
      </c>
      <c r="E446" s="98">
        <v>0.3</v>
      </c>
      <c r="F446" s="98">
        <v>4.2</v>
      </c>
      <c r="G446" s="98"/>
      <c r="H446" s="98">
        <f t="shared" ref="H446:H449" si="203">C446*(D446+E446)*2*F446</f>
        <v>15.12</v>
      </c>
    </row>
    <row r="447" spans="1:8" ht="15" customHeight="1">
      <c r="A447" s="97" t="s">
        <v>14493</v>
      </c>
      <c r="B447" s="206" t="s">
        <v>14679</v>
      </c>
      <c r="C447" s="98">
        <v>4</v>
      </c>
      <c r="D447" s="98">
        <v>0.2</v>
      </c>
      <c r="E447" s="98">
        <v>0.3</v>
      </c>
      <c r="F447" s="98">
        <v>4.2</v>
      </c>
      <c r="G447" s="98"/>
      <c r="H447" s="98">
        <f t="shared" si="203"/>
        <v>16.8</v>
      </c>
    </row>
    <row r="448" spans="1:8" ht="45" customHeight="1">
      <c r="A448" s="204" t="s">
        <v>14328</v>
      </c>
      <c r="B448" s="206" t="s">
        <v>14680</v>
      </c>
      <c r="C448" s="98">
        <v>16</v>
      </c>
      <c r="D448" s="98">
        <v>0.3</v>
      </c>
      <c r="E448" s="98">
        <v>0.6</v>
      </c>
      <c r="F448" s="98">
        <v>6</v>
      </c>
      <c r="G448" s="98"/>
      <c r="H448" s="98">
        <f t="shared" si="203"/>
        <v>172.79999999999998</v>
      </c>
    </row>
    <row r="449" spans="1:8" ht="15" customHeight="1">
      <c r="A449" s="97" t="s">
        <v>14827</v>
      </c>
      <c r="B449" s="98" t="s">
        <v>14682</v>
      </c>
      <c r="C449" s="98">
        <v>1</v>
      </c>
      <c r="D449" s="98">
        <v>0.15</v>
      </c>
      <c r="E449" s="98">
        <v>0.3</v>
      </c>
      <c r="F449" s="98">
        <v>3.7</v>
      </c>
      <c r="G449" s="98"/>
      <c r="H449" s="98">
        <f t="shared" si="203"/>
        <v>3.3299999999999996</v>
      </c>
    </row>
    <row r="450" spans="1:8" ht="15" customHeight="1">
      <c r="A450" s="97" t="s">
        <v>14828</v>
      </c>
      <c r="B450" s="98" t="s">
        <v>14683</v>
      </c>
      <c r="C450" s="98">
        <v>2</v>
      </c>
      <c r="D450" s="98">
        <v>0.15</v>
      </c>
      <c r="E450" s="98">
        <v>0.3</v>
      </c>
      <c r="F450" s="98">
        <v>3.4</v>
      </c>
      <c r="G450" s="98"/>
      <c r="H450" s="98">
        <f t="shared" ref="H450" si="204">C450*(D450+E450)*2*F450</f>
        <v>6.1199999999999992</v>
      </c>
    </row>
    <row r="451" spans="1:8" ht="15" customHeight="1">
      <c r="A451" s="204" t="s">
        <v>14829</v>
      </c>
      <c r="B451" s="206" t="s">
        <v>14681</v>
      </c>
      <c r="C451" s="98">
        <v>6</v>
      </c>
      <c r="D451" s="98">
        <v>0.3</v>
      </c>
      <c r="E451" s="98">
        <v>0.4</v>
      </c>
      <c r="F451" s="98">
        <v>6</v>
      </c>
      <c r="G451" s="98"/>
      <c r="H451" s="98">
        <f t="shared" ref="H451" si="205">C451*(D451+E451)*2*F451</f>
        <v>50.399999999999991</v>
      </c>
    </row>
    <row r="452" spans="1:8" s="93" customFormat="1" ht="30" customHeight="1">
      <c r="A452" s="91" t="s">
        <v>14224</v>
      </c>
      <c r="B452" s="364" t="str">
        <f>VLOOKUP($A452,SERVICOS,4,FALSE)</f>
        <v>Fornecimento, Dobragem E Colocação Em Fôrma, De Armadura Ca-60 B Fina, Diâmetro De 4.0 A 7.0Mm</v>
      </c>
      <c r="C452" s="365"/>
      <c r="D452" s="365"/>
      <c r="E452" s="365"/>
      <c r="F452" s="366"/>
      <c r="G452" s="91" t="str">
        <f>VLOOKUP($A452,SERVICOS,5,FALSE)</f>
        <v>kg</v>
      </c>
      <c r="H452" s="92">
        <f>ROUND(SUM(H454:H460),2)</f>
        <v>273.79000000000002</v>
      </c>
    </row>
    <row r="453" spans="1:8" ht="25.5">
      <c r="A453" s="94" t="s">
        <v>938</v>
      </c>
      <c r="B453" s="95" t="s">
        <v>14480</v>
      </c>
      <c r="C453" s="95" t="s">
        <v>7319</v>
      </c>
      <c r="D453" s="94" t="s">
        <v>14192</v>
      </c>
      <c r="E453" s="94" t="s">
        <v>14495</v>
      </c>
      <c r="F453" s="94" t="s">
        <v>7320</v>
      </c>
      <c r="G453" s="94" t="s">
        <v>14496</v>
      </c>
      <c r="H453" s="96"/>
    </row>
    <row r="454" spans="1:8" ht="15" customHeight="1">
      <c r="A454" s="97" t="str">
        <f>A445</f>
        <v>P1=P2</v>
      </c>
      <c r="B454" s="206" t="str">
        <f>B445</f>
        <v>15x30x600</v>
      </c>
      <c r="C454" s="206">
        <f>C445</f>
        <v>2</v>
      </c>
      <c r="D454" s="98">
        <f>F445</f>
        <v>6</v>
      </c>
      <c r="E454" s="98">
        <f>ROUNDUP(D454/0.15,0)</f>
        <v>40</v>
      </c>
      <c r="F454" s="98">
        <v>0.8</v>
      </c>
      <c r="G454" s="98">
        <v>0.16</v>
      </c>
      <c r="H454" s="98">
        <f>C454*E454*F454*G454</f>
        <v>10.24</v>
      </c>
    </row>
    <row r="455" spans="1:8" ht="15" customHeight="1">
      <c r="A455" s="97" t="str">
        <f t="shared" ref="A455:C455" si="206">A446</f>
        <v>P3=P4=P5=P6</v>
      </c>
      <c r="B455" s="206" t="str">
        <f t="shared" si="206"/>
        <v>15x30x420</v>
      </c>
      <c r="C455" s="206">
        <f t="shared" si="206"/>
        <v>4</v>
      </c>
      <c r="D455" s="98">
        <f t="shared" ref="D455:D460" si="207">F446</f>
        <v>4.2</v>
      </c>
      <c r="E455" s="98">
        <f t="shared" ref="E455:E460" si="208">ROUNDUP(D455/0.15,0)</f>
        <v>28</v>
      </c>
      <c r="F455" s="98">
        <v>0.8</v>
      </c>
      <c r="G455" s="98">
        <v>0.16</v>
      </c>
      <c r="H455" s="98">
        <f t="shared" ref="H455:H460" si="209">C455*E455*F455*G455</f>
        <v>14.336000000000002</v>
      </c>
    </row>
    <row r="456" spans="1:8" ht="15" customHeight="1">
      <c r="A456" s="97" t="str">
        <f t="shared" ref="A456:C456" si="210">A447</f>
        <v>P7=P8=P9=P10</v>
      </c>
      <c r="B456" s="206" t="str">
        <f t="shared" si="210"/>
        <v>20x30x420</v>
      </c>
      <c r="C456" s="206">
        <f t="shared" si="210"/>
        <v>4</v>
      </c>
      <c r="D456" s="98">
        <f t="shared" si="207"/>
        <v>4.2</v>
      </c>
      <c r="E456" s="98">
        <f t="shared" si="208"/>
        <v>28</v>
      </c>
      <c r="F456" s="98">
        <v>0.9</v>
      </c>
      <c r="G456" s="98">
        <v>0.16</v>
      </c>
      <c r="H456" s="98">
        <f t="shared" si="209"/>
        <v>16.128</v>
      </c>
    </row>
    <row r="457" spans="1:8" ht="45" customHeight="1">
      <c r="A457" s="204" t="str">
        <f t="shared" ref="A457:C457" si="211">A448</f>
        <v>P11=P12=P13=P14=P15=P16=P17=P18=P25=P26=P27=P28=P29=P30=P31=P32</v>
      </c>
      <c r="B457" s="206" t="str">
        <f t="shared" si="211"/>
        <v>30x60x600</v>
      </c>
      <c r="C457" s="206">
        <f t="shared" si="211"/>
        <v>16</v>
      </c>
      <c r="D457" s="98">
        <f t="shared" si="207"/>
        <v>6</v>
      </c>
      <c r="E457" s="98">
        <f t="shared" si="208"/>
        <v>40</v>
      </c>
      <c r="F457" s="98">
        <v>1.7</v>
      </c>
      <c r="G457" s="98">
        <v>0.16</v>
      </c>
      <c r="H457" s="98">
        <f t="shared" si="209"/>
        <v>174.08</v>
      </c>
    </row>
    <row r="458" spans="1:8" ht="15" customHeight="1">
      <c r="A458" s="97" t="str">
        <f t="shared" ref="A458:C458" si="212">A449</f>
        <v>P19</v>
      </c>
      <c r="B458" s="206" t="str">
        <f t="shared" si="212"/>
        <v>15x30x370</v>
      </c>
      <c r="C458" s="206">
        <f t="shared" si="212"/>
        <v>1</v>
      </c>
      <c r="D458" s="98">
        <f t="shared" si="207"/>
        <v>3.7</v>
      </c>
      <c r="E458" s="98">
        <f t="shared" ref="E458:E459" si="213">ROUNDUP(D458/0.15,0)</f>
        <v>25</v>
      </c>
      <c r="F458" s="98">
        <v>0.8</v>
      </c>
      <c r="G458" s="98">
        <v>0.16</v>
      </c>
      <c r="H458" s="98">
        <f t="shared" ref="H458:H459" si="214">C458*E458*F458*G458</f>
        <v>3.2</v>
      </c>
    </row>
    <row r="459" spans="1:8" ht="15" customHeight="1">
      <c r="A459" s="97" t="str">
        <f t="shared" ref="A459:C459" si="215">A450</f>
        <v>P20=P21</v>
      </c>
      <c r="B459" s="206" t="str">
        <f t="shared" si="215"/>
        <v>15x30x340</v>
      </c>
      <c r="C459" s="206">
        <f t="shared" si="215"/>
        <v>2</v>
      </c>
      <c r="D459" s="98">
        <f t="shared" si="207"/>
        <v>3.4</v>
      </c>
      <c r="E459" s="98">
        <f t="shared" si="213"/>
        <v>23</v>
      </c>
      <c r="F459" s="98">
        <v>0.8</v>
      </c>
      <c r="G459" s="98">
        <v>0.16</v>
      </c>
      <c r="H459" s="98">
        <f t="shared" si="214"/>
        <v>5.8880000000000008</v>
      </c>
    </row>
    <row r="460" spans="1:8" ht="15" customHeight="1">
      <c r="A460" s="97" t="str">
        <f t="shared" ref="A460:C460" si="216">A451</f>
        <v>P22=P23=P24=P25=P26=P27</v>
      </c>
      <c r="B460" s="206" t="str">
        <f t="shared" si="216"/>
        <v>30x40x600</v>
      </c>
      <c r="C460" s="206">
        <f t="shared" si="216"/>
        <v>6</v>
      </c>
      <c r="D460" s="98">
        <f t="shared" si="207"/>
        <v>6</v>
      </c>
      <c r="E460" s="98">
        <f t="shared" si="208"/>
        <v>40</v>
      </c>
      <c r="F460" s="98">
        <v>1.3</v>
      </c>
      <c r="G460" s="98">
        <v>0.16</v>
      </c>
      <c r="H460" s="98">
        <f t="shared" si="209"/>
        <v>49.92</v>
      </c>
    </row>
    <row r="461" spans="1:8" ht="15" customHeight="1">
      <c r="A461" s="97" t="s">
        <v>14953</v>
      </c>
      <c r="B461" s="303"/>
      <c r="C461" s="304"/>
      <c r="D461" s="237"/>
      <c r="E461" s="237"/>
      <c r="F461" s="238"/>
      <c r="G461" s="98"/>
      <c r="H461" s="98"/>
    </row>
    <row r="462" spans="1:8" s="93" customFormat="1" ht="30" customHeight="1">
      <c r="A462" s="91" t="s">
        <v>14225</v>
      </c>
      <c r="B462" s="364" t="str">
        <f>VLOOKUP($A462,SERVICOS,4,FALSE)</f>
        <v>Fornecimento, Dobragem E Colocação Em Fôrma, De Armadura Ca-50 A Média, Diâmetro De 6.3 A 10.0 Mm</v>
      </c>
      <c r="C462" s="365"/>
      <c r="D462" s="365"/>
      <c r="E462" s="365"/>
      <c r="F462" s="366"/>
      <c r="G462" s="91" t="str">
        <f>VLOOKUP($A462,SERVICOS,5,FALSE)</f>
        <v>kg</v>
      </c>
      <c r="H462" s="92">
        <f>ROUND(SUM(H464:H467),2)</f>
        <v>120.3</v>
      </c>
    </row>
    <row r="463" spans="1:8" ht="25.5">
      <c r="A463" s="94" t="s">
        <v>938</v>
      </c>
      <c r="B463" s="95" t="s">
        <v>14480</v>
      </c>
      <c r="C463" s="95" t="s">
        <v>7319</v>
      </c>
      <c r="D463" s="95" t="s">
        <v>14497</v>
      </c>
      <c r="E463" s="94" t="s">
        <v>7320</v>
      </c>
      <c r="F463" s="94" t="s">
        <v>14496</v>
      </c>
      <c r="G463" s="94" t="s">
        <v>14667</v>
      </c>
      <c r="H463" s="96"/>
    </row>
    <row r="464" spans="1:8" ht="15" customHeight="1">
      <c r="A464" s="97" t="str">
        <f t="shared" ref="A464:C465" si="217">A455</f>
        <v>P3=P4=P5=P6</v>
      </c>
      <c r="B464" s="206" t="str">
        <f t="shared" si="217"/>
        <v>15x30x420</v>
      </c>
      <c r="C464" s="206">
        <f t="shared" si="217"/>
        <v>4</v>
      </c>
      <c r="D464" s="98">
        <v>4</v>
      </c>
      <c r="E464" s="98">
        <f>D455</f>
        <v>4.2</v>
      </c>
      <c r="F464" s="98">
        <v>0.62</v>
      </c>
      <c r="G464" s="98" t="s">
        <v>12605</v>
      </c>
      <c r="H464" s="98">
        <f t="shared" ref="H464:H467" si="218">C464*D464*E464*F464*1.1</f>
        <v>45.830400000000004</v>
      </c>
    </row>
    <row r="465" spans="1:8" ht="15" customHeight="1">
      <c r="A465" s="97" t="str">
        <f t="shared" si="217"/>
        <v>P7=P8=P9=P10</v>
      </c>
      <c r="B465" s="206" t="str">
        <f t="shared" si="217"/>
        <v>20x30x420</v>
      </c>
      <c r="C465" s="206">
        <f t="shared" si="217"/>
        <v>4</v>
      </c>
      <c r="D465" s="98">
        <v>4</v>
      </c>
      <c r="E465" s="98">
        <f>D456</f>
        <v>4.2</v>
      </c>
      <c r="F465" s="98">
        <v>0.62</v>
      </c>
      <c r="G465" s="98" t="s">
        <v>12605</v>
      </c>
      <c r="H465" s="98">
        <f t="shared" ref="H465:H466" si="219">C465*D465*E465*F465*1.1</f>
        <v>45.830400000000004</v>
      </c>
    </row>
    <row r="466" spans="1:8" ht="15" customHeight="1">
      <c r="A466" s="97" t="str">
        <f t="shared" ref="A466:C467" si="220">A458</f>
        <v>P19</v>
      </c>
      <c r="B466" s="206" t="str">
        <f t="shared" si="220"/>
        <v>15x30x370</v>
      </c>
      <c r="C466" s="206">
        <f t="shared" si="220"/>
        <v>1</v>
      </c>
      <c r="D466" s="98">
        <v>4</v>
      </c>
      <c r="E466" s="206">
        <f>D458</f>
        <v>3.7</v>
      </c>
      <c r="F466" s="98">
        <v>0.62</v>
      </c>
      <c r="G466" s="98" t="s">
        <v>12605</v>
      </c>
      <c r="H466" s="98">
        <f t="shared" si="219"/>
        <v>10.0936</v>
      </c>
    </row>
    <row r="467" spans="1:8" ht="15" customHeight="1">
      <c r="A467" s="97" t="str">
        <f t="shared" si="220"/>
        <v>P20=P21</v>
      </c>
      <c r="B467" s="206" t="str">
        <f t="shared" si="220"/>
        <v>15x30x340</v>
      </c>
      <c r="C467" s="206">
        <f t="shared" si="220"/>
        <v>2</v>
      </c>
      <c r="D467" s="98">
        <v>4</v>
      </c>
      <c r="E467" s="206">
        <f>D459</f>
        <v>3.4</v>
      </c>
      <c r="F467" s="98">
        <v>0.62</v>
      </c>
      <c r="G467" s="98" t="s">
        <v>12605</v>
      </c>
      <c r="H467" s="98">
        <f t="shared" si="218"/>
        <v>18.550400000000003</v>
      </c>
    </row>
    <row r="468" spans="1:8" s="93" customFormat="1" ht="30" customHeight="1">
      <c r="A468" s="91" t="s">
        <v>14226</v>
      </c>
      <c r="B468" s="364" t="str">
        <f>VLOOKUP($A468,SERVICOS,4,FALSE)</f>
        <v>Fornecimento, Dobragem E Colocação Em Fôrma, De Armadura Ca-50 A Grossa, Diâmetro De 12.5 A 25.0Mm</v>
      </c>
      <c r="C468" s="365"/>
      <c r="D468" s="365"/>
      <c r="E468" s="365"/>
      <c r="F468" s="366"/>
      <c r="G468" s="91" t="str">
        <f>VLOOKUP($A468,SERVICOS,5,FALSE)</f>
        <v>kg</v>
      </c>
      <c r="H468" s="92">
        <f>ROUND(SUM(H470:H475),2)</f>
        <v>2244</v>
      </c>
    </row>
    <row r="469" spans="1:8" ht="25.5">
      <c r="A469" s="94" t="s">
        <v>938</v>
      </c>
      <c r="B469" s="95" t="s">
        <v>14480</v>
      </c>
      <c r="C469" s="95" t="s">
        <v>7319</v>
      </c>
      <c r="D469" s="95" t="s">
        <v>14497</v>
      </c>
      <c r="E469" s="94" t="s">
        <v>7320</v>
      </c>
      <c r="F469" s="94" t="s">
        <v>14496</v>
      </c>
      <c r="G469" s="94" t="s">
        <v>14667</v>
      </c>
      <c r="H469" s="96"/>
    </row>
    <row r="470" spans="1:8" ht="15" customHeight="1">
      <c r="A470" s="97" t="str">
        <f>A454</f>
        <v>P1=P2</v>
      </c>
      <c r="B470" s="206" t="str">
        <f>B454</f>
        <v>15x30x600</v>
      </c>
      <c r="C470" s="98">
        <f>C454</f>
        <v>2</v>
      </c>
      <c r="D470" s="98">
        <v>4</v>
      </c>
      <c r="E470" s="98">
        <f>3.5+3</f>
        <v>6.5</v>
      </c>
      <c r="F470" s="98">
        <v>0.96</v>
      </c>
      <c r="G470" s="98" t="s">
        <v>14466</v>
      </c>
      <c r="H470" s="98">
        <f>C470*D470*E470*F470*1.1</f>
        <v>54.912000000000006</v>
      </c>
    </row>
    <row r="471" spans="1:8" ht="38.25">
      <c r="A471" s="204" t="str">
        <f>A457</f>
        <v>P11=P12=P13=P14=P15=P16=P17=P18=P25=P26=P27=P28=P29=P30=P31=P32</v>
      </c>
      <c r="B471" s="98" t="str">
        <f>B457</f>
        <v>30x60x600</v>
      </c>
      <c r="C471" s="98">
        <f>C457</f>
        <v>16</v>
      </c>
      <c r="D471" s="98">
        <v>4</v>
      </c>
      <c r="E471" s="98">
        <f t="shared" ref="E471:E472" si="221">3.5+3</f>
        <v>6.5</v>
      </c>
      <c r="F471" s="98">
        <v>0.96</v>
      </c>
      <c r="G471" s="98" t="s">
        <v>14466</v>
      </c>
      <c r="H471" s="98">
        <f>C471*D471*E471*F471*1.1</f>
        <v>439.29600000000005</v>
      </c>
    </row>
    <row r="472" spans="1:8" ht="15" customHeight="1">
      <c r="A472" s="97" t="str">
        <f>A460</f>
        <v>P22=P23=P24=P25=P26=P27</v>
      </c>
      <c r="B472" s="206" t="str">
        <f>B460</f>
        <v>30x40x600</v>
      </c>
      <c r="C472" s="98">
        <f>C460</f>
        <v>6</v>
      </c>
      <c r="D472" s="98">
        <v>4</v>
      </c>
      <c r="E472" s="98">
        <f t="shared" si="221"/>
        <v>6.5</v>
      </c>
      <c r="F472" s="98">
        <v>0.96</v>
      </c>
      <c r="G472" s="98" t="s">
        <v>14466</v>
      </c>
      <c r="H472" s="98">
        <f>C472*D472*E472*F472*1.1</f>
        <v>164.73599999999999</v>
      </c>
    </row>
    <row r="473" spans="1:8" ht="15" customHeight="1">
      <c r="A473" s="97"/>
      <c r="B473" s="206"/>
      <c r="C473" s="98"/>
      <c r="D473" s="98"/>
      <c r="E473" s="98"/>
      <c r="F473" s="98"/>
      <c r="G473" s="98"/>
      <c r="H473" s="98"/>
    </row>
    <row r="474" spans="1:8" ht="45" customHeight="1">
      <c r="A474" s="204" t="str">
        <f t="shared" ref="A474:C475" si="222">A471</f>
        <v>P11=P12=P13=P14=P15=P16=P17=P18=P25=P26=P27=P28=P29=P30=P31=P32</v>
      </c>
      <c r="B474" s="206" t="str">
        <f t="shared" si="222"/>
        <v>30x60x600</v>
      </c>
      <c r="C474" s="98">
        <f t="shared" si="222"/>
        <v>16</v>
      </c>
      <c r="D474" s="98">
        <v>8</v>
      </c>
      <c r="E474" s="98">
        <f>3.8+2.8</f>
        <v>6.6</v>
      </c>
      <c r="F474" s="98">
        <v>1.58</v>
      </c>
      <c r="G474" s="98" t="s">
        <v>12627</v>
      </c>
      <c r="H474" s="98">
        <f t="shared" ref="H474:H475" si="223">C474*D474*E474*F474</f>
        <v>1334.7839999999999</v>
      </c>
    </row>
    <row r="475" spans="1:8" ht="15" customHeight="1">
      <c r="A475" s="97" t="str">
        <f t="shared" si="222"/>
        <v>P22=P23=P24=P25=P26=P27</v>
      </c>
      <c r="B475" s="98" t="str">
        <f t="shared" si="222"/>
        <v>30x40x600</v>
      </c>
      <c r="C475" s="98">
        <f t="shared" si="222"/>
        <v>6</v>
      </c>
      <c r="D475" s="98">
        <v>4</v>
      </c>
      <c r="E475" s="98">
        <f>3.8+2.8</f>
        <v>6.6</v>
      </c>
      <c r="F475" s="98">
        <v>1.58</v>
      </c>
      <c r="G475" s="98" t="s">
        <v>12627</v>
      </c>
      <c r="H475" s="98">
        <f t="shared" si="223"/>
        <v>250.27199999999996</v>
      </c>
    </row>
    <row r="476" spans="1:8" s="93" customFormat="1" ht="45" customHeight="1">
      <c r="A476" s="91" t="s">
        <v>14498</v>
      </c>
      <c r="B476" s="364" t="str">
        <f>VLOOKUP($A476,SERVICOS,4,FALSE)</f>
        <v>Fornecimento, Preparo E Aplicação De Concreto Fck=25 Mpa (Brita 1 E 2) - (5% De Perdas Já Incluído No Custo)</v>
      </c>
      <c r="C476" s="365"/>
      <c r="D476" s="365"/>
      <c r="E476" s="365"/>
      <c r="F476" s="366"/>
      <c r="G476" s="91" t="str">
        <f>VLOOKUP($A476,SERVICOS,5,FALSE)</f>
        <v>m3</v>
      </c>
      <c r="H476" s="92">
        <f>ROUND(SUM(H478:H484),2)</f>
        <v>24.38</v>
      </c>
    </row>
    <row r="477" spans="1:8" ht="25.5">
      <c r="A477" s="94" t="s">
        <v>938</v>
      </c>
      <c r="B477" s="95" t="s">
        <v>14480</v>
      </c>
      <c r="C477" s="95" t="s">
        <v>7319</v>
      </c>
      <c r="D477" s="95" t="s">
        <v>14191</v>
      </c>
      <c r="E477" s="94" t="s">
        <v>7320</v>
      </c>
      <c r="F477" s="94" t="s">
        <v>14192</v>
      </c>
      <c r="G477" s="94"/>
      <c r="H477" s="96"/>
    </row>
    <row r="478" spans="1:8" ht="15" customHeight="1">
      <c r="A478" s="97" t="str">
        <f t="shared" ref="A478:F484" si="224">A445</f>
        <v>P1=P2</v>
      </c>
      <c r="B478" s="206" t="str">
        <f t="shared" si="224"/>
        <v>15x30x600</v>
      </c>
      <c r="C478" s="206">
        <f t="shared" si="224"/>
        <v>2</v>
      </c>
      <c r="D478" s="206">
        <f t="shared" si="224"/>
        <v>0.15</v>
      </c>
      <c r="E478" s="206">
        <f t="shared" si="224"/>
        <v>0.3</v>
      </c>
      <c r="F478" s="206">
        <f t="shared" si="224"/>
        <v>6</v>
      </c>
      <c r="G478" s="98"/>
      <c r="H478" s="98">
        <f>C478*D478*E478*F478</f>
        <v>0.54</v>
      </c>
    </row>
    <row r="479" spans="1:8" ht="15" customHeight="1">
      <c r="A479" s="97" t="str">
        <f t="shared" si="224"/>
        <v>P3=P4=P5=P6</v>
      </c>
      <c r="B479" s="206" t="str">
        <f t="shared" si="224"/>
        <v>15x30x420</v>
      </c>
      <c r="C479" s="206">
        <f t="shared" si="224"/>
        <v>4</v>
      </c>
      <c r="D479" s="206">
        <f t="shared" si="224"/>
        <v>0.15</v>
      </c>
      <c r="E479" s="206">
        <f t="shared" si="224"/>
        <v>0.3</v>
      </c>
      <c r="F479" s="206">
        <f t="shared" si="224"/>
        <v>4.2</v>
      </c>
      <c r="G479" s="98"/>
      <c r="H479" s="98">
        <f t="shared" ref="H479:H484" si="225">C479*D479*E479*F479</f>
        <v>0.75600000000000001</v>
      </c>
    </row>
    <row r="480" spans="1:8" ht="15" customHeight="1">
      <c r="A480" s="97" t="str">
        <f t="shared" si="224"/>
        <v>P7=P8=P9=P10</v>
      </c>
      <c r="B480" s="206" t="str">
        <f t="shared" si="224"/>
        <v>20x30x420</v>
      </c>
      <c r="C480" s="206">
        <f t="shared" si="224"/>
        <v>4</v>
      </c>
      <c r="D480" s="206">
        <f t="shared" si="224"/>
        <v>0.2</v>
      </c>
      <c r="E480" s="206">
        <f t="shared" si="224"/>
        <v>0.3</v>
      </c>
      <c r="F480" s="206">
        <f t="shared" si="224"/>
        <v>4.2</v>
      </c>
      <c r="G480" s="98"/>
      <c r="H480" s="98">
        <f t="shared" si="225"/>
        <v>1.008</v>
      </c>
    </row>
    <row r="481" spans="1:8" ht="45" customHeight="1">
      <c r="A481" s="204" t="str">
        <f t="shared" si="224"/>
        <v>P11=P12=P13=P14=P15=P16=P17=P18=P25=P26=P27=P28=P29=P30=P31=P32</v>
      </c>
      <c r="B481" s="206" t="str">
        <f t="shared" si="224"/>
        <v>30x60x600</v>
      </c>
      <c r="C481" s="206">
        <f t="shared" si="224"/>
        <v>16</v>
      </c>
      <c r="D481" s="206">
        <f t="shared" si="224"/>
        <v>0.3</v>
      </c>
      <c r="E481" s="206">
        <f t="shared" si="224"/>
        <v>0.6</v>
      </c>
      <c r="F481" s="206">
        <f t="shared" si="224"/>
        <v>6</v>
      </c>
      <c r="G481" s="98"/>
      <c r="H481" s="98">
        <f t="shared" si="225"/>
        <v>17.28</v>
      </c>
    </row>
    <row r="482" spans="1:8" ht="15" customHeight="1">
      <c r="A482" s="97" t="str">
        <f t="shared" si="224"/>
        <v>P19</v>
      </c>
      <c r="B482" s="206" t="str">
        <f t="shared" si="224"/>
        <v>15x30x370</v>
      </c>
      <c r="C482" s="206">
        <f t="shared" si="224"/>
        <v>1</v>
      </c>
      <c r="D482" s="206">
        <f t="shared" si="224"/>
        <v>0.15</v>
      </c>
      <c r="E482" s="206">
        <f t="shared" si="224"/>
        <v>0.3</v>
      </c>
      <c r="F482" s="206">
        <f t="shared" si="224"/>
        <v>3.7</v>
      </c>
      <c r="G482" s="98"/>
      <c r="H482" s="98">
        <f t="shared" ref="H482:H483" si="226">C482*D482*E482*F482</f>
        <v>0.16650000000000001</v>
      </c>
    </row>
    <row r="483" spans="1:8" ht="15" customHeight="1">
      <c r="A483" s="97" t="str">
        <f t="shared" si="224"/>
        <v>P20=P21</v>
      </c>
      <c r="B483" s="206" t="str">
        <f t="shared" si="224"/>
        <v>15x30x340</v>
      </c>
      <c r="C483" s="206">
        <f t="shared" si="224"/>
        <v>2</v>
      </c>
      <c r="D483" s="206">
        <f t="shared" si="224"/>
        <v>0.15</v>
      </c>
      <c r="E483" s="206">
        <f t="shared" si="224"/>
        <v>0.3</v>
      </c>
      <c r="F483" s="206">
        <f t="shared" si="224"/>
        <v>3.4</v>
      </c>
      <c r="G483" s="98"/>
      <c r="H483" s="98">
        <f t="shared" si="226"/>
        <v>0.30599999999999999</v>
      </c>
    </row>
    <row r="484" spans="1:8" ht="15" customHeight="1">
      <c r="A484" s="97" t="str">
        <f t="shared" si="224"/>
        <v>P22=P23=P24=P25=P26=P27</v>
      </c>
      <c r="B484" s="206" t="str">
        <f t="shared" si="224"/>
        <v>30x40x600</v>
      </c>
      <c r="C484" s="206">
        <f t="shared" si="224"/>
        <v>6</v>
      </c>
      <c r="D484" s="206">
        <f t="shared" si="224"/>
        <v>0.3</v>
      </c>
      <c r="E484" s="206">
        <f t="shared" si="224"/>
        <v>0.4</v>
      </c>
      <c r="F484" s="206">
        <f t="shared" si="224"/>
        <v>6</v>
      </c>
      <c r="G484" s="98"/>
      <c r="H484" s="98">
        <f t="shared" si="225"/>
        <v>4.32</v>
      </c>
    </row>
    <row r="485" spans="1:8" ht="15" customHeight="1">
      <c r="A485" s="89" t="s">
        <v>12591</v>
      </c>
      <c r="B485" s="367" t="str">
        <f>VLOOKUP($A485,SERVICOS,4,FALSE)</f>
        <v xml:space="preserve">VIGAS </v>
      </c>
      <c r="C485" s="367"/>
      <c r="D485" s="367"/>
      <c r="E485" s="367"/>
      <c r="F485" s="367"/>
      <c r="G485" s="367">
        <f>VLOOKUP($A485,SERVICOS,5,FALSE)</f>
        <v>0</v>
      </c>
      <c r="H485" s="367" t="e">
        <f>ROUND(SUM(#REF!),2)</f>
        <v>#REF!</v>
      </c>
    </row>
    <row r="486" spans="1:8" s="93" customFormat="1" ht="60" customHeight="1">
      <c r="A486" s="91" t="s">
        <v>13915</v>
      </c>
      <c r="B486" s="364" t="str">
        <f>VLOOKUP($A486,SERVICOS,4,FALSE)</f>
        <v>Forma De Chapas Madeira Compensada Resinada, Esp. 12Mm, Levando-Se Em Conta A Utilização 3 Vezes, Reforçadas Com Sarrafos De Madeira De 2.5 X 10.0Cm (Incl Material, Corte, Montagem, Escoras Em Eucalipto E Desforma)</v>
      </c>
      <c r="C486" s="365"/>
      <c r="D486" s="365"/>
      <c r="E486" s="365"/>
      <c r="F486" s="366"/>
      <c r="G486" s="91" t="str">
        <f>VLOOKUP($A486,SERVICOS,5,FALSE)</f>
        <v>m2</v>
      </c>
      <c r="H486" s="92">
        <f>ROUND(SUM(H492:H506),2)</f>
        <v>234.77</v>
      </c>
    </row>
    <row r="487" spans="1:8" ht="25.5">
      <c r="A487" s="94" t="s">
        <v>938</v>
      </c>
      <c r="B487" s="95" t="s">
        <v>14480</v>
      </c>
      <c r="C487" s="94" t="s">
        <v>7319</v>
      </c>
      <c r="D487" s="95" t="s">
        <v>14191</v>
      </c>
      <c r="E487" s="94" t="s">
        <v>7320</v>
      </c>
      <c r="F487" s="95" t="s">
        <v>14192</v>
      </c>
      <c r="G487" s="94"/>
      <c r="H487" s="96"/>
    </row>
    <row r="488" spans="1:8" ht="15" customHeight="1">
      <c r="A488" s="232" t="s">
        <v>14831</v>
      </c>
      <c r="B488" s="229"/>
      <c r="C488" s="230"/>
      <c r="D488" s="229"/>
      <c r="E488" s="229"/>
      <c r="F488" s="229"/>
      <c r="G488" s="229"/>
      <c r="H488" s="231"/>
    </row>
    <row r="489" spans="1:8" ht="15" customHeight="1">
      <c r="A489" s="97" t="s">
        <v>14832</v>
      </c>
      <c r="B489" s="98" t="s">
        <v>14575</v>
      </c>
      <c r="C489" s="98">
        <v>1</v>
      </c>
      <c r="D489" s="98">
        <v>0.15</v>
      </c>
      <c r="E489" s="98">
        <v>39.9</v>
      </c>
      <c r="F489" s="98">
        <v>0.4</v>
      </c>
      <c r="G489" s="206"/>
      <c r="H489" s="98">
        <f t="shared" ref="H489:H491" si="227">C489*(D489+F489*2)*E489</f>
        <v>37.905000000000001</v>
      </c>
    </row>
    <row r="490" spans="1:8" ht="15" customHeight="1">
      <c r="A490" s="97" t="s">
        <v>14833</v>
      </c>
      <c r="B490" s="98" t="s">
        <v>14575</v>
      </c>
      <c r="C490" s="98">
        <v>1</v>
      </c>
      <c r="D490" s="98">
        <v>0.15</v>
      </c>
      <c r="E490" s="98">
        <v>17.55</v>
      </c>
      <c r="F490" s="98">
        <v>0.4</v>
      </c>
      <c r="G490" s="206"/>
      <c r="H490" s="98">
        <f t="shared" si="227"/>
        <v>16.672500000000003</v>
      </c>
    </row>
    <row r="491" spans="1:8" ht="15" customHeight="1">
      <c r="A491" s="97" t="s">
        <v>14834</v>
      </c>
      <c r="B491" s="98" t="s">
        <v>14575</v>
      </c>
      <c r="C491" s="98">
        <v>1</v>
      </c>
      <c r="D491" s="98">
        <v>0.15</v>
      </c>
      <c r="E491" s="98">
        <v>21.8</v>
      </c>
      <c r="F491" s="98">
        <v>0.4</v>
      </c>
      <c r="G491" s="206"/>
      <c r="H491" s="98">
        <f t="shared" si="227"/>
        <v>20.71</v>
      </c>
    </row>
    <row r="492" spans="1:8" ht="15" customHeight="1">
      <c r="A492" s="232" t="s">
        <v>14576</v>
      </c>
      <c r="B492" s="229"/>
      <c r="C492" s="230"/>
      <c r="D492" s="230"/>
      <c r="E492" s="229"/>
      <c r="F492" s="229"/>
      <c r="G492" s="229"/>
      <c r="H492" s="231"/>
    </row>
    <row r="493" spans="1:8" ht="15" customHeight="1">
      <c r="A493" s="97" t="s">
        <v>14577</v>
      </c>
      <c r="B493" s="98" t="s">
        <v>14575</v>
      </c>
      <c r="C493" s="98">
        <v>1</v>
      </c>
      <c r="D493" s="98">
        <v>0.15</v>
      </c>
      <c r="E493" s="98">
        <v>20.2</v>
      </c>
      <c r="F493" s="98">
        <v>0.4</v>
      </c>
      <c r="G493" s="206"/>
      <c r="H493" s="98">
        <f t="shared" ref="H493:H499" si="228">C493*(D493+F493*2)*E493</f>
        <v>19.190000000000001</v>
      </c>
    </row>
    <row r="494" spans="1:8" ht="15" customHeight="1">
      <c r="A494" s="97" t="s">
        <v>14578</v>
      </c>
      <c r="B494" s="98" t="s">
        <v>14574</v>
      </c>
      <c r="C494" s="98">
        <v>1</v>
      </c>
      <c r="D494" s="98">
        <v>0.2</v>
      </c>
      <c r="E494" s="98">
        <v>20.62</v>
      </c>
      <c r="F494" s="98">
        <v>0.4</v>
      </c>
      <c r="G494" s="206"/>
      <c r="H494" s="98">
        <f t="shared" si="228"/>
        <v>20.62</v>
      </c>
    </row>
    <row r="495" spans="1:8" ht="15" customHeight="1">
      <c r="A495" s="97" t="s">
        <v>14830</v>
      </c>
      <c r="B495" s="98" t="s">
        <v>14575</v>
      </c>
      <c r="C495" s="98">
        <v>1</v>
      </c>
      <c r="D495" s="98">
        <v>0.15</v>
      </c>
      <c r="E495" s="98">
        <v>35.4</v>
      </c>
      <c r="F495" s="98">
        <v>0.4</v>
      </c>
      <c r="G495" s="206"/>
      <c r="H495" s="98">
        <f t="shared" si="228"/>
        <v>33.630000000000003</v>
      </c>
    </row>
    <row r="496" spans="1:8" ht="15" customHeight="1">
      <c r="A496" s="97" t="s">
        <v>14579</v>
      </c>
      <c r="B496" s="98" t="s">
        <v>14575</v>
      </c>
      <c r="C496" s="98">
        <v>1</v>
      </c>
      <c r="D496" s="98">
        <v>0.15</v>
      </c>
      <c r="E496" s="98">
        <v>4.3499999999999996</v>
      </c>
      <c r="F496" s="98">
        <v>0.4</v>
      </c>
      <c r="G496" s="206"/>
      <c r="H496" s="98">
        <f t="shared" ref="H496:H497" si="229">C496*(D496+F496*2)*E496</f>
        <v>4.1325000000000003</v>
      </c>
    </row>
    <row r="497" spans="1:8" ht="25.5">
      <c r="A497" s="204" t="s">
        <v>14835</v>
      </c>
      <c r="B497" s="98" t="s">
        <v>14575</v>
      </c>
      <c r="C497" s="98">
        <v>6</v>
      </c>
      <c r="D497" s="98">
        <v>0.15</v>
      </c>
      <c r="E497" s="98">
        <v>3.5</v>
      </c>
      <c r="F497" s="98">
        <v>0.4</v>
      </c>
      <c r="G497" s="206"/>
      <c r="H497" s="98">
        <f t="shared" si="229"/>
        <v>19.95</v>
      </c>
    </row>
    <row r="498" spans="1:8" ht="15" customHeight="1">
      <c r="A498" s="97" t="s">
        <v>14581</v>
      </c>
      <c r="B498" s="98" t="s">
        <v>14575</v>
      </c>
      <c r="C498" s="98">
        <v>1</v>
      </c>
      <c r="D498" s="98">
        <v>0.15</v>
      </c>
      <c r="E498" s="98">
        <v>3.07</v>
      </c>
      <c r="F498" s="98">
        <v>0.4</v>
      </c>
      <c r="G498" s="206"/>
      <c r="H498" s="98">
        <f t="shared" si="228"/>
        <v>2.9165000000000001</v>
      </c>
    </row>
    <row r="499" spans="1:8" ht="15" customHeight="1">
      <c r="A499" s="97" t="s">
        <v>14836</v>
      </c>
      <c r="B499" s="98" t="s">
        <v>14575</v>
      </c>
      <c r="C499" s="98">
        <v>1</v>
      </c>
      <c r="D499" s="98">
        <v>0.15</v>
      </c>
      <c r="E499" s="98">
        <v>1.3</v>
      </c>
      <c r="F499" s="98">
        <v>0.4</v>
      </c>
      <c r="G499" s="206"/>
      <c r="H499" s="98">
        <f t="shared" si="228"/>
        <v>1.2350000000000001</v>
      </c>
    </row>
    <row r="500" spans="1:8" ht="15" customHeight="1">
      <c r="A500" s="232" t="s">
        <v>14837</v>
      </c>
      <c r="B500" s="229"/>
      <c r="C500" s="230"/>
      <c r="D500" s="230"/>
      <c r="E500" s="229"/>
      <c r="F500" s="229"/>
      <c r="G500" s="229"/>
      <c r="H500" s="231"/>
    </row>
    <row r="501" spans="1:8" ht="15" customHeight="1">
      <c r="A501" s="97" t="s">
        <v>14580</v>
      </c>
      <c r="B501" s="98" t="s">
        <v>14575</v>
      </c>
      <c r="C501" s="98">
        <v>1</v>
      </c>
      <c r="D501" s="98">
        <v>0.15</v>
      </c>
      <c r="E501" s="98">
        <v>4.3499999999999996</v>
      </c>
      <c r="F501" s="98">
        <v>0.4</v>
      </c>
      <c r="G501" s="206"/>
      <c r="H501" s="98">
        <f t="shared" ref="H501:H503" si="230">C501*(D501+F501*2)*E501</f>
        <v>4.1325000000000003</v>
      </c>
    </row>
    <row r="502" spans="1:8" ht="15" customHeight="1">
      <c r="A502" s="204" t="s">
        <v>14839</v>
      </c>
      <c r="B502" s="98" t="s">
        <v>14575</v>
      </c>
      <c r="C502" s="98">
        <v>1</v>
      </c>
      <c r="D502" s="98">
        <v>0.15</v>
      </c>
      <c r="E502" s="98">
        <v>5.85</v>
      </c>
      <c r="F502" s="98">
        <v>0.4</v>
      </c>
      <c r="G502" s="206"/>
      <c r="H502" s="98">
        <f t="shared" si="230"/>
        <v>5.5575000000000001</v>
      </c>
    </row>
    <row r="503" spans="1:8" ht="15" customHeight="1">
      <c r="A503" s="97" t="s">
        <v>14838</v>
      </c>
      <c r="B503" s="98" t="s">
        <v>14575</v>
      </c>
      <c r="C503" s="98">
        <v>1</v>
      </c>
      <c r="D503" s="98">
        <v>0.15</v>
      </c>
      <c r="E503" s="98">
        <v>3.3</v>
      </c>
      <c r="F503" s="98">
        <v>0.4</v>
      </c>
      <c r="G503" s="206"/>
      <c r="H503" s="98">
        <f t="shared" si="230"/>
        <v>3.1350000000000002</v>
      </c>
    </row>
    <row r="504" spans="1:8" ht="15" customHeight="1">
      <c r="A504" s="232" t="s">
        <v>14573</v>
      </c>
      <c r="B504" s="229"/>
      <c r="C504" s="230"/>
      <c r="D504" s="230"/>
      <c r="E504" s="229"/>
      <c r="F504" s="229"/>
      <c r="G504" s="229"/>
      <c r="H504" s="231"/>
    </row>
    <row r="505" spans="1:8" ht="15" customHeight="1">
      <c r="A505" s="97" t="s">
        <v>14840</v>
      </c>
      <c r="B505" s="98" t="s">
        <v>14575</v>
      </c>
      <c r="C505" s="98">
        <v>2</v>
      </c>
      <c r="D505" s="98">
        <v>0.15</v>
      </c>
      <c r="E505" s="98">
        <f>5.7*7</f>
        <v>39.9</v>
      </c>
      <c r="F505" s="98">
        <v>0.4</v>
      </c>
      <c r="G505" s="206"/>
      <c r="H505" s="98">
        <f>C505*(D505+F505*2)*E505</f>
        <v>75.81</v>
      </c>
    </row>
    <row r="506" spans="1:8" ht="15" customHeight="1">
      <c r="A506" s="97" t="s">
        <v>14841</v>
      </c>
      <c r="B506" s="98" t="s">
        <v>14575</v>
      </c>
      <c r="C506" s="98">
        <v>2</v>
      </c>
      <c r="D506" s="98">
        <v>0.15</v>
      </c>
      <c r="E506" s="98">
        <f>4*5.85</f>
        <v>23.4</v>
      </c>
      <c r="F506" s="98">
        <v>0.4</v>
      </c>
      <c r="G506" s="206"/>
      <c r="H506" s="98">
        <f t="shared" ref="H506" si="231">C506*(D506+F506*2)*E506</f>
        <v>44.46</v>
      </c>
    </row>
    <row r="507" spans="1:8" ht="15" customHeight="1">
      <c r="A507" s="97" t="s">
        <v>14843</v>
      </c>
      <c r="B507" s="236"/>
      <c r="C507" s="237"/>
      <c r="D507" s="237"/>
      <c r="E507" s="237"/>
      <c r="F507" s="238"/>
      <c r="G507" s="206"/>
      <c r="H507" s="98"/>
    </row>
    <row r="508" spans="1:8" s="93" customFormat="1" ht="30" customHeight="1">
      <c r="A508" s="91" t="s">
        <v>14215</v>
      </c>
      <c r="B508" s="364" t="str">
        <f>VLOOKUP($A508,SERVICOS,4,FALSE)</f>
        <v>Fornecimento, Dobragem E Colocação Em Fôrma, De Armadura Ca-60 B Fina, Diâmetro De 4.0 A 7.0Mm</v>
      </c>
      <c r="C508" s="365"/>
      <c r="D508" s="365"/>
      <c r="E508" s="365"/>
      <c r="F508" s="366"/>
      <c r="G508" s="91" t="str">
        <f>VLOOKUP($A508,SERVICOS,5,FALSE)</f>
        <v>kg</v>
      </c>
      <c r="H508" s="92">
        <f>ROUND(SUM(H510:H528),2)</f>
        <v>423.51</v>
      </c>
    </row>
    <row r="509" spans="1:8" ht="25.5">
      <c r="A509" s="94" t="s">
        <v>938</v>
      </c>
      <c r="B509" s="95" t="s">
        <v>14480</v>
      </c>
      <c r="C509" s="94" t="s">
        <v>7319</v>
      </c>
      <c r="D509" s="94" t="s">
        <v>7320</v>
      </c>
      <c r="E509" s="95" t="s">
        <v>14484</v>
      </c>
      <c r="F509" s="94" t="s">
        <v>7320</v>
      </c>
      <c r="G509" s="95" t="s">
        <v>14485</v>
      </c>
      <c r="H509" s="96"/>
    </row>
    <row r="510" spans="1:8" ht="15" customHeight="1">
      <c r="A510" s="232" t="str">
        <f>A488</f>
        <v>VIGAS - NÍVEL +320 CM</v>
      </c>
      <c r="B510" s="229"/>
      <c r="C510" s="230"/>
      <c r="D510" s="229"/>
      <c r="E510" s="229"/>
      <c r="F510" s="229"/>
      <c r="G510" s="229"/>
      <c r="H510" s="231"/>
    </row>
    <row r="511" spans="1:8" ht="15" customHeight="1">
      <c r="A511" s="97" t="str">
        <f>A489</f>
        <v>V106</v>
      </c>
      <c r="B511" s="98" t="str">
        <f>B489</f>
        <v>15x40</v>
      </c>
      <c r="C511" s="98">
        <f>C489</f>
        <v>1</v>
      </c>
      <c r="D511" s="98">
        <f>E489</f>
        <v>39.9</v>
      </c>
      <c r="E511" s="98">
        <f>ROUNDUP(D511/0.15,0)</f>
        <v>266</v>
      </c>
      <c r="F511" s="98">
        <f>(0.15+0.4)*2</f>
        <v>1.1000000000000001</v>
      </c>
      <c r="G511" s="206">
        <v>0.16</v>
      </c>
      <c r="H511" s="98">
        <f>C511*E511*F511*G511*1.1</f>
        <v>51.497600000000006</v>
      </c>
    </row>
    <row r="512" spans="1:8" ht="15" customHeight="1">
      <c r="A512" s="97" t="str">
        <f t="shared" ref="A512:C512" si="232">A490</f>
        <v>V107</v>
      </c>
      <c r="B512" s="98" t="str">
        <f t="shared" si="232"/>
        <v>15x40</v>
      </c>
      <c r="C512" s="98">
        <f t="shared" si="232"/>
        <v>1</v>
      </c>
      <c r="D512" s="98">
        <f>E490</f>
        <v>17.55</v>
      </c>
      <c r="E512" s="98">
        <f t="shared" ref="E512:E525" si="233">ROUNDUP(D512/0.15,0)</f>
        <v>117</v>
      </c>
      <c r="F512" s="98">
        <f t="shared" ref="F512:F524" si="234">(0.15+0.4)*2</f>
        <v>1.1000000000000001</v>
      </c>
      <c r="G512" s="206">
        <v>0.16</v>
      </c>
      <c r="H512" s="98">
        <f t="shared" ref="H512:H525" si="235">C512*E512*F512*G512*1.1</f>
        <v>22.651200000000003</v>
      </c>
    </row>
    <row r="513" spans="1:8" ht="15" customHeight="1">
      <c r="A513" s="97" t="str">
        <f t="shared" ref="A513:C513" si="236">A491</f>
        <v>V117</v>
      </c>
      <c r="B513" s="98" t="str">
        <f t="shared" si="236"/>
        <v>15x40</v>
      </c>
      <c r="C513" s="98">
        <f t="shared" si="236"/>
        <v>1</v>
      </c>
      <c r="D513" s="98">
        <f>E491</f>
        <v>21.8</v>
      </c>
      <c r="E513" s="98">
        <f t="shared" si="233"/>
        <v>146</v>
      </c>
      <c r="F513" s="98">
        <f t="shared" si="234"/>
        <v>1.1000000000000001</v>
      </c>
      <c r="G513" s="206">
        <v>0.16</v>
      </c>
      <c r="H513" s="98">
        <f t="shared" si="235"/>
        <v>28.265600000000006</v>
      </c>
    </row>
    <row r="514" spans="1:8" ht="15" customHeight="1">
      <c r="A514" s="232" t="str">
        <f>A492</f>
        <v>VIGAS - NÍVEL +325 CM</v>
      </c>
      <c r="B514" s="229"/>
      <c r="C514" s="230"/>
      <c r="D514" s="229"/>
      <c r="E514" s="98"/>
      <c r="F514" s="98"/>
      <c r="G514" s="206"/>
      <c r="H514" s="98"/>
    </row>
    <row r="515" spans="1:8" ht="15" customHeight="1">
      <c r="A515" s="97" t="str">
        <f>A493</f>
        <v>V101</v>
      </c>
      <c r="B515" s="98" t="str">
        <f>B493</f>
        <v>15x40</v>
      </c>
      <c r="C515" s="98">
        <f>C493</f>
        <v>1</v>
      </c>
      <c r="D515" s="98">
        <f t="shared" ref="D515:D521" si="237">E493</f>
        <v>20.2</v>
      </c>
      <c r="E515" s="98">
        <f t="shared" si="233"/>
        <v>135</v>
      </c>
      <c r="F515" s="98">
        <f t="shared" si="234"/>
        <v>1.1000000000000001</v>
      </c>
      <c r="G515" s="206">
        <v>0.16</v>
      </c>
      <c r="H515" s="98">
        <f t="shared" si="235"/>
        <v>26.136000000000003</v>
      </c>
    </row>
    <row r="516" spans="1:8" ht="15" customHeight="1">
      <c r="A516" s="97" t="str">
        <f t="shared" ref="A516:C516" si="238">A494</f>
        <v>V102</v>
      </c>
      <c r="B516" s="98" t="str">
        <f t="shared" si="238"/>
        <v>20x40</v>
      </c>
      <c r="C516" s="98">
        <f t="shared" si="238"/>
        <v>1</v>
      </c>
      <c r="D516" s="98">
        <f t="shared" si="237"/>
        <v>20.62</v>
      </c>
      <c r="E516" s="98">
        <f t="shared" si="233"/>
        <v>138</v>
      </c>
      <c r="F516" s="98">
        <f>(0.2+0.4)*2</f>
        <v>1.2000000000000002</v>
      </c>
      <c r="G516" s="206">
        <v>0.16</v>
      </c>
      <c r="H516" s="98">
        <f t="shared" si="235"/>
        <v>29.145600000000009</v>
      </c>
    </row>
    <row r="517" spans="1:8" ht="15" customHeight="1">
      <c r="A517" s="97" t="str">
        <f t="shared" ref="A517:C517" si="239">A495</f>
        <v>V103</v>
      </c>
      <c r="B517" s="98" t="str">
        <f t="shared" si="239"/>
        <v>15x40</v>
      </c>
      <c r="C517" s="98">
        <f t="shared" si="239"/>
        <v>1</v>
      </c>
      <c r="D517" s="98">
        <f t="shared" si="237"/>
        <v>35.4</v>
      </c>
      <c r="E517" s="98">
        <f t="shared" si="233"/>
        <v>236</v>
      </c>
      <c r="F517" s="98">
        <v>1.1000000000000001</v>
      </c>
      <c r="G517" s="206">
        <v>0.16</v>
      </c>
      <c r="H517" s="98">
        <f t="shared" si="235"/>
        <v>45.689600000000006</v>
      </c>
    </row>
    <row r="518" spans="1:8" ht="15" customHeight="1">
      <c r="A518" s="97" t="str">
        <f t="shared" ref="A518:C518" si="240">A496</f>
        <v>V104</v>
      </c>
      <c r="B518" s="98" t="str">
        <f t="shared" si="240"/>
        <v>15x40</v>
      </c>
      <c r="C518" s="98">
        <f t="shared" si="240"/>
        <v>1</v>
      </c>
      <c r="D518" s="98">
        <f t="shared" si="237"/>
        <v>4.3499999999999996</v>
      </c>
      <c r="E518" s="98">
        <f t="shared" si="233"/>
        <v>29</v>
      </c>
      <c r="F518" s="98">
        <f t="shared" si="234"/>
        <v>1.1000000000000001</v>
      </c>
      <c r="G518" s="206">
        <v>0.16</v>
      </c>
      <c r="H518" s="98">
        <f t="shared" si="235"/>
        <v>5.6144000000000007</v>
      </c>
    </row>
    <row r="519" spans="1:8" ht="25.5">
      <c r="A519" s="204" t="str">
        <f t="shared" ref="A519:C519" si="241">A497</f>
        <v>V109=V111=V112=V113=V114=V115</v>
      </c>
      <c r="B519" s="98" t="str">
        <f t="shared" si="241"/>
        <v>15x40</v>
      </c>
      <c r="C519" s="98">
        <f t="shared" si="241"/>
        <v>6</v>
      </c>
      <c r="D519" s="98">
        <f t="shared" si="237"/>
        <v>3.5</v>
      </c>
      <c r="E519" s="98">
        <f t="shared" si="233"/>
        <v>24</v>
      </c>
      <c r="F519" s="98">
        <f t="shared" si="234"/>
        <v>1.1000000000000001</v>
      </c>
      <c r="G519" s="206">
        <v>0.16</v>
      </c>
      <c r="H519" s="98">
        <f t="shared" si="235"/>
        <v>27.878400000000003</v>
      </c>
    </row>
    <row r="520" spans="1:8" ht="15" customHeight="1">
      <c r="A520" s="97" t="str">
        <f t="shared" ref="A520:C520" si="242">A498</f>
        <v>V116</v>
      </c>
      <c r="B520" s="98" t="str">
        <f t="shared" si="242"/>
        <v>15x40</v>
      </c>
      <c r="C520" s="98">
        <f t="shared" si="242"/>
        <v>1</v>
      </c>
      <c r="D520" s="98">
        <f t="shared" si="237"/>
        <v>3.07</v>
      </c>
      <c r="E520" s="98">
        <f t="shared" si="233"/>
        <v>21</v>
      </c>
      <c r="F520" s="98">
        <f t="shared" si="234"/>
        <v>1.1000000000000001</v>
      </c>
      <c r="G520" s="206">
        <v>0.16</v>
      </c>
      <c r="H520" s="98">
        <f t="shared" si="235"/>
        <v>4.0656000000000008</v>
      </c>
    </row>
    <row r="521" spans="1:8" ht="15" customHeight="1">
      <c r="A521" s="97" t="str">
        <f>A499</f>
        <v>V118</v>
      </c>
      <c r="B521" s="98" t="str">
        <f>B499</f>
        <v>15x40</v>
      </c>
      <c r="C521" s="98">
        <f>C499</f>
        <v>1</v>
      </c>
      <c r="D521" s="98">
        <f t="shared" si="237"/>
        <v>1.3</v>
      </c>
      <c r="E521" s="98">
        <f t="shared" si="233"/>
        <v>9</v>
      </c>
      <c r="F521" s="98">
        <f t="shared" si="234"/>
        <v>1.1000000000000001</v>
      </c>
      <c r="G521" s="206">
        <v>0.16</v>
      </c>
      <c r="H521" s="98">
        <f t="shared" si="235"/>
        <v>1.7424000000000002</v>
      </c>
    </row>
    <row r="522" spans="1:8" ht="15" customHeight="1">
      <c r="A522" s="232" t="str">
        <f>A500</f>
        <v>VIGAS - NÍVEL +355 CM</v>
      </c>
      <c r="B522" s="229"/>
      <c r="C522" s="230"/>
      <c r="D522" s="229"/>
      <c r="E522" s="98"/>
      <c r="F522" s="98"/>
      <c r="G522" s="206"/>
      <c r="H522" s="98"/>
    </row>
    <row r="523" spans="1:8" ht="15" customHeight="1">
      <c r="A523" s="97" t="str">
        <f>A501</f>
        <v>V105</v>
      </c>
      <c r="B523" s="98" t="str">
        <f>B501</f>
        <v>15x40</v>
      </c>
      <c r="C523" s="98">
        <f>C501</f>
        <v>1</v>
      </c>
      <c r="D523" s="98">
        <f>E501</f>
        <v>4.3499999999999996</v>
      </c>
      <c r="E523" s="98">
        <f t="shared" ref="E523" si="243">ROUNDUP(D523/0.15,0)</f>
        <v>29</v>
      </c>
      <c r="F523" s="98">
        <f t="shared" si="234"/>
        <v>1.1000000000000001</v>
      </c>
      <c r="G523" s="206">
        <v>0.16</v>
      </c>
      <c r="H523" s="98">
        <f t="shared" ref="H523" si="244">C523*E523*F523*G523*1.1</f>
        <v>5.6144000000000007</v>
      </c>
    </row>
    <row r="524" spans="1:8" ht="15" customHeight="1">
      <c r="A524" s="97" t="str">
        <f t="shared" ref="A524:C524" si="245">A502</f>
        <v>V108</v>
      </c>
      <c r="B524" s="98" t="str">
        <f t="shared" si="245"/>
        <v>15x40</v>
      </c>
      <c r="C524" s="98">
        <f t="shared" si="245"/>
        <v>1</v>
      </c>
      <c r="D524" s="98">
        <f>E502</f>
        <v>5.85</v>
      </c>
      <c r="E524" s="98">
        <f t="shared" si="233"/>
        <v>39</v>
      </c>
      <c r="F524" s="98">
        <f t="shared" si="234"/>
        <v>1.1000000000000001</v>
      </c>
      <c r="G524" s="206">
        <v>0.16</v>
      </c>
      <c r="H524" s="98">
        <f t="shared" si="235"/>
        <v>7.5504000000000016</v>
      </c>
    </row>
    <row r="525" spans="1:8" ht="15" customHeight="1">
      <c r="A525" s="97" t="str">
        <f t="shared" ref="A525:C525" si="246">A503</f>
        <v>V110</v>
      </c>
      <c r="B525" s="98" t="str">
        <f t="shared" si="246"/>
        <v>15x40</v>
      </c>
      <c r="C525" s="98">
        <f t="shared" si="246"/>
        <v>1</v>
      </c>
      <c r="D525" s="98">
        <f>E503</f>
        <v>3.3</v>
      </c>
      <c r="E525" s="98">
        <f t="shared" si="233"/>
        <v>22</v>
      </c>
      <c r="F525" s="98">
        <v>1.1000000000000001</v>
      </c>
      <c r="G525" s="206">
        <v>0.16</v>
      </c>
      <c r="H525" s="98">
        <f t="shared" si="235"/>
        <v>4.2592000000000008</v>
      </c>
    </row>
    <row r="526" spans="1:8" ht="15" customHeight="1">
      <c r="A526" s="232" t="str">
        <f>A504</f>
        <v>VIGAS - NÍVEL +600 CM</v>
      </c>
      <c r="B526" s="229"/>
      <c r="C526" s="230"/>
      <c r="D526" s="229"/>
      <c r="E526" s="98"/>
      <c r="F526" s="98"/>
      <c r="G526" s="206"/>
      <c r="H526" s="98"/>
    </row>
    <row r="527" spans="1:8" ht="15" customHeight="1">
      <c r="A527" s="97" t="str">
        <f t="shared" ref="A527:C527" si="247">A505</f>
        <v>V201=V202</v>
      </c>
      <c r="B527" s="98" t="str">
        <f t="shared" si="247"/>
        <v>15x40</v>
      </c>
      <c r="C527" s="98">
        <f t="shared" si="247"/>
        <v>2</v>
      </c>
      <c r="D527" s="98">
        <f>E505</f>
        <v>39.9</v>
      </c>
      <c r="E527" s="98">
        <f t="shared" ref="E527:E528" si="248">ROUNDUP(D527/0.15,0)</f>
        <v>266</v>
      </c>
      <c r="F527" s="98">
        <f t="shared" ref="F527:F528" si="249">(0.15+0.4)*2</f>
        <v>1.1000000000000001</v>
      </c>
      <c r="G527" s="206">
        <v>0.16</v>
      </c>
      <c r="H527" s="98">
        <f t="shared" ref="H527:H528" si="250">C527*E527*F527*G527*1.1</f>
        <v>102.99520000000001</v>
      </c>
    </row>
    <row r="528" spans="1:8" ht="15" customHeight="1">
      <c r="A528" s="97" t="str">
        <f t="shared" ref="A528:C528" si="251">A506</f>
        <v>V203=V204</v>
      </c>
      <c r="B528" s="98" t="str">
        <f t="shared" si="251"/>
        <v>15x40</v>
      </c>
      <c r="C528" s="98">
        <f t="shared" si="251"/>
        <v>2</v>
      </c>
      <c r="D528" s="98">
        <f>E506</f>
        <v>23.4</v>
      </c>
      <c r="E528" s="98">
        <f t="shared" si="248"/>
        <v>156</v>
      </c>
      <c r="F528" s="98">
        <f t="shared" si="249"/>
        <v>1.1000000000000001</v>
      </c>
      <c r="G528" s="206">
        <v>0.16</v>
      </c>
      <c r="H528" s="98">
        <f t="shared" si="250"/>
        <v>60.403200000000012</v>
      </c>
    </row>
    <row r="529" spans="1:8" s="93" customFormat="1" ht="30" customHeight="1">
      <c r="A529" s="91" t="s">
        <v>14218</v>
      </c>
      <c r="B529" s="364" t="str">
        <f>VLOOKUP($A529,SERVICOS,4,FALSE)</f>
        <v>Fornecimento, Dobragem E Colocação Em Fôrma, De Armadura Ca-50 A Média, Diâmetro De 6.3 A 10.0 Mm</v>
      </c>
      <c r="C529" s="365"/>
      <c r="D529" s="365"/>
      <c r="E529" s="365"/>
      <c r="F529" s="366"/>
      <c r="G529" s="91" t="str">
        <f>VLOOKUP($A529,SERVICOS,5,FALSE)</f>
        <v>kg</v>
      </c>
      <c r="H529" s="92">
        <f>ROUND(SUM(H531:H569),2)</f>
        <v>729.95</v>
      </c>
    </row>
    <row r="530" spans="1:8" ht="25.5">
      <c r="A530" s="94" t="s">
        <v>938</v>
      </c>
      <c r="B530" s="95" t="s">
        <v>14480</v>
      </c>
      <c r="C530" s="94" t="s">
        <v>7319</v>
      </c>
      <c r="D530" s="94" t="s">
        <v>7320</v>
      </c>
      <c r="E530" s="95" t="s">
        <v>14497</v>
      </c>
      <c r="F530" s="95" t="s">
        <v>14485</v>
      </c>
      <c r="G530" s="94" t="s">
        <v>14667</v>
      </c>
      <c r="H530" s="96"/>
    </row>
    <row r="531" spans="1:8" ht="15" customHeight="1">
      <c r="A531" s="232" t="str">
        <f>A510</f>
        <v>VIGAS - NÍVEL +320 CM</v>
      </c>
      <c r="B531" s="229"/>
      <c r="C531" s="230"/>
      <c r="D531" s="229"/>
      <c r="E531" s="229"/>
      <c r="F531" s="229"/>
      <c r="G531" s="229"/>
      <c r="H531" s="231"/>
    </row>
    <row r="532" spans="1:8" ht="15" customHeight="1">
      <c r="A532" s="97" t="str">
        <f>A511</f>
        <v>V106</v>
      </c>
      <c r="B532" s="98" t="str">
        <f>B511</f>
        <v>15x40</v>
      </c>
      <c r="C532" s="98">
        <f>C511</f>
        <v>1</v>
      </c>
      <c r="D532" s="98">
        <f>D511</f>
        <v>39.9</v>
      </c>
      <c r="E532" s="98">
        <v>2</v>
      </c>
      <c r="F532" s="206">
        <v>0.4</v>
      </c>
      <c r="G532" s="206" t="s">
        <v>12601</v>
      </c>
      <c r="H532" s="98">
        <f>C532*E532*D532*F532*1.1</f>
        <v>35.112000000000002</v>
      </c>
    </row>
    <row r="533" spans="1:8" ht="15" customHeight="1">
      <c r="A533" s="97" t="str">
        <f t="shared" ref="A533:D533" si="252">A512</f>
        <v>V107</v>
      </c>
      <c r="B533" s="98" t="str">
        <f t="shared" si="252"/>
        <v>15x40</v>
      </c>
      <c r="C533" s="98">
        <f t="shared" si="252"/>
        <v>1</v>
      </c>
      <c r="D533" s="98">
        <f t="shared" si="252"/>
        <v>17.55</v>
      </c>
      <c r="E533" s="98">
        <v>2</v>
      </c>
      <c r="F533" s="206">
        <v>0.4</v>
      </c>
      <c r="G533" s="206" t="s">
        <v>12601</v>
      </c>
      <c r="H533" s="98">
        <f>C533*E533*D533*F533*1.1</f>
        <v>15.444000000000003</v>
      </c>
    </row>
    <row r="534" spans="1:8" ht="15" customHeight="1">
      <c r="A534" s="97" t="str">
        <f t="shared" ref="A534:D534" si="253">A513</f>
        <v>V117</v>
      </c>
      <c r="B534" s="98" t="str">
        <f t="shared" si="253"/>
        <v>15x40</v>
      </c>
      <c r="C534" s="98">
        <f t="shared" si="253"/>
        <v>1</v>
      </c>
      <c r="D534" s="98">
        <f t="shared" si="253"/>
        <v>21.8</v>
      </c>
      <c r="E534" s="98">
        <v>2</v>
      </c>
      <c r="F534" s="206">
        <v>0.4</v>
      </c>
      <c r="G534" s="206" t="s">
        <v>12601</v>
      </c>
      <c r="H534" s="98">
        <f>C534*E534*D534*F534*1.1</f>
        <v>19.184000000000005</v>
      </c>
    </row>
    <row r="535" spans="1:8" ht="15" customHeight="1">
      <c r="A535" s="232" t="str">
        <f>A514</f>
        <v>VIGAS - NÍVEL +325 CM</v>
      </c>
      <c r="B535" s="229"/>
      <c r="C535" s="230"/>
      <c r="D535" s="229"/>
      <c r="E535" s="229"/>
      <c r="F535" s="206"/>
      <c r="G535" s="206"/>
      <c r="H535" s="98"/>
    </row>
    <row r="536" spans="1:8" ht="15" customHeight="1">
      <c r="A536" s="97" t="str">
        <f>A515</f>
        <v>V101</v>
      </c>
      <c r="B536" s="98" t="str">
        <f>B515</f>
        <v>15x40</v>
      </c>
      <c r="C536" s="98">
        <f>C515</f>
        <v>1</v>
      </c>
      <c r="D536" s="98">
        <f>D515</f>
        <v>20.2</v>
      </c>
      <c r="E536" s="98">
        <v>2</v>
      </c>
      <c r="F536" s="206">
        <v>0.4</v>
      </c>
      <c r="G536" s="206" t="s">
        <v>12601</v>
      </c>
      <c r="H536" s="98">
        <f t="shared" ref="H536:H542" si="254">C536*E536*D536*F536*1.1</f>
        <v>17.776000000000003</v>
      </c>
    </row>
    <row r="537" spans="1:8" ht="15" customHeight="1">
      <c r="A537" s="97" t="str">
        <f t="shared" ref="A537:D537" si="255">A516</f>
        <v>V102</v>
      </c>
      <c r="B537" s="98" t="str">
        <f t="shared" si="255"/>
        <v>20x40</v>
      </c>
      <c r="C537" s="98">
        <f t="shared" si="255"/>
        <v>1</v>
      </c>
      <c r="D537" s="98">
        <f t="shared" si="255"/>
        <v>20.62</v>
      </c>
      <c r="E537" s="98">
        <v>2</v>
      </c>
      <c r="F537" s="206">
        <v>0.4</v>
      </c>
      <c r="G537" s="206" t="s">
        <v>12601</v>
      </c>
      <c r="H537" s="98">
        <f t="shared" si="254"/>
        <v>18.145600000000005</v>
      </c>
    </row>
    <row r="538" spans="1:8" ht="15" customHeight="1">
      <c r="A538" s="97" t="str">
        <f t="shared" ref="A538:D538" si="256">A517</f>
        <v>V103</v>
      </c>
      <c r="B538" s="98" t="str">
        <f t="shared" si="256"/>
        <v>15x40</v>
      </c>
      <c r="C538" s="98">
        <f t="shared" si="256"/>
        <v>1</v>
      </c>
      <c r="D538" s="98">
        <f t="shared" si="256"/>
        <v>35.4</v>
      </c>
      <c r="E538" s="98">
        <v>2</v>
      </c>
      <c r="F538" s="206">
        <v>0.4</v>
      </c>
      <c r="G538" s="206" t="s">
        <v>12601</v>
      </c>
      <c r="H538" s="98">
        <f t="shared" si="254"/>
        <v>31.152000000000005</v>
      </c>
    </row>
    <row r="539" spans="1:8" ht="15" customHeight="1">
      <c r="A539" s="97" t="str">
        <f t="shared" ref="A539:D539" si="257">A518</f>
        <v>V104</v>
      </c>
      <c r="B539" s="98" t="str">
        <f t="shared" si="257"/>
        <v>15x40</v>
      </c>
      <c r="C539" s="98">
        <f t="shared" si="257"/>
        <v>1</v>
      </c>
      <c r="D539" s="98">
        <f t="shared" si="257"/>
        <v>4.3499999999999996</v>
      </c>
      <c r="E539" s="98">
        <v>2</v>
      </c>
      <c r="F539" s="206">
        <v>0.4</v>
      </c>
      <c r="G539" s="206" t="s">
        <v>12601</v>
      </c>
      <c r="H539" s="98">
        <f t="shared" si="254"/>
        <v>3.8280000000000003</v>
      </c>
    </row>
    <row r="540" spans="1:8" ht="25.5">
      <c r="A540" s="204" t="str">
        <f t="shared" ref="A540:D540" si="258">A519</f>
        <v>V109=V111=V112=V113=V114=V115</v>
      </c>
      <c r="B540" s="98" t="str">
        <f t="shared" si="258"/>
        <v>15x40</v>
      </c>
      <c r="C540" s="98">
        <f t="shared" si="258"/>
        <v>6</v>
      </c>
      <c r="D540" s="98">
        <f t="shared" si="258"/>
        <v>3.5</v>
      </c>
      <c r="E540" s="98">
        <v>2</v>
      </c>
      <c r="F540" s="206">
        <v>0.4</v>
      </c>
      <c r="G540" s="206" t="s">
        <v>12601</v>
      </c>
      <c r="H540" s="98">
        <f t="shared" si="254"/>
        <v>18.480000000000004</v>
      </c>
    </row>
    <row r="541" spans="1:8" ht="15" customHeight="1">
      <c r="A541" s="97" t="str">
        <f t="shared" ref="A541:D541" si="259">A520</f>
        <v>V116</v>
      </c>
      <c r="B541" s="98" t="str">
        <f t="shared" si="259"/>
        <v>15x40</v>
      </c>
      <c r="C541" s="98">
        <f t="shared" si="259"/>
        <v>1</v>
      </c>
      <c r="D541" s="98">
        <f t="shared" si="259"/>
        <v>3.07</v>
      </c>
      <c r="E541" s="98">
        <v>2</v>
      </c>
      <c r="F541" s="206">
        <v>0.4</v>
      </c>
      <c r="G541" s="206" t="s">
        <v>12601</v>
      </c>
      <c r="H541" s="98">
        <f t="shared" si="254"/>
        <v>2.7016</v>
      </c>
    </row>
    <row r="542" spans="1:8" ht="15" customHeight="1">
      <c r="A542" s="97" t="str">
        <f t="shared" ref="A542:D542" si="260">A521</f>
        <v>V118</v>
      </c>
      <c r="B542" s="98" t="str">
        <f t="shared" si="260"/>
        <v>15x40</v>
      </c>
      <c r="C542" s="98">
        <f t="shared" si="260"/>
        <v>1</v>
      </c>
      <c r="D542" s="98">
        <f t="shared" si="260"/>
        <v>1.3</v>
      </c>
      <c r="E542" s="98">
        <v>2</v>
      </c>
      <c r="F542" s="206">
        <v>0.4</v>
      </c>
      <c r="G542" s="206" t="s">
        <v>12601</v>
      </c>
      <c r="H542" s="98">
        <f t="shared" si="254"/>
        <v>1.1440000000000001</v>
      </c>
    </row>
    <row r="543" spans="1:8" ht="15" customHeight="1">
      <c r="A543" s="232" t="str">
        <f>A522</f>
        <v>VIGAS - NÍVEL +355 CM</v>
      </c>
      <c r="B543" s="229"/>
      <c r="C543" s="230"/>
      <c r="D543" s="229"/>
      <c r="E543" s="98"/>
      <c r="F543" s="206"/>
      <c r="G543" s="206"/>
      <c r="H543" s="98"/>
    </row>
    <row r="544" spans="1:8" ht="15" customHeight="1">
      <c r="A544" s="97" t="str">
        <f>A523</f>
        <v>V105</v>
      </c>
      <c r="B544" s="98" t="str">
        <f>B523</f>
        <v>15x40</v>
      </c>
      <c r="C544" s="98">
        <f>C523</f>
        <v>1</v>
      </c>
      <c r="D544" s="98">
        <f>D523</f>
        <v>4.3499999999999996</v>
      </c>
      <c r="E544" s="98">
        <v>2</v>
      </c>
      <c r="F544" s="206">
        <v>0.4</v>
      </c>
      <c r="G544" s="206" t="s">
        <v>12601</v>
      </c>
      <c r="H544" s="98">
        <f>C544*E544*D544*F544*1.1</f>
        <v>3.8280000000000003</v>
      </c>
    </row>
    <row r="545" spans="1:8" ht="15" customHeight="1">
      <c r="A545" s="97" t="str">
        <f t="shared" ref="A545:D545" si="261">A524</f>
        <v>V108</v>
      </c>
      <c r="B545" s="98" t="str">
        <f t="shared" si="261"/>
        <v>15x40</v>
      </c>
      <c r="C545" s="98">
        <f t="shared" si="261"/>
        <v>1</v>
      </c>
      <c r="D545" s="98">
        <f t="shared" si="261"/>
        <v>5.85</v>
      </c>
      <c r="E545" s="98">
        <v>2</v>
      </c>
      <c r="F545" s="206">
        <v>0.4</v>
      </c>
      <c r="G545" s="206" t="s">
        <v>12601</v>
      </c>
      <c r="H545" s="98">
        <f>C545*E545*D545*F545*1.1</f>
        <v>5.1479999999999997</v>
      </c>
    </row>
    <row r="546" spans="1:8" ht="15" customHeight="1">
      <c r="A546" s="97" t="str">
        <f t="shared" ref="A546:D546" si="262">A525</f>
        <v>V110</v>
      </c>
      <c r="B546" s="98" t="str">
        <f t="shared" si="262"/>
        <v>15x40</v>
      </c>
      <c r="C546" s="98">
        <f t="shared" si="262"/>
        <v>1</v>
      </c>
      <c r="D546" s="98">
        <f t="shared" si="262"/>
        <v>3.3</v>
      </c>
      <c r="E546" s="98">
        <v>2</v>
      </c>
      <c r="F546" s="206">
        <v>0.4</v>
      </c>
      <c r="G546" s="206" t="s">
        <v>12601</v>
      </c>
      <c r="H546" s="98">
        <f>C546*E546*D546*F546*1.1</f>
        <v>2.9040000000000004</v>
      </c>
    </row>
    <row r="547" spans="1:8" ht="15" customHeight="1">
      <c r="A547" s="232" t="str">
        <f>A526</f>
        <v>VIGAS - NÍVEL +600 CM</v>
      </c>
      <c r="B547" s="229"/>
      <c r="C547" s="230"/>
      <c r="D547" s="229"/>
      <c r="E547" s="229"/>
      <c r="F547" s="206"/>
      <c r="G547" s="206"/>
      <c r="H547" s="98"/>
    </row>
    <row r="548" spans="1:8" ht="15" customHeight="1">
      <c r="A548" s="97" t="str">
        <f>A527</f>
        <v>V201=V202</v>
      </c>
      <c r="B548" s="98" t="str">
        <f t="shared" ref="B548:D549" si="263">B527</f>
        <v>15x40</v>
      </c>
      <c r="C548" s="98">
        <f t="shared" si="263"/>
        <v>2</v>
      </c>
      <c r="D548" s="98">
        <f t="shared" si="263"/>
        <v>39.9</v>
      </c>
      <c r="E548" s="98">
        <v>2</v>
      </c>
      <c r="F548" s="206">
        <v>0.4</v>
      </c>
      <c r="G548" s="206" t="s">
        <v>12601</v>
      </c>
      <c r="H548" s="98">
        <f>C548*E548*D548*F548*1.1</f>
        <v>70.224000000000004</v>
      </c>
    </row>
    <row r="549" spans="1:8" ht="15" customHeight="1">
      <c r="A549" s="97" t="str">
        <f>A528</f>
        <v>V203=V204</v>
      </c>
      <c r="B549" s="98" t="str">
        <f t="shared" si="263"/>
        <v>15x40</v>
      </c>
      <c r="C549" s="98">
        <f t="shared" si="263"/>
        <v>2</v>
      </c>
      <c r="D549" s="98">
        <f t="shared" si="263"/>
        <v>23.4</v>
      </c>
      <c r="E549" s="98">
        <v>2</v>
      </c>
      <c r="F549" s="206">
        <v>0.4</v>
      </c>
      <c r="G549" s="206" t="s">
        <v>12601</v>
      </c>
      <c r="H549" s="98">
        <f>C549*E549*D549*F549*1.1</f>
        <v>41.183999999999997</v>
      </c>
    </row>
    <row r="550" spans="1:8" ht="15" customHeight="1">
      <c r="A550" s="97"/>
      <c r="B550" s="98"/>
      <c r="C550" s="98"/>
      <c r="D550" s="98"/>
      <c r="E550" s="98"/>
      <c r="F550" s="206"/>
      <c r="G550" s="206"/>
      <c r="H550" s="98"/>
    </row>
    <row r="551" spans="1:8" ht="15" customHeight="1">
      <c r="A551" s="232" t="str">
        <f t="shared" ref="A551:A569" si="264">A531</f>
        <v>VIGAS - NÍVEL +320 CM</v>
      </c>
      <c r="B551" s="229"/>
      <c r="C551" s="230"/>
      <c r="D551" s="229"/>
      <c r="E551" s="229"/>
      <c r="F551" s="229"/>
      <c r="G551" s="229"/>
      <c r="H551" s="231"/>
    </row>
    <row r="552" spans="1:8" ht="15" customHeight="1">
      <c r="A552" s="97" t="str">
        <f t="shared" si="264"/>
        <v>V106</v>
      </c>
      <c r="B552" s="98" t="str">
        <f t="shared" ref="B552:D554" si="265">B532</f>
        <v>15x40</v>
      </c>
      <c r="C552" s="98">
        <f t="shared" si="265"/>
        <v>1</v>
      </c>
      <c r="D552" s="98">
        <f t="shared" si="265"/>
        <v>39.9</v>
      </c>
      <c r="E552" s="98">
        <v>2</v>
      </c>
      <c r="F552" s="206">
        <v>0.62</v>
      </c>
      <c r="G552" s="206" t="s">
        <v>12605</v>
      </c>
      <c r="H552" s="98">
        <f>C552*E552*D552*F552*1.1</f>
        <v>54.4236</v>
      </c>
    </row>
    <row r="553" spans="1:8" ht="15" customHeight="1">
      <c r="A553" s="97" t="str">
        <f t="shared" si="264"/>
        <v>V107</v>
      </c>
      <c r="B553" s="98" t="str">
        <f t="shared" si="265"/>
        <v>15x40</v>
      </c>
      <c r="C553" s="98">
        <f t="shared" si="265"/>
        <v>1</v>
      </c>
      <c r="D553" s="98">
        <f t="shared" si="265"/>
        <v>17.55</v>
      </c>
      <c r="E553" s="98">
        <v>2</v>
      </c>
      <c r="F553" s="206">
        <v>0.62</v>
      </c>
      <c r="G553" s="206" t="s">
        <v>12605</v>
      </c>
      <c r="H553" s="98">
        <f>C553*E553*D553*F553*1.1</f>
        <v>23.938200000000002</v>
      </c>
    </row>
    <row r="554" spans="1:8" ht="15" customHeight="1">
      <c r="A554" s="97" t="str">
        <f t="shared" si="264"/>
        <v>V117</v>
      </c>
      <c r="B554" s="98" t="str">
        <f t="shared" si="265"/>
        <v>15x40</v>
      </c>
      <c r="C554" s="98">
        <f t="shared" si="265"/>
        <v>1</v>
      </c>
      <c r="D554" s="98">
        <f t="shared" si="265"/>
        <v>21.8</v>
      </c>
      <c r="E554" s="98">
        <v>2</v>
      </c>
      <c r="F554" s="206">
        <v>0.62</v>
      </c>
      <c r="G554" s="206" t="s">
        <v>12605</v>
      </c>
      <c r="H554" s="98">
        <f>C554*E554*D554*F554*1.1</f>
        <v>29.735200000000003</v>
      </c>
    </row>
    <row r="555" spans="1:8" ht="15" customHeight="1">
      <c r="A555" s="232" t="str">
        <f t="shared" si="264"/>
        <v>VIGAS - NÍVEL +325 CM</v>
      </c>
      <c r="B555" s="229"/>
      <c r="C555" s="230"/>
      <c r="D555" s="229"/>
      <c r="E555" s="229"/>
      <c r="F555" s="206"/>
      <c r="G555" s="206"/>
      <c r="H555" s="98"/>
    </row>
    <row r="556" spans="1:8" ht="15" customHeight="1">
      <c r="A556" s="97" t="str">
        <f t="shared" si="264"/>
        <v>V101</v>
      </c>
      <c r="B556" s="98" t="str">
        <f t="shared" ref="B556:D562" si="266">B536</f>
        <v>15x40</v>
      </c>
      <c r="C556" s="98">
        <f t="shared" si="266"/>
        <v>1</v>
      </c>
      <c r="D556" s="98">
        <f t="shared" si="266"/>
        <v>20.2</v>
      </c>
      <c r="E556" s="98">
        <v>2</v>
      </c>
      <c r="F556" s="206">
        <v>0.62</v>
      </c>
      <c r="G556" s="206" t="s">
        <v>12605</v>
      </c>
      <c r="H556" s="98">
        <f t="shared" ref="H556:H562" si="267">C556*E556*D556*F556*1.1</f>
        <v>27.552800000000001</v>
      </c>
    </row>
    <row r="557" spans="1:8" ht="15" customHeight="1">
      <c r="A557" s="97" t="str">
        <f t="shared" si="264"/>
        <v>V102</v>
      </c>
      <c r="B557" s="98" t="str">
        <f t="shared" si="266"/>
        <v>20x40</v>
      </c>
      <c r="C557" s="98">
        <f t="shared" si="266"/>
        <v>1</v>
      </c>
      <c r="D557" s="98">
        <f t="shared" si="266"/>
        <v>20.62</v>
      </c>
      <c r="E557" s="98">
        <v>2</v>
      </c>
      <c r="F557" s="206">
        <v>0.62</v>
      </c>
      <c r="G557" s="206" t="s">
        <v>12605</v>
      </c>
      <c r="H557" s="98">
        <f t="shared" si="267"/>
        <v>28.125680000000003</v>
      </c>
    </row>
    <row r="558" spans="1:8" ht="15" customHeight="1">
      <c r="A558" s="97" t="str">
        <f t="shared" si="264"/>
        <v>V103</v>
      </c>
      <c r="B558" s="98" t="str">
        <f t="shared" si="266"/>
        <v>15x40</v>
      </c>
      <c r="C558" s="98">
        <f t="shared" si="266"/>
        <v>1</v>
      </c>
      <c r="D558" s="98">
        <f t="shared" si="266"/>
        <v>35.4</v>
      </c>
      <c r="E558" s="98">
        <v>2</v>
      </c>
      <c r="F558" s="206">
        <v>0.62</v>
      </c>
      <c r="G558" s="206" t="s">
        <v>12605</v>
      </c>
      <c r="H558" s="98">
        <f t="shared" si="267"/>
        <v>48.285600000000002</v>
      </c>
    </row>
    <row r="559" spans="1:8" ht="15" customHeight="1">
      <c r="A559" s="97" t="str">
        <f t="shared" si="264"/>
        <v>V104</v>
      </c>
      <c r="B559" s="98" t="str">
        <f t="shared" si="266"/>
        <v>15x40</v>
      </c>
      <c r="C559" s="98">
        <f t="shared" si="266"/>
        <v>1</v>
      </c>
      <c r="D559" s="98">
        <f t="shared" si="266"/>
        <v>4.3499999999999996</v>
      </c>
      <c r="E559" s="98">
        <v>2</v>
      </c>
      <c r="F559" s="206">
        <v>0.62</v>
      </c>
      <c r="G559" s="206" t="s">
        <v>12605</v>
      </c>
      <c r="H559" s="98">
        <f t="shared" si="267"/>
        <v>5.9333999999999998</v>
      </c>
    </row>
    <row r="560" spans="1:8" ht="25.5">
      <c r="A560" s="204" t="str">
        <f t="shared" si="264"/>
        <v>V109=V111=V112=V113=V114=V115</v>
      </c>
      <c r="B560" s="98" t="str">
        <f t="shared" si="266"/>
        <v>15x40</v>
      </c>
      <c r="C560" s="98">
        <f t="shared" si="266"/>
        <v>6</v>
      </c>
      <c r="D560" s="98">
        <f t="shared" si="266"/>
        <v>3.5</v>
      </c>
      <c r="E560" s="98">
        <v>2</v>
      </c>
      <c r="F560" s="206">
        <v>0.62</v>
      </c>
      <c r="G560" s="206" t="s">
        <v>12605</v>
      </c>
      <c r="H560" s="98">
        <f t="shared" si="267"/>
        <v>28.644000000000002</v>
      </c>
    </row>
    <row r="561" spans="1:8" ht="15" customHeight="1">
      <c r="A561" s="97" t="str">
        <f t="shared" si="264"/>
        <v>V116</v>
      </c>
      <c r="B561" s="98" t="str">
        <f t="shared" si="266"/>
        <v>15x40</v>
      </c>
      <c r="C561" s="98">
        <f t="shared" si="266"/>
        <v>1</v>
      </c>
      <c r="D561" s="98">
        <f t="shared" si="266"/>
        <v>3.07</v>
      </c>
      <c r="E561" s="98">
        <v>2</v>
      </c>
      <c r="F561" s="206">
        <v>0.62</v>
      </c>
      <c r="G561" s="206" t="s">
        <v>12605</v>
      </c>
      <c r="H561" s="98">
        <f t="shared" si="267"/>
        <v>4.1874799999999999</v>
      </c>
    </row>
    <row r="562" spans="1:8" ht="15" customHeight="1">
      <c r="A562" s="97" t="str">
        <f t="shared" si="264"/>
        <v>V118</v>
      </c>
      <c r="B562" s="98" t="str">
        <f t="shared" si="266"/>
        <v>15x40</v>
      </c>
      <c r="C562" s="98">
        <f t="shared" si="266"/>
        <v>1</v>
      </c>
      <c r="D562" s="98">
        <f t="shared" si="266"/>
        <v>1.3</v>
      </c>
      <c r="E562" s="98">
        <v>2</v>
      </c>
      <c r="F562" s="206">
        <v>0.62</v>
      </c>
      <c r="G562" s="206" t="s">
        <v>12605</v>
      </c>
      <c r="H562" s="98">
        <f t="shared" si="267"/>
        <v>1.7732000000000003</v>
      </c>
    </row>
    <row r="563" spans="1:8" ht="15" customHeight="1">
      <c r="A563" s="232" t="str">
        <f t="shared" si="264"/>
        <v>VIGAS - NÍVEL +355 CM</v>
      </c>
      <c r="B563" s="229"/>
      <c r="C563" s="230"/>
      <c r="D563" s="229"/>
      <c r="E563" s="98"/>
      <c r="F563" s="206"/>
      <c r="G563" s="206"/>
      <c r="H563" s="98"/>
    </row>
    <row r="564" spans="1:8" ht="15" customHeight="1">
      <c r="A564" s="97" t="str">
        <f t="shared" si="264"/>
        <v>V105</v>
      </c>
      <c r="B564" s="98" t="str">
        <f t="shared" ref="B564:D566" si="268">B544</f>
        <v>15x40</v>
      </c>
      <c r="C564" s="98">
        <f t="shared" si="268"/>
        <v>1</v>
      </c>
      <c r="D564" s="98">
        <f t="shared" si="268"/>
        <v>4.3499999999999996</v>
      </c>
      <c r="E564" s="98">
        <v>2</v>
      </c>
      <c r="F564" s="206">
        <v>0.62</v>
      </c>
      <c r="G564" s="206" t="s">
        <v>12605</v>
      </c>
      <c r="H564" s="98">
        <f>C564*E564*D564*F564*1.1</f>
        <v>5.9333999999999998</v>
      </c>
    </row>
    <row r="565" spans="1:8" ht="15" customHeight="1">
      <c r="A565" s="97" t="str">
        <f t="shared" si="264"/>
        <v>V108</v>
      </c>
      <c r="B565" s="98" t="str">
        <f t="shared" si="268"/>
        <v>15x40</v>
      </c>
      <c r="C565" s="98">
        <f t="shared" si="268"/>
        <v>1</v>
      </c>
      <c r="D565" s="98">
        <f t="shared" si="268"/>
        <v>5.85</v>
      </c>
      <c r="E565" s="98">
        <v>2</v>
      </c>
      <c r="F565" s="206">
        <v>0.62</v>
      </c>
      <c r="G565" s="206" t="s">
        <v>12605</v>
      </c>
      <c r="H565" s="98">
        <f>C565*E565*D565*F565*1.1</f>
        <v>7.9794</v>
      </c>
    </row>
    <row r="566" spans="1:8" ht="15" customHeight="1">
      <c r="A566" s="97" t="str">
        <f t="shared" si="264"/>
        <v>V110</v>
      </c>
      <c r="B566" s="98" t="str">
        <f t="shared" si="268"/>
        <v>15x40</v>
      </c>
      <c r="C566" s="98">
        <f t="shared" si="268"/>
        <v>1</v>
      </c>
      <c r="D566" s="98">
        <f t="shared" si="268"/>
        <v>3.3</v>
      </c>
      <c r="E566" s="98">
        <v>2</v>
      </c>
      <c r="F566" s="206">
        <v>0.62</v>
      </c>
      <c r="G566" s="206" t="s">
        <v>12605</v>
      </c>
      <c r="H566" s="98">
        <f>C566*E566*D566*F566*1.1</f>
        <v>4.5011999999999999</v>
      </c>
    </row>
    <row r="567" spans="1:8" ht="15" customHeight="1">
      <c r="A567" s="232" t="str">
        <f t="shared" si="264"/>
        <v>VIGAS - NÍVEL +600 CM</v>
      </c>
      <c r="B567" s="229"/>
      <c r="C567" s="230"/>
      <c r="D567" s="229"/>
      <c r="E567" s="229"/>
      <c r="F567" s="206"/>
      <c r="G567" s="206"/>
      <c r="H567" s="98"/>
    </row>
    <row r="568" spans="1:8" ht="15" customHeight="1">
      <c r="A568" s="97" t="str">
        <f t="shared" si="264"/>
        <v>V201=V202</v>
      </c>
      <c r="B568" s="98" t="str">
        <f t="shared" ref="B568:D569" si="269">B548</f>
        <v>15x40</v>
      </c>
      <c r="C568" s="98">
        <f t="shared" si="269"/>
        <v>2</v>
      </c>
      <c r="D568" s="98">
        <f t="shared" si="269"/>
        <v>39.9</v>
      </c>
      <c r="E568" s="98">
        <v>2</v>
      </c>
      <c r="F568" s="206">
        <v>0.62</v>
      </c>
      <c r="G568" s="206" t="s">
        <v>12605</v>
      </c>
      <c r="H568" s="98">
        <f>C568*E568*D568*F568*1.1</f>
        <v>108.8472</v>
      </c>
    </row>
    <row r="569" spans="1:8" ht="15" customHeight="1">
      <c r="A569" s="97" t="str">
        <f t="shared" si="264"/>
        <v>V203=V204</v>
      </c>
      <c r="B569" s="98" t="str">
        <f t="shared" si="269"/>
        <v>15x40</v>
      </c>
      <c r="C569" s="98">
        <f t="shared" si="269"/>
        <v>2</v>
      </c>
      <c r="D569" s="98">
        <f t="shared" si="269"/>
        <v>23.4</v>
      </c>
      <c r="E569" s="98">
        <v>2</v>
      </c>
      <c r="F569" s="206">
        <v>0.62</v>
      </c>
      <c r="G569" s="206" t="s">
        <v>12605</v>
      </c>
      <c r="H569" s="98">
        <f>C569*E569*D569*F569*1.1</f>
        <v>63.8352</v>
      </c>
    </row>
    <row r="570" spans="1:8" s="93" customFormat="1" ht="45" customHeight="1">
      <c r="A570" s="91" t="s">
        <v>14227</v>
      </c>
      <c r="B570" s="364" t="str">
        <f>VLOOKUP($A570,SERVICOS,4,FALSE)</f>
        <v>Fornecimento, Preparo E Aplicação De Concreto Fck=25 Mpa (Brita 1 E 2) - (5% De Perdas Já Incluído No Custo)</v>
      </c>
      <c r="C570" s="365"/>
      <c r="D570" s="365"/>
      <c r="E570" s="365"/>
      <c r="F570" s="366"/>
      <c r="G570" s="91" t="str">
        <f>VLOOKUP($A570,SERVICOS,5,FALSE)</f>
        <v>m3</v>
      </c>
      <c r="H570" s="92">
        <f>ROUND(SUM(H572:H590),2)</f>
        <v>19.93</v>
      </c>
    </row>
    <row r="571" spans="1:8" ht="25.5">
      <c r="A571" s="94" t="s">
        <v>938</v>
      </c>
      <c r="B571" s="95" t="s">
        <v>14480</v>
      </c>
      <c r="C571" s="94" t="s">
        <v>7319</v>
      </c>
      <c r="D571" s="95" t="s">
        <v>14191</v>
      </c>
      <c r="E571" s="94" t="s">
        <v>7320</v>
      </c>
      <c r="F571" s="95" t="s">
        <v>14192</v>
      </c>
      <c r="G571" s="94"/>
      <c r="H571" s="96"/>
    </row>
    <row r="572" spans="1:8" ht="15" customHeight="1">
      <c r="A572" s="232" t="str">
        <f>A510</f>
        <v>VIGAS - NÍVEL +320 CM</v>
      </c>
      <c r="B572" s="229"/>
      <c r="C572" s="230"/>
      <c r="D572" s="230"/>
      <c r="E572" s="229"/>
      <c r="F572" s="229"/>
      <c r="G572" s="229"/>
      <c r="H572" s="231"/>
    </row>
    <row r="573" spans="1:8" ht="15" customHeight="1">
      <c r="A573" s="97" t="str">
        <f t="shared" ref="A573:F575" si="270">A489</f>
        <v>V106</v>
      </c>
      <c r="B573" s="98" t="str">
        <f t="shared" si="270"/>
        <v>15x40</v>
      </c>
      <c r="C573" s="98">
        <f t="shared" si="270"/>
        <v>1</v>
      </c>
      <c r="D573" s="98">
        <f t="shared" si="270"/>
        <v>0.15</v>
      </c>
      <c r="E573" s="98">
        <f t="shared" si="270"/>
        <v>39.9</v>
      </c>
      <c r="F573" s="98">
        <f t="shared" si="270"/>
        <v>0.4</v>
      </c>
      <c r="G573" s="206"/>
      <c r="H573" s="98">
        <f>C573*D573*E573*F573</f>
        <v>2.3939999999999997</v>
      </c>
    </row>
    <row r="574" spans="1:8" ht="15" customHeight="1">
      <c r="A574" s="97" t="str">
        <f t="shared" si="270"/>
        <v>V107</v>
      </c>
      <c r="B574" s="98" t="str">
        <f t="shared" si="270"/>
        <v>15x40</v>
      </c>
      <c r="C574" s="98">
        <f t="shared" si="270"/>
        <v>1</v>
      </c>
      <c r="D574" s="98">
        <f t="shared" si="270"/>
        <v>0.15</v>
      </c>
      <c r="E574" s="98">
        <f t="shared" si="270"/>
        <v>17.55</v>
      </c>
      <c r="F574" s="98">
        <f t="shared" si="270"/>
        <v>0.4</v>
      </c>
      <c r="G574" s="206"/>
      <c r="H574" s="98">
        <f t="shared" ref="H574:H590" si="271">C574*D574*E574*F574</f>
        <v>1.0529999999999999</v>
      </c>
    </row>
    <row r="575" spans="1:8" ht="15" customHeight="1">
      <c r="A575" s="97" t="str">
        <f t="shared" si="270"/>
        <v>V117</v>
      </c>
      <c r="B575" s="98" t="str">
        <f t="shared" si="270"/>
        <v>15x40</v>
      </c>
      <c r="C575" s="98">
        <f t="shared" si="270"/>
        <v>1</v>
      </c>
      <c r="D575" s="98">
        <f t="shared" si="270"/>
        <v>0.15</v>
      </c>
      <c r="E575" s="98">
        <f t="shared" si="270"/>
        <v>21.8</v>
      </c>
      <c r="F575" s="98">
        <f t="shared" si="270"/>
        <v>0.4</v>
      </c>
      <c r="G575" s="206"/>
      <c r="H575" s="98">
        <f t="shared" si="271"/>
        <v>1.3080000000000001</v>
      </c>
    </row>
    <row r="576" spans="1:8" ht="15" customHeight="1">
      <c r="A576" s="232" t="str">
        <f>A514</f>
        <v>VIGAS - NÍVEL +325 CM</v>
      </c>
      <c r="B576" s="229"/>
      <c r="C576" s="230"/>
      <c r="D576" s="230"/>
      <c r="E576" s="229"/>
      <c r="F576" s="229"/>
      <c r="G576" s="229"/>
      <c r="H576" s="98"/>
    </row>
    <row r="577" spans="1:8" ht="15" customHeight="1">
      <c r="A577" s="97" t="str">
        <f t="shared" ref="A577:F583" si="272">A493</f>
        <v>V101</v>
      </c>
      <c r="B577" s="98" t="str">
        <f t="shared" si="272"/>
        <v>15x40</v>
      </c>
      <c r="C577" s="98">
        <f t="shared" si="272"/>
        <v>1</v>
      </c>
      <c r="D577" s="98">
        <f t="shared" si="272"/>
        <v>0.15</v>
      </c>
      <c r="E577" s="98">
        <f t="shared" si="272"/>
        <v>20.2</v>
      </c>
      <c r="F577" s="98">
        <f t="shared" si="272"/>
        <v>0.4</v>
      </c>
      <c r="G577" s="206"/>
      <c r="H577" s="98">
        <f t="shared" si="271"/>
        <v>1.212</v>
      </c>
    </row>
    <row r="578" spans="1:8" ht="15" customHeight="1">
      <c r="A578" s="97" t="str">
        <f t="shared" si="272"/>
        <v>V102</v>
      </c>
      <c r="B578" s="98" t="str">
        <f t="shared" si="272"/>
        <v>20x40</v>
      </c>
      <c r="C578" s="98">
        <f t="shared" si="272"/>
        <v>1</v>
      </c>
      <c r="D578" s="98">
        <f t="shared" si="272"/>
        <v>0.2</v>
      </c>
      <c r="E578" s="98">
        <f t="shared" si="272"/>
        <v>20.62</v>
      </c>
      <c r="F578" s="98">
        <f t="shared" si="272"/>
        <v>0.4</v>
      </c>
      <c r="G578" s="206"/>
      <c r="H578" s="98">
        <f t="shared" si="271"/>
        <v>1.6496000000000004</v>
      </c>
    </row>
    <row r="579" spans="1:8" ht="15" customHeight="1">
      <c r="A579" s="97" t="str">
        <f t="shared" si="272"/>
        <v>V103</v>
      </c>
      <c r="B579" s="98" t="str">
        <f t="shared" si="272"/>
        <v>15x40</v>
      </c>
      <c r="C579" s="98">
        <f t="shared" si="272"/>
        <v>1</v>
      </c>
      <c r="D579" s="98">
        <f t="shared" si="272"/>
        <v>0.15</v>
      </c>
      <c r="E579" s="98">
        <f t="shared" si="272"/>
        <v>35.4</v>
      </c>
      <c r="F579" s="98">
        <f t="shared" si="272"/>
        <v>0.4</v>
      </c>
      <c r="G579" s="206"/>
      <c r="H579" s="98">
        <f t="shared" si="271"/>
        <v>2.1240000000000001</v>
      </c>
    </row>
    <row r="580" spans="1:8" ht="15" customHeight="1">
      <c r="A580" s="97" t="str">
        <f t="shared" si="272"/>
        <v>V104</v>
      </c>
      <c r="B580" s="98" t="str">
        <f t="shared" si="272"/>
        <v>15x40</v>
      </c>
      <c r="C580" s="98">
        <f t="shared" si="272"/>
        <v>1</v>
      </c>
      <c r="D580" s="98">
        <f t="shared" si="272"/>
        <v>0.15</v>
      </c>
      <c r="E580" s="98">
        <f t="shared" si="272"/>
        <v>4.3499999999999996</v>
      </c>
      <c r="F580" s="98">
        <f t="shared" si="272"/>
        <v>0.4</v>
      </c>
      <c r="G580" s="206"/>
      <c r="H580" s="98">
        <f t="shared" si="271"/>
        <v>0.26100000000000001</v>
      </c>
    </row>
    <row r="581" spans="1:8" ht="15" customHeight="1">
      <c r="A581" s="97" t="str">
        <f t="shared" si="272"/>
        <v>V109=V111=V112=V113=V114=V115</v>
      </c>
      <c r="B581" s="98" t="str">
        <f t="shared" si="272"/>
        <v>15x40</v>
      </c>
      <c r="C581" s="98">
        <f t="shared" si="272"/>
        <v>6</v>
      </c>
      <c r="D581" s="98">
        <f t="shared" si="272"/>
        <v>0.15</v>
      </c>
      <c r="E581" s="98">
        <f t="shared" si="272"/>
        <v>3.5</v>
      </c>
      <c r="F581" s="98">
        <f t="shared" si="272"/>
        <v>0.4</v>
      </c>
      <c r="G581" s="206"/>
      <c r="H581" s="98">
        <f t="shared" si="271"/>
        <v>1.2599999999999998</v>
      </c>
    </row>
    <row r="582" spans="1:8" ht="15" customHeight="1">
      <c r="A582" s="97" t="str">
        <f t="shared" si="272"/>
        <v>V116</v>
      </c>
      <c r="B582" s="98" t="str">
        <f t="shared" si="272"/>
        <v>15x40</v>
      </c>
      <c r="C582" s="98">
        <f t="shared" si="272"/>
        <v>1</v>
      </c>
      <c r="D582" s="98">
        <f t="shared" si="272"/>
        <v>0.15</v>
      </c>
      <c r="E582" s="98">
        <f t="shared" si="272"/>
        <v>3.07</v>
      </c>
      <c r="F582" s="98">
        <f t="shared" si="272"/>
        <v>0.4</v>
      </c>
      <c r="G582" s="206"/>
      <c r="H582" s="98">
        <f t="shared" si="271"/>
        <v>0.1842</v>
      </c>
    </row>
    <row r="583" spans="1:8" ht="15" customHeight="1">
      <c r="A583" s="97" t="str">
        <f t="shared" si="272"/>
        <v>V118</v>
      </c>
      <c r="B583" s="98" t="str">
        <f t="shared" si="272"/>
        <v>15x40</v>
      </c>
      <c r="C583" s="98">
        <f t="shared" si="272"/>
        <v>1</v>
      </c>
      <c r="D583" s="98">
        <f t="shared" si="272"/>
        <v>0.15</v>
      </c>
      <c r="E583" s="98">
        <f t="shared" si="272"/>
        <v>1.3</v>
      </c>
      <c r="F583" s="98">
        <f t="shared" si="272"/>
        <v>0.4</v>
      </c>
      <c r="G583" s="206"/>
      <c r="H583" s="98">
        <f t="shared" si="271"/>
        <v>7.8000000000000014E-2</v>
      </c>
    </row>
    <row r="584" spans="1:8" ht="15" customHeight="1">
      <c r="A584" s="232" t="str">
        <f>A522</f>
        <v>VIGAS - NÍVEL +355 CM</v>
      </c>
      <c r="B584" s="229"/>
      <c r="C584" s="230"/>
      <c r="D584" s="230"/>
      <c r="E584" s="229"/>
      <c r="F584" s="229"/>
      <c r="G584" s="206"/>
      <c r="H584" s="98"/>
    </row>
    <row r="585" spans="1:8" ht="15" customHeight="1">
      <c r="A585" s="97" t="str">
        <f t="shared" ref="A585:F587" si="273">A501</f>
        <v>V105</v>
      </c>
      <c r="B585" s="98" t="str">
        <f t="shared" si="273"/>
        <v>15x40</v>
      </c>
      <c r="C585" s="98">
        <f t="shared" si="273"/>
        <v>1</v>
      </c>
      <c r="D585" s="98">
        <f t="shared" si="273"/>
        <v>0.15</v>
      </c>
      <c r="E585" s="98">
        <f t="shared" si="273"/>
        <v>4.3499999999999996</v>
      </c>
      <c r="F585" s="98">
        <f t="shared" si="273"/>
        <v>0.4</v>
      </c>
      <c r="G585" s="206"/>
      <c r="H585" s="98">
        <f t="shared" si="271"/>
        <v>0.26100000000000001</v>
      </c>
    </row>
    <row r="586" spans="1:8" ht="15" customHeight="1">
      <c r="A586" s="97" t="str">
        <f t="shared" si="273"/>
        <v>V108</v>
      </c>
      <c r="B586" s="98" t="str">
        <f t="shared" si="273"/>
        <v>15x40</v>
      </c>
      <c r="C586" s="98">
        <f t="shared" si="273"/>
        <v>1</v>
      </c>
      <c r="D586" s="98">
        <f t="shared" si="273"/>
        <v>0.15</v>
      </c>
      <c r="E586" s="98">
        <f t="shared" si="273"/>
        <v>5.85</v>
      </c>
      <c r="F586" s="98">
        <f t="shared" si="273"/>
        <v>0.4</v>
      </c>
      <c r="G586" s="206"/>
      <c r="H586" s="98">
        <f t="shared" si="271"/>
        <v>0.35099999999999998</v>
      </c>
    </row>
    <row r="587" spans="1:8" ht="15" customHeight="1">
      <c r="A587" s="97" t="str">
        <f t="shared" si="273"/>
        <v>V110</v>
      </c>
      <c r="B587" s="98" t="str">
        <f t="shared" si="273"/>
        <v>15x40</v>
      </c>
      <c r="C587" s="98">
        <f t="shared" si="273"/>
        <v>1</v>
      </c>
      <c r="D587" s="98">
        <f t="shared" si="273"/>
        <v>0.15</v>
      </c>
      <c r="E587" s="98">
        <f t="shared" si="273"/>
        <v>3.3</v>
      </c>
      <c r="F587" s="98">
        <f t="shared" si="273"/>
        <v>0.4</v>
      </c>
      <c r="G587" s="206"/>
      <c r="H587" s="98">
        <f t="shared" si="271"/>
        <v>0.19799999999999998</v>
      </c>
    </row>
    <row r="588" spans="1:8" ht="15" customHeight="1">
      <c r="A588" s="232" t="str">
        <f>A526</f>
        <v>VIGAS - NÍVEL +600 CM</v>
      </c>
      <c r="B588" s="229"/>
      <c r="C588" s="230"/>
      <c r="D588" s="230"/>
      <c r="E588" s="229"/>
      <c r="F588" s="229"/>
      <c r="G588" s="229"/>
      <c r="H588" s="98"/>
    </row>
    <row r="589" spans="1:8" ht="15" customHeight="1">
      <c r="A589" s="97" t="str">
        <f t="shared" ref="A589:F590" si="274">A505</f>
        <v>V201=V202</v>
      </c>
      <c r="B589" s="98" t="str">
        <f t="shared" si="274"/>
        <v>15x40</v>
      </c>
      <c r="C589" s="98">
        <f t="shared" si="274"/>
        <v>2</v>
      </c>
      <c r="D589" s="98">
        <f t="shared" si="274"/>
        <v>0.15</v>
      </c>
      <c r="E589" s="98">
        <f t="shared" si="274"/>
        <v>39.9</v>
      </c>
      <c r="F589" s="98">
        <f t="shared" si="274"/>
        <v>0.4</v>
      </c>
      <c r="G589" s="206"/>
      <c r="H589" s="98">
        <f t="shared" si="271"/>
        <v>4.7879999999999994</v>
      </c>
    </row>
    <row r="590" spans="1:8" ht="15" customHeight="1">
      <c r="A590" s="97" t="str">
        <f t="shared" si="274"/>
        <v>V203=V204</v>
      </c>
      <c r="B590" s="98" t="str">
        <f t="shared" si="274"/>
        <v>15x40</v>
      </c>
      <c r="C590" s="98">
        <f t="shared" si="274"/>
        <v>2</v>
      </c>
      <c r="D590" s="98">
        <f t="shared" si="274"/>
        <v>0.15</v>
      </c>
      <c r="E590" s="98">
        <f t="shared" si="274"/>
        <v>23.4</v>
      </c>
      <c r="F590" s="98">
        <f t="shared" si="274"/>
        <v>0.4</v>
      </c>
      <c r="G590" s="206"/>
      <c r="H590" s="98">
        <f t="shared" si="271"/>
        <v>2.8079999999999998</v>
      </c>
    </row>
    <row r="591" spans="1:8" ht="15" customHeight="1">
      <c r="A591" s="89" t="s">
        <v>13916</v>
      </c>
      <c r="B591" s="226" t="str">
        <f>VLOOKUP($A591,SERVICOS,4,FALSE)</f>
        <v>LAJE</v>
      </c>
      <c r="C591" s="226"/>
      <c r="D591" s="226"/>
      <c r="E591" s="226"/>
      <c r="F591" s="226"/>
      <c r="G591" s="226"/>
      <c r="H591" s="226"/>
    </row>
    <row r="592" spans="1:8" s="93" customFormat="1" ht="60" customHeight="1">
      <c r="A592" s="91" t="s">
        <v>13917</v>
      </c>
      <c r="B592" s="364" t="str">
        <f>VLOOKUP($A592,SERVICOS,4,FALSE)</f>
        <v>Laje Pré-Fabricada Convencional (Lajota + Vigotas) Para Piso, Unidirecional, Biapoiada, Sobrecarga De 350 Kg/ M², Vão Até 4,50 M, Altura Total Da Laje (Enchimento + Capa) = (8 + 5) = 13 Cm, Inclusive Instalação De Tela Anti-Fissuração (Tela Soldada Q-138) E Concreto Usinado Fck = 25 Mpa</v>
      </c>
      <c r="C592" s="365"/>
      <c r="D592" s="365"/>
      <c r="E592" s="365"/>
      <c r="F592" s="366"/>
      <c r="G592" s="91" t="str">
        <f>VLOOKUP($A592,SERVICOS,5,FALSE)</f>
        <v>m²</v>
      </c>
      <c r="H592" s="92">
        <f>ROUND(SUM(H594:H601),2)</f>
        <v>214.59</v>
      </c>
    </row>
    <row r="593" spans="1:8" ht="15" customHeight="1">
      <c r="A593" s="94" t="s">
        <v>938</v>
      </c>
      <c r="B593" s="94" t="s">
        <v>12639</v>
      </c>
      <c r="C593" s="234" t="s">
        <v>14332</v>
      </c>
      <c r="D593" s="234"/>
      <c r="E593" s="94"/>
      <c r="F593" s="94"/>
      <c r="G593" s="94"/>
      <c r="H593" s="96"/>
    </row>
    <row r="594" spans="1:8" ht="15" customHeight="1">
      <c r="A594" s="97" t="s">
        <v>14350</v>
      </c>
      <c r="B594" s="98">
        <v>80.010000000000005</v>
      </c>
      <c r="C594" s="205" t="s">
        <v>14319</v>
      </c>
      <c r="D594" s="205"/>
      <c r="E594" s="98"/>
      <c r="F594" s="98"/>
      <c r="G594" s="206"/>
      <c r="H594" s="98">
        <f>B594</f>
        <v>80.010000000000005</v>
      </c>
    </row>
    <row r="595" spans="1:8" ht="15" customHeight="1">
      <c r="A595" s="97" t="s">
        <v>14842</v>
      </c>
      <c r="B595" s="98">
        <f>2*20.08</f>
        <v>40.159999999999997</v>
      </c>
      <c r="C595" s="205" t="s">
        <v>14336</v>
      </c>
      <c r="D595" s="205"/>
      <c r="E595" s="98"/>
      <c r="F595" s="98"/>
      <c r="G595" s="206"/>
      <c r="H595" s="98">
        <f>B595</f>
        <v>40.159999999999997</v>
      </c>
    </row>
    <row r="596" spans="1:8" ht="15" customHeight="1">
      <c r="A596" s="97" t="s">
        <v>14344</v>
      </c>
      <c r="B596" s="98">
        <v>5.48</v>
      </c>
      <c r="C596" s="205" t="s">
        <v>14309</v>
      </c>
      <c r="D596" s="205"/>
      <c r="E596" s="98"/>
      <c r="F596" s="98"/>
      <c r="G596" s="206"/>
      <c r="H596" s="98">
        <f t="shared" ref="H596:H601" si="275">B596</f>
        <v>5.48</v>
      </c>
    </row>
    <row r="597" spans="1:8" ht="15" customHeight="1">
      <c r="A597" s="97" t="s">
        <v>14345</v>
      </c>
      <c r="B597" s="98">
        <v>11.86</v>
      </c>
      <c r="C597" s="205" t="s">
        <v>14351</v>
      </c>
      <c r="D597" s="205"/>
      <c r="E597" s="98"/>
      <c r="F597" s="98"/>
      <c r="G597" s="206"/>
      <c r="H597" s="98">
        <f t="shared" si="275"/>
        <v>11.86</v>
      </c>
    </row>
    <row r="598" spans="1:8" ht="15" customHeight="1">
      <c r="A598" s="97" t="s">
        <v>14346</v>
      </c>
      <c r="B598" s="98">
        <v>16.239999999999998</v>
      </c>
      <c r="C598" s="205" t="s">
        <v>14351</v>
      </c>
      <c r="D598" s="205"/>
      <c r="E598" s="98"/>
      <c r="F598" s="98"/>
      <c r="G598" s="206"/>
      <c r="H598" s="98">
        <f t="shared" si="275"/>
        <v>16.239999999999998</v>
      </c>
    </row>
    <row r="599" spans="1:8" ht="15" customHeight="1">
      <c r="A599" s="97" t="s">
        <v>14347</v>
      </c>
      <c r="B599" s="98">
        <v>33.340000000000003</v>
      </c>
      <c r="C599" s="205" t="s">
        <v>13899</v>
      </c>
      <c r="D599" s="205"/>
      <c r="E599" s="98"/>
      <c r="F599" s="98"/>
      <c r="G599" s="206"/>
      <c r="H599" s="98">
        <f t="shared" si="275"/>
        <v>33.340000000000003</v>
      </c>
    </row>
    <row r="600" spans="1:8" ht="15" customHeight="1">
      <c r="A600" s="97" t="s">
        <v>14348</v>
      </c>
      <c r="B600" s="98">
        <v>12.56</v>
      </c>
      <c r="C600" s="205" t="s">
        <v>14398</v>
      </c>
      <c r="D600" s="205"/>
      <c r="E600" s="98"/>
      <c r="F600" s="98"/>
      <c r="G600" s="206"/>
      <c r="H600" s="98">
        <f t="shared" si="275"/>
        <v>12.56</v>
      </c>
    </row>
    <row r="601" spans="1:8" ht="15" customHeight="1">
      <c r="A601" s="97" t="s">
        <v>14349</v>
      </c>
      <c r="B601" s="98">
        <v>14.94</v>
      </c>
      <c r="C601" s="205" t="s">
        <v>14312</v>
      </c>
      <c r="D601" s="205"/>
      <c r="E601" s="98"/>
      <c r="F601" s="98"/>
      <c r="G601" s="206"/>
      <c r="H601" s="98">
        <f t="shared" si="275"/>
        <v>14.94</v>
      </c>
    </row>
    <row r="602" spans="1:8" ht="15" customHeight="1">
      <c r="A602" s="89" t="s">
        <v>14606</v>
      </c>
      <c r="B602" s="367" t="str">
        <f>VLOOKUP($A602,SERVICOS,4,FALSE)</f>
        <v>ARQUIBANCADA</v>
      </c>
      <c r="C602" s="367"/>
      <c r="D602" s="367"/>
      <c r="E602" s="367"/>
      <c r="F602" s="367"/>
      <c r="G602" s="367">
        <f>VLOOKUP($A602,SERVICOS,5,FALSE)</f>
        <v>0</v>
      </c>
      <c r="H602" s="367" t="e">
        <f>ROUND(SUM(#REF!),2)</f>
        <v>#REF!</v>
      </c>
    </row>
    <row r="603" spans="1:8" s="93" customFormat="1" ht="30" customHeight="1">
      <c r="A603" s="91" t="s">
        <v>14607</v>
      </c>
      <c r="B603" s="364" t="str">
        <f>VLOOKUP($A603,SERVICOS,4,FALSE)</f>
        <v>Escavação Manual Em Material De 1A. Categoria, Até 1.50 M De Profundidade</v>
      </c>
      <c r="C603" s="365"/>
      <c r="D603" s="365"/>
      <c r="E603" s="365"/>
      <c r="F603" s="366"/>
      <c r="G603" s="91" t="str">
        <f>VLOOKUP($A603,SERVICOS,5,FALSE)</f>
        <v>m3</v>
      </c>
      <c r="H603" s="92">
        <f>ROUND(SUM(H605:H607),2)</f>
        <v>34.14</v>
      </c>
    </row>
    <row r="604" spans="1:8" ht="25.5">
      <c r="A604" s="94" t="s">
        <v>938</v>
      </c>
      <c r="B604" s="95" t="s">
        <v>14415</v>
      </c>
      <c r="C604" s="94" t="s">
        <v>7319</v>
      </c>
      <c r="D604" s="95" t="s">
        <v>14191</v>
      </c>
      <c r="E604" s="94" t="s">
        <v>7320</v>
      </c>
      <c r="F604" s="95" t="s">
        <v>14192</v>
      </c>
      <c r="G604" s="94"/>
      <c r="H604" s="96"/>
    </row>
    <row r="605" spans="1:8" ht="15" customHeight="1">
      <c r="A605" s="97" t="s">
        <v>14602</v>
      </c>
      <c r="B605" s="98" t="s">
        <v>14844</v>
      </c>
      <c r="C605" s="98">
        <v>1</v>
      </c>
      <c r="D605" s="98">
        <f>0.15+0.4</f>
        <v>0.55000000000000004</v>
      </c>
      <c r="E605" s="98">
        <v>26.18</v>
      </c>
      <c r="F605" s="98">
        <v>0.35</v>
      </c>
      <c r="G605" s="98"/>
      <c r="H605" s="98">
        <f>C605*D605*E605*F605</f>
        <v>5.03965</v>
      </c>
    </row>
    <row r="606" spans="1:8" ht="15" customHeight="1">
      <c r="A606" s="97" t="s">
        <v>14603</v>
      </c>
      <c r="B606" s="98" t="s">
        <v>14844</v>
      </c>
      <c r="C606" s="98">
        <v>1</v>
      </c>
      <c r="D606" s="98">
        <f t="shared" ref="D606:D607" si="276">0.15+0.4</f>
        <v>0.55000000000000004</v>
      </c>
      <c r="E606" s="98">
        <v>46.22</v>
      </c>
      <c r="F606" s="98">
        <v>0.35</v>
      </c>
      <c r="G606" s="98"/>
      <c r="H606" s="98">
        <f t="shared" ref="H606:H607" si="277">C606*D606*E606*F606</f>
        <v>8.8973500000000012</v>
      </c>
    </row>
    <row r="607" spans="1:8" ht="15" customHeight="1">
      <c r="A607" s="97" t="s">
        <v>14604</v>
      </c>
      <c r="B607" s="98" t="s">
        <v>14844</v>
      </c>
      <c r="C607" s="98">
        <v>1</v>
      </c>
      <c r="D607" s="98">
        <f t="shared" si="276"/>
        <v>0.55000000000000004</v>
      </c>
      <c r="E607" s="98">
        <v>104.95</v>
      </c>
      <c r="F607" s="98">
        <v>0.35</v>
      </c>
      <c r="G607" s="98"/>
      <c r="H607" s="98">
        <f t="shared" si="277"/>
        <v>20.202874999999999</v>
      </c>
    </row>
    <row r="608" spans="1:8" ht="30" customHeight="1">
      <c r="A608" s="376" t="s">
        <v>14944</v>
      </c>
      <c r="B608" s="377"/>
      <c r="C608" s="377"/>
      <c r="D608" s="377"/>
      <c r="E608" s="377"/>
      <c r="F608" s="377"/>
      <c r="G608" s="377"/>
      <c r="H608" s="378"/>
    </row>
    <row r="609" spans="1:8" s="93" customFormat="1" ht="15" customHeight="1">
      <c r="A609" s="91" t="s">
        <v>14608</v>
      </c>
      <c r="B609" s="364" t="str">
        <f>VLOOKUP($A609,SERVICOS,4,FALSE)</f>
        <v>Apiloamento Do Fundo De Vala Com Maço De 30 A 60Kg</v>
      </c>
      <c r="C609" s="365"/>
      <c r="D609" s="365"/>
      <c r="E609" s="365"/>
      <c r="F609" s="366"/>
      <c r="G609" s="91" t="str">
        <f>VLOOKUP($A609,SERVICOS,5,FALSE)</f>
        <v>m2</v>
      </c>
      <c r="H609" s="92">
        <f>ROUND(SUM(H611:H613),2)</f>
        <v>97.54</v>
      </c>
    </row>
    <row r="610" spans="1:8" ht="25.5">
      <c r="A610" s="94" t="s">
        <v>938</v>
      </c>
      <c r="B610" s="95" t="s">
        <v>14415</v>
      </c>
      <c r="C610" s="94" t="s">
        <v>7319</v>
      </c>
      <c r="D610" s="95" t="s">
        <v>14191</v>
      </c>
      <c r="E610" s="94" t="s">
        <v>7320</v>
      </c>
      <c r="F610" s="95"/>
      <c r="G610" s="94"/>
      <c r="H610" s="96"/>
    </row>
    <row r="611" spans="1:8" ht="15" customHeight="1">
      <c r="A611" s="97" t="str">
        <f>A605</f>
        <v>Arquibancada 1</v>
      </c>
      <c r="B611" s="98" t="str">
        <f>B605</f>
        <v>15x30</v>
      </c>
      <c r="C611" s="98">
        <f t="shared" ref="C611:E611" si="278">C605</f>
        <v>1</v>
      </c>
      <c r="D611" s="98">
        <f t="shared" si="278"/>
        <v>0.55000000000000004</v>
      </c>
      <c r="E611" s="98">
        <f t="shared" si="278"/>
        <v>26.18</v>
      </c>
      <c r="F611" s="98"/>
      <c r="G611" s="98"/>
      <c r="H611" s="98">
        <f t="shared" ref="H611:H613" si="279">C611*D611*E611</f>
        <v>14.399000000000001</v>
      </c>
    </row>
    <row r="612" spans="1:8" ht="15" customHeight="1">
      <c r="A612" s="97" t="str">
        <f t="shared" ref="A612:E612" si="280">A606</f>
        <v>Arquibancada 2</v>
      </c>
      <c r="B612" s="98" t="str">
        <f t="shared" si="280"/>
        <v>15x30</v>
      </c>
      <c r="C612" s="98">
        <f t="shared" si="280"/>
        <v>1</v>
      </c>
      <c r="D612" s="98">
        <f t="shared" si="280"/>
        <v>0.55000000000000004</v>
      </c>
      <c r="E612" s="98">
        <f t="shared" si="280"/>
        <v>46.22</v>
      </c>
      <c r="F612" s="98"/>
      <c r="G612" s="98"/>
      <c r="H612" s="98">
        <f t="shared" si="279"/>
        <v>25.421000000000003</v>
      </c>
    </row>
    <row r="613" spans="1:8" ht="15" customHeight="1">
      <c r="A613" s="97" t="str">
        <f t="shared" ref="A613:E613" si="281">A607</f>
        <v>Arquibancada 3</v>
      </c>
      <c r="B613" s="98" t="str">
        <f t="shared" si="281"/>
        <v>15x30</v>
      </c>
      <c r="C613" s="98">
        <f t="shared" si="281"/>
        <v>1</v>
      </c>
      <c r="D613" s="98">
        <f t="shared" si="281"/>
        <v>0.55000000000000004</v>
      </c>
      <c r="E613" s="98">
        <f t="shared" si="281"/>
        <v>104.95</v>
      </c>
      <c r="F613" s="98"/>
      <c r="G613" s="98"/>
      <c r="H613" s="98">
        <f t="shared" si="279"/>
        <v>57.722500000000004</v>
      </c>
    </row>
    <row r="614" spans="1:8" s="93" customFormat="1" ht="15" customHeight="1">
      <c r="A614" s="91" t="s">
        <v>14609</v>
      </c>
      <c r="B614" s="364" t="str">
        <f>VLOOKUP($A614,SERVICOS,4,FALSE)</f>
        <v>Reaterro Apiloado De Cavas De Fundação, Em Camadas De 20 Cm</v>
      </c>
      <c r="C614" s="365"/>
      <c r="D614" s="365"/>
      <c r="E614" s="365"/>
      <c r="F614" s="366"/>
      <c r="G614" s="91" t="str">
        <f>VLOOKUP($A614,SERVICOS,5,FALSE)</f>
        <v>m3</v>
      </c>
      <c r="H614" s="92">
        <f>ROUND(SUM(H616:H616),2)</f>
        <v>21.28</v>
      </c>
    </row>
    <row r="615" spans="1:8" ht="38.25">
      <c r="A615" s="94" t="s">
        <v>938</v>
      </c>
      <c r="B615" s="95" t="s">
        <v>14477</v>
      </c>
      <c r="C615" s="95" t="s">
        <v>14617</v>
      </c>
      <c r="D615" s="95" t="s">
        <v>14618</v>
      </c>
      <c r="E615" s="95"/>
      <c r="F615" s="95"/>
      <c r="G615" s="94"/>
      <c r="H615" s="96"/>
    </row>
    <row r="616" spans="1:8" ht="15" customHeight="1">
      <c r="A616" s="97" t="s">
        <v>13904</v>
      </c>
      <c r="B616" s="99">
        <f>H603</f>
        <v>34.14</v>
      </c>
      <c r="C616" s="98">
        <f>H617</f>
        <v>4.88</v>
      </c>
      <c r="D616" s="98">
        <f>H642</f>
        <v>7.98</v>
      </c>
      <c r="E616" s="98"/>
      <c r="F616" s="98"/>
      <c r="G616" s="98"/>
      <c r="H616" s="98">
        <f>B616-C616-D616</f>
        <v>21.28</v>
      </c>
    </row>
    <row r="617" spans="1:8" s="93" customFormat="1" ht="45" customHeight="1">
      <c r="A617" s="91" t="s">
        <v>14610</v>
      </c>
      <c r="B617" s="364" t="str">
        <f>VLOOKUP($A617,SERVICOS,4,FALSE)</f>
        <v>Fornecimento, Preparo E Aplicação De Concreto Magro Com Consumo Mínimo De Cimento De 250 Kg/M3 (Brita 1 E 2) - (5% De Perdas Já Incluído No Custo)</v>
      </c>
      <c r="C617" s="365"/>
      <c r="D617" s="365"/>
      <c r="E617" s="365"/>
      <c r="F617" s="366"/>
      <c r="G617" s="91" t="str">
        <f>VLOOKUP($A617,SERVICOS,5,FALSE)</f>
        <v>m3</v>
      </c>
      <c r="H617" s="92">
        <f>ROUND(SUM(H619:H621),2)</f>
        <v>4.88</v>
      </c>
    </row>
    <row r="618" spans="1:8" ht="25.5">
      <c r="A618" s="94" t="s">
        <v>938</v>
      </c>
      <c r="B618" s="95" t="s">
        <v>14480</v>
      </c>
      <c r="C618" s="94" t="s">
        <v>7319</v>
      </c>
      <c r="D618" s="95" t="s">
        <v>14191</v>
      </c>
      <c r="E618" s="94" t="s">
        <v>7320</v>
      </c>
      <c r="F618" s="95" t="s">
        <v>14192</v>
      </c>
      <c r="G618" s="94"/>
      <c r="H618" s="96"/>
    </row>
    <row r="619" spans="1:8" ht="15" customHeight="1">
      <c r="A619" s="97" t="str">
        <f>A611</f>
        <v>Arquibancada 1</v>
      </c>
      <c r="B619" s="98" t="str">
        <f>B611</f>
        <v>15x30</v>
      </c>
      <c r="C619" s="98">
        <f t="shared" ref="C619:E619" si="282">C611</f>
        <v>1</v>
      </c>
      <c r="D619" s="98">
        <f t="shared" si="282"/>
        <v>0.55000000000000004</v>
      </c>
      <c r="E619" s="98">
        <f t="shared" si="282"/>
        <v>26.18</v>
      </c>
      <c r="F619" s="98">
        <v>0.05</v>
      </c>
      <c r="G619" s="206"/>
      <c r="H619" s="98">
        <f t="shared" ref="H619:H621" si="283">C619*D619*E619*F619</f>
        <v>0.71995000000000009</v>
      </c>
    </row>
    <row r="620" spans="1:8" ht="15" customHeight="1">
      <c r="A620" s="97" t="str">
        <f t="shared" ref="A620:E620" si="284">A612</f>
        <v>Arquibancada 2</v>
      </c>
      <c r="B620" s="98" t="str">
        <f t="shared" si="284"/>
        <v>15x30</v>
      </c>
      <c r="C620" s="98">
        <f t="shared" si="284"/>
        <v>1</v>
      </c>
      <c r="D620" s="98">
        <f t="shared" si="284"/>
        <v>0.55000000000000004</v>
      </c>
      <c r="E620" s="98">
        <f t="shared" si="284"/>
        <v>46.22</v>
      </c>
      <c r="F620" s="98">
        <v>0.05</v>
      </c>
      <c r="G620" s="206"/>
      <c r="H620" s="98">
        <f t="shared" si="283"/>
        <v>1.2710500000000002</v>
      </c>
    </row>
    <row r="621" spans="1:8" ht="15" customHeight="1">
      <c r="A621" s="97" t="str">
        <f t="shared" ref="A621:E621" si="285">A613</f>
        <v>Arquibancada 3</v>
      </c>
      <c r="B621" s="98" t="str">
        <f t="shared" si="285"/>
        <v>15x30</v>
      </c>
      <c r="C621" s="98">
        <f t="shared" si="285"/>
        <v>1</v>
      </c>
      <c r="D621" s="98">
        <f t="shared" si="285"/>
        <v>0.55000000000000004</v>
      </c>
      <c r="E621" s="98">
        <f t="shared" si="285"/>
        <v>104.95</v>
      </c>
      <c r="F621" s="98">
        <v>0.05</v>
      </c>
      <c r="G621" s="206"/>
      <c r="H621" s="98">
        <f t="shared" si="283"/>
        <v>2.8861250000000003</v>
      </c>
    </row>
    <row r="622" spans="1:8" s="93" customFormat="1" ht="45" customHeight="1">
      <c r="A622" s="91" t="s">
        <v>14611</v>
      </c>
      <c r="B622" s="364" t="str">
        <f>VLOOKUP($A622,SERVICOS,4,FALSE)</f>
        <v>Fôrma De Tábua De Madeira De 2.5X30.0Cm, Levando-Se Em Conta Utilização 1 Vez (Incluindo O Material, Corte, Montagem, Escoramento E Desforma)</v>
      </c>
      <c r="C622" s="365"/>
      <c r="D622" s="365"/>
      <c r="E622" s="365"/>
      <c r="F622" s="366"/>
      <c r="G622" s="91" t="str">
        <f>VLOOKUP($A622,SERVICOS,5,FALSE)</f>
        <v>m2</v>
      </c>
      <c r="H622" s="92">
        <f>ROUND(SUM(H624:H626),2)</f>
        <v>124.15</v>
      </c>
    </row>
    <row r="623" spans="1:8" ht="25.5">
      <c r="A623" s="94" t="s">
        <v>938</v>
      </c>
      <c r="B623" s="95" t="s">
        <v>14480</v>
      </c>
      <c r="C623" s="94" t="s">
        <v>7319</v>
      </c>
      <c r="D623" s="94" t="s">
        <v>7320</v>
      </c>
      <c r="E623" s="95" t="s">
        <v>14192</v>
      </c>
      <c r="F623" s="95"/>
      <c r="G623" s="94"/>
      <c r="H623" s="96"/>
    </row>
    <row r="624" spans="1:8" ht="15" customHeight="1">
      <c r="A624" s="97" t="str">
        <f>A619</f>
        <v>Arquibancada 1</v>
      </c>
      <c r="B624" s="98" t="str">
        <f>B619</f>
        <v>15x30</v>
      </c>
      <c r="C624" s="224">
        <f>C619</f>
        <v>1</v>
      </c>
      <c r="D624" s="98">
        <f>E619</f>
        <v>26.18</v>
      </c>
      <c r="E624" s="98">
        <v>0.35</v>
      </c>
      <c r="F624" s="98"/>
      <c r="G624" s="206"/>
      <c r="H624" s="98">
        <f>C624*D624*(E624*2)</f>
        <v>18.325999999999997</v>
      </c>
    </row>
    <row r="625" spans="1:8" ht="15" customHeight="1">
      <c r="A625" s="97" t="str">
        <f t="shared" ref="A625:C625" si="286">A620</f>
        <v>Arquibancada 2</v>
      </c>
      <c r="B625" s="98" t="str">
        <f t="shared" si="286"/>
        <v>15x30</v>
      </c>
      <c r="C625" s="224">
        <f t="shared" si="286"/>
        <v>1</v>
      </c>
      <c r="D625" s="98">
        <f t="shared" ref="D625:D626" si="287">E620</f>
        <v>46.22</v>
      </c>
      <c r="E625" s="98">
        <v>0.35</v>
      </c>
      <c r="F625" s="98"/>
      <c r="G625" s="206"/>
      <c r="H625" s="98">
        <f t="shared" ref="H625:H626" si="288">C625*D625*(E625*2)</f>
        <v>32.353999999999999</v>
      </c>
    </row>
    <row r="626" spans="1:8" ht="15" customHeight="1">
      <c r="A626" s="97" t="str">
        <f t="shared" ref="A626:C626" si="289">A621</f>
        <v>Arquibancada 3</v>
      </c>
      <c r="B626" s="98" t="str">
        <f t="shared" si="289"/>
        <v>15x30</v>
      </c>
      <c r="C626" s="224">
        <f t="shared" si="289"/>
        <v>1</v>
      </c>
      <c r="D626" s="98">
        <f t="shared" si="287"/>
        <v>104.95</v>
      </c>
      <c r="E626" s="98">
        <v>0.35</v>
      </c>
      <c r="F626" s="98"/>
      <c r="G626" s="206"/>
      <c r="H626" s="98">
        <f t="shared" si="288"/>
        <v>73.465000000000003</v>
      </c>
    </row>
    <row r="627" spans="1:8" ht="15" customHeight="1">
      <c r="A627" s="97" t="s">
        <v>14820</v>
      </c>
      <c r="B627" s="236"/>
      <c r="C627" s="307"/>
      <c r="D627" s="237"/>
      <c r="E627" s="237"/>
      <c r="F627" s="238"/>
      <c r="G627" s="206"/>
      <c r="H627" s="98"/>
    </row>
    <row r="628" spans="1:8" s="93" customFormat="1" ht="30" customHeight="1">
      <c r="A628" s="91" t="s">
        <v>14612</v>
      </c>
      <c r="B628" s="364" t="str">
        <f>VLOOKUP($A628,SERVICOS,4,FALSE)</f>
        <v>Fornecimento, Dobragem E Colocação Em Fôrma, De Armadura Ca-60 B Fina, Diâmetro De 4.0 A 7.0Mm</v>
      </c>
      <c r="C628" s="365"/>
      <c r="D628" s="365"/>
      <c r="E628" s="365"/>
      <c r="F628" s="366"/>
      <c r="G628" s="91" t="str">
        <f>VLOOKUP($A628,SERVICOS,5,FALSE)</f>
        <v>kg</v>
      </c>
      <c r="H628" s="92">
        <f>ROUND(SUM(H630:H632),2)</f>
        <v>187.55</v>
      </c>
    </row>
    <row r="629" spans="1:8" ht="25.5">
      <c r="A629" s="94" t="s">
        <v>938</v>
      </c>
      <c r="B629" s="95" t="s">
        <v>14480</v>
      </c>
      <c r="C629" s="94" t="s">
        <v>7319</v>
      </c>
      <c r="D629" s="95" t="s">
        <v>14582</v>
      </c>
      <c r="E629" s="95" t="s">
        <v>14484</v>
      </c>
      <c r="F629" s="94" t="s">
        <v>7320</v>
      </c>
      <c r="G629" s="95" t="s">
        <v>14485</v>
      </c>
      <c r="H629" s="96"/>
    </row>
    <row r="630" spans="1:8" ht="15" customHeight="1">
      <c r="A630" s="97" t="str">
        <f>A624</f>
        <v>Arquibancada 1</v>
      </c>
      <c r="B630" s="98" t="str">
        <f>B624</f>
        <v>15x30</v>
      </c>
      <c r="C630" s="98">
        <f t="shared" ref="C630:D630" si="290">C624</f>
        <v>1</v>
      </c>
      <c r="D630" s="98">
        <f t="shared" si="290"/>
        <v>26.18</v>
      </c>
      <c r="E630" s="98">
        <f>ROUNDUP(D630/0.15,0)</f>
        <v>175</v>
      </c>
      <c r="F630" s="98">
        <f>(0.15+0.3)*2</f>
        <v>0.89999999999999991</v>
      </c>
      <c r="G630" s="98">
        <v>0.16</v>
      </c>
      <c r="H630" s="98">
        <f>C630*E630*F630*G630*1.1</f>
        <v>27.72</v>
      </c>
    </row>
    <row r="631" spans="1:8" ht="15" customHeight="1">
      <c r="A631" s="97" t="str">
        <f t="shared" ref="A631:D631" si="291">A625</f>
        <v>Arquibancada 2</v>
      </c>
      <c r="B631" s="98" t="str">
        <f t="shared" si="291"/>
        <v>15x30</v>
      </c>
      <c r="C631" s="98">
        <f t="shared" si="291"/>
        <v>1</v>
      </c>
      <c r="D631" s="98">
        <f t="shared" si="291"/>
        <v>46.22</v>
      </c>
      <c r="E631" s="98">
        <f t="shared" ref="E631:E632" si="292">ROUNDUP(D631/0.15,0)</f>
        <v>309</v>
      </c>
      <c r="F631" s="98">
        <f t="shared" ref="F631:F632" si="293">(0.15+0.3)*2</f>
        <v>0.89999999999999991</v>
      </c>
      <c r="G631" s="98">
        <v>0.16</v>
      </c>
      <c r="H631" s="98">
        <f t="shared" ref="H631:H632" si="294">C631*E631*F631*G631*1.1</f>
        <v>48.945599999999999</v>
      </c>
    </row>
    <row r="632" spans="1:8" ht="15" customHeight="1">
      <c r="A632" s="97" t="str">
        <f t="shared" ref="A632:D632" si="295">A626</f>
        <v>Arquibancada 3</v>
      </c>
      <c r="B632" s="98" t="str">
        <f t="shared" si="295"/>
        <v>15x30</v>
      </c>
      <c r="C632" s="98">
        <f t="shared" si="295"/>
        <v>1</v>
      </c>
      <c r="D632" s="98">
        <f t="shared" si="295"/>
        <v>104.95</v>
      </c>
      <c r="E632" s="98">
        <f t="shared" si="292"/>
        <v>700</v>
      </c>
      <c r="F632" s="98">
        <f t="shared" si="293"/>
        <v>0.89999999999999991</v>
      </c>
      <c r="G632" s="98">
        <v>0.16</v>
      </c>
      <c r="H632" s="98">
        <f t="shared" si="294"/>
        <v>110.88</v>
      </c>
    </row>
    <row r="633" spans="1:8" s="93" customFormat="1" ht="30" customHeight="1">
      <c r="A633" s="91" t="s">
        <v>14613</v>
      </c>
      <c r="B633" s="364" t="str">
        <f>VLOOKUP($A633,SERVICOS,4,FALSE)</f>
        <v>Fornecimento, Dobragem E Colocação Em Fôrma, De Armadura Ca-50 A Média, Diâmetro De 6.3 A 10.0 Mm</v>
      </c>
      <c r="C633" s="365"/>
      <c r="D633" s="365"/>
      <c r="E633" s="365"/>
      <c r="F633" s="366"/>
      <c r="G633" s="91" t="str">
        <f>VLOOKUP($A633,SERVICOS,5,FALSE)</f>
        <v>kg</v>
      </c>
      <c r="H633" s="92">
        <f>ROUND(SUM(H635:H637),2)</f>
        <v>156.07</v>
      </c>
    </row>
    <row r="634" spans="1:8" ht="25.5">
      <c r="A634" s="94" t="s">
        <v>938</v>
      </c>
      <c r="B634" s="95" t="s">
        <v>14480</v>
      </c>
      <c r="C634" s="94" t="s">
        <v>7319</v>
      </c>
      <c r="D634" s="94" t="s">
        <v>7320</v>
      </c>
      <c r="E634" s="95" t="s">
        <v>14484</v>
      </c>
      <c r="F634" s="95" t="s">
        <v>14485</v>
      </c>
      <c r="G634" s="94" t="s">
        <v>14667</v>
      </c>
      <c r="H634" s="96"/>
    </row>
    <row r="635" spans="1:8" ht="15" customHeight="1">
      <c r="A635" s="97" t="str">
        <f>A630</f>
        <v>Arquibancada 1</v>
      </c>
      <c r="B635" s="98" t="str">
        <f>B630</f>
        <v>15x30</v>
      </c>
      <c r="C635" s="98">
        <f t="shared" ref="C635:D635" si="296">C630</f>
        <v>1</v>
      </c>
      <c r="D635" s="98">
        <f t="shared" si="296"/>
        <v>26.18</v>
      </c>
      <c r="E635" s="98">
        <v>2</v>
      </c>
      <c r="F635" s="98">
        <v>0.4</v>
      </c>
      <c r="G635" s="206" t="s">
        <v>12601</v>
      </c>
      <c r="H635" s="98">
        <f t="shared" ref="H635:H637" si="297">C635*D635*E635*F635*1.1</f>
        <v>23.038400000000006</v>
      </c>
    </row>
    <row r="636" spans="1:8" ht="15" customHeight="1">
      <c r="A636" s="97" t="str">
        <f t="shared" ref="A636:D636" si="298">A631</f>
        <v>Arquibancada 2</v>
      </c>
      <c r="B636" s="98" t="str">
        <f t="shared" si="298"/>
        <v>15x30</v>
      </c>
      <c r="C636" s="98">
        <f t="shared" si="298"/>
        <v>1</v>
      </c>
      <c r="D636" s="98">
        <f t="shared" si="298"/>
        <v>46.22</v>
      </c>
      <c r="E636" s="98">
        <v>2</v>
      </c>
      <c r="F636" s="98">
        <v>0.4</v>
      </c>
      <c r="G636" s="206" t="s">
        <v>12601</v>
      </c>
      <c r="H636" s="98">
        <f t="shared" si="297"/>
        <v>40.6736</v>
      </c>
    </row>
    <row r="637" spans="1:8" ht="15" customHeight="1">
      <c r="A637" s="97" t="str">
        <f t="shared" ref="A637:D637" si="299">A632</f>
        <v>Arquibancada 3</v>
      </c>
      <c r="B637" s="98" t="str">
        <f t="shared" si="299"/>
        <v>15x30</v>
      </c>
      <c r="C637" s="98">
        <f t="shared" si="299"/>
        <v>1</v>
      </c>
      <c r="D637" s="98">
        <f t="shared" si="299"/>
        <v>104.95</v>
      </c>
      <c r="E637" s="98">
        <v>2</v>
      </c>
      <c r="F637" s="98">
        <v>0.4</v>
      </c>
      <c r="G637" s="206" t="s">
        <v>12601</v>
      </c>
      <c r="H637" s="98">
        <f t="shared" si="297"/>
        <v>92.356000000000023</v>
      </c>
    </row>
    <row r="638" spans="1:8" ht="15" customHeight="1">
      <c r="A638" s="97"/>
      <c r="B638" s="98"/>
      <c r="C638" s="98"/>
      <c r="D638" s="98"/>
      <c r="E638" s="98"/>
      <c r="F638" s="98"/>
      <c r="G638" s="206"/>
      <c r="H638" s="98"/>
    </row>
    <row r="639" spans="1:8" ht="15" customHeight="1">
      <c r="A639" s="97" t="str">
        <f t="shared" ref="A639:D641" si="300">A635</f>
        <v>Arquibancada 1</v>
      </c>
      <c r="B639" s="98" t="str">
        <f t="shared" si="300"/>
        <v>15x30</v>
      </c>
      <c r="C639" s="98">
        <f t="shared" si="300"/>
        <v>1</v>
      </c>
      <c r="D639" s="98">
        <f t="shared" si="300"/>
        <v>26.18</v>
      </c>
      <c r="E639" s="98">
        <v>2</v>
      </c>
      <c r="F639" s="98">
        <v>0.62</v>
      </c>
      <c r="G639" s="206" t="s">
        <v>12605</v>
      </c>
      <c r="H639" s="98">
        <f t="shared" ref="H639:H641" si="301">C639*D639*E639*F639*1.1</f>
        <v>35.709520000000005</v>
      </c>
    </row>
    <row r="640" spans="1:8" ht="15" customHeight="1">
      <c r="A640" s="97" t="str">
        <f t="shared" si="300"/>
        <v>Arquibancada 2</v>
      </c>
      <c r="B640" s="98" t="str">
        <f t="shared" si="300"/>
        <v>15x30</v>
      </c>
      <c r="C640" s="98">
        <f t="shared" si="300"/>
        <v>1</v>
      </c>
      <c r="D640" s="98">
        <f t="shared" si="300"/>
        <v>46.22</v>
      </c>
      <c r="E640" s="98">
        <v>2</v>
      </c>
      <c r="F640" s="98">
        <v>0.62</v>
      </c>
      <c r="G640" s="206" t="s">
        <v>12605</v>
      </c>
      <c r="H640" s="98">
        <f t="shared" si="301"/>
        <v>63.044080000000001</v>
      </c>
    </row>
    <row r="641" spans="1:8" ht="15" customHeight="1">
      <c r="A641" s="97" t="str">
        <f t="shared" si="300"/>
        <v>Arquibancada 3</v>
      </c>
      <c r="B641" s="98" t="str">
        <f t="shared" si="300"/>
        <v>15x30</v>
      </c>
      <c r="C641" s="98">
        <f t="shared" si="300"/>
        <v>1</v>
      </c>
      <c r="D641" s="98">
        <f t="shared" si="300"/>
        <v>104.95</v>
      </c>
      <c r="E641" s="98">
        <v>2</v>
      </c>
      <c r="F641" s="98">
        <v>0.62</v>
      </c>
      <c r="G641" s="206" t="s">
        <v>12605</v>
      </c>
      <c r="H641" s="98">
        <f t="shared" si="301"/>
        <v>143.15180000000001</v>
      </c>
    </row>
    <row r="642" spans="1:8" s="93" customFormat="1" ht="45" customHeight="1">
      <c r="A642" s="91" t="s">
        <v>14614</v>
      </c>
      <c r="B642" s="364" t="str">
        <f>VLOOKUP($A642,SERVICOS,4,FALSE)</f>
        <v>Fornecimento E Aplicação De Concreto Usinado Fck=25 Mpa - Considerando Lançamento Manual Para Infra-Estrutura (5% De Perdas Já Incluído No Custo)</v>
      </c>
      <c r="C642" s="365"/>
      <c r="D642" s="365"/>
      <c r="E642" s="365"/>
      <c r="F642" s="366"/>
      <c r="G642" s="91" t="str">
        <f>VLOOKUP($A642,SERVICOS,5,FALSE)</f>
        <v>m3</v>
      </c>
      <c r="H642" s="92">
        <f>ROUND(SUM(H644:H646),2)</f>
        <v>7.98</v>
      </c>
    </row>
    <row r="643" spans="1:8" ht="25.5">
      <c r="A643" s="94" t="s">
        <v>938</v>
      </c>
      <c r="B643" s="95" t="s">
        <v>14480</v>
      </c>
      <c r="C643" s="94" t="s">
        <v>7319</v>
      </c>
      <c r="D643" s="95" t="s">
        <v>14191</v>
      </c>
      <c r="E643" s="94" t="s">
        <v>7320</v>
      </c>
      <c r="F643" s="95" t="s">
        <v>14192</v>
      </c>
      <c r="G643" s="94"/>
      <c r="H643" s="96"/>
    </row>
    <row r="644" spans="1:8" ht="15" customHeight="1">
      <c r="A644" s="97" t="str">
        <f>A639</f>
        <v>Arquibancada 1</v>
      </c>
      <c r="B644" s="98" t="str">
        <f>B639</f>
        <v>15x30</v>
      </c>
      <c r="C644" s="98">
        <f t="shared" ref="C644:C646" si="302">C639</f>
        <v>1</v>
      </c>
      <c r="D644" s="98">
        <v>0.15</v>
      </c>
      <c r="E644" s="98">
        <f>D639</f>
        <v>26.18</v>
      </c>
      <c r="F644" s="98">
        <v>0.3</v>
      </c>
      <c r="G644" s="206"/>
      <c r="H644" s="98">
        <f t="shared" ref="H644:H646" si="303">C644*D644*E644*F644</f>
        <v>1.1780999999999999</v>
      </c>
    </row>
    <row r="645" spans="1:8" ht="15" customHeight="1">
      <c r="A645" s="97" t="str">
        <f t="shared" ref="A645:B645" si="304">A640</f>
        <v>Arquibancada 2</v>
      </c>
      <c r="B645" s="98" t="str">
        <f t="shared" si="304"/>
        <v>15x30</v>
      </c>
      <c r="C645" s="98">
        <f t="shared" si="302"/>
        <v>1</v>
      </c>
      <c r="D645" s="98">
        <v>0.15</v>
      </c>
      <c r="E645" s="98">
        <f t="shared" ref="E645:E646" si="305">D640</f>
        <v>46.22</v>
      </c>
      <c r="F645" s="98">
        <v>0.3</v>
      </c>
      <c r="G645" s="206"/>
      <c r="H645" s="98">
        <f t="shared" si="303"/>
        <v>2.0798999999999999</v>
      </c>
    </row>
    <row r="646" spans="1:8" ht="15" customHeight="1">
      <c r="A646" s="97" t="str">
        <f t="shared" ref="A646:B646" si="306">A641</f>
        <v>Arquibancada 3</v>
      </c>
      <c r="B646" s="98" t="str">
        <f t="shared" si="306"/>
        <v>15x30</v>
      </c>
      <c r="C646" s="98">
        <f t="shared" si="302"/>
        <v>1</v>
      </c>
      <c r="D646" s="98">
        <v>0.15</v>
      </c>
      <c r="E646" s="98">
        <f t="shared" si="305"/>
        <v>104.95</v>
      </c>
      <c r="F646" s="98">
        <v>0.3</v>
      </c>
      <c r="G646" s="206"/>
      <c r="H646" s="98">
        <f t="shared" si="303"/>
        <v>4.7227499999999996</v>
      </c>
    </row>
    <row r="647" spans="1:8" s="93" customFormat="1" ht="45" customHeight="1">
      <c r="A647" s="91" t="s">
        <v>14615</v>
      </c>
      <c r="B647" s="364" t="str">
        <f>VLOOKUP($A647,SERVICOS,4,FALSE)</f>
        <v>Alvenaria De Blocos De Concreto Estrutural 14X19X39 Cm (Espessura 14 Cm), Fbk = 4,5 Mpa, Utilizando Palheta. Af_10/2022</v>
      </c>
      <c r="C647" s="365"/>
      <c r="D647" s="365"/>
      <c r="E647" s="365"/>
      <c r="F647" s="366"/>
      <c r="G647" s="91" t="str">
        <f>VLOOKUP($A647,SERVICOS,5,FALSE)</f>
        <v>m2</v>
      </c>
      <c r="H647" s="92">
        <f>ROUND(SUM(H649:H651),2)</f>
        <v>139.66</v>
      </c>
    </row>
    <row r="648" spans="1:8" ht="15" customHeight="1">
      <c r="A648" s="94" t="s">
        <v>938</v>
      </c>
      <c r="B648" s="94" t="s">
        <v>7320</v>
      </c>
      <c r="C648" s="95" t="s">
        <v>14192</v>
      </c>
      <c r="D648" s="95"/>
      <c r="E648" s="94" t="s">
        <v>14621</v>
      </c>
      <c r="F648" s="94"/>
      <c r="G648" s="94"/>
      <c r="H648" s="96"/>
    </row>
    <row r="649" spans="1:8" ht="15" customHeight="1">
      <c r="A649" s="97" t="str">
        <f>A644</f>
        <v>Arquibancada 1</v>
      </c>
      <c r="B649" s="98">
        <v>9.8000000000000007</v>
      </c>
      <c r="C649" s="98">
        <v>1.6</v>
      </c>
      <c r="D649" s="98"/>
      <c r="E649" s="98">
        <v>4</v>
      </c>
      <c r="F649" s="98">
        <v>1.18</v>
      </c>
      <c r="G649" s="98"/>
      <c r="H649" s="98">
        <f>B649*C649+E649*F649</f>
        <v>20.400000000000002</v>
      </c>
    </row>
    <row r="650" spans="1:8" ht="15" customHeight="1">
      <c r="A650" s="97" t="s">
        <v>14603</v>
      </c>
      <c r="B650" s="98">
        <v>18.149999999999999</v>
      </c>
      <c r="C650" s="98">
        <v>1.6</v>
      </c>
      <c r="D650" s="98"/>
      <c r="E650" s="98">
        <v>7</v>
      </c>
      <c r="F650" s="98">
        <v>1.18</v>
      </c>
      <c r="G650" s="98"/>
      <c r="H650" s="98">
        <f t="shared" ref="H650:H651" si="307">B650*C650+E650*F650</f>
        <v>37.299999999999997</v>
      </c>
    </row>
    <row r="651" spans="1:8" ht="15" customHeight="1">
      <c r="A651" s="97" t="s">
        <v>14604</v>
      </c>
      <c r="B651" s="98">
        <f>34.93+5.23</f>
        <v>40.159999999999997</v>
      </c>
      <c r="C651" s="98">
        <v>1.6</v>
      </c>
      <c r="D651" s="98"/>
      <c r="E651" s="98">
        <v>15</v>
      </c>
      <c r="F651" s="98">
        <v>1.18</v>
      </c>
      <c r="G651" s="98"/>
      <c r="H651" s="98">
        <f t="shared" si="307"/>
        <v>81.956000000000003</v>
      </c>
    </row>
    <row r="652" spans="1:8" s="93" customFormat="1" ht="30" customHeight="1">
      <c r="A652" s="91" t="s">
        <v>14616</v>
      </c>
      <c r="B652" s="364" t="str">
        <f>VLOOKUP($A652,SERVICOS,4,FALSE)</f>
        <v>Cinta De Amarração De Alvenaria Moldada In Loco Com Utilização De Blocos Canaleta. Af_03/2016</v>
      </c>
      <c r="C652" s="365"/>
      <c r="D652" s="365"/>
      <c r="E652" s="365"/>
      <c r="F652" s="366"/>
      <c r="G652" s="91" t="str">
        <f>VLOOKUP($A652,SERVICOS,5,FALSE)</f>
        <v>m</v>
      </c>
      <c r="H652" s="92">
        <f>ROUND(SUM(H654:H656),2)</f>
        <v>408.66</v>
      </c>
    </row>
    <row r="653" spans="1:8" ht="15" customHeight="1">
      <c r="A653" s="94" t="s">
        <v>938</v>
      </c>
      <c r="B653" s="94" t="s">
        <v>7320</v>
      </c>
      <c r="C653" s="95" t="s">
        <v>7319</v>
      </c>
      <c r="D653" s="95"/>
      <c r="E653" s="94"/>
      <c r="F653" s="94"/>
      <c r="G653" s="94"/>
      <c r="H653" s="96"/>
    </row>
    <row r="654" spans="1:8" ht="15" customHeight="1">
      <c r="A654" s="97" t="str">
        <f>A649</f>
        <v>Arquibancada 1</v>
      </c>
      <c r="B654" s="98">
        <f>B649</f>
        <v>9.8000000000000007</v>
      </c>
      <c r="C654" s="98">
        <v>6</v>
      </c>
      <c r="D654" s="98"/>
      <c r="E654" s="98"/>
      <c r="F654" s="98"/>
      <c r="G654" s="98"/>
      <c r="H654" s="98">
        <f>B654*C654</f>
        <v>58.800000000000004</v>
      </c>
    </row>
    <row r="655" spans="1:8" ht="15" customHeight="1">
      <c r="A655" s="97" t="s">
        <v>14603</v>
      </c>
      <c r="B655" s="98">
        <f t="shared" ref="B655:B656" si="308">B650</f>
        <v>18.149999999999999</v>
      </c>
      <c r="C655" s="98">
        <v>6</v>
      </c>
      <c r="D655" s="98"/>
      <c r="E655" s="98"/>
      <c r="F655" s="98"/>
      <c r="G655" s="98"/>
      <c r="H655" s="98">
        <f t="shared" ref="H655:H656" si="309">B655*C655</f>
        <v>108.89999999999999</v>
      </c>
    </row>
    <row r="656" spans="1:8" ht="15" customHeight="1">
      <c r="A656" s="97" t="s">
        <v>14604</v>
      </c>
      <c r="B656" s="98">
        <f t="shared" si="308"/>
        <v>40.159999999999997</v>
      </c>
      <c r="C656" s="98">
        <v>6</v>
      </c>
      <c r="D656" s="98"/>
      <c r="E656" s="98"/>
      <c r="F656" s="98"/>
      <c r="G656" s="98"/>
      <c r="H656" s="98">
        <f t="shared" si="309"/>
        <v>240.95999999999998</v>
      </c>
    </row>
    <row r="657" spans="1:8" s="93" customFormat="1" ht="15" customHeight="1">
      <c r="A657" s="91" t="s">
        <v>14619</v>
      </c>
      <c r="B657" s="364" t="str">
        <f>VLOOKUP($A657,SERVICOS,4,FALSE)</f>
        <v>Fornecimento E Espalhamento De Pó De Pedra</v>
      </c>
      <c r="C657" s="365"/>
      <c r="D657" s="365"/>
      <c r="E657" s="365"/>
      <c r="F657" s="366"/>
      <c r="G657" s="91" t="str">
        <f>VLOOKUP($A657,SERVICOS,5,FALSE)</f>
        <v>m3</v>
      </c>
      <c r="H657" s="92">
        <f>ROUND(SUM(H659:H661),2)</f>
        <v>68.11</v>
      </c>
    </row>
    <row r="658" spans="1:8" ht="15" customHeight="1">
      <c r="A658" s="94" t="s">
        <v>938</v>
      </c>
      <c r="B658" s="94" t="s">
        <v>7320</v>
      </c>
      <c r="C658" s="95" t="s">
        <v>12639</v>
      </c>
      <c r="D658" s="95"/>
      <c r="E658" s="94"/>
      <c r="F658" s="94"/>
      <c r="G658" s="94"/>
      <c r="H658" s="96"/>
    </row>
    <row r="659" spans="1:8" ht="15" customHeight="1">
      <c r="A659" s="97" t="str">
        <f>A654</f>
        <v>Arquibancada 1</v>
      </c>
      <c r="B659" s="98">
        <f>B654</f>
        <v>9.8000000000000007</v>
      </c>
      <c r="C659" s="98">
        <f>F649</f>
        <v>1.18</v>
      </c>
      <c r="D659" s="98"/>
      <c r="E659" s="98"/>
      <c r="F659" s="98"/>
      <c r="G659" s="98"/>
      <c r="H659" s="98">
        <f t="shared" ref="H659:H661" si="310">B659</f>
        <v>9.8000000000000007</v>
      </c>
    </row>
    <row r="660" spans="1:8" ht="15" customHeight="1">
      <c r="A660" s="97" t="str">
        <f t="shared" ref="A660:B661" si="311">A655</f>
        <v>Arquibancada 2</v>
      </c>
      <c r="B660" s="98">
        <f t="shared" si="311"/>
        <v>18.149999999999999</v>
      </c>
      <c r="C660" s="98">
        <f t="shared" ref="C660:C661" si="312">F650</f>
        <v>1.18</v>
      </c>
      <c r="D660" s="98"/>
      <c r="E660" s="98"/>
      <c r="F660" s="98"/>
      <c r="G660" s="98"/>
      <c r="H660" s="98">
        <f t="shared" si="310"/>
        <v>18.149999999999999</v>
      </c>
    </row>
    <row r="661" spans="1:8" ht="15" customHeight="1">
      <c r="A661" s="97" t="str">
        <f t="shared" si="311"/>
        <v>Arquibancada 3</v>
      </c>
      <c r="B661" s="98">
        <f t="shared" si="311"/>
        <v>40.159999999999997</v>
      </c>
      <c r="C661" s="98">
        <f t="shared" si="312"/>
        <v>1.18</v>
      </c>
      <c r="D661" s="98"/>
      <c r="E661" s="98"/>
      <c r="F661" s="98"/>
      <c r="G661" s="98"/>
      <c r="H661" s="98">
        <f t="shared" si="310"/>
        <v>40.159999999999997</v>
      </c>
    </row>
    <row r="662" spans="1:8" s="93" customFormat="1" ht="30" customHeight="1">
      <c r="A662" s="91" t="s">
        <v>14620</v>
      </c>
      <c r="B662" s="364" t="str">
        <f>VLOOKUP($A662,SERVICOS,4,FALSE)</f>
        <v>Laje Maciça Para Arquibancada, Espessura 8 Cm, Armada, Fck = 20 Mpa</v>
      </c>
      <c r="C662" s="365"/>
      <c r="D662" s="365"/>
      <c r="E662" s="365"/>
      <c r="F662" s="366"/>
      <c r="G662" s="91" t="str">
        <f>VLOOKUP($A662,SERVICOS,5,FALSE)</f>
        <v>m²</v>
      </c>
      <c r="H662" s="92">
        <f>ROUND(SUM(H664:H666),2)</f>
        <v>210.48</v>
      </c>
    </row>
    <row r="663" spans="1:8" ht="15" customHeight="1">
      <c r="A663" s="94" t="s">
        <v>938</v>
      </c>
      <c r="B663" s="94" t="s">
        <v>12639</v>
      </c>
      <c r="C663" s="95" t="s">
        <v>14605</v>
      </c>
      <c r="D663" s="234"/>
      <c r="E663" s="94"/>
      <c r="F663" s="94"/>
      <c r="G663" s="94"/>
      <c r="H663" s="96"/>
    </row>
    <row r="664" spans="1:8" ht="15" customHeight="1">
      <c r="A664" s="97" t="str">
        <f>A659</f>
        <v>Arquibancada 1</v>
      </c>
      <c r="B664" s="98">
        <v>20.91</v>
      </c>
      <c r="C664" s="98">
        <v>1.5</v>
      </c>
      <c r="D664" s="205"/>
      <c r="E664" s="98"/>
      <c r="F664" s="98"/>
      <c r="G664" s="206"/>
      <c r="H664" s="98">
        <f>B664*C664</f>
        <v>31.365000000000002</v>
      </c>
    </row>
    <row r="665" spans="1:8" ht="15" customHeight="1">
      <c r="A665" s="97" t="str">
        <f t="shared" ref="A665:A666" si="313">A660</f>
        <v>Arquibancada 2</v>
      </c>
      <c r="B665" s="98">
        <v>37.479999999999997</v>
      </c>
      <c r="C665" s="98">
        <v>1.5</v>
      </c>
      <c r="D665" s="205"/>
      <c r="E665" s="98"/>
      <c r="F665" s="98"/>
      <c r="G665" s="206"/>
      <c r="H665" s="98">
        <f t="shared" ref="H665:H666" si="314">B665*C665</f>
        <v>56.22</v>
      </c>
    </row>
    <row r="666" spans="1:8" ht="15" customHeight="1">
      <c r="A666" s="97" t="str">
        <f t="shared" si="313"/>
        <v>Arquibancada 3</v>
      </c>
      <c r="B666" s="98">
        <v>81.93</v>
      </c>
      <c r="C666" s="98">
        <v>1.5</v>
      </c>
      <c r="D666" s="205"/>
      <c r="E666" s="98"/>
      <c r="F666" s="98"/>
      <c r="G666" s="206"/>
      <c r="H666" s="98">
        <f t="shared" si="314"/>
        <v>122.89500000000001</v>
      </c>
    </row>
    <row r="667" spans="1:8" ht="15" customHeight="1">
      <c r="A667" s="89" t="s">
        <v>12594</v>
      </c>
      <c r="B667" s="367" t="str">
        <f>VLOOKUP($A667,SERVICOS,4,FALSE)</f>
        <v>PAREDES</v>
      </c>
      <c r="C667" s="367"/>
      <c r="D667" s="367"/>
      <c r="E667" s="367"/>
      <c r="F667" s="367"/>
      <c r="G667" s="367">
        <f>VLOOKUP($A667,SERVICOS,5,FALSE)</f>
        <v>0</v>
      </c>
      <c r="H667" s="367" t="e">
        <f>ROUND(SUM(#REF!),2)</f>
        <v>#REF!</v>
      </c>
    </row>
    <row r="668" spans="1:8" ht="15" customHeight="1">
      <c r="A668" s="89" t="s">
        <v>12595</v>
      </c>
      <c r="B668" s="367" t="str">
        <f>VLOOKUP($A668,SERVICOS,4,FALSE)</f>
        <v>ELEMENTOS VAZADOS</v>
      </c>
      <c r="C668" s="367"/>
      <c r="D668" s="367"/>
      <c r="E668" s="367"/>
      <c r="F668" s="367"/>
      <c r="G668" s="367">
        <f>VLOOKUP($A668,SERVICOS,5,FALSE)</f>
        <v>0</v>
      </c>
      <c r="H668" s="367" t="e">
        <f>ROUND(SUM(#REF!),2)</f>
        <v>#REF!</v>
      </c>
    </row>
    <row r="669" spans="1:8" s="93" customFormat="1" ht="45" customHeight="1">
      <c r="A669" s="91" t="s">
        <v>13918</v>
      </c>
      <c r="B669" s="364" t="str">
        <f>VLOOKUP($A669,SERVICOS,4,FALSE)</f>
        <v>Cobogó De Concreto 40 X 40 X 10 Cm, Tipo Reto, Assentados Com Argamassa De Cimento E Areia No Traço 1:3, Espessura Das Juntas 15 Mm</v>
      </c>
      <c r="C669" s="365"/>
      <c r="D669" s="365"/>
      <c r="E669" s="365"/>
      <c r="F669" s="366"/>
      <c r="G669" s="91" t="str">
        <f>VLOOKUP($A669,SERVICOS,5,FALSE)</f>
        <v>m2</v>
      </c>
      <c r="H669" s="92">
        <f>ROUND(SUM(H671:H683),2)</f>
        <v>172.8</v>
      </c>
    </row>
    <row r="670" spans="1:8" ht="15" customHeight="1">
      <c r="A670" s="94" t="s">
        <v>938</v>
      </c>
      <c r="B670" s="94" t="s">
        <v>7319</v>
      </c>
      <c r="C670" s="95" t="s">
        <v>7320</v>
      </c>
      <c r="D670" s="95" t="s">
        <v>14192</v>
      </c>
      <c r="E670" s="94" t="s">
        <v>14308</v>
      </c>
      <c r="F670" s="94"/>
      <c r="G670" s="94"/>
      <c r="H670" s="96"/>
    </row>
    <row r="671" spans="1:8" ht="15" customHeight="1">
      <c r="A671" s="97" t="s">
        <v>14335</v>
      </c>
      <c r="B671" s="98">
        <v>1</v>
      </c>
      <c r="C671" s="98">
        <v>5.2</v>
      </c>
      <c r="D671" s="98">
        <v>0.4</v>
      </c>
      <c r="E671" s="98">
        <f>H671/0.16</f>
        <v>13</v>
      </c>
      <c r="F671" s="98"/>
      <c r="G671" s="206"/>
      <c r="H671" s="98">
        <f t="shared" ref="H671:H683" si="315">B671*C671*D671</f>
        <v>2.08</v>
      </c>
    </row>
    <row r="672" spans="1:8" ht="15" customHeight="1">
      <c r="A672" s="97" t="s">
        <v>14309</v>
      </c>
      <c r="B672" s="98">
        <v>1</v>
      </c>
      <c r="C672" s="98">
        <v>1.2</v>
      </c>
      <c r="D672" s="98">
        <v>0.4</v>
      </c>
      <c r="E672" s="98">
        <f t="shared" ref="E672:E683" si="316">H672/0.16</f>
        <v>3</v>
      </c>
      <c r="F672" s="98"/>
      <c r="G672" s="206"/>
      <c r="H672" s="98">
        <f t="shared" si="315"/>
        <v>0.48</v>
      </c>
    </row>
    <row r="673" spans="1:8" ht="15" customHeight="1">
      <c r="A673" s="97" t="s">
        <v>14336</v>
      </c>
      <c r="B673" s="98">
        <v>1</v>
      </c>
      <c r="C673" s="98">
        <v>5.2</v>
      </c>
      <c r="D673" s="98">
        <v>0.4</v>
      </c>
      <c r="E673" s="98">
        <f>H673/0.16</f>
        <v>13</v>
      </c>
      <c r="F673" s="98"/>
      <c r="G673" s="206"/>
      <c r="H673" s="98">
        <f t="shared" ref="H673" si="317">B673*C673*D673</f>
        <v>2.08</v>
      </c>
    </row>
    <row r="674" spans="1:8" ht="15" customHeight="1">
      <c r="A674" s="97" t="s">
        <v>14310</v>
      </c>
      <c r="B674" s="98">
        <v>1</v>
      </c>
      <c r="C674" s="98">
        <v>3.2</v>
      </c>
      <c r="D674" s="98">
        <v>0.4</v>
      </c>
      <c r="E674" s="98">
        <f t="shared" si="316"/>
        <v>8.0000000000000018</v>
      </c>
      <c r="F674" s="98"/>
      <c r="G674" s="206"/>
      <c r="H674" s="98">
        <f t="shared" si="315"/>
        <v>1.2800000000000002</v>
      </c>
    </row>
    <row r="675" spans="1:8" ht="15" customHeight="1">
      <c r="A675" s="97" t="s">
        <v>14311</v>
      </c>
      <c r="B675" s="98">
        <v>1</v>
      </c>
      <c r="C675" s="98">
        <v>4</v>
      </c>
      <c r="D675" s="98">
        <v>0.4</v>
      </c>
      <c r="E675" s="98">
        <f t="shared" si="316"/>
        <v>10</v>
      </c>
      <c r="F675" s="98"/>
      <c r="G675" s="206"/>
      <c r="H675" s="98">
        <f t="shared" si="315"/>
        <v>1.6</v>
      </c>
    </row>
    <row r="676" spans="1:8" ht="15" customHeight="1">
      <c r="A676" s="97" t="s">
        <v>14312</v>
      </c>
      <c r="B676" s="98">
        <v>1</v>
      </c>
      <c r="C676" s="98">
        <v>2</v>
      </c>
      <c r="D676" s="98">
        <v>0.4</v>
      </c>
      <c r="E676" s="98">
        <f t="shared" ref="E676" si="318">H676/0.16</f>
        <v>5</v>
      </c>
      <c r="F676" s="98"/>
      <c r="G676" s="206"/>
      <c r="H676" s="98">
        <f t="shared" ref="H676" si="319">B676*C676*D676</f>
        <v>0.8</v>
      </c>
    </row>
    <row r="677" spans="1:8" ht="15" customHeight="1">
      <c r="A677" s="97" t="s">
        <v>14865</v>
      </c>
      <c r="B677" s="98">
        <v>1</v>
      </c>
      <c r="C677" s="98">
        <v>2.8</v>
      </c>
      <c r="D677" s="98">
        <v>0.4</v>
      </c>
      <c r="E677" s="98">
        <f t="shared" si="316"/>
        <v>6.9999999999999991</v>
      </c>
      <c r="F677" s="205"/>
      <c r="G677" s="206"/>
      <c r="H677" s="98">
        <f t="shared" si="315"/>
        <v>1.1199999999999999</v>
      </c>
    </row>
    <row r="678" spans="1:8" ht="15" customHeight="1">
      <c r="A678" s="97" t="s">
        <v>14313</v>
      </c>
      <c r="B678" s="98">
        <v>1</v>
      </c>
      <c r="C678" s="98">
        <v>0.8</v>
      </c>
      <c r="D678" s="98">
        <v>0.4</v>
      </c>
      <c r="E678" s="98">
        <f t="shared" si="316"/>
        <v>2.0000000000000004</v>
      </c>
      <c r="F678" s="227"/>
      <c r="G678" s="206"/>
      <c r="H678" s="98">
        <f t="shared" si="315"/>
        <v>0.32000000000000006</v>
      </c>
    </row>
    <row r="679" spans="1:8" ht="15" customHeight="1">
      <c r="A679" s="97" t="s">
        <v>13899</v>
      </c>
      <c r="B679" s="98">
        <v>2</v>
      </c>
      <c r="C679" s="98">
        <v>5.6</v>
      </c>
      <c r="D679" s="98">
        <v>0.4</v>
      </c>
      <c r="E679" s="98">
        <f t="shared" ref="E679" si="320">H679/0.16</f>
        <v>27.999999999999996</v>
      </c>
      <c r="F679" s="228"/>
      <c r="G679" s="206"/>
      <c r="H679" s="98">
        <f t="shared" ref="H679" si="321">B679*C679*D679</f>
        <v>4.4799999999999995</v>
      </c>
    </row>
    <row r="680" spans="1:8" ht="15" customHeight="1">
      <c r="A680" s="97" t="s">
        <v>14460</v>
      </c>
      <c r="B680" s="98">
        <v>7</v>
      </c>
      <c r="C680" s="98">
        <v>5.6</v>
      </c>
      <c r="D680" s="98">
        <v>2.4</v>
      </c>
      <c r="E680" s="98">
        <f t="shared" ref="E680:E682" si="322">H680/0.16</f>
        <v>587.99999999999989</v>
      </c>
      <c r="F680" s="228"/>
      <c r="G680" s="206"/>
      <c r="H680" s="98">
        <f t="shared" ref="H680:H682" si="323">B680*C680*D680</f>
        <v>94.079999999999984</v>
      </c>
    </row>
    <row r="681" spans="1:8" ht="25.5">
      <c r="A681" s="204" t="s">
        <v>14599</v>
      </c>
      <c r="B681" s="98">
        <v>6</v>
      </c>
      <c r="C681" s="98">
        <v>5.6</v>
      </c>
      <c r="D681" s="98">
        <v>1.6</v>
      </c>
      <c r="E681" s="98">
        <f t="shared" si="322"/>
        <v>335.99999999999994</v>
      </c>
      <c r="F681" s="227"/>
      <c r="G681" s="206"/>
      <c r="H681" s="98">
        <f t="shared" si="323"/>
        <v>53.759999999999991</v>
      </c>
    </row>
    <row r="682" spans="1:8" ht="15" customHeight="1">
      <c r="A682" s="97" t="s">
        <v>14649</v>
      </c>
      <c r="B682" s="98">
        <v>1</v>
      </c>
      <c r="C682" s="98">
        <v>5.2</v>
      </c>
      <c r="D682" s="98">
        <v>1.2</v>
      </c>
      <c r="E682" s="98">
        <f t="shared" si="322"/>
        <v>39</v>
      </c>
      <c r="F682" s="227" t="s">
        <v>14314</v>
      </c>
      <c r="G682" s="206"/>
      <c r="H682" s="98">
        <f t="shared" si="323"/>
        <v>6.24</v>
      </c>
    </row>
    <row r="683" spans="1:8" ht="15" customHeight="1">
      <c r="A683" s="97" t="s">
        <v>14387</v>
      </c>
      <c r="B683" s="98">
        <v>2</v>
      </c>
      <c r="C683" s="98">
        <v>2.8</v>
      </c>
      <c r="D683" s="98">
        <v>0.8</v>
      </c>
      <c r="E683" s="98">
        <f t="shared" si="316"/>
        <v>27.999999999999996</v>
      </c>
      <c r="F683" s="228">
        <f>SUM(E671:E683)</f>
        <v>1079.9999999999998</v>
      </c>
      <c r="G683" s="206" t="s">
        <v>14315</v>
      </c>
      <c r="H683" s="98">
        <f t="shared" si="315"/>
        <v>4.4799999999999995</v>
      </c>
    </row>
    <row r="684" spans="1:8" ht="15" customHeight="1">
      <c r="A684" s="89" t="s">
        <v>12596</v>
      </c>
      <c r="B684" s="367" t="str">
        <f>VLOOKUP($A684,SERVICOS,4,FALSE)</f>
        <v>VERGAS E CONTRAVERGAS E AMARRAÇÕES</v>
      </c>
      <c r="C684" s="367"/>
      <c r="D684" s="367"/>
      <c r="E684" s="367"/>
      <c r="F684" s="367"/>
      <c r="G684" s="367">
        <f>VLOOKUP($A684,SERVICOS,5,FALSE)</f>
        <v>0</v>
      </c>
      <c r="H684" s="367" t="e">
        <f>ROUND(SUM(#REF!),2)</f>
        <v>#REF!</v>
      </c>
    </row>
    <row r="685" spans="1:8" s="93" customFormat="1" ht="30" customHeight="1">
      <c r="A685" s="91" t="s">
        <v>13920</v>
      </c>
      <c r="B685" s="364" t="str">
        <f>VLOOKUP($A685,SERVICOS,4,FALSE)</f>
        <v>Verga/Contraverga Reta De Concreto Armado 10 X 5 Cm, Fck = 15 Mpa, Inclusive Forma, Armação E Desforma</v>
      </c>
      <c r="C685" s="365"/>
      <c r="D685" s="365"/>
      <c r="E685" s="365"/>
      <c r="F685" s="366"/>
      <c r="G685" s="91" t="str">
        <f>VLOOKUP($A685,SERVICOS,5,FALSE)</f>
        <v>m</v>
      </c>
      <c r="H685" s="92">
        <f>ROUND(SUM(H687:H690),2)</f>
        <v>16.100000000000001</v>
      </c>
    </row>
    <row r="686" spans="1:8" ht="15" customHeight="1">
      <c r="A686" s="94" t="s">
        <v>938</v>
      </c>
      <c r="B686" s="94" t="s">
        <v>7319</v>
      </c>
      <c r="C686" s="95" t="s">
        <v>7320</v>
      </c>
      <c r="D686" s="95"/>
      <c r="E686" s="94"/>
      <c r="F686" s="94"/>
      <c r="G686" s="94"/>
      <c r="H686" s="96"/>
    </row>
    <row r="687" spans="1:8" ht="15" customHeight="1">
      <c r="A687" s="97" t="s">
        <v>14583</v>
      </c>
      <c r="B687" s="98">
        <v>8</v>
      </c>
      <c r="C687" s="98">
        <f>0.8+0.4</f>
        <v>1.2000000000000002</v>
      </c>
      <c r="D687" s="98"/>
      <c r="E687" s="98"/>
      <c r="F687" s="98"/>
      <c r="G687" s="206"/>
      <c r="H687" s="98">
        <f>B687*C687</f>
        <v>9.6000000000000014</v>
      </c>
    </row>
    <row r="688" spans="1:8" ht="15" customHeight="1">
      <c r="A688" s="97" t="s">
        <v>14584</v>
      </c>
      <c r="B688" s="98">
        <v>1</v>
      </c>
      <c r="C688" s="98">
        <f>0.9+0.4</f>
        <v>1.3</v>
      </c>
      <c r="D688" s="98"/>
      <c r="E688" s="98"/>
      <c r="F688" s="98"/>
      <c r="G688" s="206"/>
      <c r="H688" s="98">
        <f>B688*C688</f>
        <v>1.3</v>
      </c>
    </row>
    <row r="689" spans="1:8" ht="15" customHeight="1">
      <c r="A689" s="97" t="s">
        <v>14650</v>
      </c>
      <c r="B689" s="98">
        <v>1</v>
      </c>
      <c r="C689" s="98">
        <f>1+0.4</f>
        <v>1.4</v>
      </c>
      <c r="D689" s="98"/>
      <c r="E689" s="98"/>
      <c r="F689" s="98"/>
      <c r="G689" s="206"/>
      <c r="H689" s="98">
        <f>B689*C689</f>
        <v>1.4</v>
      </c>
    </row>
    <row r="690" spans="1:8" ht="15" customHeight="1">
      <c r="A690" s="97" t="s">
        <v>16564</v>
      </c>
      <c r="B690" s="98">
        <v>2</v>
      </c>
      <c r="C690" s="98">
        <f>1.5+0.4</f>
        <v>1.9</v>
      </c>
      <c r="D690" s="205" t="s">
        <v>16565</v>
      </c>
      <c r="E690" s="98"/>
      <c r="F690" s="98"/>
      <c r="G690" s="206"/>
      <c r="H690" s="98">
        <f>B690*C690</f>
        <v>3.8</v>
      </c>
    </row>
    <row r="691" spans="1:8" s="93" customFormat="1" ht="30" customHeight="1">
      <c r="A691" s="91" t="s">
        <v>13921</v>
      </c>
      <c r="B691" s="364" t="str">
        <f>VLOOKUP($A691,SERVICOS,4,FALSE)</f>
        <v xml:space="preserve">Cinta De Amarração De Alvenaria Moldada In Loco Com Utilização De Bloco Canaleta 9 X 19 X 19 Cm Cheia </v>
      </c>
      <c r="C691" s="365"/>
      <c r="D691" s="365"/>
      <c r="E691" s="365"/>
      <c r="F691" s="366"/>
      <c r="G691" s="91" t="str">
        <f>VLOOKUP($A691,SERVICOS,5,FALSE)</f>
        <v>m</v>
      </c>
      <c r="H691" s="92">
        <f>ROUND(SUM(H693:H694),2)</f>
        <v>50.37</v>
      </c>
    </row>
    <row r="692" spans="1:8" ht="15" customHeight="1">
      <c r="A692" s="94" t="s">
        <v>938</v>
      </c>
      <c r="B692" s="94" t="s">
        <v>7320</v>
      </c>
      <c r="C692" s="95"/>
      <c r="D692" s="95"/>
      <c r="E692" s="94"/>
      <c r="F692" s="94"/>
      <c r="G692" s="94"/>
      <c r="H692" s="96"/>
    </row>
    <row r="693" spans="1:8" ht="15" customHeight="1">
      <c r="A693" s="204" t="s">
        <v>14387</v>
      </c>
      <c r="B693" s="98">
        <f>3.5*2+5.5</f>
        <v>12.5</v>
      </c>
      <c r="C693" s="205"/>
      <c r="D693" s="98"/>
      <c r="E693" s="98"/>
      <c r="F693" s="98"/>
      <c r="G693" s="206"/>
      <c r="H693" s="98">
        <f>B693</f>
        <v>12.5</v>
      </c>
    </row>
    <row r="694" spans="1:8" ht="15" customHeight="1">
      <c r="A694" s="204" t="s">
        <v>14622</v>
      </c>
      <c r="B694" s="98">
        <v>37.869999999999997</v>
      </c>
      <c r="C694" s="205"/>
      <c r="D694" s="98"/>
      <c r="E694" s="98"/>
      <c r="F694" s="98"/>
      <c r="G694" s="206"/>
      <c r="H694" s="98">
        <f>B694</f>
        <v>37.869999999999997</v>
      </c>
    </row>
    <row r="695" spans="1:8" ht="15" customHeight="1">
      <c r="A695" s="89" t="s">
        <v>13922</v>
      </c>
      <c r="B695" s="367" t="str">
        <f>VLOOKUP($A695,SERVICOS,4,FALSE)</f>
        <v>ALVENARIA DE VEDAÇÃO</v>
      </c>
      <c r="C695" s="367"/>
      <c r="D695" s="367"/>
      <c r="E695" s="367"/>
      <c r="F695" s="367"/>
      <c r="G695" s="367">
        <f>VLOOKUP($A695,SERVICOS,5,FALSE)</f>
        <v>0</v>
      </c>
      <c r="H695" s="367" t="e">
        <f>ROUND(SUM(#REF!),2)</f>
        <v>#REF!</v>
      </c>
    </row>
    <row r="696" spans="1:8" s="93" customFormat="1" ht="45" customHeight="1">
      <c r="A696" s="91" t="s">
        <v>13923</v>
      </c>
      <c r="B696" s="364" t="str">
        <f>VLOOKUP($A696,SERVICOS,4,FALSE)</f>
        <v>Alvenaria De Vedação De Blocos Cerâmicos Furados Na Vertical De 9X19X39 Cm (Espessura 9 Cm) E Argamassa De Assentamento Com Preparo Manual. Af_12/2021</v>
      </c>
      <c r="C696" s="365"/>
      <c r="D696" s="365"/>
      <c r="E696" s="365"/>
      <c r="F696" s="366"/>
      <c r="G696" s="91" t="str">
        <f>VLOOKUP($A696,SERVICOS,5,FALSE)</f>
        <v>m2</v>
      </c>
      <c r="H696" s="92">
        <f>ROUND(SUM(H698:H715),2)</f>
        <v>629.66</v>
      </c>
    </row>
    <row r="697" spans="1:8" ht="30" customHeight="1">
      <c r="A697" s="94" t="s">
        <v>938</v>
      </c>
      <c r="B697" s="94" t="s">
        <v>7319</v>
      </c>
      <c r="C697" s="94" t="s">
        <v>7320</v>
      </c>
      <c r="D697" s="95" t="s">
        <v>14192</v>
      </c>
      <c r="E697" s="95"/>
      <c r="F697" s="95"/>
      <c r="G697" s="94"/>
      <c r="H697" s="96"/>
    </row>
    <row r="698" spans="1:8" ht="15" customHeight="1">
      <c r="A698" s="204" t="s">
        <v>14625</v>
      </c>
      <c r="B698" s="98">
        <v>1</v>
      </c>
      <c r="C698" s="98">
        <f>5.5+1.5+5.5+3.25+4.45*2+3.8+3.5*6+1.5</f>
        <v>50.95</v>
      </c>
      <c r="D698" s="98">
        <v>2.8</v>
      </c>
      <c r="E698" s="98"/>
      <c r="F698" s="98"/>
      <c r="G698" s="206"/>
      <c r="H698" s="98">
        <f>B698*C698*D698</f>
        <v>142.66</v>
      </c>
    </row>
    <row r="699" spans="1:8" ht="15" customHeight="1">
      <c r="A699" s="204" t="s">
        <v>14626</v>
      </c>
      <c r="B699" s="98">
        <v>2</v>
      </c>
      <c r="C699" s="98">
        <v>1</v>
      </c>
      <c r="D699" s="98">
        <v>2</v>
      </c>
      <c r="E699" s="98"/>
      <c r="F699" s="98"/>
      <c r="G699" s="206"/>
      <c r="H699" s="98">
        <f t="shared" ref="H699:H714" si="324">B699*C699*D699</f>
        <v>4</v>
      </c>
    </row>
    <row r="700" spans="1:8" ht="15" customHeight="1">
      <c r="A700" s="204" t="s">
        <v>14316</v>
      </c>
      <c r="B700" s="98">
        <v>1</v>
      </c>
      <c r="C700" s="98">
        <f>5.85*4</f>
        <v>23.4</v>
      </c>
      <c r="D700" s="98">
        <f>6-0.8</f>
        <v>5.2</v>
      </c>
      <c r="E700" s="98"/>
      <c r="F700" s="98"/>
      <c r="G700" s="206"/>
      <c r="H700" s="98">
        <f t="shared" si="324"/>
        <v>121.67999999999999</v>
      </c>
    </row>
    <row r="701" spans="1:8" ht="15" customHeight="1">
      <c r="A701" s="204" t="s">
        <v>14459</v>
      </c>
      <c r="B701" s="98">
        <v>1</v>
      </c>
      <c r="C701" s="98">
        <f>5.85*4</f>
        <v>23.4</v>
      </c>
      <c r="D701" s="98">
        <f>6-0.8-0.9</f>
        <v>4.3</v>
      </c>
      <c r="E701" s="98"/>
      <c r="F701" s="98"/>
      <c r="G701" s="206"/>
      <c r="H701" s="98">
        <f t="shared" si="324"/>
        <v>100.61999999999999</v>
      </c>
    </row>
    <row r="702" spans="1:8" ht="38.25">
      <c r="A702" s="204" t="s">
        <v>14848</v>
      </c>
      <c r="B702" s="98">
        <v>1</v>
      </c>
      <c r="C702" s="98">
        <v>4.5</v>
      </c>
      <c r="D702" s="98">
        <f>3.4-0.55-0.9</f>
        <v>1.9499999999999997</v>
      </c>
      <c r="E702" s="98"/>
      <c r="F702" s="98"/>
      <c r="G702" s="206"/>
      <c r="H702" s="98">
        <f t="shared" si="324"/>
        <v>8.7749999999999986</v>
      </c>
    </row>
    <row r="703" spans="1:8" ht="25.5">
      <c r="A703" s="204" t="s">
        <v>14849</v>
      </c>
      <c r="B703" s="98">
        <v>1</v>
      </c>
      <c r="C703" s="98">
        <v>5.7</v>
      </c>
      <c r="D703" s="98">
        <f>2.6-0.4</f>
        <v>2.2000000000000002</v>
      </c>
      <c r="E703" s="98"/>
      <c r="F703" s="98"/>
      <c r="G703" s="206"/>
      <c r="H703" s="98">
        <f t="shared" si="324"/>
        <v>12.540000000000001</v>
      </c>
    </row>
    <row r="704" spans="1:8" ht="45" customHeight="1">
      <c r="A704" s="204" t="s">
        <v>14651</v>
      </c>
      <c r="B704" s="98">
        <v>1</v>
      </c>
      <c r="C704" s="98">
        <f>5.7*5</f>
        <v>28.5</v>
      </c>
      <c r="D704" s="98">
        <f>6-0.8-1.35</f>
        <v>3.85</v>
      </c>
      <c r="E704" s="98"/>
      <c r="F704" s="98"/>
      <c r="G704" s="206"/>
      <c r="H704" s="98">
        <f t="shared" si="324"/>
        <v>109.72500000000001</v>
      </c>
    </row>
    <row r="705" spans="1:8" ht="15" customHeight="1">
      <c r="A705" s="204" t="s">
        <v>14850</v>
      </c>
      <c r="B705" s="98">
        <v>1</v>
      </c>
      <c r="C705" s="98">
        <v>5.7</v>
      </c>
      <c r="D705" s="98">
        <f>6-0.8</f>
        <v>5.2</v>
      </c>
      <c r="E705" s="98"/>
      <c r="F705" s="98"/>
      <c r="G705" s="206"/>
      <c r="H705" s="98">
        <f t="shared" si="324"/>
        <v>29.64</v>
      </c>
    </row>
    <row r="706" spans="1:8" ht="30" customHeight="1">
      <c r="A706" s="204" t="s">
        <v>14652</v>
      </c>
      <c r="B706" s="98">
        <v>1</v>
      </c>
      <c r="C706" s="98">
        <v>5.7</v>
      </c>
      <c r="D706" s="98">
        <f>6-0.8</f>
        <v>5.2</v>
      </c>
      <c r="E706" s="98"/>
      <c r="F706" s="98"/>
      <c r="G706" s="206"/>
      <c r="H706" s="98">
        <f t="shared" si="324"/>
        <v>29.64</v>
      </c>
    </row>
    <row r="707" spans="1:8" ht="30" customHeight="1">
      <c r="A707" s="204" t="s">
        <v>14653</v>
      </c>
      <c r="B707" s="98">
        <v>1</v>
      </c>
      <c r="C707" s="98">
        <f>5.7*6</f>
        <v>34.200000000000003</v>
      </c>
      <c r="D707" s="98">
        <f>6-0.8-1.35</f>
        <v>3.85</v>
      </c>
      <c r="E707" s="98"/>
      <c r="F707" s="98"/>
      <c r="G707" s="206"/>
      <c r="H707" s="98">
        <f t="shared" si="324"/>
        <v>131.67000000000002</v>
      </c>
    </row>
    <row r="708" spans="1:8" ht="15" customHeight="1">
      <c r="A708" s="97" t="s">
        <v>14312</v>
      </c>
      <c r="B708" s="98">
        <v>1</v>
      </c>
      <c r="C708" s="98">
        <f>3.3+4.35+1.3+2.3</f>
        <v>11.25</v>
      </c>
      <c r="D708" s="98">
        <f>2.8-0.55</f>
        <v>2.25</v>
      </c>
      <c r="E708" s="98"/>
      <c r="F708" s="98"/>
      <c r="G708" s="206"/>
      <c r="H708" s="98">
        <f t="shared" si="324"/>
        <v>25.3125</v>
      </c>
    </row>
    <row r="709" spans="1:8" ht="15" customHeight="1">
      <c r="A709" s="97" t="s">
        <v>14398</v>
      </c>
      <c r="B709" s="98">
        <v>1</v>
      </c>
      <c r="C709" s="98">
        <v>3</v>
      </c>
      <c r="D709" s="98">
        <f>3.4-0.55</f>
        <v>2.8499999999999996</v>
      </c>
      <c r="E709" s="98"/>
      <c r="F709" s="98"/>
      <c r="G709" s="206"/>
      <c r="H709" s="98">
        <f t="shared" si="324"/>
        <v>8.5499999999999989</v>
      </c>
    </row>
    <row r="710" spans="1:8" ht="15" customHeight="1">
      <c r="A710" s="97" t="s">
        <v>14654</v>
      </c>
      <c r="B710" s="98">
        <v>1</v>
      </c>
      <c r="C710" s="98"/>
      <c r="D710" s="98"/>
      <c r="E710" s="98"/>
      <c r="F710" s="98"/>
      <c r="G710" s="206"/>
      <c r="H710" s="98">
        <v>19.46</v>
      </c>
    </row>
    <row r="711" spans="1:8" ht="15" customHeight="1">
      <c r="A711" s="97" t="s">
        <v>14946</v>
      </c>
      <c r="B711" s="98">
        <v>2</v>
      </c>
      <c r="C711" s="98">
        <f>0.4*2+2.11+2.25</f>
        <v>5.16</v>
      </c>
      <c r="D711" s="98">
        <v>0.4</v>
      </c>
      <c r="E711" s="98"/>
      <c r="F711" s="98"/>
      <c r="G711" s="206"/>
      <c r="H711" s="98">
        <f t="shared" si="324"/>
        <v>4.1280000000000001</v>
      </c>
    </row>
    <row r="712" spans="1:8" ht="15" customHeight="1">
      <c r="A712" s="97" t="s">
        <v>14592</v>
      </c>
      <c r="B712" s="98">
        <v>1</v>
      </c>
      <c r="C712" s="98">
        <v>3.35</v>
      </c>
      <c r="D712" s="98">
        <v>0.4</v>
      </c>
      <c r="E712" s="98"/>
      <c r="F712" s="98"/>
      <c r="G712" s="206"/>
      <c r="H712" s="98">
        <f t="shared" ref="H712" si="325">B712*C712*D712</f>
        <v>1.34</v>
      </c>
    </row>
    <row r="713" spans="1:8" ht="15" customHeight="1">
      <c r="A713" s="97" t="s">
        <v>14387</v>
      </c>
      <c r="B713" s="98">
        <v>1</v>
      </c>
      <c r="C713" s="98">
        <f>3.5*2+5.5</f>
        <v>12.5</v>
      </c>
      <c r="D713" s="98">
        <f>2.6-0.2</f>
        <v>2.4</v>
      </c>
      <c r="E713" s="205" t="s">
        <v>14851</v>
      </c>
      <c r="F713" s="98"/>
      <c r="G713" s="206"/>
      <c r="H713" s="98">
        <f t="shared" si="324"/>
        <v>30</v>
      </c>
    </row>
    <row r="714" spans="1:8" ht="15" customHeight="1">
      <c r="A714" s="204" t="s">
        <v>14426</v>
      </c>
      <c r="B714" s="98">
        <v>1</v>
      </c>
      <c r="C714" s="98">
        <v>37.869999999999997</v>
      </c>
      <c r="D714" s="98">
        <f>0.8-0.2</f>
        <v>0.60000000000000009</v>
      </c>
      <c r="E714" s="205" t="s">
        <v>14851</v>
      </c>
      <c r="F714" s="98"/>
      <c r="G714" s="206"/>
      <c r="H714" s="98">
        <f t="shared" si="324"/>
        <v>22.722000000000001</v>
      </c>
    </row>
    <row r="715" spans="1:8" ht="15" customHeight="1">
      <c r="A715" s="204" t="s">
        <v>14846</v>
      </c>
      <c r="B715" s="236"/>
      <c r="C715" s="237"/>
      <c r="D715" s="237"/>
      <c r="E715" s="237"/>
      <c r="F715" s="238"/>
      <c r="G715" s="206"/>
      <c r="H715" s="98">
        <f>-H669</f>
        <v>-172.8</v>
      </c>
    </row>
    <row r="716" spans="1:8" ht="30" customHeight="1">
      <c r="A716" s="376" t="s">
        <v>14847</v>
      </c>
      <c r="B716" s="377"/>
      <c r="C716" s="377"/>
      <c r="D716" s="377"/>
      <c r="E716" s="377"/>
      <c r="F716" s="377"/>
      <c r="G716" s="377"/>
      <c r="H716" s="378"/>
    </row>
    <row r="717" spans="1:8" s="93" customFormat="1" ht="45" customHeight="1">
      <c r="A717" s="91" t="s">
        <v>13924</v>
      </c>
      <c r="B717" s="364" t="str">
        <f>VLOOKUP($A717,SERVICOS,4,FALSE)</f>
        <v>Alvenaria De Vedação De Blocos Cerâmicos Furados Na Vertical De 19X19X39 Cm (Espessura 19 Cm) E Argamassa De Assentamento Com Preparo Em Betoneira. Af_12/2021</v>
      </c>
      <c r="C717" s="365"/>
      <c r="D717" s="365"/>
      <c r="E717" s="365"/>
      <c r="F717" s="366"/>
      <c r="G717" s="91" t="str">
        <f>VLOOKUP($A717,SERVICOS,5,FALSE)</f>
        <v>m2</v>
      </c>
      <c r="H717" s="92">
        <f>ROUND(SUM(H719:H719),2)</f>
        <v>59.36</v>
      </c>
    </row>
    <row r="718" spans="1:8" ht="15" customHeight="1">
      <c r="A718" s="94" t="s">
        <v>938</v>
      </c>
      <c r="B718" s="94" t="s">
        <v>7319</v>
      </c>
      <c r="C718" s="94" t="s">
        <v>7320</v>
      </c>
      <c r="D718" s="95" t="s">
        <v>14192</v>
      </c>
      <c r="E718" s="94"/>
      <c r="F718" s="94"/>
      <c r="G718" s="94"/>
      <c r="H718" s="96"/>
    </row>
    <row r="719" spans="1:8" ht="15" customHeight="1">
      <c r="A719" s="204" t="s">
        <v>14655</v>
      </c>
      <c r="B719" s="98">
        <v>1</v>
      </c>
      <c r="C719" s="98">
        <v>21.2</v>
      </c>
      <c r="D719" s="98">
        <v>2.8</v>
      </c>
      <c r="E719" s="98"/>
      <c r="F719" s="98"/>
      <c r="G719" s="206"/>
      <c r="H719" s="98">
        <f t="shared" ref="H719" si="326">B719*C719*D719</f>
        <v>59.359999999999992</v>
      </c>
    </row>
    <row r="720" spans="1:8" ht="15" customHeight="1">
      <c r="A720" s="89" t="s">
        <v>14305</v>
      </c>
      <c r="B720" s="367" t="str">
        <f>VLOOKUP($A720,SERVICOS,4,FALSE)</f>
        <v>ALAMBRADO</v>
      </c>
      <c r="C720" s="367"/>
      <c r="D720" s="367"/>
      <c r="E720" s="367"/>
      <c r="F720" s="367"/>
      <c r="G720" s="367">
        <f>VLOOKUP($A720,SERVICOS,5,FALSE)</f>
        <v>0</v>
      </c>
      <c r="H720" s="367" t="e">
        <f>ROUND(SUM(#REF!),2)</f>
        <v>#REF!</v>
      </c>
    </row>
    <row r="721" spans="1:8" s="93" customFormat="1" ht="45" customHeight="1">
      <c r="A721" s="91" t="s">
        <v>14306</v>
      </c>
      <c r="B721" s="364" t="str">
        <f>VLOOKUP($A721,SERVICOS,4,FALSE)</f>
        <v>Alambrado Com Tela Losangular De Arame Fio 12, Malha 7,5 X 7,5 Cm, Revestida Em Pvc, Com Tubo De Ferro Galvanizado De 2" (60,30 X 3,75 Mm), Pintados Com Esmalte Sintético Sobre Fundo Anticorrosivo</v>
      </c>
      <c r="C721" s="365"/>
      <c r="D721" s="365"/>
      <c r="E721" s="365"/>
      <c r="F721" s="366"/>
      <c r="G721" s="91" t="str">
        <f>VLOOKUP($A721,SERVICOS,5,FALSE)</f>
        <v>m²</v>
      </c>
      <c r="H721" s="92">
        <f>ROUND(SUM(H723:H724),2)</f>
        <v>101.28</v>
      </c>
    </row>
    <row r="722" spans="1:8" ht="15" customHeight="1">
      <c r="A722" s="94" t="s">
        <v>938</v>
      </c>
      <c r="B722" s="94" t="s">
        <v>7319</v>
      </c>
      <c r="C722" s="95" t="s">
        <v>7320</v>
      </c>
      <c r="D722" s="95" t="s">
        <v>14192</v>
      </c>
      <c r="E722" s="94"/>
      <c r="F722" s="94"/>
      <c r="G722" s="94"/>
      <c r="H722" s="96"/>
    </row>
    <row r="723" spans="1:8" ht="15" customHeight="1">
      <c r="A723" s="97" t="s">
        <v>14298</v>
      </c>
      <c r="B723" s="98">
        <v>2</v>
      </c>
      <c r="C723" s="98">
        <v>18.100000000000001</v>
      </c>
      <c r="D723" s="98">
        <v>2.4</v>
      </c>
      <c r="E723" s="98"/>
      <c r="F723" s="98"/>
      <c r="G723" s="206"/>
      <c r="H723" s="98">
        <f>B723*C723*D723</f>
        <v>86.88000000000001</v>
      </c>
    </row>
    <row r="724" spans="1:8" ht="15" customHeight="1">
      <c r="A724" s="97" t="s">
        <v>14318</v>
      </c>
      <c r="B724" s="98">
        <v>4</v>
      </c>
      <c r="C724" s="98">
        <v>2</v>
      </c>
      <c r="D724" s="98">
        <f>(1.2+2.4)/2</f>
        <v>1.7999999999999998</v>
      </c>
      <c r="E724" s="98"/>
      <c r="F724" s="98"/>
      <c r="G724" s="206"/>
      <c r="H724" s="98">
        <f>B724*C724*D724</f>
        <v>14.399999999999999</v>
      </c>
    </row>
    <row r="725" spans="1:8" ht="15" customHeight="1">
      <c r="A725" s="97" t="s">
        <v>14656</v>
      </c>
      <c r="B725" s="98"/>
      <c r="C725" s="98"/>
      <c r="D725" s="98"/>
      <c r="E725" s="98"/>
      <c r="F725" s="98"/>
      <c r="G725" s="206"/>
      <c r="H725" s="98"/>
    </row>
    <row r="726" spans="1:8" ht="15" customHeight="1">
      <c r="A726" s="89" t="s">
        <v>14685</v>
      </c>
      <c r="B726" s="367" t="str">
        <f>VLOOKUP($A726,SERVICOS,4,FALSE)</f>
        <v>ELEMENTOS DECORATIVOS</v>
      </c>
      <c r="C726" s="367"/>
      <c r="D726" s="367"/>
      <c r="E726" s="367"/>
      <c r="F726" s="367"/>
      <c r="G726" s="367">
        <f>VLOOKUP($A726,SERVICOS,5,FALSE)</f>
        <v>0</v>
      </c>
      <c r="H726" s="367" t="e">
        <f>ROUND(SUM(#REF!),2)</f>
        <v>#REF!</v>
      </c>
    </row>
    <row r="727" spans="1:8" s="93" customFormat="1" ht="60" customHeight="1">
      <c r="A727" s="91" t="s">
        <v>14695</v>
      </c>
      <c r="B727" s="364" t="str">
        <f>VLOOKUP($A727,SERVICOS,4,FALSE)</f>
        <v>Revestimento Em Acm, Tipo Bandeja, Espessura 4 Mm, Na Cor Vermelho, Letreiro Em Alto Relevo, Tipo Bandeja, Na Cor Branco, Altura 50 Cm, Brasão Padrão Prefeitura Municipal, Altura 1,50 M. Inclui Alizar Portões Em Acm, Na Cor Vermelho, Largura 20 Cm</v>
      </c>
      <c r="C727" s="365"/>
      <c r="D727" s="365"/>
      <c r="E727" s="365"/>
      <c r="F727" s="366"/>
      <c r="G727" s="91" t="str">
        <f>VLOOKUP($A727,SERVICOS,5,FALSE)</f>
        <v>und.</v>
      </c>
      <c r="H727" s="92">
        <f>ROUND(SUM(H729:H729),2)</f>
        <v>1</v>
      </c>
    </row>
    <row r="728" spans="1:8" ht="15" customHeight="1">
      <c r="A728" s="94" t="s">
        <v>938</v>
      </c>
      <c r="B728" s="94" t="s">
        <v>7319</v>
      </c>
      <c r="C728" s="95"/>
      <c r="D728" s="95"/>
      <c r="E728" s="94"/>
      <c r="F728" s="94"/>
      <c r="G728" s="94"/>
      <c r="H728" s="96"/>
    </row>
    <row r="729" spans="1:8" ht="15" customHeight="1">
      <c r="A729" s="97" t="s">
        <v>14316</v>
      </c>
      <c r="B729" s="98">
        <v>1</v>
      </c>
      <c r="C729" s="98"/>
      <c r="D729" s="98"/>
      <c r="E729" s="98"/>
      <c r="F729" s="98"/>
      <c r="G729" s="206"/>
      <c r="H729" s="98">
        <f>B729</f>
        <v>1</v>
      </c>
    </row>
    <row r="730" spans="1:8" ht="15" customHeight="1">
      <c r="A730" s="89" t="s">
        <v>12598</v>
      </c>
      <c r="B730" s="367" t="str">
        <f>VLOOKUP($A730,SERVICOS,4,FALSE)</f>
        <v>ESQUADRIAS</v>
      </c>
      <c r="C730" s="367"/>
      <c r="D730" s="367"/>
      <c r="E730" s="367"/>
      <c r="F730" s="367"/>
      <c r="G730" s="367">
        <f>VLOOKUP($A730,SERVICOS,5,FALSE)</f>
        <v>0</v>
      </c>
      <c r="H730" s="367" t="e">
        <f>ROUND(SUM(#REF!),2)</f>
        <v>#REF!</v>
      </c>
    </row>
    <row r="731" spans="1:8" ht="15" customHeight="1">
      <c r="A731" s="89" t="s">
        <v>12599</v>
      </c>
      <c r="B731" s="367" t="str">
        <f>VLOOKUP($A731,SERVICOS,4,FALSE)</f>
        <v>ESQUADRIAS DE ALUMÍNIO</v>
      </c>
      <c r="C731" s="367"/>
      <c r="D731" s="367"/>
      <c r="E731" s="367"/>
      <c r="F731" s="367"/>
      <c r="G731" s="367">
        <f>VLOOKUP($A731,SERVICOS,5,FALSE)</f>
        <v>0</v>
      </c>
      <c r="H731" s="367" t="e">
        <f>ROUND(SUM(#REF!),2)</f>
        <v>#REF!</v>
      </c>
    </row>
    <row r="732" spans="1:8" s="93" customFormat="1" ht="30" customHeight="1">
      <c r="A732" s="91" t="s">
        <v>14228</v>
      </c>
      <c r="B732" s="364" t="str">
        <f>VLOOKUP($A732,SERVICOS,4,FALSE)</f>
        <v>Porta Em Alumínio De Abrir Tipo Veneziana Com Guarnição, Fixação Com Parafusos - Fornecimento E Instalação. Af_12/2019</v>
      </c>
      <c r="C732" s="365"/>
      <c r="D732" s="365"/>
      <c r="E732" s="365"/>
      <c r="F732" s="366"/>
      <c r="G732" s="91" t="str">
        <f>VLOOKUP($A732,SERVICOS,5,FALSE)</f>
        <v>m2</v>
      </c>
      <c r="H732" s="92">
        <f>ROUND(SUM(H735:H741),2)</f>
        <v>36.24</v>
      </c>
    </row>
    <row r="733" spans="1:8" ht="15" customHeight="1">
      <c r="A733" s="94" t="s">
        <v>938</v>
      </c>
      <c r="B733" s="94" t="s">
        <v>7319</v>
      </c>
      <c r="C733" s="95" t="s">
        <v>14191</v>
      </c>
      <c r="D733" s="95" t="s">
        <v>14192</v>
      </c>
      <c r="E733" s="233" t="s">
        <v>14332</v>
      </c>
      <c r="F733" s="94"/>
      <c r="G733" s="94"/>
      <c r="H733" s="96"/>
    </row>
    <row r="734" spans="1:8" ht="15" customHeight="1">
      <c r="A734" s="232" t="s">
        <v>14658</v>
      </c>
      <c r="B734" s="229"/>
      <c r="C734" s="230"/>
      <c r="D734" s="230"/>
      <c r="E734" s="232"/>
      <c r="F734" s="229"/>
      <c r="G734" s="229"/>
      <c r="H734" s="231"/>
    </row>
    <row r="735" spans="1:8" ht="15" customHeight="1">
      <c r="A735" s="97" t="s">
        <v>14330</v>
      </c>
      <c r="B735" s="98">
        <v>15</v>
      </c>
      <c r="C735" s="98">
        <v>0.6</v>
      </c>
      <c r="D735" s="98">
        <v>1.8</v>
      </c>
      <c r="E735" s="205" t="s">
        <v>14331</v>
      </c>
      <c r="F735" s="98"/>
      <c r="G735" s="206"/>
      <c r="H735" s="98">
        <f>B735*C735*D735</f>
        <v>16.2</v>
      </c>
    </row>
    <row r="736" spans="1:8" ht="15" customHeight="1">
      <c r="A736" s="97" t="s">
        <v>14333</v>
      </c>
      <c r="B736" s="98">
        <v>8</v>
      </c>
      <c r="C736" s="98">
        <v>0.8</v>
      </c>
      <c r="D736" s="98">
        <v>2.1</v>
      </c>
      <c r="E736" s="205" t="s">
        <v>14684</v>
      </c>
      <c r="F736" s="98"/>
      <c r="G736" s="206"/>
      <c r="H736" s="98">
        <f t="shared" ref="H736:H741" si="327">B736*C736*D736</f>
        <v>13.440000000000001</v>
      </c>
    </row>
    <row r="737" spans="1:8" ht="15" customHeight="1">
      <c r="A737" s="97" t="s">
        <v>14334</v>
      </c>
      <c r="B737" s="98">
        <v>1</v>
      </c>
      <c r="C737" s="98">
        <v>0.9</v>
      </c>
      <c r="D737" s="98">
        <v>2.1</v>
      </c>
      <c r="E737" s="205" t="s">
        <v>14337</v>
      </c>
      <c r="F737" s="98"/>
      <c r="G737" s="206"/>
      <c r="H737" s="98">
        <f t="shared" ref="H737" si="328">B737*C737*D737</f>
        <v>1.8900000000000001</v>
      </c>
    </row>
    <row r="738" spans="1:8" ht="15" customHeight="1">
      <c r="A738" s="97" t="s">
        <v>14659</v>
      </c>
      <c r="B738" s="98">
        <v>1</v>
      </c>
      <c r="C738" s="98">
        <v>1</v>
      </c>
      <c r="D738" s="98">
        <v>2.1</v>
      </c>
      <c r="E738" s="205" t="s">
        <v>13899</v>
      </c>
      <c r="F738" s="98"/>
      <c r="G738" s="206"/>
      <c r="H738" s="98">
        <f t="shared" si="327"/>
        <v>2.1</v>
      </c>
    </row>
    <row r="739" spans="1:8" ht="15" customHeight="1">
      <c r="A739" s="232" t="s">
        <v>14660</v>
      </c>
      <c r="B739" s="98"/>
      <c r="C739" s="98"/>
      <c r="D739" s="98"/>
      <c r="E739" s="205"/>
      <c r="F739" s="98"/>
      <c r="G739" s="206"/>
      <c r="H739" s="98"/>
    </row>
    <row r="740" spans="1:8" ht="15" customHeight="1">
      <c r="A740" s="97" t="s">
        <v>16562</v>
      </c>
      <c r="B740" s="98">
        <v>1</v>
      </c>
      <c r="C740" s="98">
        <v>1.5</v>
      </c>
      <c r="D740" s="98">
        <v>1.5</v>
      </c>
      <c r="E740" s="205" t="s">
        <v>14398</v>
      </c>
      <c r="F740" s="98"/>
      <c r="G740" s="206"/>
      <c r="H740" s="98">
        <f t="shared" ref="H740" si="329">B740*C740*D740</f>
        <v>2.25</v>
      </c>
    </row>
    <row r="741" spans="1:8" ht="15" customHeight="1">
      <c r="A741" s="97" t="s">
        <v>16563</v>
      </c>
      <c r="B741" s="98">
        <v>1</v>
      </c>
      <c r="C741" s="98">
        <v>0.6</v>
      </c>
      <c r="D741" s="98">
        <v>0.6</v>
      </c>
      <c r="E741" s="205" t="s">
        <v>14452</v>
      </c>
      <c r="F741" s="98"/>
      <c r="G741" s="206"/>
      <c r="H741" s="98">
        <f t="shared" si="327"/>
        <v>0.36</v>
      </c>
    </row>
    <row r="742" spans="1:8" ht="15" customHeight="1">
      <c r="A742" s="89" t="s">
        <v>12600</v>
      </c>
      <c r="B742" s="367" t="str">
        <f>VLOOKUP($A742,SERVICOS,4,FALSE)</f>
        <v>PORTAS DE FERRO</v>
      </c>
      <c r="C742" s="367"/>
      <c r="D742" s="367"/>
      <c r="E742" s="367"/>
      <c r="F742" s="367"/>
      <c r="G742" s="367">
        <f>VLOOKUP($A742,SERVICOS,5,FALSE)</f>
        <v>0</v>
      </c>
      <c r="H742" s="367" t="e">
        <f>ROUND(SUM(#REF!),2)</f>
        <v>#REF!</v>
      </c>
    </row>
    <row r="743" spans="1:8" s="93" customFormat="1" ht="30" customHeight="1">
      <c r="A743" s="91" t="s">
        <v>14229</v>
      </c>
      <c r="B743" s="364" t="str">
        <f>VLOOKUP($A743,SERVICOS,4,FALSE)</f>
        <v>Portão De Correr Em Chapa De Aço, Completa, Inclusive Requadro, Trilhos E Roldanas</v>
      </c>
      <c r="C743" s="365"/>
      <c r="D743" s="365"/>
      <c r="E743" s="365"/>
      <c r="F743" s="366"/>
      <c r="G743" s="91" t="str">
        <f>VLOOKUP($A743,SERVICOS,5,FALSE)</f>
        <v>m²</v>
      </c>
      <c r="H743" s="92">
        <f>ROUND(SUM(H745:H746),2)</f>
        <v>18.48</v>
      </c>
    </row>
    <row r="744" spans="1:8" ht="15" customHeight="1">
      <c r="A744" s="94" t="s">
        <v>938</v>
      </c>
      <c r="B744" s="94" t="s">
        <v>7319</v>
      </c>
      <c r="C744" s="95" t="s">
        <v>14191</v>
      </c>
      <c r="D744" s="95" t="s">
        <v>14192</v>
      </c>
      <c r="E744" s="233" t="s">
        <v>14332</v>
      </c>
      <c r="F744" s="94"/>
      <c r="G744" s="94"/>
      <c r="H744" s="96"/>
    </row>
    <row r="745" spans="1:8" ht="15" customHeight="1">
      <c r="A745" s="204" t="s">
        <v>14662</v>
      </c>
      <c r="B745" s="98">
        <v>1</v>
      </c>
      <c r="C745" s="98">
        <v>1</v>
      </c>
      <c r="D745" s="98">
        <v>2.8</v>
      </c>
      <c r="E745" s="205" t="s">
        <v>14317</v>
      </c>
      <c r="F745" s="98"/>
      <c r="G745" s="206"/>
      <c r="H745" s="98">
        <f t="shared" ref="H745:H746" si="330">B745*C745*D745</f>
        <v>2.8</v>
      </c>
    </row>
    <row r="746" spans="1:8" ht="15" customHeight="1">
      <c r="A746" s="204" t="s">
        <v>14661</v>
      </c>
      <c r="B746" s="98">
        <v>2</v>
      </c>
      <c r="C746" s="98">
        <v>2.8</v>
      </c>
      <c r="D746" s="98">
        <v>2.8</v>
      </c>
      <c r="E746" s="205" t="s">
        <v>14316</v>
      </c>
      <c r="F746" s="98"/>
      <c r="G746" s="206"/>
      <c r="H746" s="98">
        <f t="shared" si="330"/>
        <v>15.679999999999998</v>
      </c>
    </row>
    <row r="747" spans="1:8" s="93" customFormat="1" ht="30" customHeight="1">
      <c r="A747" s="91" t="s">
        <v>14230</v>
      </c>
      <c r="B747" s="364" t="str">
        <f>VLOOKUP($A747,SERVICOS,4,FALSE)</f>
        <v>Grade De Tela Tipo Mosquiteiro De Arame Galvanizado #18, Fio 32, Inclusive, Requadro Em Cantoneira De Ferro 1/8"X1/2"X1/2"</v>
      </c>
      <c r="C747" s="365"/>
      <c r="D747" s="365"/>
      <c r="E747" s="365"/>
      <c r="F747" s="366"/>
      <c r="G747" s="91" t="str">
        <f>VLOOKUP($A747,SERVICOS,5,FALSE)</f>
        <v>m2</v>
      </c>
      <c r="H747" s="92">
        <f>ROUND(SUM(H749:H756),2)</f>
        <v>12.16</v>
      </c>
    </row>
    <row r="748" spans="1:8" ht="15" customHeight="1">
      <c r="A748" s="94" t="s">
        <v>938</v>
      </c>
      <c r="B748" s="94" t="s">
        <v>7319</v>
      </c>
      <c r="C748" s="95" t="s">
        <v>7320</v>
      </c>
      <c r="D748" s="95" t="s">
        <v>14192</v>
      </c>
      <c r="E748" s="94"/>
      <c r="F748" s="94"/>
      <c r="G748" s="94"/>
      <c r="H748" s="96"/>
    </row>
    <row r="749" spans="1:8" ht="15" customHeight="1">
      <c r="A749" s="97" t="str">
        <f t="shared" ref="A749:D750" si="331">A671</f>
        <v>Vestiário 1</v>
      </c>
      <c r="B749" s="224">
        <f t="shared" si="331"/>
        <v>1</v>
      </c>
      <c r="C749" s="224">
        <f t="shared" si="331"/>
        <v>5.2</v>
      </c>
      <c r="D749" s="224">
        <f t="shared" si="331"/>
        <v>0.4</v>
      </c>
      <c r="E749" s="224"/>
      <c r="F749" s="98"/>
      <c r="G749" s="206"/>
      <c r="H749" s="98">
        <f t="shared" ref="H749:H756" si="332">B749*C749*D749</f>
        <v>2.08</v>
      </c>
    </row>
    <row r="750" spans="1:8" ht="15" customHeight="1">
      <c r="A750" s="97" t="str">
        <f t="shared" si="331"/>
        <v>Almoxarifado</v>
      </c>
      <c r="B750" s="224">
        <f t="shared" si="331"/>
        <v>1</v>
      </c>
      <c r="C750" s="224">
        <f t="shared" si="331"/>
        <v>1.2</v>
      </c>
      <c r="D750" s="224">
        <f t="shared" si="331"/>
        <v>0.4</v>
      </c>
      <c r="E750" s="224"/>
      <c r="F750" s="98"/>
      <c r="G750" s="206"/>
      <c r="H750" s="98">
        <f t="shared" si="332"/>
        <v>0.48</v>
      </c>
    </row>
    <row r="751" spans="1:8" ht="15" customHeight="1">
      <c r="A751" s="97" t="str">
        <f t="shared" ref="A751:D756" si="333">A674</f>
        <v>Sanitário feminino</v>
      </c>
      <c r="B751" s="224">
        <f t="shared" si="333"/>
        <v>1</v>
      </c>
      <c r="C751" s="224">
        <f t="shared" si="333"/>
        <v>3.2</v>
      </c>
      <c r="D751" s="224">
        <f t="shared" si="333"/>
        <v>0.4</v>
      </c>
      <c r="E751" s="224"/>
      <c r="F751" s="98"/>
      <c r="G751" s="206"/>
      <c r="H751" s="98">
        <f t="shared" si="332"/>
        <v>1.2800000000000002</v>
      </c>
    </row>
    <row r="752" spans="1:8" ht="15" customHeight="1">
      <c r="A752" s="97" t="str">
        <f t="shared" si="333"/>
        <v>Sanitário masculino</v>
      </c>
      <c r="B752" s="224">
        <f t="shared" si="333"/>
        <v>1</v>
      </c>
      <c r="C752" s="224">
        <f t="shared" si="333"/>
        <v>4</v>
      </c>
      <c r="D752" s="224">
        <f t="shared" si="333"/>
        <v>0.4</v>
      </c>
      <c r="E752" s="224"/>
      <c r="F752" s="98"/>
      <c r="G752" s="206"/>
      <c r="H752" s="98">
        <f t="shared" si="332"/>
        <v>1.6</v>
      </c>
    </row>
    <row r="753" spans="1:8" ht="15" customHeight="1">
      <c r="A753" s="97" t="str">
        <f t="shared" si="333"/>
        <v>Camarim</v>
      </c>
      <c r="B753" s="224">
        <f t="shared" si="333"/>
        <v>1</v>
      </c>
      <c r="C753" s="224">
        <f t="shared" si="333"/>
        <v>2</v>
      </c>
      <c r="D753" s="224">
        <f t="shared" si="333"/>
        <v>0.4</v>
      </c>
      <c r="E753" s="224"/>
      <c r="F753" s="98"/>
      <c r="G753" s="206"/>
      <c r="H753" s="98">
        <f t="shared" si="332"/>
        <v>0.8</v>
      </c>
    </row>
    <row r="754" spans="1:8" ht="15" customHeight="1">
      <c r="A754" s="97" t="str">
        <f t="shared" si="333"/>
        <v>Camarim (vista para o palco)</v>
      </c>
      <c r="B754" s="224">
        <f t="shared" si="333"/>
        <v>1</v>
      </c>
      <c r="C754" s="224">
        <f t="shared" si="333"/>
        <v>2.8</v>
      </c>
      <c r="D754" s="224">
        <f t="shared" si="333"/>
        <v>0.4</v>
      </c>
      <c r="E754" s="224"/>
      <c r="F754" s="98"/>
      <c r="G754" s="206"/>
      <c r="H754" s="98">
        <f t="shared" si="332"/>
        <v>1.1199999999999999</v>
      </c>
    </row>
    <row r="755" spans="1:8" ht="15" customHeight="1">
      <c r="A755" s="97" t="str">
        <f t="shared" si="333"/>
        <v>Sanitário (camarim)</v>
      </c>
      <c r="B755" s="224">
        <f t="shared" si="333"/>
        <v>1</v>
      </c>
      <c r="C755" s="224">
        <f t="shared" si="333"/>
        <v>0.8</v>
      </c>
      <c r="D755" s="224">
        <f t="shared" si="333"/>
        <v>0.4</v>
      </c>
      <c r="E755" s="224"/>
      <c r="F755" s="98"/>
      <c r="G755" s="206"/>
      <c r="H755" s="98">
        <f t="shared" si="332"/>
        <v>0.32000000000000006</v>
      </c>
    </row>
    <row r="756" spans="1:8" ht="15" customHeight="1">
      <c r="A756" s="97" t="str">
        <f t="shared" si="333"/>
        <v>Depósito</v>
      </c>
      <c r="B756" s="224">
        <f t="shared" si="333"/>
        <v>2</v>
      </c>
      <c r="C756" s="224">
        <f t="shared" si="333"/>
        <v>5.6</v>
      </c>
      <c r="D756" s="224">
        <f t="shared" si="333"/>
        <v>0.4</v>
      </c>
      <c r="E756" s="224"/>
      <c r="F756" s="98"/>
      <c r="G756" s="206"/>
      <c r="H756" s="98">
        <f t="shared" si="332"/>
        <v>4.4799999999999995</v>
      </c>
    </row>
    <row r="757" spans="1:8" ht="15" customHeight="1">
      <c r="A757" s="89" t="s">
        <v>13926</v>
      </c>
      <c r="B757" s="367" t="str">
        <f>VLOOKUP($A757,SERVICOS,4,FALSE)</f>
        <v>VIDROS/ ESPELHOS</v>
      </c>
      <c r="C757" s="367"/>
      <c r="D757" s="367"/>
      <c r="E757" s="367"/>
      <c r="F757" s="367"/>
      <c r="G757" s="367">
        <f>VLOOKUP($A757,SERVICOS,5,FALSE)</f>
        <v>0</v>
      </c>
      <c r="H757" s="367" t="e">
        <f>ROUND(SUM(#REF!),2)</f>
        <v>#REF!</v>
      </c>
    </row>
    <row r="758" spans="1:8" s="93" customFormat="1" ht="45" customHeight="1">
      <c r="A758" s="91" t="s">
        <v>14231</v>
      </c>
      <c r="B758" s="364" t="str">
        <f>VLOOKUP($A758,SERVICOS,4,FALSE)</f>
        <v>Espelho Para Banheiros Espessura 4 Mm, Incluindo Chapa Compensada 10 Mm, Moldura De Alumínio Em Perfil L 3/4", Fixado Com Parafusos Cromados</v>
      </c>
      <c r="C758" s="365"/>
      <c r="D758" s="365"/>
      <c r="E758" s="365"/>
      <c r="F758" s="366"/>
      <c r="G758" s="91" t="str">
        <f>VLOOKUP($A758,SERVICOS,5,FALSE)</f>
        <v>m2</v>
      </c>
      <c r="H758" s="92">
        <f>ROUND(SUM(H760:H765),2)</f>
        <v>3.36</v>
      </c>
    </row>
    <row r="759" spans="1:8" ht="15" customHeight="1">
      <c r="A759" s="94" t="s">
        <v>938</v>
      </c>
      <c r="B759" s="94" t="s">
        <v>7319</v>
      </c>
      <c r="C759" s="95" t="s">
        <v>14191</v>
      </c>
      <c r="D759" s="95" t="s">
        <v>14192</v>
      </c>
      <c r="E759" s="94"/>
      <c r="F759" s="94"/>
      <c r="G759" s="94"/>
      <c r="H759" s="96"/>
    </row>
    <row r="760" spans="1:8" ht="15" customHeight="1">
      <c r="A760" s="204" t="s">
        <v>14335</v>
      </c>
      <c r="B760" s="98">
        <v>3</v>
      </c>
      <c r="C760" s="98">
        <v>0.4</v>
      </c>
      <c r="D760" s="98">
        <v>0.6</v>
      </c>
      <c r="E760" s="98"/>
      <c r="F760" s="98"/>
      <c r="G760" s="206"/>
      <c r="H760" s="98">
        <f>B760*C760*D760</f>
        <v>0.72000000000000008</v>
      </c>
    </row>
    <row r="761" spans="1:8" ht="15" customHeight="1">
      <c r="A761" s="204" t="s">
        <v>14336</v>
      </c>
      <c r="B761" s="98">
        <v>3</v>
      </c>
      <c r="C761" s="98">
        <v>0.4</v>
      </c>
      <c r="D761" s="98">
        <v>0.6</v>
      </c>
      <c r="E761" s="98"/>
      <c r="F761" s="98"/>
      <c r="G761" s="206"/>
      <c r="H761" s="98">
        <f t="shared" ref="H761:H765" si="334">B761*C761*D761</f>
        <v>0.72000000000000008</v>
      </c>
    </row>
    <row r="762" spans="1:8" ht="15" customHeight="1">
      <c r="A762" s="204" t="s">
        <v>14310</v>
      </c>
      <c r="B762" s="98">
        <v>3</v>
      </c>
      <c r="C762" s="98">
        <v>0.4</v>
      </c>
      <c r="D762" s="98">
        <v>0.6</v>
      </c>
      <c r="E762" s="98"/>
      <c r="F762" s="98"/>
      <c r="G762" s="206"/>
      <c r="H762" s="98">
        <f t="shared" si="334"/>
        <v>0.72000000000000008</v>
      </c>
    </row>
    <row r="763" spans="1:8" ht="15" customHeight="1">
      <c r="A763" s="204" t="s">
        <v>14311</v>
      </c>
      <c r="B763" s="98">
        <v>3</v>
      </c>
      <c r="C763" s="98">
        <v>0.4</v>
      </c>
      <c r="D763" s="98">
        <v>0.6</v>
      </c>
      <c r="E763" s="98"/>
      <c r="F763" s="98"/>
      <c r="G763" s="206"/>
      <c r="H763" s="98">
        <f t="shared" si="334"/>
        <v>0.72000000000000008</v>
      </c>
    </row>
    <row r="764" spans="1:8" ht="15" customHeight="1">
      <c r="A764" s="204" t="s">
        <v>14337</v>
      </c>
      <c r="B764" s="98">
        <v>1</v>
      </c>
      <c r="C764" s="98">
        <v>0.4</v>
      </c>
      <c r="D764" s="98">
        <v>0.6</v>
      </c>
      <c r="E764" s="98"/>
      <c r="F764" s="98"/>
      <c r="G764" s="206"/>
      <c r="H764" s="98">
        <f t="shared" si="334"/>
        <v>0.24</v>
      </c>
    </row>
    <row r="765" spans="1:8" ht="15" customHeight="1">
      <c r="A765" s="204" t="s">
        <v>14338</v>
      </c>
      <c r="B765" s="98">
        <v>1</v>
      </c>
      <c r="C765" s="98">
        <v>0.4</v>
      </c>
      <c r="D765" s="98">
        <v>0.6</v>
      </c>
      <c r="E765" s="98"/>
      <c r="F765" s="98"/>
      <c r="G765" s="206"/>
      <c r="H765" s="98">
        <f t="shared" si="334"/>
        <v>0.24</v>
      </c>
    </row>
    <row r="766" spans="1:8" ht="15" customHeight="1">
      <c r="A766" s="89" t="s">
        <v>14219</v>
      </c>
      <c r="B766" s="367" t="str">
        <f>VLOOKUP($A766,SERVICOS,4,FALSE)</f>
        <v>FERRAGENS E ACESSÓRIOS</v>
      </c>
      <c r="C766" s="367"/>
      <c r="D766" s="367"/>
      <c r="E766" s="367"/>
      <c r="F766" s="367"/>
      <c r="G766" s="367">
        <f>VLOOKUP($A766,SERVICOS,5,FALSE)</f>
        <v>0</v>
      </c>
      <c r="H766" s="367" t="e">
        <f>ROUND(SUM(#REF!),2)</f>
        <v>#REF!</v>
      </c>
    </row>
    <row r="767" spans="1:8" s="93" customFormat="1" ht="15" customHeight="1">
      <c r="A767" s="91" t="s">
        <v>14232</v>
      </c>
      <c r="B767" s="364" t="str">
        <f>VLOOKUP($A767,SERVICOS,4,FALSE)</f>
        <v>Tarjeta Tipo Livre/Ocupado Para Porta De Banheiro. Af_12/2019</v>
      </c>
      <c r="C767" s="365"/>
      <c r="D767" s="365"/>
      <c r="E767" s="365"/>
      <c r="F767" s="366"/>
      <c r="G767" s="91" t="str">
        <f>VLOOKUP($A767,SERVICOS,5,FALSE)</f>
        <v>un</v>
      </c>
      <c r="H767" s="92">
        <f>ROUND(SUM(H769:H769),2)</f>
        <v>15</v>
      </c>
    </row>
    <row r="768" spans="1:8" ht="15" customHeight="1">
      <c r="A768" s="94" t="s">
        <v>938</v>
      </c>
      <c r="B768" s="94" t="s">
        <v>7319</v>
      </c>
      <c r="C768" s="95"/>
      <c r="D768" s="95"/>
      <c r="E768" s="94"/>
      <c r="F768" s="94"/>
      <c r="G768" s="94"/>
      <c r="H768" s="96"/>
    </row>
    <row r="769" spans="1:8" ht="15" customHeight="1">
      <c r="A769" s="97" t="s">
        <v>14330</v>
      </c>
      <c r="B769" s="98">
        <v>15</v>
      </c>
      <c r="C769" s="98"/>
      <c r="D769" s="98"/>
      <c r="E769" s="98"/>
      <c r="F769" s="98"/>
      <c r="G769" s="206"/>
      <c r="H769" s="98">
        <f>B769</f>
        <v>15</v>
      </c>
    </row>
    <row r="770" spans="1:8" s="93" customFormat="1" ht="30" customHeight="1">
      <c r="A770" s="91" t="s">
        <v>14233</v>
      </c>
      <c r="B770" s="364" t="str">
        <f>VLOOKUP($A770,SERVICOS,4,FALSE)</f>
        <v>Barra De Apoio Reta, Em Aco Inox Polido, Comprimento 60Cm, Fixada Na Parede - Fornecimento E Instalação. Af_01/2020</v>
      </c>
      <c r="C770" s="365"/>
      <c r="D770" s="365"/>
      <c r="E770" s="365"/>
      <c r="F770" s="366"/>
      <c r="G770" s="91" t="str">
        <f>VLOOKUP($A770,SERVICOS,5,FALSE)</f>
        <v>un</v>
      </c>
      <c r="H770" s="92">
        <f>ROUND(SUM(H772:H772),2)</f>
        <v>2</v>
      </c>
    </row>
    <row r="771" spans="1:8" ht="15" customHeight="1">
      <c r="A771" s="94" t="s">
        <v>938</v>
      </c>
      <c r="B771" s="94" t="s">
        <v>7319</v>
      </c>
      <c r="C771" s="95"/>
      <c r="D771" s="95"/>
      <c r="E771" s="94"/>
      <c r="F771" s="94"/>
      <c r="G771" s="94"/>
      <c r="H771" s="96"/>
    </row>
    <row r="772" spans="1:8" ht="15" customHeight="1">
      <c r="A772" s="97" t="s">
        <v>14585</v>
      </c>
      <c r="B772" s="98">
        <v>2</v>
      </c>
      <c r="C772" s="98"/>
      <c r="D772" s="98"/>
      <c r="E772" s="98"/>
      <c r="F772" s="98"/>
      <c r="G772" s="206"/>
      <c r="H772" s="98">
        <f>B772</f>
        <v>2</v>
      </c>
    </row>
    <row r="773" spans="1:8" ht="15" customHeight="1">
      <c r="A773" s="89" t="s">
        <v>12601</v>
      </c>
      <c r="B773" s="367" t="str">
        <f>VLOOKUP($A773,SERVICOS,4,FALSE)</f>
        <v>SISTEMAS DE COBERTURA</v>
      </c>
      <c r="C773" s="367"/>
      <c r="D773" s="367"/>
      <c r="E773" s="367"/>
      <c r="F773" s="367"/>
      <c r="G773" s="367">
        <f>VLOOKUP($A773,SERVICOS,5,FALSE)</f>
        <v>0</v>
      </c>
      <c r="H773" s="367" t="e">
        <f>ROUND(SUM(#REF!),2)</f>
        <v>#REF!</v>
      </c>
    </row>
    <row r="774" spans="1:8" ht="15" customHeight="1">
      <c r="A774" s="89" t="s">
        <v>12602</v>
      </c>
      <c r="B774" s="367" t="str">
        <f>VLOOKUP($A774,SERVICOS,4,FALSE)</f>
        <v>COBERTURA QUADRA</v>
      </c>
      <c r="C774" s="367"/>
      <c r="D774" s="367"/>
      <c r="E774" s="367"/>
      <c r="F774" s="367"/>
      <c r="G774" s="367">
        <f>VLOOKUP($A774,SERVICOS,5,FALSE)</f>
        <v>0</v>
      </c>
      <c r="H774" s="367" t="e">
        <f>ROUND(SUM(#REF!),2)</f>
        <v>#REF!</v>
      </c>
    </row>
    <row r="775" spans="1:8" s="93" customFormat="1" ht="60" customHeight="1">
      <c r="A775" s="91" t="s">
        <v>14353</v>
      </c>
      <c r="B775" s="364" t="str">
        <f>VLOOKUP($A775,SERVICOS,4,FALSE)</f>
        <v>Estrut. Metálica P/ Quadra Poliesp. Coberta Constituída Por Perfis Formados A Frio, Aço Estrutural Astm A-570 G33 (Terças) Astm A-36 (Demais Perfis) C/ O Sistema De Trat. E Pint Conf Descrito Em Notas Da Planilha</v>
      </c>
      <c r="C775" s="365"/>
      <c r="D775" s="365"/>
      <c r="E775" s="365"/>
      <c r="F775" s="366"/>
      <c r="G775" s="91" t="str">
        <f>VLOOKUP($A775,SERVICOS,5,FALSE)</f>
        <v>kg</v>
      </c>
      <c r="H775" s="92">
        <f>ROUND(SUM(H778:H797),2)</f>
        <v>19983.22</v>
      </c>
    </row>
    <row r="776" spans="1:8" ht="25.5">
      <c r="A776" s="94" t="s">
        <v>938</v>
      </c>
      <c r="B776" s="94" t="s">
        <v>14371</v>
      </c>
      <c r="C776" s="95" t="s">
        <v>7319</v>
      </c>
      <c r="D776" s="368" t="s">
        <v>14372</v>
      </c>
      <c r="E776" s="369"/>
      <c r="F776" s="95" t="s">
        <v>14373</v>
      </c>
      <c r="G776" s="94"/>
      <c r="H776" s="96"/>
    </row>
    <row r="777" spans="1:8" ht="15" customHeight="1">
      <c r="A777" s="232" t="s">
        <v>14453</v>
      </c>
      <c r="B777" s="229"/>
      <c r="C777" s="230"/>
      <c r="D777" s="271"/>
      <c r="E777" s="272"/>
      <c r="F777" s="230"/>
      <c r="G777" s="229"/>
      <c r="H777" s="231"/>
    </row>
    <row r="778" spans="1:8" ht="15" customHeight="1">
      <c r="A778" s="97" t="s">
        <v>14364</v>
      </c>
      <c r="B778" s="98" t="s">
        <v>14374</v>
      </c>
      <c r="C778" s="98">
        <f>C779*6</f>
        <v>96</v>
      </c>
      <c r="D778" s="98">
        <v>0.6</v>
      </c>
      <c r="E778" s="98">
        <v>1</v>
      </c>
      <c r="F778" s="98">
        <v>1.56</v>
      </c>
      <c r="G778" s="98"/>
      <c r="H778" s="98">
        <f>C778*D778*E778*F778*1.05</f>
        <v>94.348799999999997</v>
      </c>
    </row>
    <row r="779" spans="1:8" ht="15" customHeight="1">
      <c r="A779" s="97" t="s">
        <v>14365</v>
      </c>
      <c r="B779" s="98" t="s">
        <v>14464</v>
      </c>
      <c r="C779" s="98">
        <f>8*2</f>
        <v>16</v>
      </c>
      <c r="D779" s="98">
        <v>0.3</v>
      </c>
      <c r="E779" s="98">
        <v>0.5</v>
      </c>
      <c r="F779" s="98">
        <v>125</v>
      </c>
      <c r="G779" s="98"/>
      <c r="H779" s="98">
        <f t="shared" ref="H779:H788" si="335">C779*D779*E779*F779*1.05</f>
        <v>315</v>
      </c>
    </row>
    <row r="780" spans="1:8" ht="15" customHeight="1">
      <c r="A780" s="97" t="s">
        <v>14366</v>
      </c>
      <c r="B780" s="98" t="s">
        <v>14595</v>
      </c>
      <c r="C780" s="98">
        <v>8</v>
      </c>
      <c r="D780" s="98">
        <f>(27.6+25.62+0.9*2)*2</f>
        <v>110.03999999999999</v>
      </c>
      <c r="E780" s="98">
        <v>1</v>
      </c>
      <c r="F780" s="98">
        <v>6.1</v>
      </c>
      <c r="G780" s="98"/>
      <c r="H780" s="98">
        <f t="shared" si="335"/>
        <v>5638.4495999999999</v>
      </c>
    </row>
    <row r="781" spans="1:8" ht="15" customHeight="1">
      <c r="A781" s="97" t="s">
        <v>14597</v>
      </c>
      <c r="B781" s="98" t="s">
        <v>14586</v>
      </c>
      <c r="C781" s="98">
        <f>8*46</f>
        <v>368</v>
      </c>
      <c r="D781" s="98">
        <f>0.6*2+0.2*2</f>
        <v>1.6</v>
      </c>
      <c r="E781" s="98">
        <v>1</v>
      </c>
      <c r="F781" s="98">
        <v>2.7</v>
      </c>
      <c r="G781" s="98"/>
      <c r="H781" s="98">
        <f t="shared" si="335"/>
        <v>1669.2480000000003</v>
      </c>
    </row>
    <row r="782" spans="1:8" ht="15" customHeight="1">
      <c r="A782" s="97" t="s">
        <v>14598</v>
      </c>
      <c r="B782" s="98" t="s">
        <v>14586</v>
      </c>
      <c r="C782" s="98">
        <v>8</v>
      </c>
      <c r="D782" s="98">
        <f>2*39</f>
        <v>78</v>
      </c>
      <c r="E782" s="98">
        <v>1</v>
      </c>
      <c r="F782" s="98">
        <v>2.7</v>
      </c>
      <c r="G782" s="98"/>
      <c r="H782" s="98">
        <f t="shared" si="335"/>
        <v>1769.0400000000002</v>
      </c>
    </row>
    <row r="783" spans="1:8" ht="25.5">
      <c r="A783" s="204" t="s">
        <v>16566</v>
      </c>
      <c r="B783" s="98" t="s">
        <v>16567</v>
      </c>
      <c r="C783" s="98">
        <v>8</v>
      </c>
      <c r="D783" s="98">
        <f>46+44</f>
        <v>90</v>
      </c>
      <c r="E783" s="98">
        <v>0.2</v>
      </c>
      <c r="F783" s="98">
        <v>1.19</v>
      </c>
      <c r="G783" s="98"/>
      <c r="H783" s="98">
        <f t="shared" ref="H783" si="336">C783*D783*E783*F783*1.05</f>
        <v>179.928</v>
      </c>
    </row>
    <row r="784" spans="1:8" ht="38.25">
      <c r="A784" s="97" t="s">
        <v>14368</v>
      </c>
      <c r="B784" s="206" t="s">
        <v>14594</v>
      </c>
      <c r="C784" s="98">
        <v>24</v>
      </c>
      <c r="D784" s="98">
        <v>43.5</v>
      </c>
      <c r="E784" s="98">
        <v>1</v>
      </c>
      <c r="F784" s="98">
        <v>6.8</v>
      </c>
      <c r="G784" s="98"/>
      <c r="H784" s="98">
        <f t="shared" si="335"/>
        <v>7454.16</v>
      </c>
    </row>
    <row r="785" spans="1:8" ht="15" customHeight="1">
      <c r="A785" s="97" t="s">
        <v>14369</v>
      </c>
      <c r="B785" s="98" t="s">
        <v>14596</v>
      </c>
      <c r="C785" s="98">
        <v>6</v>
      </c>
      <c r="D785" s="98">
        <v>24.3</v>
      </c>
      <c r="E785" s="98">
        <v>1</v>
      </c>
      <c r="F785" s="98">
        <v>4</v>
      </c>
      <c r="G785" s="98"/>
      <c r="H785" s="98">
        <f t="shared" si="335"/>
        <v>612.36000000000013</v>
      </c>
    </row>
    <row r="786" spans="1:8" ht="15" customHeight="1">
      <c r="A786" s="97" t="s">
        <v>14370</v>
      </c>
      <c r="B786" s="98" t="s">
        <v>14596</v>
      </c>
      <c r="C786" s="98">
        <v>6</v>
      </c>
      <c r="D786" s="98">
        <v>3.5</v>
      </c>
      <c r="E786" s="98">
        <v>1</v>
      </c>
      <c r="F786" s="98">
        <v>4</v>
      </c>
      <c r="G786" s="98"/>
      <c r="H786" s="98">
        <f t="shared" si="335"/>
        <v>88.2</v>
      </c>
    </row>
    <row r="787" spans="1:8" ht="15" customHeight="1">
      <c r="A787" s="97" t="s">
        <v>14376</v>
      </c>
      <c r="B787" s="98" t="s">
        <v>14596</v>
      </c>
      <c r="C787" s="98">
        <v>12</v>
      </c>
      <c r="D787" s="98">
        <v>2.6</v>
      </c>
      <c r="E787" s="98">
        <v>1</v>
      </c>
      <c r="F787" s="98">
        <v>4</v>
      </c>
      <c r="G787" s="98"/>
      <c r="H787" s="98">
        <f t="shared" si="335"/>
        <v>131.04000000000002</v>
      </c>
    </row>
    <row r="788" spans="1:8" ht="15" customHeight="1">
      <c r="A788" s="97" t="s">
        <v>14465</v>
      </c>
      <c r="B788" s="98" t="s">
        <v>14457</v>
      </c>
      <c r="C788" s="98">
        <f>8*3</f>
        <v>24</v>
      </c>
      <c r="D788" s="98">
        <v>9</v>
      </c>
      <c r="E788" s="98">
        <v>1</v>
      </c>
      <c r="F788" s="98">
        <v>1</v>
      </c>
      <c r="G788" s="98"/>
      <c r="H788" s="98">
        <f t="shared" si="335"/>
        <v>226.8</v>
      </c>
    </row>
    <row r="789" spans="1:8" ht="15" customHeight="1">
      <c r="A789" s="97" t="s">
        <v>16568</v>
      </c>
      <c r="B789" s="98" t="s">
        <v>16569</v>
      </c>
      <c r="C789" s="98">
        <f>88*2</f>
        <v>176</v>
      </c>
      <c r="D789" s="98">
        <v>0.85</v>
      </c>
      <c r="E789" s="98">
        <v>1</v>
      </c>
      <c r="F789" s="98">
        <v>0.63</v>
      </c>
      <c r="G789" s="98"/>
      <c r="H789" s="98">
        <f t="shared" ref="H789" si="337">C789*D789*E789*F789*1.05</f>
        <v>98.960399999999993</v>
      </c>
    </row>
    <row r="790" spans="1:8" ht="15" customHeight="1">
      <c r="A790" s="232" t="s">
        <v>14454</v>
      </c>
      <c r="B790" s="229"/>
      <c r="C790" s="230"/>
      <c r="D790" s="271"/>
      <c r="E790" s="272"/>
      <c r="F790" s="230"/>
      <c r="G790" s="229"/>
      <c r="H790" s="231"/>
    </row>
    <row r="791" spans="1:8" ht="15" customHeight="1">
      <c r="A791" s="97" t="s">
        <v>14364</v>
      </c>
      <c r="B791" s="98" t="s">
        <v>14374</v>
      </c>
      <c r="C791" s="98">
        <f>C792*4</f>
        <v>24</v>
      </c>
      <c r="D791" s="98">
        <v>0.6</v>
      </c>
      <c r="E791" s="98">
        <v>1</v>
      </c>
      <c r="F791" s="98">
        <v>1.56</v>
      </c>
      <c r="G791" s="98"/>
      <c r="H791" s="98">
        <f>C791*D791*E791*F791*1.05</f>
        <v>23.587199999999999</v>
      </c>
    </row>
    <row r="792" spans="1:8" ht="15" customHeight="1">
      <c r="A792" s="97" t="s">
        <v>14365</v>
      </c>
      <c r="B792" s="98" t="s">
        <v>14375</v>
      </c>
      <c r="C792" s="98">
        <v>6</v>
      </c>
      <c r="D792" s="98">
        <v>0.3</v>
      </c>
      <c r="E792" s="98">
        <v>0.4</v>
      </c>
      <c r="F792" s="98">
        <v>98</v>
      </c>
      <c r="G792" s="98"/>
      <c r="H792" s="98">
        <f t="shared" ref="H792:H797" si="338">C792*D792*E792*F792*1.05</f>
        <v>74.088000000000008</v>
      </c>
    </row>
    <row r="793" spans="1:8" ht="15" customHeight="1">
      <c r="A793" s="97" t="s">
        <v>14455</v>
      </c>
      <c r="B793" s="98" t="s">
        <v>14595</v>
      </c>
      <c r="C793" s="98">
        <v>1</v>
      </c>
      <c r="D793" s="98">
        <f>4*4*2.6+4*2*3.5</f>
        <v>69.599999999999994</v>
      </c>
      <c r="E793" s="98">
        <v>1</v>
      </c>
      <c r="F793" s="98">
        <v>6.1</v>
      </c>
      <c r="G793" s="98"/>
      <c r="H793" s="98">
        <f t="shared" si="338"/>
        <v>445.78799999999995</v>
      </c>
    </row>
    <row r="794" spans="1:8" ht="15" customHeight="1">
      <c r="A794" s="97" t="s">
        <v>14367</v>
      </c>
      <c r="B794" s="98" t="s">
        <v>14586</v>
      </c>
      <c r="C794" s="98">
        <v>1</v>
      </c>
      <c r="D794" s="98">
        <f>6*4*1.2+8*2*1.2</f>
        <v>48</v>
      </c>
      <c r="E794" s="98">
        <v>1</v>
      </c>
      <c r="F794" s="98">
        <v>2.7</v>
      </c>
      <c r="G794" s="98"/>
      <c r="H794" s="98">
        <f t="shared" si="338"/>
        <v>136.08000000000004</v>
      </c>
    </row>
    <row r="795" spans="1:8" ht="38.25">
      <c r="A795" s="97" t="s">
        <v>14368</v>
      </c>
      <c r="B795" s="206" t="s">
        <v>14594</v>
      </c>
      <c r="C795" s="98">
        <v>2</v>
      </c>
      <c r="D795" s="98">
        <f>25.5+21.5+14.2</f>
        <v>61.2</v>
      </c>
      <c r="E795" s="98">
        <v>1</v>
      </c>
      <c r="F795" s="98">
        <v>6.8</v>
      </c>
      <c r="G795" s="98"/>
      <c r="H795" s="98">
        <f t="shared" ref="H795:H796" si="339">C795*D795*E795*F795*1.05</f>
        <v>873.93600000000004</v>
      </c>
    </row>
    <row r="796" spans="1:8" ht="15" customHeight="1">
      <c r="A796" s="97" t="s">
        <v>14786</v>
      </c>
      <c r="B796" s="98" t="s">
        <v>14457</v>
      </c>
      <c r="C796" s="98">
        <v>4</v>
      </c>
      <c r="D796" s="98">
        <v>3</v>
      </c>
      <c r="E796" s="98">
        <v>1</v>
      </c>
      <c r="F796" s="98">
        <v>0.6</v>
      </c>
      <c r="G796" s="98"/>
      <c r="H796" s="98">
        <f t="shared" si="339"/>
        <v>7.56</v>
      </c>
    </row>
    <row r="797" spans="1:8" ht="15" customHeight="1">
      <c r="A797" s="97" t="s">
        <v>14456</v>
      </c>
      <c r="B797" s="98" t="s">
        <v>14587</v>
      </c>
      <c r="C797" s="98">
        <v>2</v>
      </c>
      <c r="D797" s="98">
        <v>28</v>
      </c>
      <c r="E797" s="98">
        <v>1</v>
      </c>
      <c r="F797" s="98">
        <v>2.46</v>
      </c>
      <c r="G797" s="98"/>
      <c r="H797" s="98">
        <f t="shared" si="338"/>
        <v>144.648</v>
      </c>
    </row>
    <row r="798" spans="1:8" ht="15" customHeight="1">
      <c r="A798" s="381" t="s">
        <v>14945</v>
      </c>
      <c r="B798" s="379"/>
      <c r="C798" s="379"/>
      <c r="D798" s="379"/>
      <c r="E798" s="379"/>
      <c r="F798" s="379"/>
      <c r="G798" s="379"/>
      <c r="H798" s="380"/>
    </row>
    <row r="799" spans="1:8" s="93" customFormat="1" ht="60" customHeight="1">
      <c r="A799" s="91" t="s">
        <v>14354</v>
      </c>
      <c r="B799" s="364" t="str">
        <f>VLOOKUP($A799,SERVICOS,4,FALSE)</f>
        <v>Forn E Assent De Telhas De Liga De Alumínio E Zinco (Galvalume), Ondulada, Esp. Mínima 0.43Mm, Alt. Mínima De Onda 17Mm, Sobrep. Lateral De Uma Onda E Longit. 200Mm C/ Mínimo De 3 Apoios, Assent. C/ Utiliz. De Fitas Anti-Corrosiva</v>
      </c>
      <c r="C799" s="365"/>
      <c r="D799" s="365"/>
      <c r="E799" s="365"/>
      <c r="F799" s="366"/>
      <c r="G799" s="91" t="str">
        <f>VLOOKUP($A799,SERVICOS,5,FALSE)</f>
        <v>m2</v>
      </c>
      <c r="H799" s="92">
        <f>ROUND(SUM(H802:H806),2)</f>
        <v>1371.68</v>
      </c>
    </row>
    <row r="800" spans="1:8" ht="15" customHeight="1">
      <c r="A800" s="94" t="s">
        <v>938</v>
      </c>
      <c r="B800" s="94" t="s">
        <v>7319</v>
      </c>
      <c r="C800" s="95" t="s">
        <v>7320</v>
      </c>
      <c r="D800" s="95"/>
      <c r="E800" s="94"/>
      <c r="F800" s="94"/>
      <c r="G800" s="94"/>
      <c r="H800" s="96"/>
    </row>
    <row r="801" spans="1:8" ht="15" customHeight="1">
      <c r="A801" s="232" t="s">
        <v>14453</v>
      </c>
      <c r="B801" s="229"/>
      <c r="C801" s="230"/>
      <c r="D801" s="271"/>
      <c r="E801" s="272"/>
      <c r="F801" s="230"/>
      <c r="G801" s="229"/>
      <c r="H801" s="231"/>
    </row>
    <row r="802" spans="1:8" ht="15" customHeight="1">
      <c r="A802" s="97" t="s">
        <v>14378</v>
      </c>
      <c r="B802" s="98">
        <v>45</v>
      </c>
      <c r="C802" s="98">
        <v>8.8000000000000007</v>
      </c>
      <c r="D802" s="98"/>
      <c r="E802" s="98"/>
      <c r="F802" s="98"/>
      <c r="G802" s="98"/>
      <c r="H802" s="98">
        <f>B802*C802</f>
        <v>396.00000000000006</v>
      </c>
    </row>
    <row r="803" spans="1:8" ht="15" customHeight="1">
      <c r="A803" s="97" t="s">
        <v>14379</v>
      </c>
      <c r="B803" s="98">
        <f>45*2-B810</f>
        <v>76</v>
      </c>
      <c r="C803" s="98">
        <v>5.25</v>
      </c>
      <c r="D803" s="98"/>
      <c r="E803" s="98"/>
      <c r="F803" s="98"/>
      <c r="G803" s="98"/>
      <c r="H803" s="98">
        <f t="shared" ref="H803:H806" si="340">B803*C803</f>
        <v>399</v>
      </c>
    </row>
    <row r="804" spans="1:8" ht="15" customHeight="1">
      <c r="A804" s="97" t="s">
        <v>14380</v>
      </c>
      <c r="B804" s="98">
        <f>45*2-B810</f>
        <v>76</v>
      </c>
      <c r="C804" s="98">
        <v>5.15</v>
      </c>
      <c r="D804" s="98"/>
      <c r="E804" s="98"/>
      <c r="F804" s="98"/>
      <c r="G804" s="98"/>
      <c r="H804" s="98">
        <f t="shared" ref="H804" si="341">B804*C804</f>
        <v>391.40000000000003</v>
      </c>
    </row>
    <row r="805" spans="1:8" ht="15" customHeight="1">
      <c r="A805" s="232" t="s">
        <v>14454</v>
      </c>
      <c r="B805" s="98"/>
      <c r="C805" s="98"/>
      <c r="D805" s="98"/>
      <c r="E805" s="98"/>
      <c r="F805" s="98"/>
      <c r="G805" s="98"/>
      <c r="H805" s="98"/>
    </row>
    <row r="806" spans="1:8" ht="15" customHeight="1">
      <c r="A806" s="97" t="s">
        <v>14458</v>
      </c>
      <c r="B806" s="98">
        <v>2</v>
      </c>
      <c r="C806" s="98">
        <f>77.2*1.2</f>
        <v>92.64</v>
      </c>
      <c r="D806" s="98"/>
      <c r="E806" s="98"/>
      <c r="F806" s="98"/>
      <c r="G806" s="98"/>
      <c r="H806" s="98">
        <f t="shared" si="340"/>
        <v>185.28</v>
      </c>
    </row>
    <row r="807" spans="1:8" ht="15" customHeight="1">
      <c r="A807" s="97" t="s">
        <v>14852</v>
      </c>
      <c r="B807" s="236"/>
      <c r="C807" s="237"/>
      <c r="D807" s="237"/>
      <c r="E807" s="237"/>
      <c r="F807" s="238"/>
      <c r="G807" s="98"/>
      <c r="H807" s="98"/>
    </row>
    <row r="808" spans="1:8" s="93" customFormat="1" ht="120" customHeight="1">
      <c r="A808" s="91" t="s">
        <v>14355</v>
      </c>
      <c r="B808" s="364" t="str">
        <f>VLOOKUP($A808,SERVICOS,4,FALSE)</f>
        <v>Cobertura Translucida, Cristal, Branca Leitosa Ou Cores Basicas, Perfil Trapezoidal Ou
Ondulada, De Resina De Poliester Reforcada Com Fibra De Vidro, Com Aditivo
Estabilizante Contra Degradacao Dos Raios U.V., Estruturada Com Veu Interno De
Poliester, Espessura De 1,5Mm, Para Uso Onde Se Requer Iluminacao Natural
Controlada E Privilegia-Se: A Resistencia E A Luz Difratada, Larguras Uteis De 990Mm
E 1020Mm, Respectivamente, Comprimento Ate 6,00M, Incluindo Os Acessorios Para
Fixacao, Facil &amp; Rapido Ou Similar. Fornecimento E Colocacao.(Desonerado)</v>
      </c>
      <c r="C808" s="365"/>
      <c r="D808" s="365"/>
      <c r="E808" s="365"/>
      <c r="F808" s="366"/>
      <c r="G808" s="91" t="str">
        <f>VLOOKUP($A808,SERVICOS,5,FALSE)</f>
        <v>m2</v>
      </c>
      <c r="H808" s="92">
        <f>ROUND(SUM(H810:H811),2)</f>
        <v>168.52</v>
      </c>
    </row>
    <row r="809" spans="1:8" ht="15" customHeight="1">
      <c r="A809" s="94" t="s">
        <v>938</v>
      </c>
      <c r="B809" s="94" t="s">
        <v>7319</v>
      </c>
      <c r="C809" s="95" t="s">
        <v>7320</v>
      </c>
      <c r="D809" s="95" t="s">
        <v>14381</v>
      </c>
      <c r="E809" s="94"/>
      <c r="F809" s="94"/>
      <c r="G809" s="94"/>
      <c r="H809" s="96"/>
    </row>
    <row r="810" spans="1:8" ht="15" customHeight="1">
      <c r="A810" s="97" t="s">
        <v>14379</v>
      </c>
      <c r="B810" s="98">
        <v>14</v>
      </c>
      <c r="C810" s="98">
        <v>5.25</v>
      </c>
      <c r="D810" s="98">
        <v>1.1499999999999999</v>
      </c>
      <c r="E810" s="98"/>
      <c r="F810" s="98"/>
      <c r="G810" s="98"/>
      <c r="H810" s="98">
        <f>B810*C810*D810</f>
        <v>84.524999999999991</v>
      </c>
    </row>
    <row r="811" spans="1:8" ht="15" customHeight="1">
      <c r="A811" s="97" t="s">
        <v>14380</v>
      </c>
      <c r="B811" s="98">
        <v>14</v>
      </c>
      <c r="C811" s="98">
        <v>5.15</v>
      </c>
      <c r="D811" s="98">
        <v>1.165</v>
      </c>
      <c r="E811" s="98"/>
      <c r="F811" s="98"/>
      <c r="G811" s="98"/>
      <c r="H811" s="98">
        <f>B811*C811*D811</f>
        <v>83.996500000000012</v>
      </c>
    </row>
    <row r="812" spans="1:8" ht="15" customHeight="1">
      <c r="A812" s="97" t="s">
        <v>14382</v>
      </c>
      <c r="B812" s="236"/>
      <c r="C812" s="237"/>
      <c r="D812" s="237"/>
      <c r="E812" s="237"/>
      <c r="F812" s="238"/>
      <c r="G812" s="98"/>
      <c r="H812" s="98"/>
    </row>
    <row r="813" spans="1:8" s="93" customFormat="1" ht="30" customHeight="1">
      <c r="A813" s="91" t="s">
        <v>14356</v>
      </c>
      <c r="B813" s="364" t="str">
        <f>VLOOKUP($A813,SERVICOS,4,FALSE)</f>
        <v>Calha Em Chapa De Aço Galvanizado Número 24, Desenvolvimento De 100 Cm, Incluso Transporte Vertical. Af_07/2019</v>
      </c>
      <c r="C813" s="365"/>
      <c r="D813" s="365"/>
      <c r="E813" s="365"/>
      <c r="F813" s="366"/>
      <c r="G813" s="91" t="str">
        <f>VLOOKUP($A813,SERVICOS,5,FALSE)</f>
        <v>m</v>
      </c>
      <c r="H813" s="92">
        <f>ROUND(SUM(H815:H815),2)</f>
        <v>88.2</v>
      </c>
    </row>
    <row r="814" spans="1:8" ht="15" customHeight="1">
      <c r="A814" s="94" t="s">
        <v>938</v>
      </c>
      <c r="B814" s="94" t="s">
        <v>7319</v>
      </c>
      <c r="C814" s="95" t="s">
        <v>7320</v>
      </c>
      <c r="D814" s="95"/>
      <c r="E814" s="94"/>
      <c r="F814" s="94"/>
      <c r="G814" s="94"/>
      <c r="H814" s="96"/>
    </row>
    <row r="815" spans="1:8" ht="15" customHeight="1">
      <c r="A815" s="204" t="s">
        <v>14377</v>
      </c>
      <c r="B815" s="98">
        <v>2</v>
      </c>
      <c r="C815" s="98">
        <v>44.1</v>
      </c>
      <c r="D815" s="98"/>
      <c r="E815" s="98"/>
      <c r="F815" s="98"/>
      <c r="G815" s="98"/>
      <c r="H815" s="98">
        <f>B815*C815</f>
        <v>88.2</v>
      </c>
    </row>
    <row r="816" spans="1:8" ht="15" customHeight="1">
      <c r="A816" s="89" t="s">
        <v>14234</v>
      </c>
      <c r="B816" s="367" t="str">
        <f>VLOOKUP($A816,SERVICOS,4,FALSE)</f>
        <v>COBERTURA VESTIÁRIOS/ SANITÁRIOS</v>
      </c>
      <c r="C816" s="367"/>
      <c r="D816" s="367"/>
      <c r="E816" s="367"/>
      <c r="F816" s="367"/>
      <c r="G816" s="367">
        <f>VLOOKUP($A816,SERVICOS,5,FALSE)</f>
        <v>0</v>
      </c>
      <c r="H816" s="367" t="e">
        <f>ROUND(SUM(#REF!),2)</f>
        <v>#REF!</v>
      </c>
    </row>
    <row r="817" spans="1:8" s="93" customFormat="1" ht="60" customHeight="1">
      <c r="A817" s="91" t="s">
        <v>14357</v>
      </c>
      <c r="B817" s="364" t="str">
        <f>VLOOKUP($A817,SERVICOS,4,FALSE)</f>
        <v>Fabricação E Instalação De Pontaletes De Madeira Não Aparelhada Para Telhados Com Até 2 Águas E Com Telha Ondulada De Fibrocimento, Alumínio Ou Plástica Em Edifício Residencial Térreo, Incluso Transporte Vertical. Af_07/2019</v>
      </c>
      <c r="C817" s="365"/>
      <c r="D817" s="365"/>
      <c r="E817" s="365"/>
      <c r="F817" s="366"/>
      <c r="G817" s="91" t="str">
        <f>VLOOKUP($A817,SERVICOS,5,FALSE)</f>
        <v>m2</v>
      </c>
      <c r="H817" s="92">
        <f>ROUND(SUM(H819:H820),2)</f>
        <v>111.6</v>
      </c>
    </row>
    <row r="818" spans="1:8" ht="15" customHeight="1">
      <c r="A818" s="94" t="s">
        <v>938</v>
      </c>
      <c r="B818" s="94" t="s">
        <v>12639</v>
      </c>
      <c r="C818" s="95"/>
      <c r="D818" s="95"/>
      <c r="E818" s="94"/>
      <c r="F818" s="94"/>
      <c r="G818" s="94"/>
      <c r="H818" s="96"/>
    </row>
    <row r="819" spans="1:8" ht="15" customHeight="1">
      <c r="A819" s="97" t="s">
        <v>14387</v>
      </c>
      <c r="B819" s="98">
        <v>20.079999999999998</v>
      </c>
      <c r="C819" s="225"/>
      <c r="D819" s="98"/>
      <c r="E819" s="98"/>
      <c r="F819" s="98"/>
      <c r="G819" s="98"/>
      <c r="H819" s="98">
        <f>B819</f>
        <v>20.079999999999998</v>
      </c>
    </row>
    <row r="820" spans="1:8" ht="15" customHeight="1">
      <c r="A820" s="97" t="s">
        <v>14388</v>
      </c>
      <c r="B820" s="98">
        <v>91.52</v>
      </c>
      <c r="C820" s="225"/>
      <c r="D820" s="98"/>
      <c r="E820" s="98"/>
      <c r="F820" s="98"/>
      <c r="G820" s="98"/>
      <c r="H820" s="98">
        <f>B820</f>
        <v>91.52</v>
      </c>
    </row>
    <row r="821" spans="1:8" s="93" customFormat="1" ht="45" customHeight="1">
      <c r="A821" s="91" t="s">
        <v>14383</v>
      </c>
      <c r="B821" s="364" t="str">
        <f>VLOOKUP($A821,SERVICOS,4,FALSE)</f>
        <v>Trama De Madeira Composta Por Terças Para Telhados De Até 2 Águas Para Telha Ondulada De Fibrocimento, Metálica, Plástica Ou Termoacústica, Incluso Transporte Vertical. Af_07/2019</v>
      </c>
      <c r="C821" s="365"/>
      <c r="D821" s="365"/>
      <c r="E821" s="365"/>
      <c r="F821" s="366"/>
      <c r="G821" s="91" t="str">
        <f>VLOOKUP($A821,SERVICOS,5,FALSE)</f>
        <v>m2</v>
      </c>
      <c r="H821" s="92">
        <f>ROUND(SUM(H823:H823),2)</f>
        <v>111.6</v>
      </c>
    </row>
    <row r="822" spans="1:8" ht="15" customHeight="1">
      <c r="A822" s="94" t="s">
        <v>938</v>
      </c>
      <c r="B822" s="94" t="s">
        <v>12639</v>
      </c>
      <c r="C822" s="95"/>
      <c r="D822" s="95"/>
      <c r="E822" s="94"/>
      <c r="F822" s="94"/>
      <c r="G822" s="94"/>
      <c r="H822" s="96"/>
    </row>
    <row r="823" spans="1:8" ht="15" customHeight="1">
      <c r="A823" s="204" t="s">
        <v>14389</v>
      </c>
      <c r="B823" s="98">
        <f>H817</f>
        <v>111.6</v>
      </c>
      <c r="C823" s="98"/>
      <c r="D823" s="98"/>
      <c r="E823" s="98"/>
      <c r="F823" s="98"/>
      <c r="G823" s="98"/>
      <c r="H823" s="98">
        <f>B823</f>
        <v>111.6</v>
      </c>
    </row>
    <row r="824" spans="1:8" s="93" customFormat="1" ht="45" customHeight="1">
      <c r="A824" s="91" t="s">
        <v>14384</v>
      </c>
      <c r="B824" s="364" t="str">
        <f>VLOOKUP($A824,SERVICOS,4,FALSE)</f>
        <v>Telhamento Com Telha Ondulada De Fibrocimento E = 6 Mm, Com Recobrimento Lateral De 1 1/4 De Onda Para Telhado Com Inclinação Máxima De 10°, Com Até 2 Águas, Incluso Içamento. Af_07/2019</v>
      </c>
      <c r="C824" s="365"/>
      <c r="D824" s="365"/>
      <c r="E824" s="365"/>
      <c r="F824" s="366"/>
      <c r="G824" s="91" t="str">
        <f>VLOOKUP($A824,SERVICOS,5,FALSE)</f>
        <v>m2</v>
      </c>
      <c r="H824" s="92">
        <f>ROUND(SUM(H826:H826),2)</f>
        <v>111.6</v>
      </c>
    </row>
    <row r="825" spans="1:8" ht="15" customHeight="1">
      <c r="A825" s="94" t="s">
        <v>938</v>
      </c>
      <c r="B825" s="94" t="s">
        <v>7320</v>
      </c>
      <c r="C825" s="95"/>
      <c r="D825" s="95"/>
      <c r="E825" s="94"/>
      <c r="F825" s="94"/>
      <c r="G825" s="94"/>
      <c r="H825" s="96"/>
    </row>
    <row r="826" spans="1:8" ht="15" customHeight="1">
      <c r="A826" s="204" t="s">
        <v>14389</v>
      </c>
      <c r="B826" s="98">
        <f>H817</f>
        <v>111.6</v>
      </c>
      <c r="C826" s="98"/>
      <c r="D826" s="98"/>
      <c r="E826" s="98"/>
      <c r="F826" s="98"/>
      <c r="G826" s="98"/>
      <c r="H826" s="98">
        <f>B826</f>
        <v>111.6</v>
      </c>
    </row>
    <row r="827" spans="1:8" s="93" customFormat="1" ht="30" customHeight="1">
      <c r="A827" s="91" t="s">
        <v>14385</v>
      </c>
      <c r="B827" s="364" t="str">
        <f>VLOOKUP($A827,SERVICOS,4,FALSE)</f>
        <v>Calha Em Chapa De Aço Galvanizado Número 24, Desenvolvimento De 50 Cm, Incluso Transporte Vertical. Af_07/2019</v>
      </c>
      <c r="C827" s="365"/>
      <c r="D827" s="365"/>
      <c r="E827" s="365"/>
      <c r="F827" s="366"/>
      <c r="G827" s="91" t="str">
        <f>VLOOKUP($A827,SERVICOS,5,FALSE)</f>
        <v>m</v>
      </c>
      <c r="H827" s="92">
        <f>ROUND(SUM(H829:H829),2)</f>
        <v>5.5</v>
      </c>
    </row>
    <row r="828" spans="1:8" ht="15" customHeight="1">
      <c r="A828" s="94" t="s">
        <v>938</v>
      </c>
      <c r="B828" s="94" t="s">
        <v>7320</v>
      </c>
      <c r="C828" s="95"/>
      <c r="D828" s="95"/>
      <c r="E828" s="94"/>
      <c r="F828" s="94"/>
      <c r="G828" s="94"/>
      <c r="H828" s="96"/>
    </row>
    <row r="829" spans="1:8" ht="15" customHeight="1">
      <c r="A829" s="97" t="s">
        <v>14387</v>
      </c>
      <c r="B829" s="98">
        <v>5.5</v>
      </c>
      <c r="C829" s="98"/>
      <c r="D829" s="98"/>
      <c r="E829" s="98"/>
      <c r="F829" s="98"/>
      <c r="G829" s="98"/>
      <c r="H829" s="98">
        <f>B829</f>
        <v>5.5</v>
      </c>
    </row>
    <row r="830" spans="1:8" s="93" customFormat="1" ht="30" customHeight="1">
      <c r="A830" s="91" t="s">
        <v>14386</v>
      </c>
      <c r="B830" s="364" t="str">
        <f>VLOOKUP($A830,SERVICOS,4,FALSE)</f>
        <v>Calha De Concreto Armado Fck=15 Mpa Em "U" Nas Dimensões De 38 X 56 Cm Conforme Detalhes Em Projeto</v>
      </c>
      <c r="C830" s="365"/>
      <c r="D830" s="365"/>
      <c r="E830" s="365"/>
      <c r="F830" s="366"/>
      <c r="G830" s="91" t="str">
        <f>VLOOKUP($A830,SERVICOS,5,FALSE)</f>
        <v>m</v>
      </c>
      <c r="H830" s="92">
        <f>ROUND(SUM(H832:H832),2)</f>
        <v>36.35</v>
      </c>
    </row>
    <row r="831" spans="1:8" ht="15" customHeight="1">
      <c r="A831" s="94" t="s">
        <v>938</v>
      </c>
      <c r="B831" s="94" t="s">
        <v>7320</v>
      </c>
      <c r="C831" s="95"/>
      <c r="D831" s="95"/>
      <c r="E831" s="94"/>
      <c r="F831" s="94"/>
      <c r="G831" s="94"/>
      <c r="H831" s="96"/>
    </row>
    <row r="832" spans="1:8" ht="15" customHeight="1">
      <c r="A832" s="97" t="s">
        <v>14853</v>
      </c>
      <c r="B832" s="98">
        <v>36.35</v>
      </c>
      <c r="C832" s="98"/>
      <c r="D832" s="98"/>
      <c r="E832" s="98"/>
      <c r="F832" s="98"/>
      <c r="G832" s="98"/>
      <c r="H832" s="98">
        <f>B832</f>
        <v>36.35</v>
      </c>
    </row>
    <row r="833" spans="1:8" s="93" customFormat="1" ht="30" customHeight="1">
      <c r="A833" s="91" t="s">
        <v>14390</v>
      </c>
      <c r="B833" s="364" t="str">
        <f>VLOOKUP($A833,SERVICOS,4,FALSE)</f>
        <v>Rufo Em Chapa De Aço Galvanizado Número 24, Corte De 25 Cm, Incluso Transporte Vertical. Af_07/2019</v>
      </c>
      <c r="C833" s="365"/>
      <c r="D833" s="365"/>
      <c r="E833" s="365"/>
      <c r="F833" s="366"/>
      <c r="G833" s="91" t="str">
        <f>VLOOKUP($A833,SERVICOS,5,FALSE)</f>
        <v>m</v>
      </c>
      <c r="H833" s="92">
        <f>ROUND(SUM(H836:H836),2)</f>
        <v>41.22</v>
      </c>
    </row>
    <row r="834" spans="1:8" ht="15" customHeight="1">
      <c r="A834" s="94" t="s">
        <v>938</v>
      </c>
      <c r="B834" s="94" t="s">
        <v>7320</v>
      </c>
      <c r="C834" s="95"/>
      <c r="D834" s="95"/>
      <c r="E834" s="94"/>
      <c r="F834" s="94"/>
      <c r="G834" s="94"/>
      <c r="H834" s="96"/>
    </row>
    <row r="835" spans="1:8" ht="15" customHeight="1">
      <c r="A835" s="97" t="str">
        <f>A829</f>
        <v>Caixa d'água</v>
      </c>
      <c r="B835" s="98">
        <f>18.3-B829</f>
        <v>12.8</v>
      </c>
      <c r="C835" s="98"/>
      <c r="D835" s="98"/>
      <c r="E835" s="98"/>
      <c r="F835" s="98"/>
      <c r="G835" s="98"/>
      <c r="H835" s="98">
        <f>B835</f>
        <v>12.8</v>
      </c>
    </row>
    <row r="836" spans="1:8" ht="15" customHeight="1">
      <c r="A836" s="97" t="str">
        <f>A832</f>
        <v>Sanitários/ depósito</v>
      </c>
      <c r="B836" s="98">
        <f>77.57-B832</f>
        <v>41.219999999999992</v>
      </c>
      <c r="C836" s="98"/>
      <c r="D836" s="98"/>
      <c r="E836" s="98"/>
      <c r="F836" s="98"/>
      <c r="G836" s="98"/>
      <c r="H836" s="98">
        <f>B836</f>
        <v>41.219999999999992</v>
      </c>
    </row>
    <row r="837" spans="1:8" s="93" customFormat="1" ht="30" customHeight="1">
      <c r="A837" s="91" t="s">
        <v>14421</v>
      </c>
      <c r="B837" s="364" t="str">
        <f>VLOOKUP($A837,SERVICOS,4,FALSE)</f>
        <v>Peitoril Linear Em Granito Ou Mármore, L = 15Cm, Comprimento De Até 2M, Assentado Com Argamassa 1:6 Com Aditivo. Af_11/2020</v>
      </c>
      <c r="C837" s="365"/>
      <c r="D837" s="365"/>
      <c r="E837" s="365"/>
      <c r="F837" s="366"/>
      <c r="G837" s="91" t="str">
        <f>VLOOKUP($A837,SERVICOS,5,FALSE)</f>
        <v>m</v>
      </c>
      <c r="H837" s="92">
        <f>ROUND(SUM(H840:H840),2)</f>
        <v>37.9</v>
      </c>
    </row>
    <row r="838" spans="1:8" ht="15" customHeight="1">
      <c r="A838" s="94" t="s">
        <v>938</v>
      </c>
      <c r="B838" s="94" t="s">
        <v>7320</v>
      </c>
      <c r="C838" s="95"/>
      <c r="D838" s="95"/>
      <c r="E838" s="94"/>
      <c r="F838" s="94"/>
      <c r="G838" s="94"/>
      <c r="H838" s="96"/>
    </row>
    <row r="839" spans="1:8" ht="15" customHeight="1">
      <c r="A839" s="97" t="s">
        <v>14387</v>
      </c>
      <c r="B839" s="98">
        <f>3.8*2+5.8</f>
        <v>13.399999999999999</v>
      </c>
      <c r="C839" s="98"/>
      <c r="D839" s="98"/>
      <c r="E839" s="98"/>
      <c r="F839" s="98"/>
      <c r="G839" s="98"/>
      <c r="H839" s="98">
        <f>B839</f>
        <v>13.399999999999999</v>
      </c>
    </row>
    <row r="840" spans="1:8" ht="15" customHeight="1">
      <c r="A840" s="97" t="s">
        <v>14388</v>
      </c>
      <c r="B840" s="98">
        <v>37.9</v>
      </c>
      <c r="C840" s="98"/>
      <c r="D840" s="98"/>
      <c r="E840" s="98"/>
      <c r="F840" s="98"/>
      <c r="G840" s="98"/>
      <c r="H840" s="98">
        <f>B840</f>
        <v>37.9</v>
      </c>
    </row>
    <row r="841" spans="1:8" ht="15" customHeight="1">
      <c r="A841" s="89" t="s">
        <v>12603</v>
      </c>
      <c r="B841" s="367" t="str">
        <f>VLOOKUP($A841,SERVICOS,4,FALSE)</f>
        <v>IMPERMEABILIZAÇÃO</v>
      </c>
      <c r="C841" s="367"/>
      <c r="D841" s="367"/>
      <c r="E841" s="367"/>
      <c r="F841" s="367"/>
      <c r="G841" s="367">
        <f>VLOOKUP($A841,SERVICOS,5,FALSE)</f>
        <v>0</v>
      </c>
      <c r="H841" s="367" t="e">
        <f>ROUND(SUM(#REF!),2)</f>
        <v>#REF!</v>
      </c>
    </row>
    <row r="842" spans="1:8" s="93" customFormat="1" ht="30" customHeight="1">
      <c r="A842" s="91" t="s">
        <v>12604</v>
      </c>
      <c r="B842" s="364" t="str">
        <f>VLOOKUP($A842,SERVICOS,4,FALSE)</f>
        <v>Impermeabilização De Superfície Com Argamassa De Cimento E Areia, Com Aditivo Impermeabilizante, E = 1,5Cm. Af_09/2023</v>
      </c>
      <c r="C842" s="365"/>
      <c r="D842" s="365"/>
      <c r="E842" s="365"/>
      <c r="F842" s="366"/>
      <c r="G842" s="91" t="str">
        <f>VLOOKUP($A842,SERVICOS,5,FALSE)</f>
        <v>m2</v>
      </c>
      <c r="H842" s="92">
        <f>ROUND(SUM(H844:H867),2)</f>
        <v>227.82</v>
      </c>
    </row>
    <row r="843" spans="1:8" ht="15" customHeight="1">
      <c r="A843" s="94" t="s">
        <v>938</v>
      </c>
      <c r="B843" s="94" t="s">
        <v>12639</v>
      </c>
      <c r="C843" s="95"/>
      <c r="D843" s="95"/>
      <c r="E843" s="94"/>
      <c r="F843" s="94"/>
      <c r="G843" s="94"/>
      <c r="H843" s="96"/>
    </row>
    <row r="844" spans="1:8" ht="15" customHeight="1">
      <c r="A844" s="370" t="s">
        <v>19123</v>
      </c>
      <c r="B844" s="371"/>
      <c r="C844" s="371"/>
      <c r="D844" s="371"/>
      <c r="E844" s="371"/>
      <c r="F844" s="371"/>
      <c r="G844" s="372"/>
      <c r="H844" s="98"/>
    </row>
    <row r="845" spans="1:8" ht="15" customHeight="1">
      <c r="A845" s="97" t="s">
        <v>14335</v>
      </c>
      <c r="B845" s="98">
        <v>18.52</v>
      </c>
      <c r="C845" s="98"/>
      <c r="D845" s="98"/>
      <c r="E845" s="98"/>
      <c r="F845" s="98"/>
      <c r="G845" s="98"/>
      <c r="H845" s="98">
        <f t="shared" ref="H845:H848" si="342">B845</f>
        <v>18.52</v>
      </c>
    </row>
    <row r="846" spans="1:8" ht="15" customHeight="1">
      <c r="A846" s="97" t="s">
        <v>14309</v>
      </c>
      <c r="B846" s="98">
        <v>3.45</v>
      </c>
      <c r="C846" s="98"/>
      <c r="D846" s="98"/>
      <c r="E846" s="98"/>
      <c r="F846" s="98"/>
      <c r="G846" s="98"/>
      <c r="H846" s="98">
        <f t="shared" si="342"/>
        <v>3.45</v>
      </c>
    </row>
    <row r="847" spans="1:8" ht="15" customHeight="1">
      <c r="A847" s="97" t="s">
        <v>14336</v>
      </c>
      <c r="B847" s="98">
        <v>18.52</v>
      </c>
      <c r="C847" s="98"/>
      <c r="D847" s="98"/>
      <c r="E847" s="98"/>
      <c r="F847" s="98"/>
      <c r="G847" s="98"/>
      <c r="H847" s="98">
        <f t="shared" si="342"/>
        <v>18.52</v>
      </c>
    </row>
    <row r="848" spans="1:8" ht="15" customHeight="1">
      <c r="A848" s="97" t="s">
        <v>14339</v>
      </c>
      <c r="B848" s="98">
        <v>4.5599999999999996</v>
      </c>
      <c r="C848" s="98"/>
      <c r="D848" s="98"/>
      <c r="E848" s="98"/>
      <c r="F848" s="98"/>
      <c r="G848" s="98"/>
      <c r="H848" s="98">
        <f t="shared" si="342"/>
        <v>4.5599999999999996</v>
      </c>
    </row>
    <row r="849" spans="1:8" ht="15" customHeight="1">
      <c r="A849" s="97" t="s">
        <v>14310</v>
      </c>
      <c r="B849" s="98">
        <v>11.86</v>
      </c>
      <c r="C849" s="98"/>
      <c r="D849" s="98"/>
      <c r="E849" s="98"/>
      <c r="F849" s="98"/>
      <c r="G849" s="98"/>
      <c r="H849" s="98">
        <f t="shared" ref="H849:H852" si="343">B849</f>
        <v>11.86</v>
      </c>
    </row>
    <row r="850" spans="1:8" ht="15" customHeight="1">
      <c r="A850" s="97" t="s">
        <v>14311</v>
      </c>
      <c r="B850" s="98">
        <v>9.86</v>
      </c>
      <c r="C850" s="98"/>
      <c r="D850" s="98"/>
      <c r="E850" s="98"/>
      <c r="F850" s="98"/>
      <c r="G850" s="98"/>
      <c r="H850" s="98">
        <f t="shared" si="343"/>
        <v>9.86</v>
      </c>
    </row>
    <row r="851" spans="1:8" ht="15" customHeight="1">
      <c r="A851" s="97" t="s">
        <v>14337</v>
      </c>
      <c r="B851" s="98">
        <v>2.85</v>
      </c>
      <c r="C851" s="98"/>
      <c r="D851" s="98"/>
      <c r="E851" s="98"/>
      <c r="F851" s="98"/>
      <c r="G851" s="98"/>
      <c r="H851" s="98">
        <f t="shared" si="343"/>
        <v>2.85</v>
      </c>
    </row>
    <row r="852" spans="1:8" ht="15" customHeight="1">
      <c r="A852" s="97" t="s">
        <v>14340</v>
      </c>
      <c r="B852" s="98">
        <v>2.87</v>
      </c>
      <c r="C852" s="98"/>
      <c r="D852" s="98"/>
      <c r="E852" s="98"/>
      <c r="F852" s="98"/>
      <c r="G852" s="98"/>
      <c r="H852" s="98">
        <f t="shared" si="343"/>
        <v>2.87</v>
      </c>
    </row>
    <row r="853" spans="1:8" ht="15" customHeight="1">
      <c r="A853" s="97" t="s">
        <v>14312</v>
      </c>
      <c r="B853" s="98">
        <v>11.46</v>
      </c>
      <c r="C853" s="98"/>
      <c r="D853" s="98"/>
      <c r="E853" s="98"/>
      <c r="F853" s="98"/>
      <c r="G853" s="98"/>
      <c r="H853" s="98">
        <f t="shared" ref="H853:H855" si="344">B853</f>
        <v>11.46</v>
      </c>
    </row>
    <row r="854" spans="1:8" ht="15" customHeight="1">
      <c r="A854" s="97" t="s">
        <v>14338</v>
      </c>
      <c r="B854" s="98">
        <v>2.92</v>
      </c>
      <c r="C854" s="98"/>
      <c r="D854" s="98"/>
      <c r="E854" s="98"/>
      <c r="F854" s="98"/>
      <c r="G854" s="98"/>
      <c r="H854" s="98">
        <f t="shared" si="344"/>
        <v>2.92</v>
      </c>
    </row>
    <row r="855" spans="1:8" ht="15" customHeight="1">
      <c r="A855" s="97" t="s">
        <v>14398</v>
      </c>
      <c r="B855" s="98">
        <v>12.33</v>
      </c>
      <c r="C855" s="98"/>
      <c r="D855" s="98"/>
      <c r="E855" s="98"/>
      <c r="F855" s="98"/>
      <c r="G855" s="98"/>
      <c r="H855" s="98">
        <f t="shared" si="344"/>
        <v>12.33</v>
      </c>
    </row>
    <row r="856" spans="1:8" ht="15" customHeight="1">
      <c r="A856" s="370" t="s">
        <v>19122</v>
      </c>
      <c r="B856" s="371"/>
      <c r="C856" s="371"/>
      <c r="D856" s="371"/>
      <c r="E856" s="371"/>
      <c r="F856" s="371"/>
      <c r="G856" s="372"/>
      <c r="H856" s="98"/>
    </row>
    <row r="857" spans="1:8" ht="15" customHeight="1">
      <c r="A857" s="97" t="s">
        <v>14335</v>
      </c>
      <c r="B857" s="98">
        <v>18.3</v>
      </c>
      <c r="C857" s="98">
        <v>1</v>
      </c>
      <c r="D857" s="98">
        <v>0.8</v>
      </c>
      <c r="E857" s="98"/>
      <c r="F857" s="98"/>
      <c r="G857" s="98"/>
      <c r="H857" s="98">
        <f>B857*C857-D857</f>
        <v>17.5</v>
      </c>
    </row>
    <row r="858" spans="1:8" ht="15" customHeight="1">
      <c r="A858" s="97" t="s">
        <v>14309</v>
      </c>
      <c r="B858" s="98">
        <v>7.6</v>
      </c>
      <c r="C858" s="98">
        <v>1</v>
      </c>
      <c r="D858" s="98">
        <v>0.8</v>
      </c>
      <c r="E858" s="98"/>
      <c r="F858" s="98"/>
      <c r="G858" s="98"/>
      <c r="H858" s="98">
        <f t="shared" ref="H858:H867" si="345">B858*C858-D858</f>
        <v>6.8</v>
      </c>
    </row>
    <row r="859" spans="1:8" ht="15" customHeight="1">
      <c r="A859" s="97" t="s">
        <v>14336</v>
      </c>
      <c r="B859" s="98">
        <v>18.3</v>
      </c>
      <c r="C859" s="98">
        <v>1</v>
      </c>
      <c r="D859" s="98">
        <v>0.8</v>
      </c>
      <c r="E859" s="98"/>
      <c r="F859" s="98"/>
      <c r="G859" s="98"/>
      <c r="H859" s="98">
        <f t="shared" si="345"/>
        <v>17.5</v>
      </c>
    </row>
    <row r="860" spans="1:8" ht="15" customHeight="1">
      <c r="A860" s="97" t="s">
        <v>14339</v>
      </c>
      <c r="B860" s="98">
        <v>10</v>
      </c>
      <c r="C860" s="98">
        <v>1</v>
      </c>
      <c r="D860" s="98">
        <v>0.8</v>
      </c>
      <c r="E860" s="98"/>
      <c r="F860" s="98"/>
      <c r="G860" s="98"/>
      <c r="H860" s="98">
        <f t="shared" si="345"/>
        <v>9.1999999999999993</v>
      </c>
    </row>
    <row r="861" spans="1:8" ht="15" customHeight="1">
      <c r="A861" s="97" t="s">
        <v>14310</v>
      </c>
      <c r="B861" s="98">
        <f>13.8+2.15</f>
        <v>15.950000000000001</v>
      </c>
      <c r="C861" s="98">
        <v>1</v>
      </c>
      <c r="D861" s="98">
        <v>0.8</v>
      </c>
      <c r="E861" s="205" t="s">
        <v>14854</v>
      </c>
      <c r="F861" s="98"/>
      <c r="G861" s="98"/>
      <c r="H861" s="98">
        <f t="shared" si="345"/>
        <v>15.15</v>
      </c>
    </row>
    <row r="862" spans="1:8" ht="15" customHeight="1">
      <c r="A862" s="97" t="s">
        <v>14311</v>
      </c>
      <c r="B862" s="98">
        <f>13.7+2.15</f>
        <v>15.85</v>
      </c>
      <c r="C862" s="98">
        <v>1</v>
      </c>
      <c r="D862" s="98">
        <v>0.8</v>
      </c>
      <c r="E862" s="205" t="s">
        <v>14854</v>
      </c>
      <c r="F862" s="98"/>
      <c r="G862" s="98"/>
      <c r="H862" s="98">
        <f t="shared" si="345"/>
        <v>15.049999999999999</v>
      </c>
    </row>
    <row r="863" spans="1:8" ht="15" customHeight="1">
      <c r="A863" s="97" t="s">
        <v>14337</v>
      </c>
      <c r="B863" s="98">
        <v>6.8</v>
      </c>
      <c r="C863" s="98">
        <v>1</v>
      </c>
      <c r="D863" s="98">
        <v>0.8</v>
      </c>
      <c r="E863" s="98"/>
      <c r="F863" s="98"/>
      <c r="G863" s="98"/>
      <c r="H863" s="98">
        <f t="shared" si="345"/>
        <v>6</v>
      </c>
    </row>
    <row r="864" spans="1:8" ht="15" customHeight="1">
      <c r="A864" s="97" t="s">
        <v>14340</v>
      </c>
      <c r="B864" s="98">
        <v>7.3</v>
      </c>
      <c r="C864" s="98">
        <v>1</v>
      </c>
      <c r="D864" s="98">
        <v>0.8</v>
      </c>
      <c r="E864" s="98"/>
      <c r="F864" s="98"/>
      <c r="G864" s="98"/>
      <c r="H864" s="98">
        <f t="shared" si="345"/>
        <v>6.5</v>
      </c>
    </row>
    <row r="865" spans="1:8" ht="15" customHeight="1">
      <c r="A865" s="97" t="s">
        <v>14312</v>
      </c>
      <c r="B865" s="98">
        <v>15.6</v>
      </c>
      <c r="C865" s="98">
        <v>1</v>
      </c>
      <c r="D865" s="98">
        <v>0.8</v>
      </c>
      <c r="E865" s="98"/>
      <c r="F865" s="98"/>
      <c r="G865" s="98"/>
      <c r="H865" s="98">
        <f t="shared" si="345"/>
        <v>14.799999999999999</v>
      </c>
    </row>
    <row r="866" spans="1:8" ht="15" customHeight="1">
      <c r="A866" s="97" t="s">
        <v>14338</v>
      </c>
      <c r="B866" s="98">
        <v>7.2</v>
      </c>
      <c r="C866" s="98">
        <v>1</v>
      </c>
      <c r="D866" s="98">
        <v>0.8</v>
      </c>
      <c r="E866" s="98"/>
      <c r="F866" s="98"/>
      <c r="G866" s="98"/>
      <c r="H866" s="98">
        <f t="shared" si="345"/>
        <v>6.4</v>
      </c>
    </row>
    <row r="867" spans="1:8" ht="15" customHeight="1">
      <c r="A867" s="97" t="s">
        <v>14398</v>
      </c>
      <c r="B867" s="98">
        <v>14.52</v>
      </c>
      <c r="C867" s="98">
        <v>1</v>
      </c>
      <c r="D867" s="98">
        <v>0.8</v>
      </c>
      <c r="E867" s="98"/>
      <c r="F867" s="98"/>
      <c r="G867" s="98"/>
      <c r="H867" s="98">
        <f t="shared" si="345"/>
        <v>13.719999999999999</v>
      </c>
    </row>
    <row r="868" spans="1:8" s="93" customFormat="1" ht="30" customHeight="1">
      <c r="A868" s="91" t="s">
        <v>14633</v>
      </c>
      <c r="B868" s="364" t="str">
        <f>VLOOKUP($A868,SERVICOS,4,FALSE)</f>
        <v>Impermeabilização De Superfície Com Manta Asfáltica, Uma Camada, Inclusive Aplicação De Primer Asfáltico, E=4Mm. Af_09/2023</v>
      </c>
      <c r="C868" s="365"/>
      <c r="D868" s="365"/>
      <c r="E868" s="365"/>
      <c r="F868" s="366"/>
      <c r="G868" s="91" t="str">
        <f>VLOOKUP($A868,SERVICOS,5,FALSE)</f>
        <v>m2</v>
      </c>
      <c r="H868" s="92">
        <f>SUM(H870:H871)</f>
        <v>65.905999999999992</v>
      </c>
    </row>
    <row r="869" spans="1:8" ht="15" customHeight="1">
      <c r="A869" s="94" t="s">
        <v>938</v>
      </c>
      <c r="B869" s="94" t="s">
        <v>14361</v>
      </c>
      <c r="C869" s="95" t="s">
        <v>14362</v>
      </c>
      <c r="D869" s="95" t="s">
        <v>14640</v>
      </c>
      <c r="E869" s="94"/>
      <c r="F869" s="94"/>
      <c r="G869" s="94"/>
      <c r="H869" s="96"/>
    </row>
    <row r="870" spans="1:8" ht="15" customHeight="1">
      <c r="A870" s="97" t="s">
        <v>14638</v>
      </c>
      <c r="B870" s="98">
        <v>20.079999999999998</v>
      </c>
      <c r="C870" s="98">
        <f>18.3*0.2</f>
        <v>3.66</v>
      </c>
      <c r="D870" s="98"/>
      <c r="E870" s="98"/>
      <c r="F870" s="98"/>
      <c r="G870" s="98"/>
      <c r="H870" s="98">
        <f>B870+C870</f>
        <v>23.74</v>
      </c>
    </row>
    <row r="871" spans="1:8" ht="15" customHeight="1">
      <c r="A871" s="97" t="s">
        <v>14639</v>
      </c>
      <c r="B871" s="98"/>
      <c r="C871" s="98"/>
      <c r="D871" s="98">
        <f>1.16*36.35</f>
        <v>42.165999999999997</v>
      </c>
      <c r="E871" s="98"/>
      <c r="F871" s="98"/>
      <c r="G871" s="98"/>
      <c r="H871" s="98">
        <f>D871</f>
        <v>42.165999999999997</v>
      </c>
    </row>
    <row r="872" spans="1:8" ht="30" customHeight="1">
      <c r="A872" s="376" t="s">
        <v>14855</v>
      </c>
      <c r="B872" s="379"/>
      <c r="C872" s="379"/>
      <c r="D872" s="379"/>
      <c r="E872" s="379"/>
      <c r="F872" s="379"/>
      <c r="G872" s="379"/>
      <c r="H872" s="380"/>
    </row>
    <row r="873" spans="1:8" s="93" customFormat="1" ht="30" customHeight="1">
      <c r="A873" s="91" t="s">
        <v>14634</v>
      </c>
      <c r="B873" s="364" t="str">
        <f>VLOOKUP($A873,SERVICOS,4,FALSE)</f>
        <v>Proteção Mecânica De Superfície Horizontal Com Argamassa De Cimento E Areia, Traço 1:3, E=2Cm. Af_09/2023</v>
      </c>
      <c r="C873" s="365"/>
      <c r="D873" s="365"/>
      <c r="E873" s="365"/>
      <c r="F873" s="366"/>
      <c r="G873" s="91" t="str">
        <f>VLOOKUP($A873,SERVICOS,5,FALSE)</f>
        <v>m2</v>
      </c>
      <c r="H873" s="92">
        <f>SUM(H875:H876)</f>
        <v>65.905999999999992</v>
      </c>
    </row>
    <row r="874" spans="1:8" ht="15" customHeight="1">
      <c r="A874" s="94" t="s">
        <v>938</v>
      </c>
      <c r="B874" s="94" t="s">
        <v>14361</v>
      </c>
      <c r="C874" s="95" t="s">
        <v>14362</v>
      </c>
      <c r="D874" s="95" t="s">
        <v>14640</v>
      </c>
      <c r="E874" s="94"/>
      <c r="F874" s="94"/>
      <c r="G874" s="94"/>
      <c r="H874" s="96"/>
    </row>
    <row r="875" spans="1:8" ht="15" customHeight="1">
      <c r="A875" s="97" t="str">
        <f>A870</f>
        <v>Laje caixa d'água</v>
      </c>
      <c r="B875" s="98">
        <f>B870</f>
        <v>20.079999999999998</v>
      </c>
      <c r="C875" s="98">
        <f>C870</f>
        <v>3.66</v>
      </c>
      <c r="D875" s="98"/>
      <c r="E875" s="98"/>
      <c r="F875" s="98"/>
      <c r="G875" s="98"/>
      <c r="H875" s="98">
        <f>B875+C875</f>
        <v>23.74</v>
      </c>
    </row>
    <row r="876" spans="1:8" ht="15" customHeight="1">
      <c r="A876" s="97" t="str">
        <f>A871</f>
        <v>Calha de concreto</v>
      </c>
      <c r="B876" s="98"/>
      <c r="C876" s="98"/>
      <c r="D876" s="98">
        <f>D871</f>
        <v>42.165999999999997</v>
      </c>
      <c r="E876" s="205" t="s">
        <v>14856</v>
      </c>
      <c r="F876" s="98"/>
      <c r="G876" s="98"/>
      <c r="H876" s="98">
        <f>D876</f>
        <v>42.165999999999997</v>
      </c>
    </row>
    <row r="877" spans="1:8" s="93" customFormat="1" ht="45" customHeight="1">
      <c r="A877" s="91" t="s">
        <v>14635</v>
      </c>
      <c r="B877" s="364" t="str">
        <f>VLOOKUP($A877,SERVICOS,4,FALSE)</f>
        <v>Contrapiso Em Argamassa Traço 1:4 (Cimento E Areia), Preparo Mecânico Com Betoneira 400 L, Aplicado Em Áreas Secas Sobre Laje, Aderido, Acabamento Não Reforçado, Espessura 2Cm. Af_07/2021</v>
      </c>
      <c r="C877" s="365"/>
      <c r="D877" s="365"/>
      <c r="E877" s="365"/>
      <c r="F877" s="366"/>
      <c r="G877" s="91" t="str">
        <f>VLOOKUP($A877,SERVICOS,5,FALSE)</f>
        <v>m2</v>
      </c>
      <c r="H877" s="92">
        <f>SUM(H879:H880)</f>
        <v>65.905999999999992</v>
      </c>
    </row>
    <row r="878" spans="1:8" ht="15" customHeight="1">
      <c r="A878" s="94" t="s">
        <v>938</v>
      </c>
      <c r="B878" s="94" t="s">
        <v>14361</v>
      </c>
      <c r="C878" s="95" t="s">
        <v>14362</v>
      </c>
      <c r="D878" s="95" t="s">
        <v>14640</v>
      </c>
      <c r="E878" s="94"/>
      <c r="F878" s="94"/>
      <c r="G878" s="94"/>
      <c r="H878" s="96"/>
    </row>
    <row r="879" spans="1:8" ht="15" customHeight="1">
      <c r="A879" s="97" t="str">
        <f>A870</f>
        <v>Laje caixa d'água</v>
      </c>
      <c r="B879" s="98">
        <f>B875</f>
        <v>20.079999999999998</v>
      </c>
      <c r="C879" s="98">
        <f>C875</f>
        <v>3.66</v>
      </c>
      <c r="D879" s="98"/>
      <c r="E879" s="98"/>
      <c r="F879" s="98"/>
      <c r="G879" s="98"/>
      <c r="H879" s="98">
        <f>B879+C879</f>
        <v>23.74</v>
      </c>
    </row>
    <row r="880" spans="1:8" ht="15" customHeight="1">
      <c r="A880" s="97" t="str">
        <f>A871</f>
        <v>Calha de concreto</v>
      </c>
      <c r="B880" s="98"/>
      <c r="C880" s="98"/>
      <c r="D880" s="98">
        <f>D876</f>
        <v>42.165999999999997</v>
      </c>
      <c r="E880" s="98"/>
      <c r="F880" s="98"/>
      <c r="G880" s="98"/>
      <c r="H880" s="98">
        <f>D880</f>
        <v>42.165999999999997</v>
      </c>
    </row>
    <row r="881" spans="1:8" s="93" customFormat="1" ht="30" customHeight="1">
      <c r="A881" s="91" t="s">
        <v>14636</v>
      </c>
      <c r="B881" s="364" t="str">
        <f>VLOOKUP($A881,SERVICOS,4,FALSE)</f>
        <v>Tratamento De Ralo Ou Ponto Emergente Com Argamassa Polimérica / Membrana Acrílica Reforçado Com Tela De Poliéster (Mav). Af_09/2023</v>
      </c>
      <c r="C881" s="365"/>
      <c r="D881" s="365"/>
      <c r="E881" s="365"/>
      <c r="F881" s="366"/>
      <c r="G881" s="91" t="str">
        <f>VLOOKUP($A881,SERVICOS,5,FALSE)</f>
        <v>un</v>
      </c>
      <c r="H881" s="92">
        <f>SUM(H883:H883)</f>
        <v>6</v>
      </c>
    </row>
    <row r="882" spans="1:8" ht="15" customHeight="1">
      <c r="A882" s="94" t="s">
        <v>938</v>
      </c>
      <c r="B882" s="94" t="s">
        <v>7319</v>
      </c>
      <c r="C882" s="95"/>
      <c r="D882" s="95"/>
      <c r="E882" s="94"/>
      <c r="F882" s="94"/>
      <c r="G882" s="94"/>
      <c r="H882" s="96"/>
    </row>
    <row r="883" spans="1:8" ht="15" customHeight="1">
      <c r="A883" s="97" t="str">
        <f>A880</f>
        <v>Calha de concreto</v>
      </c>
      <c r="B883" s="98">
        <v>6</v>
      </c>
      <c r="C883" s="205" t="s">
        <v>14857</v>
      </c>
      <c r="D883" s="98"/>
      <c r="E883" s="98"/>
      <c r="F883" s="98"/>
      <c r="G883" s="98"/>
      <c r="H883" s="98">
        <f>B883</f>
        <v>6</v>
      </c>
    </row>
    <row r="884" spans="1:8" ht="15" customHeight="1">
      <c r="A884" s="97" t="s">
        <v>14858</v>
      </c>
      <c r="B884" s="98"/>
      <c r="C884" s="98"/>
      <c r="D884" s="98"/>
      <c r="E884" s="98"/>
      <c r="F884" s="98"/>
      <c r="G884" s="98"/>
      <c r="H884" s="98"/>
    </row>
    <row r="885" spans="1:8" ht="15" customHeight="1">
      <c r="A885" s="89" t="s">
        <v>12605</v>
      </c>
      <c r="B885" s="367" t="str">
        <f>VLOOKUP($A885,SERVICOS,4,FALSE)</f>
        <v>REVESTIMENTOS INTERNO E EXTERNO</v>
      </c>
      <c r="C885" s="367"/>
      <c r="D885" s="367"/>
      <c r="E885" s="367"/>
      <c r="F885" s="367"/>
      <c r="G885" s="367">
        <f>VLOOKUP($A885,SERVICOS,5,FALSE)</f>
        <v>0</v>
      </c>
      <c r="H885" s="367" t="e">
        <f>ROUND(SUM(#REF!),2)</f>
        <v>#REF!</v>
      </c>
    </row>
    <row r="886" spans="1:8" ht="15" customHeight="1">
      <c r="A886" s="89" t="s">
        <v>12606</v>
      </c>
      <c r="B886" s="367" t="str">
        <f>VLOOKUP($A886,SERVICOS,4,FALSE)</f>
        <v>TETO</v>
      </c>
      <c r="C886" s="367"/>
      <c r="D886" s="367"/>
      <c r="E886" s="367"/>
      <c r="F886" s="367"/>
      <c r="G886" s="367">
        <f>VLOOKUP($A886,SERVICOS,5,FALSE)</f>
        <v>0</v>
      </c>
      <c r="H886" s="367" t="e">
        <f>ROUND(SUM(#REF!),2)</f>
        <v>#REF!</v>
      </c>
    </row>
    <row r="887" spans="1:8" s="93" customFormat="1" ht="45" customHeight="1">
      <c r="A887" s="91" t="s">
        <v>13930</v>
      </c>
      <c r="B887" s="364" t="str">
        <f>VLOOKUP($A887,SERVICOS,4,FALSE)</f>
        <v>Chapisco Aplicado No Teto Ou Em Alvenaria E Estrutura, Com Rolo Para Textura Acrílica. Argamassa Traço 1:4 E Emulsão Polimérica (Adesivo) Com Preparo Manual. Af_10/2022</v>
      </c>
      <c r="C887" s="365"/>
      <c r="D887" s="365"/>
      <c r="E887" s="365"/>
      <c r="F887" s="366"/>
      <c r="G887" s="91" t="str">
        <f>VLOOKUP($A887,SERVICOS,5,FALSE)</f>
        <v>m2</v>
      </c>
      <c r="H887" s="92">
        <f>ROUND(SUM(H889:H900),2)</f>
        <v>131.72</v>
      </c>
    </row>
    <row r="888" spans="1:8" ht="15" customHeight="1">
      <c r="A888" s="94" t="s">
        <v>938</v>
      </c>
      <c r="B888" s="94" t="s">
        <v>12639</v>
      </c>
      <c r="C888" s="94"/>
      <c r="D888" s="95"/>
      <c r="E888" s="94"/>
      <c r="F888" s="94"/>
      <c r="G888" s="94"/>
      <c r="H888" s="96"/>
    </row>
    <row r="889" spans="1:8" ht="15" customHeight="1">
      <c r="A889" s="97" t="s">
        <v>14335</v>
      </c>
      <c r="B889" s="98">
        <v>18.52</v>
      </c>
      <c r="C889" s="98"/>
      <c r="D889" s="98"/>
      <c r="E889" s="98"/>
      <c r="F889" s="98"/>
      <c r="G889" s="98"/>
      <c r="H889" s="98">
        <f t="shared" ref="H889:H900" si="346">B889</f>
        <v>18.52</v>
      </c>
    </row>
    <row r="890" spans="1:8" ht="15" customHeight="1">
      <c r="A890" s="97" t="s">
        <v>14309</v>
      </c>
      <c r="B890" s="98">
        <v>3.45</v>
      </c>
      <c r="C890" s="98"/>
      <c r="D890" s="98"/>
      <c r="E890" s="98"/>
      <c r="F890" s="98"/>
      <c r="G890" s="98"/>
      <c r="H890" s="98">
        <f t="shared" si="346"/>
        <v>3.45</v>
      </c>
    </row>
    <row r="891" spans="1:8" ht="15" customHeight="1">
      <c r="A891" s="97" t="s">
        <v>14336</v>
      </c>
      <c r="B891" s="98">
        <v>18.52</v>
      </c>
      <c r="C891" s="98"/>
      <c r="D891" s="98"/>
      <c r="E891" s="98"/>
      <c r="F891" s="98"/>
      <c r="G891" s="98"/>
      <c r="H891" s="98">
        <f t="shared" si="346"/>
        <v>18.52</v>
      </c>
    </row>
    <row r="892" spans="1:8" ht="15" customHeight="1">
      <c r="A892" s="97" t="s">
        <v>14339</v>
      </c>
      <c r="B892" s="98">
        <v>4.5599999999999996</v>
      </c>
      <c r="C892" s="98"/>
      <c r="D892" s="98"/>
      <c r="E892" s="98"/>
      <c r="F892" s="98"/>
      <c r="G892" s="98"/>
      <c r="H892" s="98">
        <f t="shared" si="346"/>
        <v>4.5599999999999996</v>
      </c>
    </row>
    <row r="893" spans="1:8" ht="15" customHeight="1">
      <c r="A893" s="97" t="s">
        <v>14310</v>
      </c>
      <c r="B893" s="98">
        <v>11.86</v>
      </c>
      <c r="C893" s="98"/>
      <c r="D893" s="98"/>
      <c r="E893" s="98"/>
      <c r="F893" s="98"/>
      <c r="G893" s="98"/>
      <c r="H893" s="98">
        <f t="shared" si="346"/>
        <v>11.86</v>
      </c>
    </row>
    <row r="894" spans="1:8" ht="15" customHeight="1">
      <c r="A894" s="97" t="s">
        <v>14311</v>
      </c>
      <c r="B894" s="98">
        <v>9.86</v>
      </c>
      <c r="C894" s="98"/>
      <c r="D894" s="98"/>
      <c r="E894" s="98"/>
      <c r="F894" s="98"/>
      <c r="G894" s="98"/>
      <c r="H894" s="98">
        <f t="shared" si="346"/>
        <v>9.86</v>
      </c>
    </row>
    <row r="895" spans="1:8" ht="15" customHeight="1">
      <c r="A895" s="97" t="s">
        <v>14337</v>
      </c>
      <c r="B895" s="98">
        <v>2.85</v>
      </c>
      <c r="C895" s="98"/>
      <c r="D895" s="98"/>
      <c r="E895" s="98"/>
      <c r="F895" s="98"/>
      <c r="G895" s="98"/>
      <c r="H895" s="98">
        <f t="shared" si="346"/>
        <v>2.85</v>
      </c>
    </row>
    <row r="896" spans="1:8" ht="15" customHeight="1">
      <c r="A896" s="97" t="s">
        <v>14340</v>
      </c>
      <c r="B896" s="98">
        <v>2.87</v>
      </c>
      <c r="C896" s="98"/>
      <c r="D896" s="98"/>
      <c r="E896" s="98"/>
      <c r="F896" s="98"/>
      <c r="G896" s="98"/>
      <c r="H896" s="98">
        <f t="shared" si="346"/>
        <v>2.87</v>
      </c>
    </row>
    <row r="897" spans="1:8" ht="15" customHeight="1">
      <c r="A897" s="97" t="s">
        <v>13899</v>
      </c>
      <c r="B897" s="98">
        <v>32.520000000000003</v>
      </c>
      <c r="C897" s="98"/>
      <c r="D897" s="98"/>
      <c r="E897" s="98"/>
      <c r="F897" s="98"/>
      <c r="G897" s="98"/>
      <c r="H897" s="98">
        <f t="shared" si="346"/>
        <v>32.520000000000003</v>
      </c>
    </row>
    <row r="898" spans="1:8" ht="15" customHeight="1">
      <c r="A898" s="97" t="s">
        <v>14312</v>
      </c>
      <c r="B898" s="98">
        <v>11.46</v>
      </c>
      <c r="C898" s="98"/>
      <c r="D898" s="98"/>
      <c r="E898" s="98"/>
      <c r="F898" s="98"/>
      <c r="G898" s="98"/>
      <c r="H898" s="98">
        <f t="shared" si="346"/>
        <v>11.46</v>
      </c>
    </row>
    <row r="899" spans="1:8" ht="15" customHeight="1">
      <c r="A899" s="97" t="s">
        <v>14338</v>
      </c>
      <c r="B899" s="98">
        <v>2.92</v>
      </c>
      <c r="C899" s="98"/>
      <c r="D899" s="98"/>
      <c r="E899" s="98"/>
      <c r="F899" s="98"/>
      <c r="G899" s="98"/>
      <c r="H899" s="98">
        <f t="shared" si="346"/>
        <v>2.92</v>
      </c>
    </row>
    <row r="900" spans="1:8" ht="15" customHeight="1">
      <c r="A900" s="97" t="s">
        <v>14398</v>
      </c>
      <c r="B900" s="98">
        <v>12.33</v>
      </c>
      <c r="C900" s="98"/>
      <c r="D900" s="98"/>
      <c r="E900" s="98"/>
      <c r="F900" s="98"/>
      <c r="G900" s="98"/>
      <c r="H900" s="98">
        <f t="shared" si="346"/>
        <v>12.33</v>
      </c>
    </row>
    <row r="901" spans="1:8" s="93" customFormat="1" ht="45" customHeight="1">
      <c r="A901" s="91" t="s">
        <v>13931</v>
      </c>
      <c r="B901" s="364" t="str">
        <f>VLOOKUP($A901,SERVICOS,4,FALSE)</f>
        <v>Massa Única, Para Recebimento De Pintura, Em Argamassa Traço 1:2:8, Preparo Manual, Aplicada Manualmente Em Teto, Espessura De 20Mm, Com Execução De Taliscas. Af_03/2015</v>
      </c>
      <c r="C901" s="365"/>
      <c r="D901" s="365"/>
      <c r="E901" s="365"/>
      <c r="F901" s="366"/>
      <c r="G901" s="91" t="str">
        <f>VLOOKUP($A901,SERVICOS,5,FALSE)</f>
        <v>m2</v>
      </c>
      <c r="H901" s="92">
        <f>ROUND(SUM(H903:H903),2)</f>
        <v>131.72</v>
      </c>
    </row>
    <row r="902" spans="1:8" ht="15" customHeight="1">
      <c r="A902" s="94" t="s">
        <v>938</v>
      </c>
      <c r="B902" s="94" t="s">
        <v>7319</v>
      </c>
      <c r="C902" s="95"/>
      <c r="D902" s="95"/>
      <c r="E902" s="94"/>
      <c r="F902" s="94"/>
      <c r="G902" s="94"/>
      <c r="H902" s="96"/>
    </row>
    <row r="903" spans="1:8" ht="15" customHeight="1">
      <c r="A903" s="97" t="s">
        <v>14358</v>
      </c>
      <c r="B903" s="98">
        <f>H887</f>
        <v>131.72</v>
      </c>
      <c r="C903" s="205"/>
      <c r="D903" s="98"/>
      <c r="E903" s="98"/>
      <c r="F903" s="98"/>
      <c r="G903" s="206"/>
      <c r="H903" s="98">
        <f>B903</f>
        <v>131.72</v>
      </c>
    </row>
    <row r="904" spans="1:8" ht="15" customHeight="1">
      <c r="A904" s="89" t="s">
        <v>12607</v>
      </c>
      <c r="B904" s="367" t="str">
        <f>VLOOKUP($A904,SERVICOS,4,FALSE)</f>
        <v>PAREDES INTERNAS</v>
      </c>
      <c r="C904" s="367"/>
      <c r="D904" s="367"/>
      <c r="E904" s="367"/>
      <c r="F904" s="367"/>
      <c r="G904" s="367">
        <f>VLOOKUP($A904,SERVICOS,5,FALSE)</f>
        <v>0</v>
      </c>
      <c r="H904" s="367" t="e">
        <f>ROUND(SUM(#REF!),2)</f>
        <v>#REF!</v>
      </c>
    </row>
    <row r="905" spans="1:8" s="93" customFormat="1" ht="45" customHeight="1">
      <c r="A905" s="91" t="s">
        <v>13932</v>
      </c>
      <c r="B905" s="364" t="str">
        <f>VLOOKUP($A905,SERVICOS,4,FALSE)</f>
        <v>Chapisco Aplicado Em Alvenarias E Estruturas De Concreto Internas, Com Colher De Pedreiro.  Argamassa Traço 1:3 Com Preparo Em Betoneira 400L. Af_10/2022</v>
      </c>
      <c r="C905" s="365"/>
      <c r="D905" s="365"/>
      <c r="E905" s="365"/>
      <c r="F905" s="366"/>
      <c r="G905" s="91" t="str">
        <f>VLOOKUP($A905,SERVICOS,5,FALSE)</f>
        <v>m2</v>
      </c>
      <c r="H905" s="92">
        <f>ROUND(SUM(H907:H926),2)</f>
        <v>1178.92</v>
      </c>
    </row>
    <row r="906" spans="1:8" ht="15" customHeight="1">
      <c r="A906" s="94" t="s">
        <v>938</v>
      </c>
      <c r="B906" s="94" t="s">
        <v>14193</v>
      </c>
      <c r="C906" s="94" t="s">
        <v>14192</v>
      </c>
      <c r="D906" s="95" t="s">
        <v>14359</v>
      </c>
      <c r="E906" s="94"/>
      <c r="F906" s="94"/>
      <c r="G906" s="94"/>
      <c r="H906" s="96"/>
    </row>
    <row r="907" spans="1:8" ht="15" customHeight="1">
      <c r="A907" s="97" t="s">
        <v>14335</v>
      </c>
      <c r="B907" s="98">
        <v>18.3</v>
      </c>
      <c r="C907" s="98">
        <v>3.25</v>
      </c>
      <c r="D907" s="98"/>
      <c r="E907" s="98"/>
      <c r="F907" s="98"/>
      <c r="G907" s="98"/>
      <c r="H907" s="98">
        <f>B907*C907</f>
        <v>59.475000000000001</v>
      </c>
    </row>
    <row r="908" spans="1:8" ht="15" customHeight="1">
      <c r="A908" s="97" t="s">
        <v>14309</v>
      </c>
      <c r="B908" s="98">
        <v>7.6</v>
      </c>
      <c r="C908" s="98">
        <v>3.25</v>
      </c>
      <c r="D908" s="98"/>
      <c r="E908" s="98"/>
      <c r="F908" s="98"/>
      <c r="G908" s="98"/>
      <c r="H908" s="98">
        <f t="shared" ref="H908:H925" si="347">B908*C908</f>
        <v>24.7</v>
      </c>
    </row>
    <row r="909" spans="1:8" ht="15" customHeight="1">
      <c r="A909" s="97" t="s">
        <v>14336</v>
      </c>
      <c r="B909" s="98">
        <v>18.3</v>
      </c>
      <c r="C909" s="98">
        <v>3.25</v>
      </c>
      <c r="D909" s="98"/>
      <c r="E909" s="98"/>
      <c r="F909" s="98"/>
      <c r="G909" s="98"/>
      <c r="H909" s="98">
        <f t="shared" si="347"/>
        <v>59.475000000000001</v>
      </c>
    </row>
    <row r="910" spans="1:8" ht="15" customHeight="1">
      <c r="A910" s="97" t="s">
        <v>14339</v>
      </c>
      <c r="B910" s="98">
        <v>10</v>
      </c>
      <c r="C910" s="98">
        <v>3.25</v>
      </c>
      <c r="D910" s="98"/>
      <c r="E910" s="98"/>
      <c r="F910" s="98"/>
      <c r="G910" s="98"/>
      <c r="H910" s="98">
        <f t="shared" si="347"/>
        <v>32.5</v>
      </c>
    </row>
    <row r="911" spans="1:8" ht="15" customHeight="1">
      <c r="A911" s="97" t="s">
        <v>14310</v>
      </c>
      <c r="B911" s="98">
        <v>13.8</v>
      </c>
      <c r="C911" s="98">
        <v>3.25</v>
      </c>
      <c r="D911" s="98"/>
      <c r="E911" s="98"/>
      <c r="F911" s="98"/>
      <c r="G911" s="98"/>
      <c r="H911" s="98">
        <f t="shared" si="347"/>
        <v>44.85</v>
      </c>
    </row>
    <row r="912" spans="1:8" ht="15" customHeight="1">
      <c r="A912" s="97" t="s">
        <v>14311</v>
      </c>
      <c r="B912" s="98">
        <v>13.7</v>
      </c>
      <c r="C912" s="98">
        <v>3.25</v>
      </c>
      <c r="D912" s="98"/>
      <c r="E912" s="98"/>
      <c r="F912" s="98"/>
      <c r="G912" s="98"/>
      <c r="H912" s="98">
        <f t="shared" si="347"/>
        <v>44.524999999999999</v>
      </c>
    </row>
    <row r="913" spans="1:8" ht="15" customHeight="1">
      <c r="A913" s="97" t="s">
        <v>14337</v>
      </c>
      <c r="B913" s="98">
        <v>6.8</v>
      </c>
      <c r="C913" s="98">
        <v>3.25</v>
      </c>
      <c r="D913" s="98"/>
      <c r="E913" s="98"/>
      <c r="F913" s="98"/>
      <c r="G913" s="98"/>
      <c r="H913" s="98">
        <f t="shared" si="347"/>
        <v>22.099999999999998</v>
      </c>
    </row>
    <row r="914" spans="1:8" ht="15" customHeight="1">
      <c r="A914" s="97" t="s">
        <v>14340</v>
      </c>
      <c r="B914" s="98">
        <v>7.3</v>
      </c>
      <c r="C914" s="98">
        <v>3.25</v>
      </c>
      <c r="D914" s="98"/>
      <c r="E914" s="98"/>
      <c r="F914" s="98"/>
      <c r="G914" s="98"/>
      <c r="H914" s="98">
        <f t="shared" si="347"/>
        <v>23.724999999999998</v>
      </c>
    </row>
    <row r="915" spans="1:8" ht="15" customHeight="1">
      <c r="A915" s="97" t="s">
        <v>13899</v>
      </c>
      <c r="B915" s="98">
        <v>36.9</v>
      </c>
      <c r="C915" s="98">
        <v>3.25</v>
      </c>
      <c r="D915" s="98"/>
      <c r="E915" s="98"/>
      <c r="F915" s="98"/>
      <c r="G915" s="98"/>
      <c r="H915" s="98">
        <f t="shared" si="347"/>
        <v>119.925</v>
      </c>
    </row>
    <row r="916" spans="1:8" ht="15" customHeight="1">
      <c r="A916" s="97" t="s">
        <v>14312</v>
      </c>
      <c r="B916" s="98">
        <v>15.6</v>
      </c>
      <c r="C916" s="98">
        <v>2.6</v>
      </c>
      <c r="D916" s="98"/>
      <c r="E916" s="98"/>
      <c r="F916" s="98"/>
      <c r="G916" s="98"/>
      <c r="H916" s="98">
        <f t="shared" si="347"/>
        <v>40.56</v>
      </c>
    </row>
    <row r="917" spans="1:8" ht="15" customHeight="1">
      <c r="A917" s="97" t="s">
        <v>14338</v>
      </c>
      <c r="B917" s="98">
        <v>7.2</v>
      </c>
      <c r="C917" s="98">
        <v>2.6</v>
      </c>
      <c r="D917" s="98"/>
      <c r="E917" s="98"/>
      <c r="F917" s="98"/>
      <c r="G917" s="98"/>
      <c r="H917" s="98">
        <f t="shared" si="347"/>
        <v>18.720000000000002</v>
      </c>
    </row>
    <row r="918" spans="1:8" ht="15" customHeight="1">
      <c r="A918" s="97" t="s">
        <v>14398</v>
      </c>
      <c r="B918" s="98">
        <v>14.52</v>
      </c>
      <c r="C918" s="98">
        <v>3.25</v>
      </c>
      <c r="D918" s="98"/>
      <c r="E918" s="98"/>
      <c r="F918" s="98"/>
      <c r="G918" s="98"/>
      <c r="H918" s="98">
        <f t="shared" si="347"/>
        <v>47.19</v>
      </c>
    </row>
    <row r="919" spans="1:8" ht="15" customHeight="1">
      <c r="A919" s="97" t="s">
        <v>14859</v>
      </c>
      <c r="B919" s="98">
        <f>2*2</f>
        <v>4</v>
      </c>
      <c r="C919" s="98">
        <v>2</v>
      </c>
      <c r="D919" s="98"/>
      <c r="E919" s="98"/>
      <c r="F919" s="98"/>
      <c r="G919" s="98"/>
      <c r="H919" s="98">
        <f t="shared" ref="H919" si="348">B919*C919</f>
        <v>8</v>
      </c>
    </row>
    <row r="920" spans="1:8" ht="15" customHeight="1">
      <c r="A920" s="97" t="s">
        <v>14872</v>
      </c>
      <c r="B920" s="98">
        <v>24.75</v>
      </c>
      <c r="C920" s="98">
        <v>6</v>
      </c>
      <c r="D920" s="98">
        <f>6.3*1.35+2.8*2.8*2</f>
        <v>24.184999999999999</v>
      </c>
      <c r="E920" s="205" t="s">
        <v>14860</v>
      </c>
      <c r="F920" s="98"/>
      <c r="G920" s="98"/>
      <c r="H920" s="98">
        <f>B920*C920-D920</f>
        <v>124.315</v>
      </c>
    </row>
    <row r="921" spans="1:8" ht="15" customHeight="1">
      <c r="A921" s="97" t="s">
        <v>14873</v>
      </c>
      <c r="B921" s="98">
        <v>24.75</v>
      </c>
      <c r="C921" s="98">
        <v>6</v>
      </c>
      <c r="D921" s="98"/>
      <c r="E921" s="98"/>
      <c r="F921" s="98"/>
      <c r="G921" s="98"/>
      <c r="H921" s="98">
        <f t="shared" si="347"/>
        <v>148.5</v>
      </c>
    </row>
    <row r="922" spans="1:8" ht="15" customHeight="1">
      <c r="A922" s="204" t="s">
        <v>14874</v>
      </c>
      <c r="B922" s="98">
        <v>42</v>
      </c>
      <c r="C922" s="98">
        <v>6</v>
      </c>
      <c r="D922" s="98">
        <f>36*1.35+2.8</f>
        <v>51.4</v>
      </c>
      <c r="E922" s="205" t="s">
        <v>14861</v>
      </c>
      <c r="F922" s="98"/>
      <c r="G922" s="98"/>
      <c r="H922" s="98">
        <f>B922*C922-D922</f>
        <v>200.6</v>
      </c>
    </row>
    <row r="923" spans="1:8" ht="15" customHeight="1">
      <c r="A923" s="204" t="s">
        <v>14460</v>
      </c>
      <c r="B923" s="98">
        <v>42</v>
      </c>
      <c r="C923" s="98">
        <v>6</v>
      </c>
      <c r="D923" s="98"/>
      <c r="E923" s="98"/>
      <c r="F923" s="98"/>
      <c r="G923" s="98"/>
      <c r="H923" s="98">
        <f t="shared" ref="H923:H924" si="349">B923*C923</f>
        <v>252</v>
      </c>
    </row>
    <row r="924" spans="1:8" ht="15" customHeight="1">
      <c r="A924" s="204" t="s">
        <v>14947</v>
      </c>
      <c r="B924" s="98">
        <v>18.3</v>
      </c>
      <c r="C924" s="98">
        <v>2.6</v>
      </c>
      <c r="D924" s="98"/>
      <c r="E924" s="98"/>
      <c r="F924" s="98"/>
      <c r="G924" s="98"/>
      <c r="H924" s="98">
        <f t="shared" si="349"/>
        <v>47.580000000000005</v>
      </c>
    </row>
    <row r="925" spans="1:8" ht="25.5">
      <c r="A925" s="204" t="s">
        <v>14948</v>
      </c>
      <c r="B925" s="98">
        <f>77.57-36.35</f>
        <v>41.219999999999992</v>
      </c>
      <c r="C925" s="98">
        <v>0.8</v>
      </c>
      <c r="D925" s="98"/>
      <c r="E925" s="98"/>
      <c r="F925" s="98"/>
      <c r="G925" s="98"/>
      <c r="H925" s="98">
        <f t="shared" si="347"/>
        <v>32.975999999999992</v>
      </c>
    </row>
    <row r="926" spans="1:8" ht="15" customHeight="1">
      <c r="A926" s="204" t="s">
        <v>14846</v>
      </c>
      <c r="B926" s="236"/>
      <c r="C926" s="237"/>
      <c r="D926" s="237"/>
      <c r="E926" s="237"/>
      <c r="F926" s="238"/>
      <c r="G926" s="98"/>
      <c r="H926" s="98">
        <f>-H669</f>
        <v>-172.8</v>
      </c>
    </row>
    <row r="927" spans="1:8" s="93" customFormat="1" ht="60" customHeight="1">
      <c r="A927" s="91" t="s">
        <v>13933</v>
      </c>
      <c r="B927" s="364" t="str">
        <f>VLOOKUP($A927,SERVICOS,4,FALSE)</f>
        <v>Emboço, Para Recebimento De Cerâmica, Em Argamassa Traço 1:2:8, Preparo Manual, Aplicado Manualmente Em Faces Internas De Paredes, Para Ambiente Com Área  Maior Que 10M2, Espessura De 20Mm, Com Execução De Taliscas. Af_06/2014</v>
      </c>
      <c r="C927" s="365"/>
      <c r="D927" s="365"/>
      <c r="E927" s="365"/>
      <c r="F927" s="366"/>
      <c r="G927" s="91" t="str">
        <f>VLOOKUP($A927,SERVICOS,5,FALSE)</f>
        <v>m2</v>
      </c>
      <c r="H927" s="92">
        <f>ROUND(SUM(H929:H929),2)</f>
        <v>310.37</v>
      </c>
    </row>
    <row r="928" spans="1:8" ht="15" customHeight="1">
      <c r="A928" s="94" t="s">
        <v>938</v>
      </c>
      <c r="B928" s="94" t="s">
        <v>7319</v>
      </c>
      <c r="C928" s="95"/>
      <c r="D928" s="95"/>
      <c r="E928" s="94"/>
      <c r="F928" s="94"/>
      <c r="G928" s="94"/>
      <c r="H928" s="96"/>
    </row>
    <row r="929" spans="1:8" ht="15" customHeight="1">
      <c r="A929" s="97" t="s">
        <v>14876</v>
      </c>
      <c r="B929" s="98">
        <f>H933</f>
        <v>310.37</v>
      </c>
      <c r="C929" s="98"/>
      <c r="D929" s="98"/>
      <c r="E929" s="98"/>
      <c r="F929" s="98"/>
      <c r="G929" s="98"/>
      <c r="H929" s="98">
        <f>B929</f>
        <v>310.37</v>
      </c>
    </row>
    <row r="930" spans="1:8" s="93" customFormat="1" ht="60" customHeight="1">
      <c r="A930" s="91" t="s">
        <v>13934</v>
      </c>
      <c r="B930" s="364" t="str">
        <f>VLOOKUP($A930,SERVICOS,4,FALSE)</f>
        <v>Massa Única, Para Recebimento De Pintura, Em Argamassa Traço 1:2:8, Preparo Mecânico Com Betoneira 400L, Aplicada Manualmente Em Faces Internas De Paredes, Espessura De 20Mm, Com Execução De Taliscas. Af_06/2014</v>
      </c>
      <c r="C930" s="365"/>
      <c r="D930" s="365"/>
      <c r="E930" s="365"/>
      <c r="F930" s="366"/>
      <c r="G930" s="91" t="str">
        <f>VLOOKUP($A930,SERVICOS,5,FALSE)</f>
        <v>m2</v>
      </c>
      <c r="H930" s="92">
        <f>ROUND(SUM(H932:H932),2)</f>
        <v>868.55</v>
      </c>
    </row>
    <row r="931" spans="1:8" ht="15" customHeight="1">
      <c r="A931" s="94" t="s">
        <v>938</v>
      </c>
      <c r="B931" s="94" t="s">
        <v>7319</v>
      </c>
      <c r="C931" s="95"/>
      <c r="D931" s="95"/>
      <c r="E931" s="94"/>
      <c r="F931" s="94"/>
      <c r="G931" s="94"/>
      <c r="H931" s="96"/>
    </row>
    <row r="932" spans="1:8" ht="15" customHeight="1">
      <c r="A932" s="97" t="s">
        <v>13904</v>
      </c>
      <c r="B932" s="98">
        <f>H905-H927</f>
        <v>868.55000000000007</v>
      </c>
      <c r="C932" s="205" t="s">
        <v>14862</v>
      </c>
      <c r="D932" s="98"/>
      <c r="E932" s="98"/>
      <c r="F932" s="98"/>
      <c r="G932" s="206"/>
      <c r="H932" s="98">
        <f>B932</f>
        <v>868.55000000000007</v>
      </c>
    </row>
    <row r="933" spans="1:8" s="93" customFormat="1" ht="45" customHeight="1">
      <c r="A933" s="91" t="s">
        <v>13935</v>
      </c>
      <c r="B933" s="364" t="str">
        <f>VLOOKUP($A933,SERVICOS,4,FALSE)</f>
        <v>*Verificar código*</v>
      </c>
      <c r="C933" s="365"/>
      <c r="D933" s="365"/>
      <c r="E933" s="365"/>
      <c r="F933" s="366"/>
      <c r="G933" s="91" t="str">
        <f>VLOOKUP($A933,SERVICOS,5,FALSE)</f>
        <v/>
      </c>
      <c r="H933" s="92">
        <f>ROUND(SUM(H935:H943),2)</f>
        <v>310.37</v>
      </c>
    </row>
    <row r="934" spans="1:8" ht="38.25">
      <c r="A934" s="94" t="s">
        <v>938</v>
      </c>
      <c r="B934" s="94" t="s">
        <v>14193</v>
      </c>
      <c r="C934" s="94" t="s">
        <v>14192</v>
      </c>
      <c r="D934" s="95" t="s">
        <v>14637</v>
      </c>
      <c r="E934" s="95" t="s">
        <v>14863</v>
      </c>
      <c r="F934" s="94"/>
      <c r="G934" s="94"/>
      <c r="H934" s="96"/>
    </row>
    <row r="935" spans="1:8" ht="15" customHeight="1">
      <c r="A935" s="97" t="s">
        <v>14335</v>
      </c>
      <c r="B935" s="98">
        <v>18.3</v>
      </c>
      <c r="C935" s="98">
        <v>3.25</v>
      </c>
      <c r="D935" s="98">
        <f>0.8*2.1</f>
        <v>1.6800000000000002</v>
      </c>
      <c r="E935" s="98">
        <f>H671</f>
        <v>2.08</v>
      </c>
      <c r="F935" s="98"/>
      <c r="G935" s="98"/>
      <c r="H935" s="98">
        <f>B935*C935-D935-E935</f>
        <v>55.715000000000003</v>
      </c>
    </row>
    <row r="936" spans="1:8" ht="15" customHeight="1">
      <c r="A936" s="97" t="s">
        <v>14309</v>
      </c>
      <c r="B936" s="98">
        <v>7.6</v>
      </c>
      <c r="C936" s="98">
        <v>3.25</v>
      </c>
      <c r="D936" s="98">
        <f t="shared" ref="D936:D941" si="350">0.8*2.1</f>
        <v>1.6800000000000002</v>
      </c>
      <c r="E936" s="98">
        <f>H672</f>
        <v>0.48</v>
      </c>
      <c r="F936" s="98"/>
      <c r="G936" s="98"/>
      <c r="H936" s="98">
        <f t="shared" ref="H936:H943" si="351">B936*C936</f>
        <v>24.7</v>
      </c>
    </row>
    <row r="937" spans="1:8" ht="15" customHeight="1">
      <c r="A937" s="97" t="s">
        <v>14336</v>
      </c>
      <c r="B937" s="98">
        <v>18.3</v>
      </c>
      <c r="C937" s="98">
        <v>3.25</v>
      </c>
      <c r="D937" s="98">
        <f t="shared" si="350"/>
        <v>1.6800000000000002</v>
      </c>
      <c r="E937" s="98">
        <f>H673</f>
        <v>2.08</v>
      </c>
      <c r="F937" s="98"/>
      <c r="G937" s="98"/>
      <c r="H937" s="98">
        <f t="shared" si="351"/>
        <v>59.475000000000001</v>
      </c>
    </row>
    <row r="938" spans="1:8" ht="15" customHeight="1">
      <c r="A938" s="97" t="s">
        <v>14310</v>
      </c>
      <c r="B938" s="98">
        <v>13.8</v>
      </c>
      <c r="C938" s="98">
        <v>3.25</v>
      </c>
      <c r="D938" s="98">
        <f t="shared" si="350"/>
        <v>1.6800000000000002</v>
      </c>
      <c r="E938" s="98">
        <f>H674</f>
        <v>1.2800000000000002</v>
      </c>
      <c r="F938" s="98"/>
      <c r="G938" s="98"/>
      <c r="H938" s="98">
        <f t="shared" si="351"/>
        <v>44.85</v>
      </c>
    </row>
    <row r="939" spans="1:8" ht="15" customHeight="1">
      <c r="A939" s="97" t="s">
        <v>14311</v>
      </c>
      <c r="B939" s="98">
        <v>13.7</v>
      </c>
      <c r="C939" s="98">
        <v>3.25</v>
      </c>
      <c r="D939" s="98">
        <f t="shared" si="350"/>
        <v>1.6800000000000002</v>
      </c>
      <c r="E939" s="98">
        <f>H675</f>
        <v>1.6</v>
      </c>
      <c r="F939" s="98"/>
      <c r="G939" s="98"/>
      <c r="H939" s="98">
        <f t="shared" si="351"/>
        <v>44.524999999999999</v>
      </c>
    </row>
    <row r="940" spans="1:8" ht="15" customHeight="1">
      <c r="A940" s="97" t="s">
        <v>14337</v>
      </c>
      <c r="B940" s="98">
        <v>6.8</v>
      </c>
      <c r="C940" s="98">
        <v>3.25</v>
      </c>
      <c r="D940" s="98">
        <f t="shared" si="350"/>
        <v>1.6800000000000002</v>
      </c>
      <c r="E940" s="98" t="s">
        <v>7251</v>
      </c>
      <c r="F940" s="98"/>
      <c r="G940" s="98"/>
      <c r="H940" s="98">
        <f t="shared" si="351"/>
        <v>22.099999999999998</v>
      </c>
    </row>
    <row r="941" spans="1:8" ht="15" customHeight="1">
      <c r="A941" s="97" t="s">
        <v>14338</v>
      </c>
      <c r="B941" s="98">
        <v>7.2</v>
      </c>
      <c r="C941" s="98">
        <v>2.65</v>
      </c>
      <c r="D941" s="98">
        <f t="shared" si="350"/>
        <v>1.6800000000000002</v>
      </c>
      <c r="E941" s="98">
        <f>H678</f>
        <v>0.32000000000000006</v>
      </c>
      <c r="F941" s="98"/>
      <c r="G941" s="98"/>
      <c r="H941" s="98">
        <f t="shared" si="351"/>
        <v>19.079999999999998</v>
      </c>
    </row>
    <row r="942" spans="1:8" ht="15" customHeight="1">
      <c r="A942" s="97" t="s">
        <v>14398</v>
      </c>
      <c r="B942" s="98">
        <v>11.7</v>
      </c>
      <c r="C942" s="98">
        <v>3.25</v>
      </c>
      <c r="D942" s="98">
        <f>0.8*2.1+1.5*1.5</f>
        <v>3.93</v>
      </c>
      <c r="E942" s="205" t="s">
        <v>14864</v>
      </c>
      <c r="F942" s="98"/>
      <c r="G942" s="98"/>
      <c r="H942" s="98">
        <f t="shared" ref="H942" si="352">B942*C942</f>
        <v>38.024999999999999</v>
      </c>
    </row>
    <row r="943" spans="1:8" ht="15" customHeight="1">
      <c r="A943" s="97" t="s">
        <v>14951</v>
      </c>
      <c r="B943" s="98">
        <f>2.65+2.11</f>
        <v>4.76</v>
      </c>
      <c r="C943" s="98">
        <v>0.4</v>
      </c>
      <c r="D943" s="98" t="s">
        <v>7251</v>
      </c>
      <c r="E943" s="205"/>
      <c r="F943" s="98"/>
      <c r="G943" s="98"/>
      <c r="H943" s="98">
        <f t="shared" si="351"/>
        <v>1.9039999999999999</v>
      </c>
    </row>
    <row r="944" spans="1:8" ht="15" customHeight="1">
      <c r="A944" s="89" t="s">
        <v>14235</v>
      </c>
      <c r="B944" s="367" t="str">
        <f>VLOOKUP($A944,SERVICOS,4,FALSE)</f>
        <v>PAREDES EXTERNAS</v>
      </c>
      <c r="C944" s="367"/>
      <c r="D944" s="367"/>
      <c r="E944" s="367"/>
      <c r="F944" s="367"/>
      <c r="G944" s="367">
        <f>VLOOKUP($A944,SERVICOS,5,FALSE)</f>
        <v>0</v>
      </c>
      <c r="H944" s="367" t="e">
        <f>ROUND(SUM(#REF!),2)</f>
        <v>#REF!</v>
      </c>
    </row>
    <row r="945" spans="1:8" s="93" customFormat="1" ht="45" customHeight="1">
      <c r="A945" s="91" t="s">
        <v>14236</v>
      </c>
      <c r="B945" s="364" t="str">
        <f>VLOOKUP($A945,SERVICOS,4,FALSE)</f>
        <v>Chapisco Aplicado Em Alvenaria (Com Presença De Vãos) E Estruturas De Concreto De Fachada, Com Colher De Pedreiro.  Argamassa Traço 1:3 Com Preparo Manual. Af_10/2022</v>
      </c>
      <c r="C945" s="365"/>
      <c r="D945" s="365"/>
      <c r="E945" s="365"/>
      <c r="F945" s="366"/>
      <c r="G945" s="91" t="str">
        <f>VLOOKUP($A945,SERVICOS,5,FALSE)</f>
        <v>m2</v>
      </c>
      <c r="H945" s="92">
        <f>ROUND(SUM(H947:H953),2)</f>
        <v>766.98</v>
      </c>
    </row>
    <row r="946" spans="1:8" ht="38.25">
      <c r="A946" s="94" t="s">
        <v>938</v>
      </c>
      <c r="B946" s="94" t="s">
        <v>7319</v>
      </c>
      <c r="C946" s="95" t="s">
        <v>7320</v>
      </c>
      <c r="D946" s="95" t="s">
        <v>14192</v>
      </c>
      <c r="E946" s="95" t="s">
        <v>14869</v>
      </c>
      <c r="F946" s="95" t="s">
        <v>14889</v>
      </c>
      <c r="G946" s="94"/>
      <c r="H946" s="96"/>
    </row>
    <row r="947" spans="1:8" ht="15" customHeight="1">
      <c r="A947" s="97" t="s">
        <v>14316</v>
      </c>
      <c r="B947" s="98">
        <v>1</v>
      </c>
      <c r="C947" s="98">
        <v>25.5</v>
      </c>
      <c r="D947" s="98">
        <v>6.6</v>
      </c>
      <c r="E947" s="98" t="s">
        <v>7251</v>
      </c>
      <c r="F947" s="98">
        <f>2.8*2.8*2</f>
        <v>15.679999999999998</v>
      </c>
      <c r="G947" s="98"/>
      <c r="H947" s="98">
        <f>B947*C947*D947-F947</f>
        <v>152.61999999999998</v>
      </c>
    </row>
    <row r="948" spans="1:8" ht="15" customHeight="1">
      <c r="A948" s="97" t="s">
        <v>14459</v>
      </c>
      <c r="B948" s="98">
        <v>1</v>
      </c>
      <c r="C948" s="98">
        <v>25.5</v>
      </c>
      <c r="D948" s="98">
        <v>6</v>
      </c>
      <c r="E948" s="98" t="s">
        <v>7251</v>
      </c>
      <c r="F948" s="98"/>
      <c r="G948" s="98"/>
      <c r="H948" s="98">
        <f t="shared" ref="H948:H951" si="353">B948*C948*D948</f>
        <v>153</v>
      </c>
    </row>
    <row r="949" spans="1:8" ht="25.5">
      <c r="A949" s="204" t="s">
        <v>14870</v>
      </c>
      <c r="B949" s="98">
        <v>1</v>
      </c>
      <c r="C949" s="98">
        <v>36.35</v>
      </c>
      <c r="D949" s="98">
        <v>2.2000000000000002</v>
      </c>
      <c r="E949" s="98">
        <f>5.6*1.6*6</f>
        <v>53.759999999999991</v>
      </c>
      <c r="F949" s="98"/>
      <c r="G949" s="98"/>
      <c r="H949" s="98">
        <f>B949*C949*D949-E949</f>
        <v>26.210000000000022</v>
      </c>
    </row>
    <row r="950" spans="1:8" ht="25.5">
      <c r="A950" s="204" t="s">
        <v>14871</v>
      </c>
      <c r="B950" s="98">
        <v>1</v>
      </c>
      <c r="C950" s="98">
        <v>21.1</v>
      </c>
      <c r="D950" s="98">
        <v>4.2</v>
      </c>
      <c r="E950" s="98">
        <f>H671+H672+H673+H674+H675</f>
        <v>7.5200000000000014</v>
      </c>
      <c r="F950" s="98"/>
      <c r="G950" s="98"/>
      <c r="H950" s="98">
        <f>B950*C950*D950-E950</f>
        <v>81.100000000000009</v>
      </c>
    </row>
    <row r="951" spans="1:8" ht="15" customHeight="1">
      <c r="A951" s="204" t="s">
        <v>14459</v>
      </c>
      <c r="B951" s="98">
        <v>1</v>
      </c>
      <c r="C951" s="98">
        <v>30.3</v>
      </c>
      <c r="D951" s="98">
        <v>6</v>
      </c>
      <c r="E951" s="98"/>
      <c r="F951" s="98"/>
      <c r="G951" s="98"/>
      <c r="H951" s="98">
        <f t="shared" si="353"/>
        <v>181.8</v>
      </c>
    </row>
    <row r="952" spans="1:8" ht="15" customHeight="1">
      <c r="A952" s="97" t="s">
        <v>14460</v>
      </c>
      <c r="B952" s="98">
        <v>1</v>
      </c>
      <c r="C952" s="98">
        <v>42.3</v>
      </c>
      <c r="D952" s="98">
        <f>(6+6.6)/2</f>
        <v>6.3</v>
      </c>
      <c r="E952" s="98">
        <f>5.7*2.4*7</f>
        <v>95.759999999999991</v>
      </c>
      <c r="F952" s="98">
        <f>2.8</f>
        <v>2.8</v>
      </c>
      <c r="G952" s="98"/>
      <c r="H952" s="98">
        <f>B952*C952*D952-E952-F952</f>
        <v>167.92999999999995</v>
      </c>
    </row>
    <row r="953" spans="1:8" ht="15" customHeight="1">
      <c r="A953" s="97" t="s">
        <v>14917</v>
      </c>
      <c r="B953" s="98">
        <v>2</v>
      </c>
      <c r="C953" s="98">
        <v>7.2</v>
      </c>
      <c r="D953" s="98">
        <v>0.3</v>
      </c>
      <c r="E953" s="98"/>
      <c r="F953" s="98"/>
      <c r="G953" s="98"/>
      <c r="H953" s="98">
        <f>B953*C953*D953-E953-F953</f>
        <v>4.32</v>
      </c>
    </row>
    <row r="954" spans="1:8" s="93" customFormat="1" ht="60" customHeight="1">
      <c r="A954" s="91" t="s">
        <v>14237</v>
      </c>
      <c r="B954" s="364" t="str">
        <f>VLOOKUP($A954,SERVICOS,4,FALSE)</f>
        <v>Emboço Ou Massa Única Em Argamassa Traço 1:2:8, Preparo Mecânico Com Betoneira 400 L, Aplicada Manualmente Em Panos Cegos De Fachada (Sem Presença De Vãos), Espessura De 25 Mm. Af_08/2022</v>
      </c>
      <c r="C954" s="365"/>
      <c r="D954" s="365"/>
      <c r="E954" s="365"/>
      <c r="F954" s="366"/>
      <c r="G954" s="91" t="str">
        <f>VLOOKUP($A954,SERVICOS,5,FALSE)</f>
        <v>m2</v>
      </c>
      <c r="H954" s="92">
        <f>ROUND(SUM(H956:H956),2)</f>
        <v>766.98</v>
      </c>
    </row>
    <row r="955" spans="1:8" ht="15" customHeight="1">
      <c r="A955" s="94" t="s">
        <v>938</v>
      </c>
      <c r="B955" s="94" t="s">
        <v>7319</v>
      </c>
      <c r="C955" s="95"/>
      <c r="D955" s="95"/>
      <c r="E955" s="94"/>
      <c r="F955" s="94"/>
      <c r="G955" s="94"/>
      <c r="H955" s="96"/>
    </row>
    <row r="956" spans="1:8" ht="15" customHeight="1">
      <c r="A956" s="97" t="s">
        <v>14875</v>
      </c>
      <c r="B956" s="98">
        <f>H945</f>
        <v>766.98</v>
      </c>
      <c r="C956" s="98"/>
      <c r="D956" s="98"/>
      <c r="E956" s="98"/>
      <c r="F956" s="98"/>
      <c r="G956" s="98"/>
      <c r="H956" s="98">
        <f>B956</f>
        <v>766.98</v>
      </c>
    </row>
    <row r="957" spans="1:8" ht="15" customHeight="1">
      <c r="A957" s="89" t="s">
        <v>12608</v>
      </c>
      <c r="B957" s="367" t="str">
        <f>VLOOKUP($A957,SERVICOS,4,FALSE)</f>
        <v>SISTEMAS DE PISOS</v>
      </c>
      <c r="C957" s="367"/>
      <c r="D957" s="367"/>
      <c r="E957" s="367"/>
      <c r="F957" s="367"/>
      <c r="G957" s="367">
        <f>VLOOKUP($A957,SERVICOS,5,FALSE)</f>
        <v>0</v>
      </c>
      <c r="H957" s="367" t="e">
        <f>ROUND(SUM(#REF!),2)</f>
        <v>#REF!</v>
      </c>
    </row>
    <row r="958" spans="1:8" ht="15" customHeight="1">
      <c r="A958" s="89" t="s">
        <v>12609</v>
      </c>
      <c r="B958" s="367" t="str">
        <f>VLOOKUP($A958,SERVICOS,4,FALSE)</f>
        <v>PAVIMENTAÇÃO INTERNA</v>
      </c>
      <c r="C958" s="367"/>
      <c r="D958" s="367"/>
      <c r="E958" s="367"/>
      <c r="F958" s="367"/>
      <c r="G958" s="367">
        <f>VLOOKUP($A958,SERVICOS,5,FALSE)</f>
        <v>0</v>
      </c>
      <c r="H958" s="367" t="e">
        <f>ROUND(SUM(#REF!),2)</f>
        <v>#REF!</v>
      </c>
    </row>
    <row r="959" spans="1:8" s="93" customFormat="1" ht="60" customHeight="1">
      <c r="A959" s="91" t="s">
        <v>13936</v>
      </c>
      <c r="B959" s="364" t="str">
        <f>VLOOKUP($A959,SERVICOS,4,FALSE)</f>
        <v>Piso Quadra Poliesp. Fck=25Mpa, Esp.=10 Cm, Armado C/ Tela Q138, Concret Camada Única Bombeável C/ Brita N. 1, Acab. Sup. C/ Rotoalisador, Juntas C/ Corte Serra Diamant. Preench. C/ Mastique, Base 5Cm Solo Brita 30% E Resina Endur</v>
      </c>
      <c r="C959" s="365"/>
      <c r="D959" s="365"/>
      <c r="E959" s="365"/>
      <c r="F959" s="366"/>
      <c r="G959" s="91" t="str">
        <f>VLOOKUP($A959,SERVICOS,5,FALSE)</f>
        <v>m2</v>
      </c>
      <c r="H959" s="92">
        <f>ROUND(SUM(H961:H961),2)</f>
        <v>798.09</v>
      </c>
    </row>
    <row r="960" spans="1:8" ht="15" customHeight="1">
      <c r="A960" s="94" t="s">
        <v>938</v>
      </c>
      <c r="B960" s="94" t="s">
        <v>12639</v>
      </c>
      <c r="C960" s="95"/>
      <c r="D960" s="95"/>
      <c r="E960" s="94"/>
      <c r="F960" s="94"/>
      <c r="G960" s="94"/>
      <c r="H960" s="96"/>
    </row>
    <row r="961" spans="1:8" ht="15" customHeight="1">
      <c r="A961" s="97" t="s">
        <v>14343</v>
      </c>
      <c r="B961" s="98">
        <v>798.09</v>
      </c>
      <c r="C961" s="205" t="s">
        <v>14878</v>
      </c>
      <c r="D961" s="98"/>
      <c r="E961" s="98"/>
      <c r="F961" s="98"/>
      <c r="G961" s="98"/>
      <c r="H961" s="98">
        <f>B961</f>
        <v>798.09</v>
      </c>
    </row>
    <row r="962" spans="1:8" ht="15" customHeight="1">
      <c r="A962" s="97" t="s">
        <v>14877</v>
      </c>
      <c r="B962" s="236"/>
      <c r="C962" s="237"/>
      <c r="D962" s="237"/>
      <c r="E962" s="237"/>
      <c r="F962" s="238"/>
      <c r="G962" s="98"/>
      <c r="H962" s="98"/>
    </row>
    <row r="963" spans="1:8" s="93" customFormat="1" ht="60" customHeight="1">
      <c r="A963" s="91" t="s">
        <v>13937</v>
      </c>
      <c r="B963" s="364" t="str">
        <f>VLOOKUP($A963,SERVICOS,4,FALSE)</f>
        <v>Canaleta No Piso Em Concreto Simples Com Dimensões Internas De 20 X 10 Cm E Grelha Em Ferro Diam. 1/2" A Cada 3 Cm Fixados Em Cantoneira De 3/4" X 1/8" Apoiada Sobre Requadro Em Cantoneira De 1" X 3/16"</v>
      </c>
      <c r="C963" s="365"/>
      <c r="D963" s="365"/>
      <c r="E963" s="365"/>
      <c r="F963" s="366"/>
      <c r="G963" s="91" t="str">
        <f>VLOOKUP($A963,SERVICOS,5,FALSE)</f>
        <v>m</v>
      </c>
      <c r="H963" s="92">
        <f>ROUND(SUM(H965:H965),2)</f>
        <v>60.4</v>
      </c>
    </row>
    <row r="964" spans="1:8" ht="15" customHeight="1">
      <c r="A964" s="94" t="s">
        <v>938</v>
      </c>
      <c r="B964" s="94" t="s">
        <v>7319</v>
      </c>
      <c r="C964" s="95" t="s">
        <v>7320</v>
      </c>
      <c r="D964" s="95"/>
      <c r="E964" s="94"/>
      <c r="F964" s="94"/>
      <c r="G964" s="94"/>
      <c r="H964" s="96"/>
    </row>
    <row r="965" spans="1:8" ht="15" customHeight="1">
      <c r="A965" s="97" t="s">
        <v>14342</v>
      </c>
      <c r="B965" s="98">
        <v>2</v>
      </c>
      <c r="C965" s="98">
        <v>30.2</v>
      </c>
      <c r="D965" s="98"/>
      <c r="E965" s="98"/>
      <c r="F965" s="98"/>
      <c r="G965" s="98"/>
      <c r="H965" s="98">
        <f>B965*C965</f>
        <v>60.4</v>
      </c>
    </row>
    <row r="966" spans="1:8" s="93" customFormat="1" ht="45" customHeight="1">
      <c r="A966" s="91" t="s">
        <v>14461</v>
      </c>
      <c r="B966" s="364" t="str">
        <f>VLOOKUP($A966,SERVICOS,4,FALSE)</f>
        <v>Execução De Passeio (Calçada) Ou Piso De Concreto Com Concreto Moldado In Loco, Feito Em Obra, Acabamento Convencional, Espessura 8 Cm, Armado. Af_08/2022</v>
      </c>
      <c r="C966" s="365"/>
      <c r="D966" s="365"/>
      <c r="E966" s="365"/>
      <c r="F966" s="366"/>
      <c r="G966" s="91" t="str">
        <f>VLOOKUP($A966,SERVICOS,5,FALSE)</f>
        <v>m2</v>
      </c>
      <c r="H966" s="92">
        <f>ROUND(SUM(H968:H977),2)</f>
        <v>117.34</v>
      </c>
    </row>
    <row r="967" spans="1:8" ht="15" customHeight="1">
      <c r="A967" s="94" t="s">
        <v>938</v>
      </c>
      <c r="B967" s="94" t="s">
        <v>12639</v>
      </c>
      <c r="C967" s="94"/>
      <c r="D967" s="95"/>
      <c r="E967" s="94"/>
      <c r="F967" s="94"/>
      <c r="G967" s="94"/>
      <c r="H967" s="96"/>
    </row>
    <row r="968" spans="1:8" ht="15" customHeight="1">
      <c r="A968" s="97" t="s">
        <v>14335</v>
      </c>
      <c r="B968" s="98">
        <v>18.52</v>
      </c>
      <c r="C968" s="98"/>
      <c r="D968" s="98"/>
      <c r="E968" s="98"/>
      <c r="F968" s="98"/>
      <c r="G968" s="98"/>
      <c r="H968" s="98">
        <f t="shared" ref="H968:H977" si="354">B968</f>
        <v>18.52</v>
      </c>
    </row>
    <row r="969" spans="1:8" ht="15" customHeight="1">
      <c r="A969" s="97" t="s">
        <v>14309</v>
      </c>
      <c r="B969" s="98">
        <v>3.45</v>
      </c>
      <c r="C969" s="98"/>
      <c r="D969" s="98"/>
      <c r="E969" s="98"/>
      <c r="F969" s="98"/>
      <c r="G969" s="98"/>
      <c r="H969" s="98">
        <f t="shared" si="354"/>
        <v>3.45</v>
      </c>
    </row>
    <row r="970" spans="1:8" ht="15" customHeight="1">
      <c r="A970" s="97" t="s">
        <v>14336</v>
      </c>
      <c r="B970" s="98">
        <v>18.52</v>
      </c>
      <c r="C970" s="98"/>
      <c r="D970" s="98"/>
      <c r="E970" s="98"/>
      <c r="F970" s="98"/>
      <c r="G970" s="98"/>
      <c r="H970" s="98">
        <f t="shared" si="354"/>
        <v>18.52</v>
      </c>
    </row>
    <row r="971" spans="1:8" ht="15" customHeight="1">
      <c r="A971" s="97" t="s">
        <v>14339</v>
      </c>
      <c r="B971" s="98">
        <v>4.5599999999999996</v>
      </c>
      <c r="C971" s="98"/>
      <c r="D971" s="98"/>
      <c r="E971" s="98"/>
      <c r="F971" s="98"/>
      <c r="G971" s="98"/>
      <c r="H971" s="98">
        <f t="shared" si="354"/>
        <v>4.5599999999999996</v>
      </c>
    </row>
    <row r="972" spans="1:8" ht="15" customHeight="1">
      <c r="A972" s="97" t="s">
        <v>14310</v>
      </c>
      <c r="B972" s="98">
        <v>11.86</v>
      </c>
      <c r="C972" s="98"/>
      <c r="D972" s="98"/>
      <c r="E972" s="98"/>
      <c r="F972" s="98"/>
      <c r="G972" s="98"/>
      <c r="H972" s="98">
        <f t="shared" si="354"/>
        <v>11.86</v>
      </c>
    </row>
    <row r="973" spans="1:8" ht="15" customHeight="1">
      <c r="A973" s="97" t="s">
        <v>14311</v>
      </c>
      <c r="B973" s="98">
        <v>9.86</v>
      </c>
      <c r="C973" s="98"/>
      <c r="D973" s="98"/>
      <c r="E973" s="98"/>
      <c r="F973" s="98"/>
      <c r="G973" s="98"/>
      <c r="H973" s="98">
        <f t="shared" si="354"/>
        <v>9.86</v>
      </c>
    </row>
    <row r="974" spans="1:8" ht="15" customHeight="1">
      <c r="A974" s="97" t="s">
        <v>14337</v>
      </c>
      <c r="B974" s="98">
        <v>2.85</v>
      </c>
      <c r="C974" s="98"/>
      <c r="D974" s="98"/>
      <c r="E974" s="98"/>
      <c r="F974" s="98"/>
      <c r="G974" s="98"/>
      <c r="H974" s="98">
        <f t="shared" si="354"/>
        <v>2.85</v>
      </c>
    </row>
    <row r="975" spans="1:8" ht="15" customHeight="1">
      <c r="A975" s="97" t="s">
        <v>14340</v>
      </c>
      <c r="B975" s="98">
        <v>2.87</v>
      </c>
      <c r="C975" s="98"/>
      <c r="D975" s="98"/>
      <c r="E975" s="98"/>
      <c r="F975" s="98"/>
      <c r="G975" s="98"/>
      <c r="H975" s="98">
        <f t="shared" si="354"/>
        <v>2.87</v>
      </c>
    </row>
    <row r="976" spans="1:8" ht="15" customHeight="1">
      <c r="A976" s="97" t="s">
        <v>13899</v>
      </c>
      <c r="B976" s="98">
        <v>32.520000000000003</v>
      </c>
      <c r="C976" s="98"/>
      <c r="D976" s="98"/>
      <c r="E976" s="98"/>
      <c r="F976" s="98"/>
      <c r="G976" s="98"/>
      <c r="H976" s="98">
        <f t="shared" ref="H976" si="355">B976</f>
        <v>32.520000000000003</v>
      </c>
    </row>
    <row r="977" spans="1:8" ht="15" customHeight="1">
      <c r="A977" s="97" t="s">
        <v>14398</v>
      </c>
      <c r="B977" s="98">
        <v>12.33</v>
      </c>
      <c r="C977" s="98"/>
      <c r="D977" s="98"/>
      <c r="E977" s="98"/>
      <c r="F977" s="98"/>
      <c r="G977" s="98"/>
      <c r="H977" s="98">
        <f t="shared" si="354"/>
        <v>12.33</v>
      </c>
    </row>
    <row r="978" spans="1:8" ht="30" customHeight="1">
      <c r="A978" s="376" t="s">
        <v>14879</v>
      </c>
      <c r="B978" s="377"/>
      <c r="C978" s="377"/>
      <c r="D978" s="377"/>
      <c r="E978" s="377"/>
      <c r="F978" s="377"/>
      <c r="G978" s="377"/>
      <c r="H978" s="378"/>
    </row>
    <row r="979" spans="1:8" s="93" customFormat="1" ht="30" customHeight="1">
      <c r="A979" s="91" t="s">
        <v>14462</v>
      </c>
      <c r="B979" s="364" t="str">
        <f>VLOOKUP($A979,SERVICOS,4,FALSE)</f>
        <v>Piso De Cimentado Camurçado Executado Com Argamassa De Cimento E Areia No Traço 1:3, Esp. 3.0Cm</v>
      </c>
      <c r="C979" s="365"/>
      <c r="D979" s="365"/>
      <c r="E979" s="365"/>
      <c r="F979" s="366"/>
      <c r="G979" s="91" t="str">
        <f>VLOOKUP($A979,SERVICOS,5,FALSE)</f>
        <v>m2</v>
      </c>
      <c r="H979" s="92">
        <f>ROUND(SUM(H981:H984),2)</f>
        <v>236.18</v>
      </c>
    </row>
    <row r="980" spans="1:8" ht="25.5">
      <c r="A980" s="94" t="s">
        <v>938</v>
      </c>
      <c r="B980" s="95" t="s">
        <v>14880</v>
      </c>
      <c r="C980" s="95" t="s">
        <v>14881</v>
      </c>
      <c r="D980" s="95"/>
      <c r="E980" s="94"/>
      <c r="F980" s="94"/>
      <c r="G980" s="94"/>
      <c r="H980" s="96"/>
    </row>
    <row r="981" spans="1:8" ht="15" customHeight="1">
      <c r="A981" s="97" t="s">
        <v>14602</v>
      </c>
      <c r="B981" s="98">
        <v>19.48</v>
      </c>
      <c r="C981" s="98">
        <f>9.5*1.35</f>
        <v>12.825000000000001</v>
      </c>
      <c r="D981" s="98"/>
      <c r="E981" s="98"/>
      <c r="F981" s="98"/>
      <c r="G981" s="98"/>
      <c r="H981" s="98">
        <f>B981+C981</f>
        <v>32.305</v>
      </c>
    </row>
    <row r="982" spans="1:8" ht="15" customHeight="1">
      <c r="A982" s="97" t="s">
        <v>14603</v>
      </c>
      <c r="B982" s="98">
        <v>35.619999999999997</v>
      </c>
      <c r="C982" s="98">
        <f>18*1.35</f>
        <v>24.3</v>
      </c>
      <c r="D982" s="98"/>
      <c r="E982" s="98"/>
      <c r="F982" s="98"/>
      <c r="G982" s="98"/>
      <c r="H982" s="98">
        <f t="shared" ref="H982:H984" si="356">B982+C982</f>
        <v>59.92</v>
      </c>
    </row>
    <row r="983" spans="1:8" ht="15" customHeight="1">
      <c r="A983" s="97" t="s">
        <v>14604</v>
      </c>
      <c r="B983" s="98">
        <v>85.51</v>
      </c>
      <c r="C983" s="98">
        <f>(36+6.3)*1.35</f>
        <v>57.104999999999997</v>
      </c>
      <c r="D983" s="98"/>
      <c r="E983" s="98"/>
      <c r="F983" s="98"/>
      <c r="G983" s="98"/>
      <c r="H983" s="98">
        <f t="shared" ref="H983" si="357">B983+C983</f>
        <v>142.61500000000001</v>
      </c>
    </row>
    <row r="984" spans="1:8" ht="15" customHeight="1">
      <c r="A984" s="97" t="s">
        <v>14952</v>
      </c>
      <c r="B984" s="98">
        <v>1.34</v>
      </c>
      <c r="C984" s="98"/>
      <c r="D984" s="98"/>
      <c r="E984" s="98"/>
      <c r="F984" s="98"/>
      <c r="G984" s="98"/>
      <c r="H984" s="98">
        <f t="shared" si="356"/>
        <v>1.34</v>
      </c>
    </row>
    <row r="985" spans="1:8" s="93" customFormat="1" ht="30" customHeight="1">
      <c r="A985" s="91" t="s">
        <v>14600</v>
      </c>
      <c r="B985" s="364" t="str">
        <f>VLOOKUP($A985,SERVICOS,4,FALSE)</f>
        <v>Acabamento Polido Para Piso De Concreto Armado Ou Laje Sobre Solo De Alta Resistência. Af_09/2021</v>
      </c>
      <c r="C985" s="365"/>
      <c r="D985" s="365"/>
      <c r="E985" s="365"/>
      <c r="F985" s="366"/>
      <c r="G985" s="91" t="str">
        <f>VLOOKUP($A985,SERVICOS,5,FALSE)</f>
        <v>m2</v>
      </c>
      <c r="H985" s="92">
        <f>ROUND(SUM(H987:H990),2)</f>
        <v>211.73</v>
      </c>
    </row>
    <row r="986" spans="1:8" ht="15" customHeight="1">
      <c r="A986" s="94" t="s">
        <v>938</v>
      </c>
      <c r="B986" s="94" t="s">
        <v>7319</v>
      </c>
      <c r="C986" s="95"/>
      <c r="D986" s="95"/>
      <c r="E986" s="94"/>
      <c r="F986" s="94"/>
      <c r="G986" s="94"/>
      <c r="H986" s="96"/>
    </row>
    <row r="987" spans="1:8" ht="15" customHeight="1">
      <c r="A987" s="97" t="s">
        <v>14795</v>
      </c>
      <c r="B987" s="98">
        <f>H966</f>
        <v>117.34</v>
      </c>
      <c r="C987" s="205"/>
      <c r="D987" s="98"/>
      <c r="E987" s="98"/>
      <c r="F987" s="98"/>
      <c r="G987" s="98"/>
      <c r="H987" s="98">
        <f>B987</f>
        <v>117.34</v>
      </c>
    </row>
    <row r="988" spans="1:8" ht="15" customHeight="1">
      <c r="A988" s="97" t="s">
        <v>14319</v>
      </c>
      <c r="B988" s="98">
        <v>80.010000000000005</v>
      </c>
      <c r="C988" s="205"/>
      <c r="D988" s="98"/>
      <c r="E988" s="98"/>
      <c r="F988" s="98"/>
      <c r="G988" s="98"/>
      <c r="H988" s="98">
        <f>B988</f>
        <v>80.010000000000005</v>
      </c>
    </row>
    <row r="989" spans="1:8" ht="15" customHeight="1">
      <c r="A989" s="97" t="s">
        <v>14312</v>
      </c>
      <c r="B989" s="98">
        <v>11.46</v>
      </c>
      <c r="C989" s="205"/>
      <c r="D989" s="98"/>
      <c r="E989" s="98"/>
      <c r="F989" s="98"/>
      <c r="G989" s="98"/>
      <c r="H989" s="98">
        <f>B989</f>
        <v>11.46</v>
      </c>
    </row>
    <row r="990" spans="1:8" ht="15" customHeight="1">
      <c r="A990" s="97" t="s">
        <v>14338</v>
      </c>
      <c r="B990" s="98">
        <v>2.92</v>
      </c>
      <c r="C990" s="205"/>
      <c r="D990" s="98"/>
      <c r="E990" s="98"/>
      <c r="F990" s="98"/>
      <c r="G990" s="98"/>
      <c r="H990" s="98">
        <f>B990</f>
        <v>2.92</v>
      </c>
    </row>
    <row r="991" spans="1:8" s="93" customFormat="1" ht="45" customHeight="1">
      <c r="A991" s="91" t="s">
        <v>14949</v>
      </c>
      <c r="B991" s="364" t="str">
        <f>VLOOKUP($A991,SERVICOS,4,FALSE)</f>
        <v>Execução De Passeio (Calçada) Ou Piso De Concreto Com Concreto Moldado In Loco, Feito Em Obra, Acabamento Convencional, Não Armado. Af_08/2022</v>
      </c>
      <c r="C991" s="365"/>
      <c r="D991" s="365"/>
      <c r="E991" s="365"/>
      <c r="F991" s="366"/>
      <c r="G991" s="91" t="str">
        <f>VLOOKUP($A991,SERVICOS,5,FALSE)</f>
        <v>m3</v>
      </c>
      <c r="H991" s="92">
        <f>ROUND(SUM(H993:H994),2)</f>
        <v>5.14</v>
      </c>
    </row>
    <row r="992" spans="1:8" ht="15" customHeight="1">
      <c r="A992" s="94" t="s">
        <v>938</v>
      </c>
      <c r="B992" s="94" t="s">
        <v>7319</v>
      </c>
      <c r="C992" s="95" t="s">
        <v>12639</v>
      </c>
      <c r="D992" s="95"/>
      <c r="E992" s="94"/>
      <c r="F992" s="94"/>
      <c r="G992" s="94"/>
      <c r="H992" s="96"/>
    </row>
    <row r="993" spans="1:8" ht="15" customHeight="1">
      <c r="A993" s="97" t="s">
        <v>14950</v>
      </c>
      <c r="B993" s="98">
        <v>2</v>
      </c>
      <c r="C993" s="98">
        <v>1.9</v>
      </c>
      <c r="D993" s="98"/>
      <c r="E993" s="98"/>
      <c r="F993" s="98"/>
      <c r="G993" s="98"/>
      <c r="H993" s="98">
        <f>B993*C993</f>
        <v>3.8</v>
      </c>
    </row>
    <row r="994" spans="1:8" ht="15" customHeight="1">
      <c r="A994" s="97" t="s">
        <v>14592</v>
      </c>
      <c r="B994" s="98">
        <v>1</v>
      </c>
      <c r="C994" s="98">
        <v>1.34</v>
      </c>
      <c r="D994" s="98"/>
      <c r="E994" s="98"/>
      <c r="F994" s="98"/>
      <c r="G994" s="98"/>
      <c r="H994" s="98">
        <f>B994*C994</f>
        <v>1.34</v>
      </c>
    </row>
    <row r="995" spans="1:8" ht="15" customHeight="1">
      <c r="A995" s="89" t="s">
        <v>12610</v>
      </c>
      <c r="B995" s="367" t="str">
        <f>VLOOKUP($A995,SERVICOS,4,FALSE)</f>
        <v>CALÇADA CIDADÃ</v>
      </c>
      <c r="C995" s="367"/>
      <c r="D995" s="367"/>
      <c r="E995" s="367"/>
      <c r="F995" s="367"/>
      <c r="G995" s="367">
        <f>VLOOKUP($A995,SERVICOS,5,FALSE)</f>
        <v>0</v>
      </c>
      <c r="H995" s="367" t="e">
        <f>ROUND(SUM(#REF!),2)</f>
        <v>#REF!</v>
      </c>
    </row>
    <row r="996" spans="1:8" s="93" customFormat="1" ht="45" customHeight="1">
      <c r="A996" s="91" t="s">
        <v>13938</v>
      </c>
      <c r="B996" s="364" t="str">
        <f>VLOOKUP($A996,SERVICOS,4,FALSE)</f>
        <v>Execução De Passeio (Calçada) Ou Piso De Concreto Com Concreto Moldado In Loco, Feito Em Obra, Acabamento Convencional, Espessura 8 Cm, Armado. Af_08/2022</v>
      </c>
      <c r="C996" s="365"/>
      <c r="D996" s="365"/>
      <c r="E996" s="365"/>
      <c r="F996" s="366"/>
      <c r="G996" s="91" t="str">
        <f>VLOOKUP($A996,SERVICOS,5,FALSE)</f>
        <v>m2</v>
      </c>
      <c r="H996" s="92">
        <f>ROUND(SUM(H998),2)</f>
        <v>74.489999999999995</v>
      </c>
    </row>
    <row r="997" spans="1:8" ht="15" customHeight="1">
      <c r="A997" s="94" t="s">
        <v>938</v>
      </c>
      <c r="B997" s="94" t="s">
        <v>7319</v>
      </c>
      <c r="C997" s="95"/>
      <c r="D997" s="95"/>
      <c r="E997" s="94"/>
      <c r="F997" s="94"/>
      <c r="G997" s="94"/>
      <c r="H997" s="96"/>
    </row>
    <row r="998" spans="1:8" ht="15" customHeight="1">
      <c r="A998" s="97" t="s">
        <v>14882</v>
      </c>
      <c r="B998" s="98">
        <v>74.489999999999995</v>
      </c>
      <c r="C998" s="205"/>
      <c r="D998" s="98"/>
      <c r="E998" s="98"/>
      <c r="F998" s="98"/>
      <c r="G998" s="98"/>
      <c r="H998" s="98">
        <f>B998</f>
        <v>74.489999999999995</v>
      </c>
    </row>
    <row r="999" spans="1:8" s="93" customFormat="1" ht="30" customHeight="1">
      <c r="A999" s="91" t="s">
        <v>14209</v>
      </c>
      <c r="B999" s="364" t="str">
        <f>VLOOKUP($A999,SERVICOS,4,FALSE)</f>
        <v>Piso De Cimentado Camurçado Executado Com Argamassa De Cimento E Areia No Traço 1:3, Esp. 3.0Cm</v>
      </c>
      <c r="C999" s="365"/>
      <c r="D999" s="365"/>
      <c r="E999" s="365"/>
      <c r="F999" s="366"/>
      <c r="G999" s="91" t="str">
        <f>VLOOKUP($A999,SERVICOS,5,FALSE)</f>
        <v>m2</v>
      </c>
      <c r="H999" s="92">
        <f>ROUND(SUM(H1001:H1001),2)</f>
        <v>74.489999999999995</v>
      </c>
    </row>
    <row r="1000" spans="1:8" ht="15" customHeight="1">
      <c r="A1000" s="94" t="s">
        <v>938</v>
      </c>
      <c r="B1000" s="94" t="s">
        <v>7319</v>
      </c>
      <c r="C1000" s="95"/>
      <c r="D1000" s="95"/>
      <c r="E1000" s="94"/>
      <c r="F1000" s="94"/>
      <c r="G1000" s="94"/>
      <c r="H1000" s="96"/>
    </row>
    <row r="1001" spans="1:8" ht="15" customHeight="1">
      <c r="A1001" s="97" t="s">
        <v>14882</v>
      </c>
      <c r="B1001" s="98">
        <f>B998</f>
        <v>74.489999999999995</v>
      </c>
      <c r="C1001" s="98"/>
      <c r="D1001" s="98"/>
      <c r="E1001" s="98"/>
      <c r="F1001" s="98"/>
      <c r="G1001" s="98"/>
      <c r="H1001" s="98">
        <f>B1001</f>
        <v>74.489999999999995</v>
      </c>
    </row>
    <row r="1002" spans="1:8" s="93" customFormat="1" ht="15" customHeight="1">
      <c r="A1002" s="91" t="s">
        <v>14210</v>
      </c>
      <c r="B1002" s="364" t="str">
        <f>VLOOKUP($A1002,SERVICOS,4,FALSE)</f>
        <v>Lastro De Concreto Não Estrutural, Espessura De 6 Cm</v>
      </c>
      <c r="C1002" s="365"/>
      <c r="D1002" s="365"/>
      <c r="E1002" s="365"/>
      <c r="F1002" s="366"/>
      <c r="G1002" s="91" t="str">
        <f>VLOOKUP($A1002,SERVICOS,5,FALSE)</f>
        <v>m2</v>
      </c>
      <c r="H1002" s="92">
        <f>ROUND(SUM(H1004:H1004),2)</f>
        <v>28</v>
      </c>
    </row>
    <row r="1003" spans="1:8" ht="15" customHeight="1">
      <c r="A1003" s="94" t="s">
        <v>938</v>
      </c>
      <c r="B1003" s="94" t="s">
        <v>12639</v>
      </c>
      <c r="C1003" s="95"/>
      <c r="D1003" s="95"/>
      <c r="E1003" s="94"/>
      <c r="F1003" s="94"/>
      <c r="G1003" s="94"/>
      <c r="H1003" s="96"/>
    </row>
    <row r="1004" spans="1:8" ht="15" customHeight="1">
      <c r="A1004" s="205" t="s">
        <v>14884</v>
      </c>
      <c r="B1004" s="98">
        <v>28</v>
      </c>
      <c r="C1004" s="98"/>
      <c r="D1004" s="98"/>
      <c r="E1004" s="98"/>
      <c r="F1004" s="98"/>
      <c r="G1004" s="98"/>
      <c r="H1004" s="98">
        <f>B1004</f>
        <v>28</v>
      </c>
    </row>
    <row r="1005" spans="1:8" s="93" customFormat="1" ht="45" customHeight="1">
      <c r="A1005" s="91" t="s">
        <v>14239</v>
      </c>
      <c r="B1005" s="364" t="str">
        <f>VLOOKUP($A1005,SERVICOS,4,FALSE)</f>
        <v>Fornecimento E Assentamento De Ladrilho Hidráulico Pastilhado, Vermelho, Dim. 20X20 Cm, Esp. 1.5Cm, Assentado Com Pasta De Cimento Colante, Exclusive Regularização E Lastro</v>
      </c>
      <c r="C1005" s="365"/>
      <c r="D1005" s="365"/>
      <c r="E1005" s="365"/>
      <c r="F1005" s="366"/>
      <c r="G1005" s="91" t="str">
        <f>VLOOKUP($A1005,SERVICOS,5,FALSE)</f>
        <v>m2</v>
      </c>
      <c r="H1005" s="92">
        <f>ROUND(SUM(H1007:H1007),2)</f>
        <v>28</v>
      </c>
    </row>
    <row r="1006" spans="1:8" ht="15" customHeight="1">
      <c r="A1006" s="94" t="s">
        <v>938</v>
      </c>
      <c r="B1006" s="94" t="s">
        <v>12639</v>
      </c>
      <c r="C1006" s="95"/>
      <c r="D1006" s="95"/>
      <c r="E1006" s="94"/>
      <c r="F1006" s="94"/>
      <c r="G1006" s="94"/>
      <c r="H1006" s="96"/>
    </row>
    <row r="1007" spans="1:8" ht="15" customHeight="1">
      <c r="A1007" s="205" t="s">
        <v>14463</v>
      </c>
      <c r="B1007" s="98">
        <v>28</v>
      </c>
      <c r="C1007" s="98"/>
      <c r="D1007" s="98"/>
      <c r="E1007" s="98"/>
      <c r="F1007" s="98"/>
      <c r="G1007" s="98"/>
      <c r="H1007" s="98">
        <f>B1007</f>
        <v>28</v>
      </c>
    </row>
    <row r="1008" spans="1:8" s="93" customFormat="1" ht="60" customHeight="1">
      <c r="A1008" s="91" t="s">
        <v>14883</v>
      </c>
      <c r="B1008" s="364" t="str">
        <f>VLOOKUP($A1008,SERVICOS,4,FALSE)</f>
        <v>Assentamento De Guia (Meio-Fio) Em Trecho Reto, Confeccionada Em Concreto Pré-Fabricado, Dimensões 100X15X13X30 Cm (Comprimento X Base Inferior X Base Superior X Altura), Para Vias Urbanas (Uso Viário). Af_06/2016</v>
      </c>
      <c r="C1008" s="365"/>
      <c r="D1008" s="365"/>
      <c r="E1008" s="365"/>
      <c r="F1008" s="366"/>
      <c r="G1008" s="91" t="str">
        <f>VLOOKUP($A1008,SERVICOS,5,FALSE)</f>
        <v>m</v>
      </c>
      <c r="H1008" s="92">
        <f>ROUND(SUM(H1010:H1011),2)</f>
        <v>66.12</v>
      </c>
    </row>
    <row r="1009" spans="1:8" ht="15" customHeight="1">
      <c r="A1009" s="94" t="s">
        <v>938</v>
      </c>
      <c r="B1009" s="95" t="s">
        <v>7320</v>
      </c>
      <c r="C1009" s="95"/>
      <c r="D1009" s="95"/>
      <c r="E1009" s="94"/>
      <c r="F1009" s="94"/>
      <c r="G1009" s="94"/>
      <c r="H1009" s="96"/>
    </row>
    <row r="1010" spans="1:8" ht="15" customHeight="1">
      <c r="A1010" s="97" t="s">
        <v>14297</v>
      </c>
      <c r="B1010" s="224">
        <v>23.82</v>
      </c>
      <c r="C1010" s="224"/>
      <c r="D1010" s="224"/>
      <c r="E1010" s="224"/>
      <c r="F1010" s="98"/>
      <c r="G1010" s="98"/>
      <c r="H1010" s="98">
        <f t="shared" ref="H1010:H1011" si="358">B1010</f>
        <v>23.82</v>
      </c>
    </row>
    <row r="1011" spans="1:8" ht="15" customHeight="1">
      <c r="A1011" s="97" t="s">
        <v>14420</v>
      </c>
      <c r="B1011" s="224">
        <v>42.3</v>
      </c>
      <c r="C1011" s="224"/>
      <c r="D1011" s="224"/>
      <c r="E1011" s="224"/>
      <c r="F1011" s="98"/>
      <c r="G1011" s="98"/>
      <c r="H1011" s="98">
        <f t="shared" si="358"/>
        <v>42.3</v>
      </c>
    </row>
    <row r="1012" spans="1:8" s="93" customFormat="1" ht="60" customHeight="1">
      <c r="A1012" s="91" t="s">
        <v>14885</v>
      </c>
      <c r="B1012" s="364" t="str">
        <f>VLOOKUP($A1012,SERVICOS,4,FALSE)</f>
        <v>Assentamento De Guia (Meio-Fio) Em Trecho Curvo, Confeccionada Em Concreto Pré-Fabricado, Dimensões 100X15X13X30 Cm (Comprimento X Base Inferior X Base Superior X Altura), Para Vias Urbanas (Uso Viário). Af_06/2016</v>
      </c>
      <c r="C1012" s="365"/>
      <c r="D1012" s="365"/>
      <c r="E1012" s="365"/>
      <c r="F1012" s="366"/>
      <c r="G1012" s="91" t="str">
        <f>VLOOKUP($A1012,SERVICOS,5,FALSE)</f>
        <v>m</v>
      </c>
      <c r="H1012" s="92">
        <f>ROUND(SUM(H1014:H1014),2)</f>
        <v>4.71</v>
      </c>
    </row>
    <row r="1013" spans="1:8" ht="15" customHeight="1">
      <c r="A1013" s="94" t="s">
        <v>938</v>
      </c>
      <c r="B1013" s="95" t="s">
        <v>7320</v>
      </c>
      <c r="C1013" s="95"/>
      <c r="D1013" s="95"/>
      <c r="E1013" s="94"/>
      <c r="F1013" s="94"/>
      <c r="G1013" s="94"/>
      <c r="H1013" s="96"/>
    </row>
    <row r="1014" spans="1:8" ht="15" customHeight="1">
      <c r="A1014" s="97" t="s">
        <v>14419</v>
      </c>
      <c r="B1014" s="224">
        <v>4.71</v>
      </c>
      <c r="C1014" s="224"/>
      <c r="D1014" s="224"/>
      <c r="E1014" s="224"/>
      <c r="F1014" s="98"/>
      <c r="G1014" s="98"/>
      <c r="H1014" s="98">
        <f t="shared" ref="H1014" si="359">B1014</f>
        <v>4.71</v>
      </c>
    </row>
    <row r="1015" spans="1:8" ht="15" customHeight="1">
      <c r="A1015" s="89" t="s">
        <v>12611</v>
      </c>
      <c r="B1015" s="367" t="str">
        <f>VLOOKUP($A1015,SERVICOS,4,FALSE)</f>
        <v>PINTURA</v>
      </c>
      <c r="C1015" s="367"/>
      <c r="D1015" s="367"/>
      <c r="E1015" s="367"/>
      <c r="F1015" s="367"/>
      <c r="G1015" s="367">
        <f>VLOOKUP($A1015,SERVICOS,5,FALSE)</f>
        <v>0</v>
      </c>
      <c r="H1015" s="367" t="e">
        <f>ROUND(SUM(#REF!),2)</f>
        <v>#REF!</v>
      </c>
    </row>
    <row r="1016" spans="1:8" ht="15" customHeight="1">
      <c r="A1016" s="89" t="s">
        <v>12612</v>
      </c>
      <c r="B1016" s="367" t="str">
        <f>VLOOKUP($A1016,SERVICOS,4,FALSE)</f>
        <v>TETO</v>
      </c>
      <c r="C1016" s="367"/>
      <c r="D1016" s="367"/>
      <c r="E1016" s="367"/>
      <c r="F1016" s="367"/>
      <c r="G1016" s="367">
        <f>VLOOKUP($A1016,SERVICOS,5,FALSE)</f>
        <v>0</v>
      </c>
      <c r="H1016" s="367" t="e">
        <f>ROUND(SUM(#REF!),2)</f>
        <v>#REF!</v>
      </c>
    </row>
    <row r="1017" spans="1:8" s="93" customFormat="1" ht="30" customHeight="1">
      <c r="A1017" s="91" t="s">
        <v>14240</v>
      </c>
      <c r="B1017" s="364" t="str">
        <f>VLOOKUP($A1017,SERVICOS,4,FALSE)</f>
        <v>Emassamento Com Massa Látex, Aplicação Em Teto, Uma Demão, Lixamento Manual. Af_04/2023</v>
      </c>
      <c r="C1017" s="365"/>
      <c r="D1017" s="365"/>
      <c r="E1017" s="365"/>
      <c r="F1017" s="366"/>
      <c r="G1017" s="91" t="str">
        <f>VLOOKUP($A1017,SERVICOS,5,FALSE)</f>
        <v>m2</v>
      </c>
      <c r="H1017" s="92">
        <f>ROUND(SUM(H1019:H1030),2)</f>
        <v>131.72</v>
      </c>
    </row>
    <row r="1018" spans="1:8" ht="15" customHeight="1">
      <c r="A1018" s="94" t="s">
        <v>938</v>
      </c>
      <c r="B1018" s="94" t="s">
        <v>12639</v>
      </c>
      <c r="C1018" s="94"/>
      <c r="D1018" s="95"/>
      <c r="E1018" s="94"/>
      <c r="F1018" s="94"/>
      <c r="G1018" s="94"/>
      <c r="H1018" s="96"/>
    </row>
    <row r="1019" spans="1:8" ht="15" customHeight="1">
      <c r="A1019" s="97" t="str">
        <f t="shared" ref="A1019:B1030" si="360">A889</f>
        <v>Vestiário 1</v>
      </c>
      <c r="B1019" s="224">
        <f t="shared" si="360"/>
        <v>18.52</v>
      </c>
      <c r="C1019" s="98"/>
      <c r="D1019" s="98"/>
      <c r="E1019" s="98"/>
      <c r="F1019" s="98"/>
      <c r="G1019" s="98"/>
      <c r="H1019" s="98">
        <f t="shared" ref="H1019:H1030" si="361">B1019</f>
        <v>18.52</v>
      </c>
    </row>
    <row r="1020" spans="1:8" ht="15" customHeight="1">
      <c r="A1020" s="97" t="str">
        <f t="shared" si="360"/>
        <v>Almoxarifado</v>
      </c>
      <c r="B1020" s="224">
        <f t="shared" si="360"/>
        <v>3.45</v>
      </c>
      <c r="C1020" s="98"/>
      <c r="D1020" s="98"/>
      <c r="E1020" s="98"/>
      <c r="F1020" s="98"/>
      <c r="G1020" s="98"/>
      <c r="H1020" s="98">
        <f t="shared" si="361"/>
        <v>3.45</v>
      </c>
    </row>
    <row r="1021" spans="1:8" ht="15" customHeight="1">
      <c r="A1021" s="97" t="str">
        <f t="shared" si="360"/>
        <v>Vestiário 2</v>
      </c>
      <c r="B1021" s="224">
        <f t="shared" si="360"/>
        <v>18.52</v>
      </c>
      <c r="C1021" s="98"/>
      <c r="D1021" s="98"/>
      <c r="E1021" s="98"/>
      <c r="F1021" s="98"/>
      <c r="G1021" s="98"/>
      <c r="H1021" s="98">
        <f t="shared" si="361"/>
        <v>18.52</v>
      </c>
    </row>
    <row r="1022" spans="1:8" ht="15" customHeight="1">
      <c r="A1022" s="97" t="str">
        <f t="shared" si="360"/>
        <v>Circulação/ vestiários</v>
      </c>
      <c r="B1022" s="224">
        <f t="shared" si="360"/>
        <v>4.5599999999999996</v>
      </c>
      <c r="C1022" s="98"/>
      <c r="D1022" s="98"/>
      <c r="E1022" s="98"/>
      <c r="F1022" s="98"/>
      <c r="G1022" s="98"/>
      <c r="H1022" s="98">
        <f t="shared" si="361"/>
        <v>4.5599999999999996</v>
      </c>
    </row>
    <row r="1023" spans="1:8" ht="15" customHeight="1">
      <c r="A1023" s="97" t="str">
        <f t="shared" si="360"/>
        <v>Sanitário feminino</v>
      </c>
      <c r="B1023" s="224">
        <f t="shared" si="360"/>
        <v>11.86</v>
      </c>
      <c r="C1023" s="98"/>
      <c r="D1023" s="98"/>
      <c r="E1023" s="98"/>
      <c r="F1023" s="98"/>
      <c r="G1023" s="98"/>
      <c r="H1023" s="98">
        <f t="shared" si="361"/>
        <v>11.86</v>
      </c>
    </row>
    <row r="1024" spans="1:8" ht="15" customHeight="1">
      <c r="A1024" s="97" t="str">
        <f t="shared" si="360"/>
        <v>Sanitário masculino</v>
      </c>
      <c r="B1024" s="224">
        <f t="shared" si="360"/>
        <v>9.86</v>
      </c>
      <c r="C1024" s="98"/>
      <c r="D1024" s="98"/>
      <c r="E1024" s="98"/>
      <c r="F1024" s="98"/>
      <c r="G1024" s="98"/>
      <c r="H1024" s="98">
        <f t="shared" si="361"/>
        <v>9.86</v>
      </c>
    </row>
    <row r="1025" spans="1:8" ht="15" customHeight="1">
      <c r="A1025" s="97" t="str">
        <f t="shared" si="360"/>
        <v>Sanitário PNE</v>
      </c>
      <c r="B1025" s="224">
        <f t="shared" si="360"/>
        <v>2.85</v>
      </c>
      <c r="C1025" s="98"/>
      <c r="D1025" s="98"/>
      <c r="E1025" s="98"/>
      <c r="F1025" s="98"/>
      <c r="G1025" s="98"/>
      <c r="H1025" s="98">
        <f t="shared" si="361"/>
        <v>2.85</v>
      </c>
    </row>
    <row r="1026" spans="1:8" ht="15" customHeight="1">
      <c r="A1026" s="97" t="str">
        <f t="shared" si="360"/>
        <v>Circulação/ sanitários</v>
      </c>
      <c r="B1026" s="224">
        <f t="shared" si="360"/>
        <v>2.87</v>
      </c>
      <c r="C1026" s="98"/>
      <c r="D1026" s="98"/>
      <c r="E1026" s="98"/>
      <c r="F1026" s="98"/>
      <c r="G1026" s="98"/>
      <c r="H1026" s="98">
        <f t="shared" si="361"/>
        <v>2.87</v>
      </c>
    </row>
    <row r="1027" spans="1:8" ht="15" customHeight="1">
      <c r="A1027" s="97" t="str">
        <f t="shared" si="360"/>
        <v>Depósito</v>
      </c>
      <c r="B1027" s="224">
        <f t="shared" si="360"/>
        <v>32.520000000000003</v>
      </c>
      <c r="C1027" s="98"/>
      <c r="D1027" s="98"/>
      <c r="E1027" s="98"/>
      <c r="F1027" s="98"/>
      <c r="G1027" s="98"/>
      <c r="H1027" s="98">
        <f t="shared" si="361"/>
        <v>32.520000000000003</v>
      </c>
    </row>
    <row r="1028" spans="1:8" ht="15" customHeight="1">
      <c r="A1028" s="97" t="str">
        <f t="shared" si="360"/>
        <v>Camarim</v>
      </c>
      <c r="B1028" s="224">
        <f t="shared" si="360"/>
        <v>11.46</v>
      </c>
      <c r="C1028" s="98"/>
      <c r="D1028" s="98"/>
      <c r="E1028" s="98"/>
      <c r="F1028" s="98"/>
      <c r="G1028" s="98"/>
      <c r="H1028" s="98">
        <f t="shared" si="361"/>
        <v>11.46</v>
      </c>
    </row>
    <row r="1029" spans="1:8" ht="15" customHeight="1">
      <c r="A1029" s="97" t="str">
        <f t="shared" si="360"/>
        <v>Sanitário camarim</v>
      </c>
      <c r="B1029" s="224">
        <f t="shared" si="360"/>
        <v>2.92</v>
      </c>
      <c r="C1029" s="98"/>
      <c r="D1029" s="98"/>
      <c r="E1029" s="98"/>
      <c r="F1029" s="98"/>
      <c r="G1029" s="98"/>
      <c r="H1029" s="98">
        <f t="shared" si="361"/>
        <v>2.92</v>
      </c>
    </row>
    <row r="1030" spans="1:8" ht="15" customHeight="1">
      <c r="A1030" s="97" t="str">
        <f t="shared" si="360"/>
        <v>Bar</v>
      </c>
      <c r="B1030" s="224">
        <f t="shared" si="360"/>
        <v>12.33</v>
      </c>
      <c r="C1030" s="98"/>
      <c r="D1030" s="98"/>
      <c r="E1030" s="98"/>
      <c r="F1030" s="98"/>
      <c r="G1030" s="98"/>
      <c r="H1030" s="98">
        <f t="shared" si="361"/>
        <v>12.33</v>
      </c>
    </row>
    <row r="1031" spans="1:8" s="93" customFormat="1" ht="15" customHeight="1">
      <c r="A1031" s="91" t="s">
        <v>14241</v>
      </c>
      <c r="B1031" s="364" t="str">
        <f>VLOOKUP($A1031,SERVICOS,4,FALSE)</f>
        <v>Fundo Selador Acrílico, Aplicação Manual Em Teto, Uma Demão. Af_04/2023</v>
      </c>
      <c r="C1031" s="365"/>
      <c r="D1031" s="365"/>
      <c r="E1031" s="365"/>
      <c r="F1031" s="366"/>
      <c r="G1031" s="91" t="str">
        <f>VLOOKUP($A1031,SERVICOS,5,FALSE)</f>
        <v>m2</v>
      </c>
      <c r="H1031" s="92">
        <f>ROUND(SUM(H1033:H1033),2)</f>
        <v>131.72</v>
      </c>
    </row>
    <row r="1032" spans="1:8" ht="15" customHeight="1">
      <c r="A1032" s="94" t="s">
        <v>938</v>
      </c>
      <c r="B1032" s="94" t="s">
        <v>12639</v>
      </c>
      <c r="C1032" s="95"/>
      <c r="D1032" s="95"/>
      <c r="E1032" s="94"/>
      <c r="F1032" s="94"/>
      <c r="G1032" s="94"/>
      <c r="H1032" s="96"/>
    </row>
    <row r="1033" spans="1:8" ht="15" customHeight="1">
      <c r="A1033" s="97" t="s">
        <v>14341</v>
      </c>
      <c r="B1033" s="98">
        <f>H1017</f>
        <v>131.72</v>
      </c>
      <c r="C1033" s="98"/>
      <c r="D1033" s="98"/>
      <c r="E1033" s="98"/>
      <c r="F1033" s="98"/>
      <c r="G1033" s="98"/>
      <c r="H1033" s="98">
        <f t="shared" ref="H1033" si="362">B1033</f>
        <v>131.72</v>
      </c>
    </row>
    <row r="1034" spans="1:8" s="93" customFormat="1" ht="30" customHeight="1">
      <c r="A1034" s="91" t="s">
        <v>14242</v>
      </c>
      <c r="B1034" s="364" t="str">
        <f>VLOOKUP($A1034,SERVICOS,4,FALSE)</f>
        <v>Pintura Látex Acrílica Premium, Aplicação Manual Em Teto, Duas Demãos. Af_04/2023</v>
      </c>
      <c r="C1034" s="365"/>
      <c r="D1034" s="365"/>
      <c r="E1034" s="365"/>
      <c r="F1034" s="366"/>
      <c r="G1034" s="91" t="str">
        <f>VLOOKUP($A1034,SERVICOS,5,FALSE)</f>
        <v>m2</v>
      </c>
      <c r="H1034" s="92">
        <f>ROUND(SUM(H1036:H1036),2)</f>
        <v>131.72</v>
      </c>
    </row>
    <row r="1035" spans="1:8" ht="15" customHeight="1">
      <c r="A1035" s="94" t="s">
        <v>938</v>
      </c>
      <c r="B1035" s="94" t="s">
        <v>7319</v>
      </c>
      <c r="C1035" s="95"/>
      <c r="D1035" s="95"/>
      <c r="E1035" s="94"/>
      <c r="F1035" s="94"/>
      <c r="G1035" s="94"/>
      <c r="H1035" s="96"/>
    </row>
    <row r="1036" spans="1:8" ht="15" customHeight="1">
      <c r="A1036" s="97" t="s">
        <v>14341</v>
      </c>
      <c r="B1036" s="98">
        <f>H1017</f>
        <v>131.72</v>
      </c>
      <c r="C1036" s="98"/>
      <c r="D1036" s="98"/>
      <c r="E1036" s="98"/>
      <c r="F1036" s="98"/>
      <c r="G1036" s="98"/>
      <c r="H1036" s="98">
        <f>B1036</f>
        <v>131.72</v>
      </c>
    </row>
    <row r="1037" spans="1:8" ht="15" customHeight="1">
      <c r="A1037" s="89" t="s">
        <v>12613</v>
      </c>
      <c r="B1037" s="367" t="str">
        <f>VLOOKUP($A1037,SERVICOS,4,FALSE)</f>
        <v>PAREDES INTERNAS</v>
      </c>
      <c r="C1037" s="367"/>
      <c r="D1037" s="367"/>
      <c r="E1037" s="367"/>
      <c r="F1037" s="367"/>
      <c r="G1037" s="367">
        <f>VLOOKUP($A1037,SERVICOS,5,FALSE)</f>
        <v>0</v>
      </c>
      <c r="H1037" s="367" t="e">
        <f>ROUND(SUM(#REF!),2)</f>
        <v>#REF!</v>
      </c>
    </row>
    <row r="1038" spans="1:8" s="93" customFormat="1" ht="30" customHeight="1">
      <c r="A1038" s="91" t="s">
        <v>14243</v>
      </c>
      <c r="B1038" s="364" t="str">
        <f>VLOOKUP($A1038,SERVICOS,4,FALSE)</f>
        <v>Fundo Selador Acrílico, Aplicação Manual Em Parede, Uma Demão. Af_04/2023</v>
      </c>
      <c r="C1038" s="365"/>
      <c r="D1038" s="365"/>
      <c r="E1038" s="365"/>
      <c r="F1038" s="366"/>
      <c r="G1038" s="91" t="str">
        <f>VLOOKUP($A1038,SERVICOS,5,FALSE)</f>
        <v>m2</v>
      </c>
      <c r="H1038" s="92">
        <f>ROUND(SUM(H1040:H1040),2)</f>
        <v>868.55</v>
      </c>
    </row>
    <row r="1039" spans="1:8" ht="15" customHeight="1">
      <c r="A1039" s="94" t="s">
        <v>938</v>
      </c>
      <c r="B1039" s="94" t="s">
        <v>7319</v>
      </c>
      <c r="C1039" s="95"/>
      <c r="D1039" s="95"/>
      <c r="E1039" s="94"/>
      <c r="F1039" s="94"/>
      <c r="G1039" s="94"/>
      <c r="H1039" s="96"/>
    </row>
    <row r="1040" spans="1:8" ht="15" customHeight="1">
      <c r="A1040" s="97" t="s">
        <v>14623</v>
      </c>
      <c r="B1040" s="98" t="s">
        <v>14624</v>
      </c>
      <c r="C1040" s="98"/>
      <c r="D1040" s="98"/>
      <c r="E1040" s="98"/>
      <c r="F1040" s="98"/>
      <c r="G1040" s="98"/>
      <c r="H1040" s="98">
        <f>H930</f>
        <v>868.55</v>
      </c>
    </row>
    <row r="1041" spans="1:8" s="93" customFormat="1" ht="30" customHeight="1">
      <c r="A1041" s="91" t="s">
        <v>14244</v>
      </c>
      <c r="B1041" s="364" t="str">
        <f>VLOOKUP($A1041,SERVICOS,4,FALSE)</f>
        <v>Pintura Látex Acrílica Premium, Aplicação Manual Em Paredes, Duas Demãos. Af_04/2023</v>
      </c>
      <c r="C1041" s="365"/>
      <c r="D1041" s="365"/>
      <c r="E1041" s="365"/>
      <c r="F1041" s="366"/>
      <c r="G1041" s="91" t="str">
        <f>VLOOKUP($A1041,SERVICOS,5,FALSE)</f>
        <v>m2</v>
      </c>
      <c r="H1041" s="92">
        <f>H1038</f>
        <v>868.55</v>
      </c>
    </row>
    <row r="1042" spans="1:8" ht="15" customHeight="1">
      <c r="A1042" s="94" t="s">
        <v>938</v>
      </c>
      <c r="B1042" s="94" t="s">
        <v>7319</v>
      </c>
      <c r="C1042" s="95"/>
      <c r="D1042" s="95"/>
      <c r="E1042" s="94"/>
      <c r="F1042" s="94"/>
      <c r="G1042" s="94"/>
      <c r="H1042" s="96"/>
    </row>
    <row r="1043" spans="1:8" ht="15" customHeight="1">
      <c r="A1043" s="97" t="s">
        <v>14623</v>
      </c>
      <c r="B1043" s="98" t="s">
        <v>14624</v>
      </c>
      <c r="C1043" s="98"/>
      <c r="D1043" s="98"/>
      <c r="E1043" s="98"/>
      <c r="F1043" s="98"/>
      <c r="G1043" s="98"/>
      <c r="H1043" s="98" t="str">
        <f>B1043</f>
        <v>Áreas secas</v>
      </c>
    </row>
    <row r="1044" spans="1:8" ht="15" customHeight="1">
      <c r="A1044" s="89" t="s">
        <v>13939</v>
      </c>
      <c r="B1044" s="367" t="str">
        <f>VLOOKUP($A1044,SERVICOS,4,FALSE)</f>
        <v>PAREDES EXTERNAS</v>
      </c>
      <c r="C1044" s="367"/>
      <c r="D1044" s="367"/>
      <c r="E1044" s="367"/>
      <c r="F1044" s="367"/>
      <c r="G1044" s="367">
        <f>VLOOKUP($A1044,SERVICOS,5,FALSE)</f>
        <v>0</v>
      </c>
      <c r="H1044" s="367" t="e">
        <f>ROUND(SUM(#REF!),2)</f>
        <v>#REF!</v>
      </c>
    </row>
    <row r="1045" spans="1:8" s="93" customFormat="1" ht="45" customHeight="1">
      <c r="A1045" s="91" t="s">
        <v>14245</v>
      </c>
      <c r="B1045" s="364" t="str">
        <f>VLOOKUP($A1045,SERVICOS,4,FALSE)</f>
        <v>Pintura Em Paredes E Forros, Aplicação Manual, Com Três Demão De Tinta Látex Acrílico Premium, Referência Coral E Metalatex, Inclusive Uma Demão De Liquido Selador Acrílico, Referência Suvinil, Coral Ou Metalatex Ou Equivalente</v>
      </c>
      <c r="C1045" s="365"/>
      <c r="D1045" s="365"/>
      <c r="E1045" s="365"/>
      <c r="F1045" s="366"/>
      <c r="G1045" s="91" t="str">
        <f>VLOOKUP($A1045,SERVICOS,5,FALSE)</f>
        <v>m2</v>
      </c>
      <c r="H1045" s="92">
        <f>ROUND(SUM(H1047:H1047),2)</f>
        <v>697.58</v>
      </c>
    </row>
    <row r="1046" spans="1:8" ht="25.5">
      <c r="A1046" s="94" t="s">
        <v>938</v>
      </c>
      <c r="B1046" s="94" t="s">
        <v>7319</v>
      </c>
      <c r="C1046" s="95" t="s">
        <v>14888</v>
      </c>
      <c r="D1046" s="95"/>
      <c r="E1046" s="94"/>
      <c r="F1046" s="94"/>
      <c r="G1046" s="94"/>
      <c r="H1046" s="96"/>
    </row>
    <row r="1047" spans="1:8" ht="15" customHeight="1">
      <c r="A1047" s="97" t="s">
        <v>14875</v>
      </c>
      <c r="B1047" s="98">
        <f>H945</f>
        <v>766.98</v>
      </c>
      <c r="C1047" s="98">
        <v>69.400000000000006</v>
      </c>
      <c r="D1047" s="98"/>
      <c r="E1047" s="98"/>
      <c r="F1047" s="98"/>
      <c r="G1047" s="98"/>
      <c r="H1047" s="98">
        <f>B1047-C1047</f>
        <v>697.58</v>
      </c>
    </row>
    <row r="1048" spans="1:8" s="93" customFormat="1" ht="30" customHeight="1">
      <c r="A1048" s="91" t="s">
        <v>14246</v>
      </c>
      <c r="B1048" s="364" t="str">
        <f>VLOOKUP($A1048,SERVICOS,4,FALSE)</f>
        <v>Fundo Selador Acrílico, Aplicação Manual Em Parede, Uma Demão. Af_04/2023</v>
      </c>
      <c r="C1048" s="365"/>
      <c r="D1048" s="365"/>
      <c r="E1048" s="365"/>
      <c r="F1048" s="366"/>
      <c r="G1048" s="91" t="str">
        <f>VLOOKUP($A1048,SERVICOS,5,FALSE)</f>
        <v>m2</v>
      </c>
      <c r="H1048" s="92">
        <f>ROUND(SUM(H1050:H1050),2)</f>
        <v>697.58</v>
      </c>
    </row>
    <row r="1049" spans="1:8" ht="15" customHeight="1">
      <c r="A1049" s="94" t="s">
        <v>938</v>
      </c>
      <c r="B1049" s="94" t="s">
        <v>7319</v>
      </c>
      <c r="C1049" s="95"/>
      <c r="D1049" s="95"/>
      <c r="E1049" s="94"/>
      <c r="F1049" s="94"/>
      <c r="G1049" s="94"/>
      <c r="H1049" s="96"/>
    </row>
    <row r="1050" spans="1:8" ht="15" customHeight="1">
      <c r="A1050" s="97" t="s">
        <v>14887</v>
      </c>
      <c r="B1050" s="98">
        <f>H1047</f>
        <v>697.58</v>
      </c>
      <c r="C1050" s="98"/>
      <c r="D1050" s="98"/>
      <c r="E1050" s="98"/>
      <c r="F1050" s="98"/>
      <c r="G1050" s="98"/>
      <c r="H1050" s="98">
        <f>B1050</f>
        <v>697.58</v>
      </c>
    </row>
    <row r="1051" spans="1:8" s="93" customFormat="1" ht="30" customHeight="1">
      <c r="A1051" s="91" t="s">
        <v>14247</v>
      </c>
      <c r="B1051" s="364" t="str">
        <f>VLOOKUP($A1051,SERVICOS,4,FALSE)</f>
        <v>Pintura Látex Acrílica Premium, Aplicação Manual Em Paredes, Duas Demãos. Af_04/2023</v>
      </c>
      <c r="C1051" s="365"/>
      <c r="D1051" s="365"/>
      <c r="E1051" s="365"/>
      <c r="F1051" s="366"/>
      <c r="G1051" s="91" t="str">
        <f>VLOOKUP($A1051,SERVICOS,5,FALSE)</f>
        <v>m2</v>
      </c>
      <c r="H1051" s="92">
        <f>H1045</f>
        <v>697.58</v>
      </c>
    </row>
    <row r="1052" spans="1:8" ht="15" customHeight="1">
      <c r="A1052" s="94" t="s">
        <v>938</v>
      </c>
      <c r="B1052" s="94" t="s">
        <v>7319</v>
      </c>
      <c r="C1052" s="95"/>
      <c r="D1052" s="95"/>
      <c r="E1052" s="94"/>
      <c r="F1052" s="94"/>
      <c r="G1052" s="94"/>
      <c r="H1052" s="96"/>
    </row>
    <row r="1053" spans="1:8" ht="15" customHeight="1">
      <c r="A1053" s="97" t="s">
        <v>14886</v>
      </c>
      <c r="B1053" s="98">
        <f>H1050</f>
        <v>697.58</v>
      </c>
      <c r="C1053" s="98"/>
      <c r="D1053" s="98"/>
      <c r="E1053" s="98"/>
      <c r="F1053" s="98"/>
      <c r="G1053" s="98"/>
      <c r="H1053" s="98">
        <f>B1053</f>
        <v>697.58</v>
      </c>
    </row>
    <row r="1054" spans="1:8" ht="15" customHeight="1">
      <c r="A1054" s="89" t="s">
        <v>14212</v>
      </c>
      <c r="B1054" s="367" t="str">
        <f>VLOOKUP($A1054,SERVICOS,4,FALSE)</f>
        <v>PISO</v>
      </c>
      <c r="C1054" s="367"/>
      <c r="D1054" s="367"/>
      <c r="E1054" s="367"/>
      <c r="F1054" s="367"/>
      <c r="G1054" s="367">
        <f>VLOOKUP($A1054,SERVICOS,5,FALSE)</f>
        <v>0</v>
      </c>
      <c r="H1054" s="367" t="e">
        <f>ROUND(SUM(#REF!),2)</f>
        <v>#REF!</v>
      </c>
    </row>
    <row r="1055" spans="1:8" s="93" customFormat="1" ht="45" customHeight="1">
      <c r="A1055" s="91" t="s">
        <v>14300</v>
      </c>
      <c r="B1055" s="364" t="str">
        <f>VLOOKUP($A1055,SERVICOS,4,FALSE)</f>
        <v>Aplicação De Tinta Epóxi De Alta Espessura Semibrilhante Sobre Piso De Concreto A Três Demãos, Inclusive Selador Epóxi A Uma Demão - Ref. Intergard 2005 E 2001 - Internacional Ou Equivalente</v>
      </c>
      <c r="C1055" s="365"/>
      <c r="D1055" s="365"/>
      <c r="E1055" s="365"/>
      <c r="F1055" s="366"/>
      <c r="G1055" s="91" t="str">
        <f>VLOOKUP($A1055,SERVICOS,5,FALSE)</f>
        <v>m2</v>
      </c>
      <c r="H1055" s="92">
        <f>ROUND(SUM(H1057:H1058),2)</f>
        <v>540</v>
      </c>
    </row>
    <row r="1056" spans="1:8" ht="15" customHeight="1">
      <c r="A1056" s="94" t="s">
        <v>938</v>
      </c>
      <c r="B1056" s="94" t="s">
        <v>7319</v>
      </c>
      <c r="C1056" s="95"/>
      <c r="D1056" s="95"/>
      <c r="E1056" s="94"/>
      <c r="F1056" s="94"/>
      <c r="G1056" s="94"/>
      <c r="H1056" s="96"/>
    </row>
    <row r="1057" spans="1:8" ht="15" customHeight="1">
      <c r="A1057" s="97" t="s">
        <v>14303</v>
      </c>
      <c r="B1057" s="98">
        <v>355.9</v>
      </c>
      <c r="C1057" s="98"/>
      <c r="D1057" s="98"/>
      <c r="E1057" s="98"/>
      <c r="F1057" s="98"/>
      <c r="G1057" s="98"/>
      <c r="H1057" s="98">
        <f>B1057</f>
        <v>355.9</v>
      </c>
    </row>
    <row r="1058" spans="1:8" ht="15" customHeight="1">
      <c r="A1058" s="97" t="s">
        <v>14320</v>
      </c>
      <c r="B1058" s="98">
        <v>184.1</v>
      </c>
      <c r="C1058" s="98"/>
      <c r="D1058" s="98"/>
      <c r="E1058" s="98"/>
      <c r="F1058" s="98"/>
      <c r="G1058" s="98"/>
      <c r="H1058" s="98">
        <f>B1058</f>
        <v>184.1</v>
      </c>
    </row>
    <row r="1059" spans="1:8" s="93" customFormat="1" ht="30" customHeight="1">
      <c r="A1059" s="91" t="s">
        <v>14301</v>
      </c>
      <c r="B1059" s="364" t="str">
        <f>VLOOKUP($A1059,SERVICOS,4,FALSE)</f>
        <v>Pintura De Demarcação De Quadra Poliesportiva Com Tinta Epóxi, E = 5 Cm, Aplicação Manual. Af_05/2021</v>
      </c>
      <c r="C1059" s="365"/>
      <c r="D1059" s="365"/>
      <c r="E1059" s="365"/>
      <c r="F1059" s="366"/>
      <c r="G1059" s="91" t="str">
        <f>VLOOKUP($A1059,SERVICOS,5,FALSE)</f>
        <v>m</v>
      </c>
      <c r="H1059" s="92">
        <f>ROUND(SUM(H1061:H1061),2)</f>
        <v>338.16</v>
      </c>
    </row>
    <row r="1060" spans="1:8" ht="15" customHeight="1">
      <c r="A1060" s="94" t="s">
        <v>938</v>
      </c>
      <c r="B1060" s="94" t="s">
        <v>7319</v>
      </c>
      <c r="C1060" s="95"/>
      <c r="D1060" s="95"/>
      <c r="E1060" s="94"/>
      <c r="F1060" s="94"/>
      <c r="G1060" s="94"/>
      <c r="H1060" s="96"/>
    </row>
    <row r="1061" spans="1:8" ht="15" customHeight="1">
      <c r="A1061" s="97" t="s">
        <v>14302</v>
      </c>
      <c r="B1061" s="98">
        <v>338.16</v>
      </c>
      <c r="C1061" s="98"/>
      <c r="D1061" s="98"/>
      <c r="E1061" s="98"/>
      <c r="F1061" s="98"/>
      <c r="G1061" s="98"/>
      <c r="H1061" s="98">
        <f>B1061</f>
        <v>338.16</v>
      </c>
    </row>
    <row r="1062" spans="1:8" s="93" customFormat="1" ht="30" customHeight="1">
      <c r="A1062" s="91" t="s">
        <v>14360</v>
      </c>
      <c r="B1062" s="364" t="str">
        <f>VLOOKUP($A1062,SERVICOS,4,FALSE)</f>
        <v>Pintura De Piso Com Tinta Acrílica, Aplicação Manual, 3 Demãos, Incluso Fundo Preparador. Af_05/2021</v>
      </c>
      <c r="C1062" s="365"/>
      <c r="D1062" s="365"/>
      <c r="E1062" s="365"/>
      <c r="F1062" s="366"/>
      <c r="G1062" s="91" t="str">
        <f>VLOOKUP($A1062,SERVICOS,5,FALSE)</f>
        <v>m2</v>
      </c>
      <c r="H1062" s="92">
        <f>ROUND(SUM(H1064:H1067),2)</f>
        <v>154.78</v>
      </c>
    </row>
    <row r="1063" spans="1:8" ht="15" customHeight="1">
      <c r="A1063" s="94" t="s">
        <v>938</v>
      </c>
      <c r="B1063" s="94" t="s">
        <v>14361</v>
      </c>
      <c r="C1063" s="95" t="s">
        <v>14890</v>
      </c>
      <c r="D1063" s="95"/>
      <c r="E1063" s="94"/>
      <c r="F1063" s="94"/>
      <c r="G1063" s="94"/>
      <c r="H1063" s="96"/>
    </row>
    <row r="1064" spans="1:8" ht="15" customHeight="1">
      <c r="A1064" s="205" t="str">
        <f t="shared" ref="A1064:C1065" si="363">A981</f>
        <v>Arquibancada 1</v>
      </c>
      <c r="B1064" s="98">
        <f t="shared" si="363"/>
        <v>19.48</v>
      </c>
      <c r="C1064" s="98">
        <f t="shared" si="363"/>
        <v>12.825000000000001</v>
      </c>
      <c r="D1064" s="98"/>
      <c r="E1064" s="98"/>
      <c r="F1064" s="98"/>
      <c r="G1064" s="98"/>
      <c r="H1064" s="98">
        <f>B1064+C1064</f>
        <v>32.305</v>
      </c>
    </row>
    <row r="1065" spans="1:8" ht="15" customHeight="1">
      <c r="A1065" s="205" t="str">
        <f t="shared" si="363"/>
        <v>Arquibancada 2</v>
      </c>
      <c r="B1065" s="98">
        <f t="shared" si="363"/>
        <v>35.619999999999997</v>
      </c>
      <c r="C1065" s="98">
        <f t="shared" si="363"/>
        <v>24.3</v>
      </c>
      <c r="D1065" s="98"/>
      <c r="E1065" s="98"/>
      <c r="F1065" s="98"/>
      <c r="G1065" s="98"/>
      <c r="H1065" s="98">
        <f>B1065</f>
        <v>35.619999999999997</v>
      </c>
    </row>
    <row r="1066" spans="1:8" ht="15" customHeight="1">
      <c r="A1066" s="205" t="str">
        <f t="shared" ref="A1066:C1067" si="364">A983</f>
        <v>Arquibancada 3</v>
      </c>
      <c r="B1066" s="98">
        <f t="shared" si="364"/>
        <v>85.51</v>
      </c>
      <c r="C1066" s="98">
        <f t="shared" si="364"/>
        <v>57.104999999999997</v>
      </c>
      <c r="D1066" s="98"/>
      <c r="E1066" s="98"/>
      <c r="F1066" s="98"/>
      <c r="G1066" s="98"/>
      <c r="H1066" s="98">
        <f>B1066</f>
        <v>85.51</v>
      </c>
    </row>
    <row r="1067" spans="1:8" ht="15" customHeight="1">
      <c r="A1067" s="205" t="str">
        <f t="shared" si="364"/>
        <v>Banco fachada frontal (assento)</v>
      </c>
      <c r="B1067" s="98">
        <f t="shared" si="364"/>
        <v>1.34</v>
      </c>
      <c r="C1067" s="98">
        <f t="shared" si="364"/>
        <v>0</v>
      </c>
      <c r="D1067" s="98"/>
      <c r="E1067" s="98"/>
      <c r="F1067" s="98"/>
      <c r="G1067" s="98"/>
      <c r="H1067" s="98">
        <f>B1067</f>
        <v>1.34</v>
      </c>
    </row>
    <row r="1068" spans="1:8" ht="15" customHeight="1">
      <c r="A1068" s="89" t="s">
        <v>14466</v>
      </c>
      <c r="B1068" s="367" t="str">
        <f>VLOOKUP($A1068,SERVICOS,4,FALSE)</f>
        <v>SOBRE COBOGÓS</v>
      </c>
      <c r="C1068" s="367"/>
      <c r="D1068" s="367"/>
      <c r="E1068" s="367"/>
      <c r="F1068" s="367"/>
      <c r="G1068" s="367">
        <f>VLOOKUP($A1068,SERVICOS,5,FALSE)</f>
        <v>0</v>
      </c>
      <c r="H1068" s="367" t="e">
        <f>ROUND(SUM(#REF!),2)</f>
        <v>#REF!</v>
      </c>
    </row>
    <row r="1069" spans="1:8" s="93" customFormat="1" ht="45" customHeight="1">
      <c r="A1069" s="91" t="s">
        <v>14468</v>
      </c>
      <c r="B1069" s="364" t="str">
        <f>VLOOKUP($A1069,SERVICOS,4,FALSE)</f>
        <v>Pintura Sobre Cobogós De Concreto, Aplicação Manual, Com Duas Demãos De Tinta Látex Acrílico Premium, Referência Suvinil, Coral E Metalatex, Inclusive Uma Demão De Liquido Selador Acrílico, Referência Suvinil, Coral Ou Metalatex Ou Equivalente</v>
      </c>
      <c r="C1069" s="365"/>
      <c r="D1069" s="365"/>
      <c r="E1069" s="365"/>
      <c r="F1069" s="366"/>
      <c r="G1069" s="91" t="str">
        <f>VLOOKUP($A1069,SERVICOS,5,FALSE)</f>
        <v>m2</v>
      </c>
      <c r="H1069" s="92">
        <f>ROUND(SUM(H1071:H1083),2)</f>
        <v>345.6</v>
      </c>
    </row>
    <row r="1070" spans="1:8" ht="15" customHeight="1">
      <c r="A1070" s="94" t="s">
        <v>938</v>
      </c>
      <c r="B1070" s="94" t="s">
        <v>7319</v>
      </c>
      <c r="C1070" s="95" t="s">
        <v>7320</v>
      </c>
      <c r="D1070" s="95" t="s">
        <v>14192</v>
      </c>
      <c r="E1070" s="94"/>
      <c r="F1070" s="94"/>
      <c r="G1070" s="94"/>
      <c r="H1070" s="96"/>
    </row>
    <row r="1071" spans="1:8" ht="15" customHeight="1">
      <c r="A1071" s="97" t="str">
        <f t="shared" ref="A1071:D1083" si="365">A671</f>
        <v>Vestiário 1</v>
      </c>
      <c r="B1071" s="224">
        <f t="shared" si="365"/>
        <v>1</v>
      </c>
      <c r="C1071" s="224">
        <f t="shared" si="365"/>
        <v>5.2</v>
      </c>
      <c r="D1071" s="224">
        <f t="shared" si="365"/>
        <v>0.4</v>
      </c>
      <c r="E1071" s="98"/>
      <c r="F1071" s="98"/>
      <c r="G1071" s="206"/>
      <c r="H1071" s="98">
        <f>B1071*C1071*D1071*2</f>
        <v>4.16</v>
      </c>
    </row>
    <row r="1072" spans="1:8" ht="15" customHeight="1">
      <c r="A1072" s="97" t="str">
        <f t="shared" si="365"/>
        <v>Almoxarifado</v>
      </c>
      <c r="B1072" s="224">
        <f t="shared" si="365"/>
        <v>1</v>
      </c>
      <c r="C1072" s="224">
        <f t="shared" si="365"/>
        <v>1.2</v>
      </c>
      <c r="D1072" s="224">
        <f t="shared" si="365"/>
        <v>0.4</v>
      </c>
      <c r="E1072" s="98"/>
      <c r="F1072" s="98"/>
      <c r="G1072" s="206"/>
      <c r="H1072" s="98">
        <f t="shared" ref="H1072:H1083" si="366">B1072*C1072*D1072*2</f>
        <v>0.96</v>
      </c>
    </row>
    <row r="1073" spans="1:8" ht="15" customHeight="1">
      <c r="A1073" s="97" t="str">
        <f t="shared" si="365"/>
        <v>Vestiário 2</v>
      </c>
      <c r="B1073" s="224">
        <f t="shared" si="365"/>
        <v>1</v>
      </c>
      <c r="C1073" s="224">
        <f t="shared" si="365"/>
        <v>5.2</v>
      </c>
      <c r="D1073" s="224">
        <f t="shared" si="365"/>
        <v>0.4</v>
      </c>
      <c r="E1073" s="98"/>
      <c r="F1073" s="98"/>
      <c r="G1073" s="206"/>
      <c r="H1073" s="98">
        <f t="shared" si="366"/>
        <v>4.16</v>
      </c>
    </row>
    <row r="1074" spans="1:8" ht="15" customHeight="1">
      <c r="A1074" s="97" t="str">
        <f t="shared" si="365"/>
        <v>Sanitário feminino</v>
      </c>
      <c r="B1074" s="224">
        <f t="shared" si="365"/>
        <v>1</v>
      </c>
      <c r="C1074" s="224">
        <f t="shared" si="365"/>
        <v>3.2</v>
      </c>
      <c r="D1074" s="224">
        <f t="shared" si="365"/>
        <v>0.4</v>
      </c>
      <c r="E1074" s="98"/>
      <c r="F1074" s="98"/>
      <c r="G1074" s="206"/>
      <c r="H1074" s="98">
        <f t="shared" si="366"/>
        <v>2.5600000000000005</v>
      </c>
    </row>
    <row r="1075" spans="1:8" ht="15" customHeight="1">
      <c r="A1075" s="97" t="str">
        <f t="shared" si="365"/>
        <v>Sanitário masculino</v>
      </c>
      <c r="B1075" s="224">
        <f t="shared" si="365"/>
        <v>1</v>
      </c>
      <c r="C1075" s="224">
        <f t="shared" si="365"/>
        <v>4</v>
      </c>
      <c r="D1075" s="224">
        <f t="shared" si="365"/>
        <v>0.4</v>
      </c>
      <c r="E1075" s="98"/>
      <c r="F1075" s="98"/>
      <c r="G1075" s="206"/>
      <c r="H1075" s="98">
        <f t="shared" si="366"/>
        <v>3.2</v>
      </c>
    </row>
    <row r="1076" spans="1:8" ht="15" customHeight="1">
      <c r="A1076" s="97" t="str">
        <f t="shared" si="365"/>
        <v>Camarim</v>
      </c>
      <c r="B1076" s="224">
        <f t="shared" si="365"/>
        <v>1</v>
      </c>
      <c r="C1076" s="224">
        <f t="shared" si="365"/>
        <v>2</v>
      </c>
      <c r="D1076" s="224">
        <f t="shared" si="365"/>
        <v>0.4</v>
      </c>
      <c r="E1076" s="205"/>
      <c r="F1076" s="205"/>
      <c r="G1076" s="206"/>
      <c r="H1076" s="98">
        <f t="shared" si="366"/>
        <v>1.6</v>
      </c>
    </row>
    <row r="1077" spans="1:8" ht="15" customHeight="1">
      <c r="A1077" s="97" t="str">
        <f t="shared" si="365"/>
        <v>Camarim (vista para o palco)</v>
      </c>
      <c r="B1077" s="224">
        <f t="shared" si="365"/>
        <v>1</v>
      </c>
      <c r="C1077" s="224">
        <f t="shared" si="365"/>
        <v>2.8</v>
      </c>
      <c r="D1077" s="224">
        <f t="shared" si="365"/>
        <v>0.4</v>
      </c>
      <c r="E1077" s="98"/>
      <c r="F1077" s="227"/>
      <c r="G1077" s="206"/>
      <c r="H1077" s="98">
        <f t="shared" si="366"/>
        <v>2.2399999999999998</v>
      </c>
    </row>
    <row r="1078" spans="1:8" ht="15" customHeight="1">
      <c r="A1078" s="97" t="str">
        <f t="shared" si="365"/>
        <v>Sanitário (camarim)</v>
      </c>
      <c r="B1078" s="224">
        <f t="shared" si="365"/>
        <v>1</v>
      </c>
      <c r="C1078" s="224">
        <f t="shared" si="365"/>
        <v>0.8</v>
      </c>
      <c r="D1078" s="224">
        <f t="shared" si="365"/>
        <v>0.4</v>
      </c>
      <c r="E1078" s="98"/>
      <c r="F1078" s="228"/>
      <c r="G1078" s="206"/>
      <c r="H1078" s="98">
        <f t="shared" si="366"/>
        <v>0.64000000000000012</v>
      </c>
    </row>
    <row r="1079" spans="1:8" ht="15" customHeight="1">
      <c r="A1079" s="97" t="str">
        <f t="shared" si="365"/>
        <v>Depósito</v>
      </c>
      <c r="B1079" s="224">
        <f t="shared" si="365"/>
        <v>2</v>
      </c>
      <c r="C1079" s="224">
        <f t="shared" si="365"/>
        <v>5.6</v>
      </c>
      <c r="D1079" s="224">
        <f t="shared" si="365"/>
        <v>0.4</v>
      </c>
      <c r="E1079" s="98"/>
      <c r="F1079" s="228"/>
      <c r="G1079" s="206"/>
      <c r="H1079" s="98">
        <f t="shared" si="366"/>
        <v>8.9599999999999991</v>
      </c>
    </row>
    <row r="1080" spans="1:8" ht="15" customHeight="1">
      <c r="A1080" s="97" t="str">
        <f t="shared" si="365"/>
        <v>Fachada lateral esquerda</v>
      </c>
      <c r="B1080" s="224">
        <f t="shared" si="365"/>
        <v>7</v>
      </c>
      <c r="C1080" s="224">
        <f t="shared" si="365"/>
        <v>5.6</v>
      </c>
      <c r="D1080" s="224">
        <f t="shared" si="365"/>
        <v>2.4</v>
      </c>
      <c r="E1080" s="98"/>
      <c r="F1080" s="228"/>
      <c r="G1080" s="206"/>
      <c r="H1080" s="98">
        <f t="shared" si="366"/>
        <v>188.15999999999997</v>
      </c>
    </row>
    <row r="1081" spans="1:8" ht="15" customHeight="1">
      <c r="A1081" s="97" t="str">
        <f t="shared" si="365"/>
        <v>Fachada lateral direita (corte E-E - meio)</v>
      </c>
      <c r="B1081" s="224">
        <f t="shared" si="365"/>
        <v>6</v>
      </c>
      <c r="C1081" s="224">
        <f t="shared" si="365"/>
        <v>5.6</v>
      </c>
      <c r="D1081" s="224">
        <f t="shared" si="365"/>
        <v>1.6</v>
      </c>
      <c r="E1081" s="98"/>
      <c r="F1081" s="227"/>
      <c r="G1081" s="206"/>
      <c r="H1081" s="98">
        <f t="shared" si="366"/>
        <v>107.51999999999998</v>
      </c>
    </row>
    <row r="1082" spans="1:8" ht="15" customHeight="1">
      <c r="A1082" s="97" t="str">
        <f t="shared" si="365"/>
        <v>Caixa d'água_lado interno quadra</v>
      </c>
      <c r="B1082" s="224">
        <f t="shared" si="365"/>
        <v>1</v>
      </c>
      <c r="C1082" s="224">
        <f t="shared" si="365"/>
        <v>5.2</v>
      </c>
      <c r="D1082" s="224">
        <f t="shared" si="365"/>
        <v>1.2</v>
      </c>
      <c r="E1082" s="98"/>
      <c r="F1082" s="227"/>
      <c r="G1082" s="206"/>
      <c r="H1082" s="98">
        <f t="shared" si="366"/>
        <v>12.48</v>
      </c>
    </row>
    <row r="1083" spans="1:8" ht="15" customHeight="1">
      <c r="A1083" s="97" t="str">
        <f t="shared" si="365"/>
        <v>Caixa d'água</v>
      </c>
      <c r="B1083" s="224">
        <f t="shared" si="365"/>
        <v>2</v>
      </c>
      <c r="C1083" s="224">
        <f t="shared" si="365"/>
        <v>2.8</v>
      </c>
      <c r="D1083" s="224">
        <f t="shared" si="365"/>
        <v>0.8</v>
      </c>
      <c r="E1083" s="98"/>
      <c r="F1083" s="228"/>
      <c r="G1083" s="206"/>
      <c r="H1083" s="98">
        <f t="shared" si="366"/>
        <v>8.9599999999999991</v>
      </c>
    </row>
    <row r="1084" spans="1:8" ht="15" customHeight="1">
      <c r="A1084" s="97" t="s">
        <v>14891</v>
      </c>
      <c r="B1084" s="98"/>
      <c r="C1084" s="98"/>
      <c r="D1084" s="98"/>
      <c r="E1084" s="98"/>
      <c r="F1084" s="228"/>
      <c r="G1084" s="206"/>
      <c r="H1084" s="98"/>
    </row>
    <row r="1085" spans="1:8" ht="15" customHeight="1">
      <c r="A1085" s="89" t="s">
        <v>12618</v>
      </c>
      <c r="B1085" s="367" t="str">
        <f>VLOOKUP($A1085,SERVICOS,4,FALSE)</f>
        <v>INSTALAÇÕES HIDRÁULICAS</v>
      </c>
      <c r="C1085" s="367"/>
      <c r="D1085" s="367"/>
      <c r="E1085" s="367"/>
      <c r="F1085" s="367"/>
      <c r="G1085" s="367">
        <f>VLOOKUP($A1085,SERVICOS,5,FALSE)</f>
        <v>0</v>
      </c>
      <c r="H1085" s="367" t="e">
        <f>ROUND(SUM(#REF!),2)</f>
        <v>#REF!</v>
      </c>
    </row>
    <row r="1086" spans="1:8" s="93" customFormat="1" ht="60" customHeight="1">
      <c r="A1086" s="91" t="s">
        <v>12619</v>
      </c>
      <c r="B1086" s="364" t="str">
        <f>VLOOKUP($A1086,SERVICOS,4,FALSE)</f>
        <v>Padrão De Entrada D Água Com Caixa Termoplástica Para Hidrômetro De 3/4" - Padrão 1B Da Cesan. Instalado Embutido Na Alvenaria. Inclusive Tubulação, Conexões, Registro, Tubo Camisa E Caixa Com Tampa Transparente. Conferir Detalhe.</v>
      </c>
      <c r="C1086" s="365"/>
      <c r="D1086" s="365"/>
      <c r="E1086" s="365"/>
      <c r="F1086" s="366"/>
      <c r="G1086" s="91" t="str">
        <f>VLOOKUP($A1086,SERVICOS,5,FALSE)</f>
        <v>und</v>
      </c>
      <c r="H1086" s="92">
        <f>ROUND(SUM(H1088:H1088),2)</f>
        <v>1</v>
      </c>
    </row>
    <row r="1087" spans="1:8" ht="15" customHeight="1">
      <c r="A1087" s="94" t="s">
        <v>938</v>
      </c>
      <c r="B1087" s="94" t="s">
        <v>7319</v>
      </c>
      <c r="C1087" s="95"/>
      <c r="D1087" s="95"/>
      <c r="E1087" s="94"/>
      <c r="F1087" s="94"/>
      <c r="G1087" s="94"/>
      <c r="H1087" s="96"/>
    </row>
    <row r="1088" spans="1:8" ht="15" customHeight="1">
      <c r="A1088" s="97" t="s">
        <v>13904</v>
      </c>
      <c r="B1088" s="98">
        <v>1</v>
      </c>
      <c r="C1088" s="98"/>
      <c r="D1088" s="98"/>
      <c r="E1088" s="98"/>
      <c r="F1088" s="98"/>
      <c r="G1088" s="98"/>
      <c r="H1088" s="98">
        <f>B1088</f>
        <v>1</v>
      </c>
    </row>
    <row r="1089" spans="1:8" s="93" customFormat="1" ht="45" customHeight="1">
      <c r="A1089" s="91" t="s">
        <v>12620</v>
      </c>
      <c r="B1089" s="364" t="str">
        <f>VLOOKUP($A1089,SERVICOS,4,FALSE)</f>
        <v>Adaptador Curto Com Bolsa E Rosca Para Registro, Pvc, Soldável, Dn 25Mm X 3/4 , Instalado Em Ramal Ou Sub-Ramal De Água - Fornecimento E Instalação. Af_06/2022</v>
      </c>
      <c r="C1089" s="365"/>
      <c r="D1089" s="365"/>
      <c r="E1089" s="365"/>
      <c r="F1089" s="366"/>
      <c r="G1089" s="91" t="str">
        <f>VLOOKUP($A1089,SERVICOS,5,FALSE)</f>
        <v>un</v>
      </c>
      <c r="H1089" s="92">
        <f>ROUND(SUM(H1091:H1091),2)</f>
        <v>13</v>
      </c>
    </row>
    <row r="1090" spans="1:8" ht="15" customHeight="1">
      <c r="A1090" s="94" t="s">
        <v>938</v>
      </c>
      <c r="B1090" s="94"/>
      <c r="C1090" s="95"/>
      <c r="D1090" s="95"/>
      <c r="E1090" s="94"/>
      <c r="F1090" s="94"/>
      <c r="G1090" s="94"/>
      <c r="H1090" s="96"/>
    </row>
    <row r="1091" spans="1:8" ht="15" customHeight="1">
      <c r="A1091" s="97" t="s">
        <v>13904</v>
      </c>
      <c r="B1091" s="98">
        <v>13</v>
      </c>
      <c r="C1091" s="98"/>
      <c r="D1091" s="98"/>
      <c r="E1091" s="98"/>
      <c r="F1091" s="98"/>
      <c r="G1091" s="98"/>
      <c r="H1091" s="98">
        <f t="shared" ref="H1091" si="367">B1091</f>
        <v>13</v>
      </c>
    </row>
    <row r="1092" spans="1:8" s="93" customFormat="1" ht="45" customHeight="1">
      <c r="A1092" s="91" t="s">
        <v>14248</v>
      </c>
      <c r="B1092" s="364" t="str">
        <f>VLOOKUP($A1092,SERVICOS,4,FALSE)</f>
        <v>Adaptador Curto Com Bolsa E Rosca Para Registro, Pvc, Soldável, Dn 50Mm X 1.1/2 , Instalado Em Prumada De Água - Fornecimento E Instalação. Af_06/2022</v>
      </c>
      <c r="C1092" s="365"/>
      <c r="D1092" s="365"/>
      <c r="E1092" s="365"/>
      <c r="F1092" s="366"/>
      <c r="G1092" s="91" t="str">
        <f>VLOOKUP($A1092,SERVICOS,5,FALSE)</f>
        <v>un</v>
      </c>
      <c r="H1092" s="92">
        <f>ROUND(SUM(H1094:H1094),2)</f>
        <v>23</v>
      </c>
    </row>
    <row r="1093" spans="1:8" ht="15" customHeight="1">
      <c r="A1093" s="94" t="s">
        <v>938</v>
      </c>
      <c r="B1093" s="94" t="s">
        <v>7319</v>
      </c>
      <c r="C1093" s="95"/>
      <c r="D1093" s="95"/>
      <c r="E1093" s="94"/>
      <c r="F1093" s="94"/>
      <c r="G1093" s="94"/>
      <c r="H1093" s="96"/>
    </row>
    <row r="1094" spans="1:8" ht="15" customHeight="1">
      <c r="A1094" s="97" t="s">
        <v>13904</v>
      </c>
      <c r="B1094" s="98">
        <v>23</v>
      </c>
      <c r="C1094" s="98"/>
      <c r="D1094" s="98"/>
      <c r="E1094" s="98"/>
      <c r="F1094" s="98"/>
      <c r="G1094" s="98"/>
      <c r="H1094" s="98">
        <f>B1094</f>
        <v>23</v>
      </c>
    </row>
    <row r="1095" spans="1:8" s="93" customFormat="1" ht="30" customHeight="1">
      <c r="A1095" s="91" t="s">
        <v>14249</v>
      </c>
      <c r="B1095" s="364" t="str">
        <f>VLOOKUP($A1095,SERVICOS,4,FALSE)</f>
        <v>Joelho 90 Graus, Pvc, Soldável, Dn 25Mm, Instalado Em Ramal De Distribuição De Água - Fornecimento E Instalação. Af_06/2022</v>
      </c>
      <c r="C1095" s="365"/>
      <c r="D1095" s="365"/>
      <c r="E1095" s="365"/>
      <c r="F1095" s="366"/>
      <c r="G1095" s="91" t="str">
        <f>VLOOKUP($A1095,SERVICOS,5,FALSE)</f>
        <v>un</v>
      </c>
      <c r="H1095" s="92">
        <f>ROUND(SUM(H1097:H1097),2)</f>
        <v>21</v>
      </c>
    </row>
    <row r="1096" spans="1:8" ht="15" customHeight="1">
      <c r="A1096" s="94" t="s">
        <v>938</v>
      </c>
      <c r="B1096" s="94"/>
      <c r="C1096" s="95"/>
      <c r="D1096" s="95"/>
      <c r="E1096" s="94"/>
      <c r="F1096" s="94"/>
      <c r="G1096" s="94"/>
      <c r="H1096" s="96"/>
    </row>
    <row r="1097" spans="1:8" ht="15" customHeight="1">
      <c r="A1097" s="97" t="s">
        <v>13904</v>
      </c>
      <c r="B1097" s="98">
        <v>21</v>
      </c>
      <c r="C1097" s="98"/>
      <c r="D1097" s="98"/>
      <c r="E1097" s="98"/>
      <c r="F1097" s="98"/>
      <c r="G1097" s="98"/>
      <c r="H1097" s="98">
        <f t="shared" ref="H1097" si="368">B1097</f>
        <v>21</v>
      </c>
    </row>
    <row r="1098" spans="1:8" s="93" customFormat="1" ht="30" customHeight="1">
      <c r="A1098" s="91" t="s">
        <v>14250</v>
      </c>
      <c r="B1098" s="364" t="str">
        <f>VLOOKUP($A1098,SERVICOS,4,FALSE)</f>
        <v>Joelho 90 Graus, Pvc, Soldável, Dn 50Mm, Instalado Em Prumada De Água - Fornecimento E Instalação. Af_06/2022</v>
      </c>
      <c r="C1098" s="365"/>
      <c r="D1098" s="365"/>
      <c r="E1098" s="365"/>
      <c r="F1098" s="366"/>
      <c r="G1098" s="91" t="str">
        <f>VLOOKUP($A1098,SERVICOS,5,FALSE)</f>
        <v>un</v>
      </c>
      <c r="H1098" s="92">
        <f>ROUND(SUM(H1100:H1100),2)</f>
        <v>51</v>
      </c>
    </row>
    <row r="1099" spans="1:8" ht="15" customHeight="1">
      <c r="A1099" s="94" t="s">
        <v>938</v>
      </c>
      <c r="B1099" s="94" t="s">
        <v>7319</v>
      </c>
      <c r="C1099" s="95"/>
      <c r="D1099" s="95"/>
      <c r="E1099" s="94"/>
      <c r="F1099" s="94"/>
      <c r="G1099" s="94"/>
      <c r="H1099" s="96"/>
    </row>
    <row r="1100" spans="1:8" ht="15" customHeight="1">
      <c r="A1100" s="97" t="s">
        <v>13904</v>
      </c>
      <c r="B1100" s="98">
        <v>51</v>
      </c>
      <c r="C1100" s="98"/>
      <c r="D1100" s="98"/>
      <c r="E1100" s="98"/>
      <c r="F1100" s="98"/>
      <c r="G1100" s="98"/>
      <c r="H1100" s="98">
        <f>B1100</f>
        <v>51</v>
      </c>
    </row>
    <row r="1101" spans="1:8" s="93" customFormat="1" ht="45" customHeight="1">
      <c r="A1101" s="91" t="s">
        <v>14726</v>
      </c>
      <c r="B1101" s="364" t="str">
        <f>VLOOKUP($A1101,SERVICOS,4,FALSE)</f>
        <v>Joelho 90 Graus Com Bucha De Latão, Pvc, Soldável, Dn 25Mm, X 3/4  Instalado Em Ramal Ou Sub-Ramal De Água - Fornecimento E Instalação. Af_06/2022</v>
      </c>
      <c r="C1101" s="365"/>
      <c r="D1101" s="365"/>
      <c r="E1101" s="365"/>
      <c r="F1101" s="366"/>
      <c r="G1101" s="91" t="str">
        <f>VLOOKUP($A1101,SERVICOS,5,FALSE)</f>
        <v>un</v>
      </c>
      <c r="H1101" s="92">
        <f>ROUND(SUM(H1103:H1103),2)</f>
        <v>33</v>
      </c>
    </row>
    <row r="1102" spans="1:8" ht="15" customHeight="1">
      <c r="A1102" s="94" t="s">
        <v>938</v>
      </c>
      <c r="B1102" s="94"/>
      <c r="C1102" s="95"/>
      <c r="D1102" s="95"/>
      <c r="E1102" s="94"/>
      <c r="F1102" s="94"/>
      <c r="G1102" s="94"/>
      <c r="H1102" s="96"/>
    </row>
    <row r="1103" spans="1:8" ht="15" customHeight="1">
      <c r="A1103" s="97" t="s">
        <v>13904</v>
      </c>
      <c r="B1103" s="98">
        <v>33</v>
      </c>
      <c r="C1103" s="98"/>
      <c r="D1103" s="98"/>
      <c r="E1103" s="98"/>
      <c r="F1103" s="98"/>
      <c r="G1103" s="98"/>
      <c r="H1103" s="98">
        <f t="shared" ref="H1103" si="369">B1103</f>
        <v>33</v>
      </c>
    </row>
    <row r="1104" spans="1:8" s="93" customFormat="1" ht="30" customHeight="1">
      <c r="A1104" s="91" t="s">
        <v>14727</v>
      </c>
      <c r="B1104" s="364" t="str">
        <f>VLOOKUP($A1104,SERVICOS,4,FALSE)</f>
        <v>Luva De Redução, Pvc, Soldável, Dn 50Mm X 25Mm, Instalado Em Prumada De Água   Fornecimento E Instalação. Af_06/2022</v>
      </c>
      <c r="C1104" s="365"/>
      <c r="D1104" s="365"/>
      <c r="E1104" s="365"/>
      <c r="F1104" s="366"/>
      <c r="G1104" s="91" t="str">
        <f>VLOOKUP($A1104,SERVICOS,5,FALSE)</f>
        <v>un</v>
      </c>
      <c r="H1104" s="92">
        <f>ROUND(SUM(H1106:H1106),2)</f>
        <v>27</v>
      </c>
    </row>
    <row r="1105" spans="1:8" ht="15" customHeight="1">
      <c r="A1105" s="94" t="s">
        <v>938</v>
      </c>
      <c r="B1105" s="94" t="s">
        <v>7319</v>
      </c>
      <c r="C1105" s="95"/>
      <c r="D1105" s="95"/>
      <c r="E1105" s="94"/>
      <c r="F1105" s="94"/>
      <c r="G1105" s="94"/>
      <c r="H1105" s="96"/>
    </row>
    <row r="1106" spans="1:8" ht="15" customHeight="1">
      <c r="A1106" s="97" t="s">
        <v>13904</v>
      </c>
      <c r="B1106" s="98">
        <v>27</v>
      </c>
      <c r="C1106" s="98"/>
      <c r="D1106" s="98"/>
      <c r="E1106" s="98"/>
      <c r="F1106" s="98"/>
      <c r="G1106" s="98"/>
      <c r="H1106" s="98">
        <f>B1106</f>
        <v>27</v>
      </c>
    </row>
    <row r="1107" spans="1:8" s="93" customFormat="1" ht="30" customHeight="1">
      <c r="A1107" s="91" t="s">
        <v>14728</v>
      </c>
      <c r="B1107" s="364" t="str">
        <f>VLOOKUP($A1107,SERVICOS,4,FALSE)</f>
        <v>Luva Com Bucha De Latão, Pvc, Soldável, Dn 25Mm X 3/4 , Instalado Em Ramal Ou Sub-Ramal De Água - Fornecimento E Instalação. Af_06/2022</v>
      </c>
      <c r="C1107" s="365"/>
      <c r="D1107" s="365"/>
      <c r="E1107" s="365"/>
      <c r="F1107" s="366"/>
      <c r="G1107" s="91" t="str">
        <f>VLOOKUP($A1107,SERVICOS,5,FALSE)</f>
        <v>un</v>
      </c>
      <c r="H1107" s="92">
        <f>ROUND(SUM(H1109:H1109),2)</f>
        <v>7</v>
      </c>
    </row>
    <row r="1108" spans="1:8" ht="15" customHeight="1">
      <c r="A1108" s="94" t="s">
        <v>938</v>
      </c>
      <c r="B1108" s="94"/>
      <c r="C1108" s="95"/>
      <c r="D1108" s="95"/>
      <c r="E1108" s="94"/>
      <c r="F1108" s="94"/>
      <c r="G1108" s="94"/>
      <c r="H1108" s="96"/>
    </row>
    <row r="1109" spans="1:8" ht="15" customHeight="1">
      <c r="A1109" s="97" t="s">
        <v>13904</v>
      </c>
      <c r="B1109" s="98">
        <v>7</v>
      </c>
      <c r="C1109" s="98"/>
      <c r="D1109" s="98"/>
      <c r="E1109" s="98"/>
      <c r="F1109" s="98"/>
      <c r="G1109" s="98"/>
      <c r="H1109" s="98">
        <f t="shared" ref="H1109" si="370">B1109</f>
        <v>7</v>
      </c>
    </row>
    <row r="1110" spans="1:8" s="93" customFormat="1" ht="30" customHeight="1">
      <c r="A1110" s="91" t="s">
        <v>14729</v>
      </c>
      <c r="B1110" s="364" t="str">
        <f>VLOOKUP($A1110,SERVICOS,4,FALSE)</f>
        <v>Te, Pvc, Soldável, Dn 25Mm, Instalado Em Ramal De Distribuição De Água - Fornecimento E Instalação. Af_06/2022</v>
      </c>
      <c r="C1110" s="365"/>
      <c r="D1110" s="365"/>
      <c r="E1110" s="365"/>
      <c r="F1110" s="366"/>
      <c r="G1110" s="91" t="str">
        <f>VLOOKUP($A1110,SERVICOS,5,FALSE)</f>
        <v>un</v>
      </c>
      <c r="H1110" s="92">
        <f>ROUND(SUM(H1112:H1112),2)</f>
        <v>4</v>
      </c>
    </row>
    <row r="1111" spans="1:8" ht="15" customHeight="1">
      <c r="A1111" s="94" t="s">
        <v>938</v>
      </c>
      <c r="B1111" s="94" t="s">
        <v>7319</v>
      </c>
      <c r="C1111" s="95"/>
      <c r="D1111" s="95"/>
      <c r="E1111" s="94"/>
      <c r="F1111" s="94"/>
      <c r="G1111" s="94"/>
      <c r="H1111" s="96"/>
    </row>
    <row r="1112" spans="1:8" ht="15" customHeight="1">
      <c r="A1112" s="97" t="s">
        <v>13904</v>
      </c>
      <c r="B1112" s="98">
        <v>4</v>
      </c>
      <c r="C1112" s="98"/>
      <c r="D1112" s="98"/>
      <c r="E1112" s="98"/>
      <c r="F1112" s="98"/>
      <c r="G1112" s="98"/>
      <c r="H1112" s="98">
        <f>B1112</f>
        <v>4</v>
      </c>
    </row>
    <row r="1113" spans="1:8" s="93" customFormat="1" ht="30" customHeight="1">
      <c r="A1113" s="91" t="s">
        <v>14730</v>
      </c>
      <c r="B1113" s="364" t="str">
        <f>VLOOKUP($A1113,SERVICOS,4,FALSE)</f>
        <v>Te, Pvc, Soldável, Dn 50Mm, Instalado Em Prumada De Água - Fornecimento E Instalação. Af_06/2022</v>
      </c>
      <c r="C1113" s="365"/>
      <c r="D1113" s="365"/>
      <c r="E1113" s="365"/>
      <c r="F1113" s="366"/>
      <c r="G1113" s="91" t="str">
        <f>VLOOKUP($A1113,SERVICOS,5,FALSE)</f>
        <v>un</v>
      </c>
      <c r="H1113" s="92">
        <f>ROUND(SUM(H1115:H1115),2)</f>
        <v>44</v>
      </c>
    </row>
    <row r="1114" spans="1:8" ht="15" customHeight="1">
      <c r="A1114" s="94" t="s">
        <v>938</v>
      </c>
      <c r="B1114" s="94"/>
      <c r="C1114" s="95"/>
      <c r="D1114" s="95"/>
      <c r="E1114" s="94"/>
      <c r="F1114" s="94"/>
      <c r="G1114" s="94"/>
      <c r="H1114" s="96"/>
    </row>
    <row r="1115" spans="1:8" ht="15" customHeight="1">
      <c r="A1115" s="97" t="s">
        <v>13904</v>
      </c>
      <c r="B1115" s="98">
        <v>44</v>
      </c>
      <c r="C1115" s="98"/>
      <c r="D1115" s="98"/>
      <c r="E1115" s="98"/>
      <c r="F1115" s="98"/>
      <c r="G1115" s="98"/>
      <c r="H1115" s="98">
        <f t="shared" ref="H1115" si="371">B1115</f>
        <v>44</v>
      </c>
    </row>
    <row r="1116" spans="1:8" s="93" customFormat="1" ht="30" customHeight="1">
      <c r="A1116" s="91" t="s">
        <v>14731</v>
      </c>
      <c r="B1116" s="364" t="str">
        <f>VLOOKUP($A1116,SERVICOS,4,FALSE)</f>
        <v>Registro De Esfera, Pvc, Soldável, Com Volante, Dn  25 Mm - Fornecimento E Instalação. Af_08/2021</v>
      </c>
      <c r="C1116" s="365"/>
      <c r="D1116" s="365"/>
      <c r="E1116" s="365"/>
      <c r="F1116" s="366"/>
      <c r="G1116" s="91" t="str">
        <f>VLOOKUP($A1116,SERVICOS,5,FALSE)</f>
        <v>un</v>
      </c>
      <c r="H1116" s="92">
        <f>ROUND(SUM(H1118:H1118),2)</f>
        <v>2</v>
      </c>
    </row>
    <row r="1117" spans="1:8" ht="15" customHeight="1">
      <c r="A1117" s="94" t="s">
        <v>938</v>
      </c>
      <c r="B1117" s="94" t="s">
        <v>7319</v>
      </c>
      <c r="C1117" s="95"/>
      <c r="D1117" s="95"/>
      <c r="E1117" s="94"/>
      <c r="F1117" s="94"/>
      <c r="G1117" s="94"/>
      <c r="H1117" s="96"/>
    </row>
    <row r="1118" spans="1:8" ht="15" customHeight="1">
      <c r="A1118" s="97" t="s">
        <v>13904</v>
      </c>
      <c r="B1118" s="98">
        <v>2</v>
      </c>
      <c r="C1118" s="98"/>
      <c r="D1118" s="98"/>
      <c r="E1118" s="98"/>
      <c r="F1118" s="98"/>
      <c r="G1118" s="98"/>
      <c r="H1118" s="98">
        <f>B1118</f>
        <v>2</v>
      </c>
    </row>
    <row r="1119" spans="1:8" s="93" customFormat="1" ht="30" customHeight="1">
      <c r="A1119" s="91" t="s">
        <v>14732</v>
      </c>
      <c r="B1119" s="364" t="str">
        <f>VLOOKUP($A1119,SERVICOS,4,FALSE)</f>
        <v>Registro De Esfera, Pvc, Soldável, Com Volante, Dn  50 Mm - Fornecimento E Instalação. Af_08/2021</v>
      </c>
      <c r="C1119" s="365"/>
      <c r="D1119" s="365"/>
      <c r="E1119" s="365"/>
      <c r="F1119" s="366"/>
      <c r="G1119" s="91" t="str">
        <f>VLOOKUP($A1119,SERVICOS,5,FALSE)</f>
        <v>un</v>
      </c>
      <c r="H1119" s="92">
        <f>ROUND(SUM(H1121:H1121),2)</f>
        <v>5</v>
      </c>
    </row>
    <row r="1120" spans="1:8" ht="15" customHeight="1">
      <c r="A1120" s="94" t="s">
        <v>938</v>
      </c>
      <c r="B1120" s="94"/>
      <c r="C1120" s="95"/>
      <c r="D1120" s="95"/>
      <c r="E1120" s="94"/>
      <c r="F1120" s="94"/>
      <c r="G1120" s="94"/>
      <c r="H1120" s="96"/>
    </row>
    <row r="1121" spans="1:8" ht="15" customHeight="1">
      <c r="A1121" s="97" t="s">
        <v>13904</v>
      </c>
      <c r="B1121" s="98">
        <v>5</v>
      </c>
      <c r="C1121" s="98"/>
      <c r="D1121" s="98"/>
      <c r="E1121" s="98"/>
      <c r="F1121" s="98"/>
      <c r="G1121" s="98"/>
      <c r="H1121" s="98">
        <f t="shared" ref="H1121" si="372">B1121</f>
        <v>5</v>
      </c>
    </row>
    <row r="1122" spans="1:8" s="93" customFormat="1" ht="30" customHeight="1">
      <c r="A1122" s="91" t="s">
        <v>14733</v>
      </c>
      <c r="B1122" s="364" t="str">
        <f>VLOOKUP($A1122,SERVICOS,4,FALSE)</f>
        <v>Registro De Gaveta Bruto, Latão, Roscável, 3/4", Com Acabamento E Canopla Cromados - Fornecimento E Instalação. Af_08/2021</v>
      </c>
      <c r="C1122" s="365"/>
      <c r="D1122" s="365"/>
      <c r="E1122" s="365"/>
      <c r="F1122" s="366"/>
      <c r="G1122" s="91" t="str">
        <f>VLOOKUP($A1122,SERVICOS,5,FALSE)</f>
        <v>un</v>
      </c>
      <c r="H1122" s="92">
        <f>ROUND(SUM(H1124:H1124),2)</f>
        <v>3</v>
      </c>
    </row>
    <row r="1123" spans="1:8" ht="15" customHeight="1">
      <c r="A1123" s="94" t="s">
        <v>938</v>
      </c>
      <c r="B1123" s="94" t="s">
        <v>7319</v>
      </c>
      <c r="C1123" s="95"/>
      <c r="D1123" s="95"/>
      <c r="E1123" s="94"/>
      <c r="F1123" s="94"/>
      <c r="G1123" s="94"/>
      <c r="H1123" s="96"/>
    </row>
    <row r="1124" spans="1:8" ht="15" customHeight="1">
      <c r="A1124" s="97" t="s">
        <v>13904</v>
      </c>
      <c r="B1124" s="98">
        <v>3</v>
      </c>
      <c r="C1124" s="98"/>
      <c r="D1124" s="98"/>
      <c r="E1124" s="98"/>
      <c r="F1124" s="98"/>
      <c r="G1124" s="98"/>
      <c r="H1124" s="98">
        <f>B1124</f>
        <v>3</v>
      </c>
    </row>
    <row r="1125" spans="1:8" s="93" customFormat="1" ht="30" customHeight="1">
      <c r="A1125" s="91" t="s">
        <v>14734</v>
      </c>
      <c r="B1125" s="364" t="str">
        <f>VLOOKUP($A1125,SERVICOS,4,FALSE)</f>
        <v>Registro De Gaveta Bruto, Latão, Roscável, 1 1/2", Com Acabamento E Canopla Cromados - Fornecimento E Instalação. Af_08/2021</v>
      </c>
      <c r="C1125" s="365"/>
      <c r="D1125" s="365"/>
      <c r="E1125" s="365"/>
      <c r="F1125" s="366"/>
      <c r="G1125" s="91" t="str">
        <f>VLOOKUP($A1125,SERVICOS,5,FALSE)</f>
        <v>un</v>
      </c>
      <c r="H1125" s="92">
        <f>ROUND(SUM(H1127:H1127),2)</f>
        <v>6</v>
      </c>
    </row>
    <row r="1126" spans="1:8" ht="15" customHeight="1">
      <c r="A1126" s="94" t="s">
        <v>938</v>
      </c>
      <c r="B1126" s="94"/>
      <c r="C1126" s="95"/>
      <c r="D1126" s="95"/>
      <c r="E1126" s="94"/>
      <c r="F1126" s="94"/>
      <c r="G1126" s="94"/>
      <c r="H1126" s="96"/>
    </row>
    <row r="1127" spans="1:8" ht="15" customHeight="1">
      <c r="A1127" s="97" t="s">
        <v>13904</v>
      </c>
      <c r="B1127" s="98">
        <v>6</v>
      </c>
      <c r="C1127" s="98"/>
      <c r="D1127" s="98"/>
      <c r="E1127" s="98"/>
      <c r="F1127" s="98"/>
      <c r="G1127" s="98"/>
      <c r="H1127" s="98">
        <f t="shared" ref="H1127" si="373">B1127</f>
        <v>6</v>
      </c>
    </row>
    <row r="1128" spans="1:8" s="93" customFormat="1" ht="30" customHeight="1">
      <c r="A1128" s="91" t="s">
        <v>14735</v>
      </c>
      <c r="B1128" s="364" t="str">
        <f>VLOOKUP($A1128,SERVICOS,4,FALSE)</f>
        <v>Registro De Pressão Bruto, Latão, Roscável, 3/4", Com Acabamento E Canopla Cromados - Fornecimento E Instalação. Af_08/2021</v>
      </c>
      <c r="C1128" s="365"/>
      <c r="D1128" s="365"/>
      <c r="E1128" s="365"/>
      <c r="F1128" s="366"/>
      <c r="G1128" s="91" t="str">
        <f>VLOOKUP($A1128,SERVICOS,5,FALSE)</f>
        <v>un</v>
      </c>
      <c r="H1128" s="92">
        <f>ROUND(SUM(H1130:H1130),2)</f>
        <v>7</v>
      </c>
    </row>
    <row r="1129" spans="1:8" ht="15" customHeight="1">
      <c r="A1129" s="94" t="s">
        <v>938</v>
      </c>
      <c r="B1129" s="94" t="s">
        <v>7319</v>
      </c>
      <c r="C1129" s="95"/>
      <c r="D1129" s="95"/>
      <c r="E1129" s="94"/>
      <c r="F1129" s="94"/>
      <c r="G1129" s="94"/>
      <c r="H1129" s="96"/>
    </row>
    <row r="1130" spans="1:8" ht="15" customHeight="1">
      <c r="A1130" s="97" t="s">
        <v>13904</v>
      </c>
      <c r="B1130" s="98">
        <v>7</v>
      </c>
      <c r="C1130" s="98"/>
      <c r="D1130" s="98"/>
      <c r="E1130" s="98"/>
      <c r="F1130" s="98"/>
      <c r="G1130" s="98"/>
      <c r="H1130" s="98">
        <f>B1130</f>
        <v>7</v>
      </c>
    </row>
    <row r="1131" spans="1:8" s="93" customFormat="1" ht="30" customHeight="1">
      <c r="A1131" s="91" t="s">
        <v>14736</v>
      </c>
      <c r="B1131" s="364" t="str">
        <f>VLOOKUP($A1131,SERVICOS,4,FALSE)</f>
        <v>Válvula De Descarga Metálica, Base 1 1/2", Acabamento Metalico Cromado - Fornecimento E Instalação. Af_08/2021</v>
      </c>
      <c r="C1131" s="365"/>
      <c r="D1131" s="365"/>
      <c r="E1131" s="365"/>
      <c r="F1131" s="366"/>
      <c r="G1131" s="91" t="str">
        <f>VLOOKUP($A1131,SERVICOS,5,FALSE)</f>
        <v>un</v>
      </c>
      <c r="H1131" s="92">
        <f>ROUND(SUM(H1133:H1133),2)</f>
        <v>10</v>
      </c>
    </row>
    <row r="1132" spans="1:8" ht="15" customHeight="1">
      <c r="A1132" s="94" t="s">
        <v>938</v>
      </c>
      <c r="B1132" s="94" t="s">
        <v>7319</v>
      </c>
      <c r="C1132" s="95"/>
      <c r="D1132" s="95"/>
      <c r="E1132" s="94"/>
      <c r="F1132" s="94"/>
      <c r="G1132" s="94"/>
      <c r="H1132" s="96"/>
    </row>
    <row r="1133" spans="1:8" ht="15" customHeight="1">
      <c r="A1133" s="97" t="s">
        <v>13904</v>
      </c>
      <c r="B1133" s="98">
        <v>10</v>
      </c>
      <c r="C1133" s="98"/>
      <c r="D1133" s="98"/>
      <c r="E1133" s="98"/>
      <c r="F1133" s="98"/>
      <c r="G1133" s="98"/>
      <c r="H1133" s="98">
        <f t="shared" ref="H1133" si="374">B1133</f>
        <v>10</v>
      </c>
    </row>
    <row r="1134" spans="1:8" s="93" customFormat="1" ht="15" customHeight="1">
      <c r="A1134" s="91" t="s">
        <v>14737</v>
      </c>
      <c r="B1134" s="364" t="str">
        <f>VLOOKUP($A1134,SERVICOS,4,FALSE)</f>
        <v>Tubo Vde Com Joelho 90° (Azul) Para Válvula De Descarga, Dn 38 Mm</v>
      </c>
      <c r="C1134" s="365"/>
      <c r="D1134" s="365"/>
      <c r="E1134" s="365"/>
      <c r="F1134" s="366"/>
      <c r="G1134" s="91" t="str">
        <f>VLOOKUP($A1134,SERVICOS,5,FALSE)</f>
        <v>pç</v>
      </c>
      <c r="H1134" s="92">
        <f>ROUND(SUM(H1136:H1136),2)</f>
        <v>10</v>
      </c>
    </row>
    <row r="1135" spans="1:8" ht="15" customHeight="1">
      <c r="A1135" s="94" t="s">
        <v>938</v>
      </c>
      <c r="B1135" s="94" t="s">
        <v>7319</v>
      </c>
      <c r="C1135" s="95"/>
      <c r="D1135" s="95"/>
      <c r="E1135" s="94"/>
      <c r="F1135" s="94"/>
      <c r="G1135" s="94"/>
      <c r="H1135" s="96"/>
    </row>
    <row r="1136" spans="1:8" ht="15" customHeight="1">
      <c r="A1136" s="97" t="s">
        <v>13904</v>
      </c>
      <c r="B1136" s="98">
        <v>10</v>
      </c>
      <c r="C1136" s="98"/>
      <c r="D1136" s="98"/>
      <c r="E1136" s="98"/>
      <c r="F1136" s="98"/>
      <c r="G1136" s="98"/>
      <c r="H1136" s="98">
        <f>B1136</f>
        <v>10</v>
      </c>
    </row>
    <row r="1137" spans="1:8" s="93" customFormat="1" ht="30" customHeight="1">
      <c r="A1137" s="91" t="s">
        <v>14738</v>
      </c>
      <c r="B1137" s="364" t="str">
        <f>VLOOKUP($A1137,SERVICOS,4,FALSE)</f>
        <v>Tubo, Pvc, Soldável, Dn 25Mm, Instalado Em Ramal De Distribuição De Água - Fornecimento E Instalação. Af_06/2022</v>
      </c>
      <c r="C1137" s="365"/>
      <c r="D1137" s="365"/>
      <c r="E1137" s="365"/>
      <c r="F1137" s="366"/>
      <c r="G1137" s="91" t="str">
        <f>VLOOKUP($A1137,SERVICOS,5,FALSE)</f>
        <v>m</v>
      </c>
      <c r="H1137" s="92">
        <f>ROUND(SUM(H1139:H1139),2)</f>
        <v>112</v>
      </c>
    </row>
    <row r="1138" spans="1:8" ht="15" customHeight="1">
      <c r="A1138" s="94" t="s">
        <v>938</v>
      </c>
      <c r="B1138" s="94" t="s">
        <v>7319</v>
      </c>
      <c r="C1138" s="95"/>
      <c r="D1138" s="95"/>
      <c r="E1138" s="94"/>
      <c r="F1138" s="94"/>
      <c r="G1138" s="94"/>
      <c r="H1138" s="96"/>
    </row>
    <row r="1139" spans="1:8" ht="15" customHeight="1">
      <c r="A1139" s="97" t="s">
        <v>13904</v>
      </c>
      <c r="B1139" s="98">
        <v>112</v>
      </c>
      <c r="C1139" s="98"/>
      <c r="D1139" s="98"/>
      <c r="E1139" s="98"/>
      <c r="F1139" s="98"/>
      <c r="G1139" s="98"/>
      <c r="H1139" s="98">
        <f t="shared" ref="H1139" si="375">B1139</f>
        <v>112</v>
      </c>
    </row>
    <row r="1140" spans="1:8" s="93" customFormat="1" ht="30" customHeight="1">
      <c r="A1140" s="91" t="s">
        <v>14739</v>
      </c>
      <c r="B1140" s="364" t="str">
        <f>VLOOKUP($A1140,SERVICOS,4,FALSE)</f>
        <v>Tubo, Pvc, Soldável, Dn 50Mm, Instalado Em Prumada De Água - Fornecimento E Instalação. Af_06/2022</v>
      </c>
      <c r="C1140" s="365"/>
      <c r="D1140" s="365"/>
      <c r="E1140" s="365"/>
      <c r="F1140" s="366"/>
      <c r="G1140" s="91" t="str">
        <f>VLOOKUP($A1140,SERVICOS,5,FALSE)</f>
        <v>m</v>
      </c>
      <c r="H1140" s="92">
        <f>ROUND(SUM(H1142:H1142),2)</f>
        <v>129</v>
      </c>
    </row>
    <row r="1141" spans="1:8" ht="15" customHeight="1">
      <c r="A1141" s="94" t="s">
        <v>938</v>
      </c>
      <c r="B1141" s="94" t="s">
        <v>7319</v>
      </c>
      <c r="C1141" s="95"/>
      <c r="D1141" s="95"/>
      <c r="E1141" s="94"/>
      <c r="F1141" s="94"/>
      <c r="G1141" s="94"/>
      <c r="H1141" s="96"/>
    </row>
    <row r="1142" spans="1:8" ht="15" customHeight="1">
      <c r="A1142" s="97" t="s">
        <v>13904</v>
      </c>
      <c r="B1142" s="98">
        <v>129</v>
      </c>
      <c r="C1142" s="98"/>
      <c r="D1142" s="98"/>
      <c r="E1142" s="98"/>
      <c r="F1142" s="98"/>
      <c r="G1142" s="98"/>
      <c r="H1142" s="98">
        <f>B1142</f>
        <v>129</v>
      </c>
    </row>
    <row r="1143" spans="1:8" s="93" customFormat="1" ht="30" customHeight="1">
      <c r="A1143" s="91" t="s">
        <v>14740</v>
      </c>
      <c r="B1143" s="364" t="str">
        <f>VLOOKUP($A1143,SERVICOS,4,FALSE)</f>
        <v>Caixa D´Água Em Poliéster Reforçado Com Fibra De Vidro, 2000 Litros - Fornecimento E Instalação. Af_06/2021</v>
      </c>
      <c r="C1143" s="365"/>
      <c r="D1143" s="365"/>
      <c r="E1143" s="365"/>
      <c r="F1143" s="366"/>
      <c r="G1143" s="91" t="str">
        <f>VLOOKUP($A1143,SERVICOS,5,FALSE)</f>
        <v>un</v>
      </c>
      <c r="H1143" s="92">
        <f>ROUND(SUM(H1145:H1145),2)</f>
        <v>2</v>
      </c>
    </row>
    <row r="1144" spans="1:8" ht="15" customHeight="1">
      <c r="A1144" s="94" t="s">
        <v>938</v>
      </c>
      <c r="B1144" s="94" t="s">
        <v>7319</v>
      </c>
      <c r="C1144" s="95"/>
      <c r="D1144" s="95"/>
      <c r="E1144" s="94"/>
      <c r="F1144" s="94"/>
      <c r="G1144" s="94"/>
      <c r="H1144" s="96"/>
    </row>
    <row r="1145" spans="1:8" ht="15" customHeight="1">
      <c r="A1145" s="97" t="s">
        <v>13904</v>
      </c>
      <c r="B1145" s="98">
        <v>2</v>
      </c>
      <c r="C1145" s="98"/>
      <c r="D1145" s="98"/>
      <c r="E1145" s="98"/>
      <c r="F1145" s="98"/>
      <c r="G1145" s="98"/>
      <c r="H1145" s="98">
        <f>B1145</f>
        <v>2</v>
      </c>
    </row>
    <row r="1146" spans="1:8" s="93" customFormat="1" ht="30" customHeight="1">
      <c r="A1146" s="91" t="s">
        <v>14741</v>
      </c>
      <c r="B1146" s="364" t="str">
        <f>VLOOKUP($A1146,SERVICOS,4,FALSE)</f>
        <v>Torneira De Boia Para Caixa D'Água, Roscável, 3/4" - Fornecimento E Instalação. Af_08/2021</v>
      </c>
      <c r="C1146" s="365"/>
      <c r="D1146" s="365"/>
      <c r="E1146" s="365"/>
      <c r="F1146" s="366"/>
      <c r="G1146" s="91" t="str">
        <f>VLOOKUP($A1146,SERVICOS,5,FALSE)</f>
        <v>un</v>
      </c>
      <c r="H1146" s="92">
        <f>ROUND(SUM(H1148:H1148),2)</f>
        <v>2</v>
      </c>
    </row>
    <row r="1147" spans="1:8" ht="15" customHeight="1">
      <c r="A1147" s="94" t="s">
        <v>938</v>
      </c>
      <c r="B1147" s="94"/>
      <c r="C1147" s="95"/>
      <c r="D1147" s="95"/>
      <c r="E1147" s="94"/>
      <c r="F1147" s="94"/>
      <c r="G1147" s="94"/>
      <c r="H1147" s="96"/>
    </row>
    <row r="1148" spans="1:8" ht="15" customHeight="1">
      <c r="A1148" s="97" t="s">
        <v>13904</v>
      </c>
      <c r="B1148" s="98">
        <v>2</v>
      </c>
      <c r="C1148" s="98"/>
      <c r="D1148" s="98"/>
      <c r="E1148" s="98"/>
      <c r="F1148" s="98"/>
      <c r="G1148" s="98"/>
      <c r="H1148" s="98">
        <f t="shared" ref="H1148" si="376">B1148</f>
        <v>2</v>
      </c>
    </row>
    <row r="1149" spans="1:8" s="93" customFormat="1" ht="60" customHeight="1">
      <c r="A1149" s="91" t="s">
        <v>14742</v>
      </c>
      <c r="B1149" s="364" t="str">
        <f>VLOOKUP($A1149,SERVICOS,4,FALSE)</f>
        <v>Adaptador Com Flange E Anel De Vedação, Pvc, Soldável, Dn  25 Mm X 3/4 , Instalado Em Reservação De Água De Edificação Que Possua Reservatório De Fibra/Fibrocimento   Fornecimento E Instalação. Af_06/2016</v>
      </c>
      <c r="C1149" s="365"/>
      <c r="D1149" s="365"/>
      <c r="E1149" s="365"/>
      <c r="F1149" s="366"/>
      <c r="G1149" s="91" t="str">
        <f>VLOOKUP($A1149,SERVICOS,5,FALSE)</f>
        <v>un</v>
      </c>
      <c r="H1149" s="92">
        <f>ROUND(SUM(H1151:H1151),2)</f>
        <v>2</v>
      </c>
    </row>
    <row r="1150" spans="1:8" ht="15" customHeight="1">
      <c r="A1150" s="94" t="s">
        <v>938</v>
      </c>
      <c r="B1150" s="94" t="s">
        <v>7319</v>
      </c>
      <c r="C1150" s="95"/>
      <c r="D1150" s="95"/>
      <c r="E1150" s="94"/>
      <c r="F1150" s="94"/>
      <c r="G1150" s="94"/>
      <c r="H1150" s="96"/>
    </row>
    <row r="1151" spans="1:8" ht="15" customHeight="1">
      <c r="A1151" s="97" t="s">
        <v>13904</v>
      </c>
      <c r="B1151" s="98">
        <v>2</v>
      </c>
      <c r="C1151" s="98"/>
      <c r="D1151" s="98"/>
      <c r="E1151" s="98"/>
      <c r="F1151" s="98"/>
      <c r="G1151" s="98"/>
      <c r="H1151" s="98">
        <f>B1151</f>
        <v>2</v>
      </c>
    </row>
    <row r="1152" spans="1:8" s="93" customFormat="1" ht="60" customHeight="1">
      <c r="A1152" s="91" t="s">
        <v>14743</v>
      </c>
      <c r="B1152" s="364" t="str">
        <f>VLOOKUP($A1152,SERVICOS,4,FALSE)</f>
        <v>Adaptador Com Flange E Anel De Vedação, Pvc, Soldável, Dn 50 Mm X 1 1/2 , Instalado Em Reservação De Água De Edificação Que Possua Reservatório De Fibra/Fibrocimento   Fornecimento E Instalação. Af_06/2016</v>
      </c>
      <c r="C1152" s="365"/>
      <c r="D1152" s="365"/>
      <c r="E1152" s="365"/>
      <c r="F1152" s="366"/>
      <c r="G1152" s="91" t="str">
        <f>VLOOKUP($A1152,SERVICOS,5,FALSE)</f>
        <v>un</v>
      </c>
      <c r="H1152" s="92">
        <f>ROUND(SUM(H1154:H1154),2)</f>
        <v>8</v>
      </c>
    </row>
    <row r="1153" spans="1:8" ht="15" customHeight="1">
      <c r="A1153" s="94" t="s">
        <v>938</v>
      </c>
      <c r="B1153" s="94"/>
      <c r="C1153" s="95"/>
      <c r="D1153" s="95"/>
      <c r="E1153" s="94"/>
      <c r="F1153" s="94"/>
      <c r="G1153" s="94"/>
      <c r="H1153" s="96"/>
    </row>
    <row r="1154" spans="1:8" ht="15" customHeight="1">
      <c r="A1154" s="97" t="s">
        <v>13904</v>
      </c>
      <c r="B1154" s="98">
        <v>8</v>
      </c>
      <c r="C1154" s="98"/>
      <c r="D1154" s="98"/>
      <c r="E1154" s="98"/>
      <c r="F1154" s="98"/>
      <c r="G1154" s="98"/>
      <c r="H1154" s="98">
        <f t="shared" ref="H1154" si="377">B1154</f>
        <v>8</v>
      </c>
    </row>
    <row r="1155" spans="1:8" ht="15" customHeight="1">
      <c r="A1155" s="89" t="s">
        <v>12621</v>
      </c>
      <c r="B1155" s="367" t="str">
        <f>VLOOKUP($A1155,SERVICOS,4,FALSE)</f>
        <v>DRENAGEM DE ÁGUAS PLUVIAIS</v>
      </c>
      <c r="C1155" s="367"/>
      <c r="D1155" s="367"/>
      <c r="E1155" s="367"/>
      <c r="F1155" s="367"/>
      <c r="G1155" s="367">
        <f>VLOOKUP($A1155,SERVICOS,5,FALSE)</f>
        <v>0</v>
      </c>
      <c r="H1155" s="367" t="e">
        <f>ROUND(SUM(#REF!),2)</f>
        <v>#REF!</v>
      </c>
    </row>
    <row r="1156" spans="1:8" ht="15" customHeight="1">
      <c r="A1156" s="89" t="s">
        <v>12622</v>
      </c>
      <c r="B1156" s="367" t="str">
        <f>VLOOKUP($A1156,SERVICOS,4,FALSE)</f>
        <v>TUBULAÇÕES E CONEXÕES DE PVC</v>
      </c>
      <c r="C1156" s="367"/>
      <c r="D1156" s="367"/>
      <c r="E1156" s="367"/>
      <c r="F1156" s="367"/>
      <c r="G1156" s="367">
        <f>VLOOKUP($A1156,SERVICOS,5,FALSE)</f>
        <v>0</v>
      </c>
      <c r="H1156" s="367" t="e">
        <f>ROUND(SUM(#REF!),2)</f>
        <v>#REF!</v>
      </c>
    </row>
    <row r="1157" spans="1:8" s="93" customFormat="1" ht="45" customHeight="1">
      <c r="A1157" s="91" t="s">
        <v>13943</v>
      </c>
      <c r="B1157" s="364" t="str">
        <f>VLOOKUP($A1157,SERVICOS,4,FALSE)</f>
        <v>Redução Excêntrica, Pvc, Serie R, Água Pluvial, Dn 150 X 100 Mm, Junta Elástica, Fornecido E Instalado Em Condutores Verticais De Águas Pluviais. Af_06/2022</v>
      </c>
      <c r="C1157" s="365"/>
      <c r="D1157" s="365"/>
      <c r="E1157" s="365"/>
      <c r="F1157" s="366"/>
      <c r="G1157" s="91" t="str">
        <f>VLOOKUP($A1157,SERVICOS,5,FALSE)</f>
        <v>un</v>
      </c>
      <c r="H1157" s="92">
        <f>ROUND(SUM(H1159:H1159),2)</f>
        <v>23</v>
      </c>
    </row>
    <row r="1158" spans="1:8" ht="15" customHeight="1">
      <c r="A1158" s="94" t="s">
        <v>938</v>
      </c>
      <c r="B1158" s="94" t="s">
        <v>7319</v>
      </c>
      <c r="C1158" s="95"/>
      <c r="D1158" s="95"/>
      <c r="E1158" s="94"/>
      <c r="F1158" s="94"/>
      <c r="G1158" s="94"/>
      <c r="H1158" s="96"/>
    </row>
    <row r="1159" spans="1:8" ht="15" customHeight="1">
      <c r="A1159" s="97" t="s">
        <v>13904</v>
      </c>
      <c r="B1159" s="98">
        <v>23</v>
      </c>
      <c r="C1159" s="205"/>
      <c r="D1159" s="98"/>
      <c r="E1159" s="98"/>
      <c r="F1159" s="98"/>
      <c r="G1159" s="98"/>
      <c r="H1159" s="98">
        <f>B1159</f>
        <v>23</v>
      </c>
    </row>
    <row r="1160" spans="1:8" s="93" customFormat="1" ht="45" customHeight="1">
      <c r="A1160" s="91" t="s">
        <v>13944</v>
      </c>
      <c r="B1160" s="364" t="str">
        <f>VLOOKUP($A1160,SERVICOS,4,FALSE)</f>
        <v>Joelho 45 Graus, Pvc, Serie R, Água Pluvial, Dn 100 Mm, Junta Elástica, Fornecido E Instalado Em Condutores Verticais De Águas Pluviais. Af_06/2022</v>
      </c>
      <c r="C1160" s="365"/>
      <c r="D1160" s="365"/>
      <c r="E1160" s="365"/>
      <c r="F1160" s="366"/>
      <c r="G1160" s="91" t="str">
        <f>VLOOKUP($A1160,SERVICOS,5,FALSE)</f>
        <v>un</v>
      </c>
      <c r="H1160" s="92">
        <f>ROUND(SUM(H1162:H1162),2)</f>
        <v>41</v>
      </c>
    </row>
    <row r="1161" spans="1:8" ht="15" customHeight="1">
      <c r="A1161" s="94" t="s">
        <v>938</v>
      </c>
      <c r="B1161" s="94" t="s">
        <v>7319</v>
      </c>
      <c r="C1161" s="95"/>
      <c r="D1161" s="95"/>
      <c r="E1161" s="94"/>
      <c r="F1161" s="94"/>
      <c r="G1161" s="94"/>
      <c r="H1161" s="96"/>
    </row>
    <row r="1162" spans="1:8" ht="15" customHeight="1">
      <c r="A1162" s="97" t="s">
        <v>13904</v>
      </c>
      <c r="B1162" s="98">
        <v>41</v>
      </c>
      <c r="C1162" s="205"/>
      <c r="D1162" s="98"/>
      <c r="E1162" s="98"/>
      <c r="F1162" s="98"/>
      <c r="G1162" s="98"/>
      <c r="H1162" s="98">
        <f>B1162</f>
        <v>41</v>
      </c>
    </row>
    <row r="1163" spans="1:8" s="93" customFormat="1" ht="45" customHeight="1">
      <c r="A1163" s="91" t="s">
        <v>13945</v>
      </c>
      <c r="B1163" s="364" t="str">
        <f>VLOOKUP($A1163,SERVICOS,4,FALSE)</f>
        <v>Joelho 90 Graus, Pvc, Serie R, Água Pluvial, Dn 100 Mm, Junta Elástica, Fornecido E Instalado Em Condutores Verticais De Águas Pluviais. Af_06/2022</v>
      </c>
      <c r="C1163" s="365"/>
      <c r="D1163" s="365"/>
      <c r="E1163" s="365"/>
      <c r="F1163" s="366"/>
      <c r="G1163" s="91" t="str">
        <f>VLOOKUP($A1163,SERVICOS,5,FALSE)</f>
        <v>un</v>
      </c>
      <c r="H1163" s="92">
        <f>ROUND(SUM(H1165:H1165),2)</f>
        <v>43</v>
      </c>
    </row>
    <row r="1164" spans="1:8" ht="15" customHeight="1">
      <c r="A1164" s="94" t="s">
        <v>938</v>
      </c>
      <c r="B1164" s="94" t="s">
        <v>7319</v>
      </c>
      <c r="C1164" s="95"/>
      <c r="D1164" s="95"/>
      <c r="E1164" s="94"/>
      <c r="F1164" s="94"/>
      <c r="G1164" s="94"/>
      <c r="H1164" s="96"/>
    </row>
    <row r="1165" spans="1:8" ht="15" customHeight="1">
      <c r="A1165" s="97" t="s">
        <v>13904</v>
      </c>
      <c r="B1165" s="98">
        <v>43</v>
      </c>
      <c r="C1165" s="205"/>
      <c r="D1165" s="98"/>
      <c r="E1165" s="98"/>
      <c r="F1165" s="98"/>
      <c r="G1165" s="98"/>
      <c r="H1165" s="98">
        <f>B1165</f>
        <v>43</v>
      </c>
    </row>
    <row r="1166" spans="1:8" s="93" customFormat="1" ht="45" customHeight="1">
      <c r="A1166" s="91" t="s">
        <v>13946</v>
      </c>
      <c r="B1166" s="364" t="str">
        <f>VLOOKUP($A1166,SERVICOS,4,FALSE)</f>
        <v>Luva Simples, Pvc, Serie R, Água Pluvial, Dn 100 Mm, Junta Elástica, Fornecido E Instalado Em Condutores Verticais De Águas Pluviais. Af_06/2022</v>
      </c>
      <c r="C1166" s="365"/>
      <c r="D1166" s="365"/>
      <c r="E1166" s="365"/>
      <c r="F1166" s="366"/>
      <c r="G1166" s="91" t="str">
        <f>VLOOKUP($A1166,SERVICOS,5,FALSE)</f>
        <v>un</v>
      </c>
      <c r="H1166" s="92">
        <f>ROUND(SUM(H1168:H1168),2)</f>
        <v>75</v>
      </c>
    </row>
    <row r="1167" spans="1:8" ht="15" customHeight="1">
      <c r="A1167" s="94" t="s">
        <v>938</v>
      </c>
      <c r="B1167" s="94" t="s">
        <v>7319</v>
      </c>
      <c r="C1167" s="95"/>
      <c r="D1167" s="95"/>
      <c r="E1167" s="94"/>
      <c r="F1167" s="94"/>
      <c r="G1167" s="94"/>
      <c r="H1167" s="96"/>
    </row>
    <row r="1168" spans="1:8" ht="15" customHeight="1">
      <c r="A1168" s="97" t="s">
        <v>13904</v>
      </c>
      <c r="B1168" s="98">
        <v>75</v>
      </c>
      <c r="C1168" s="98"/>
      <c r="D1168" s="98"/>
      <c r="E1168" s="98"/>
      <c r="F1168" s="98"/>
      <c r="G1168" s="98"/>
      <c r="H1168" s="98">
        <f>B1168</f>
        <v>75</v>
      </c>
    </row>
    <row r="1169" spans="1:8" s="93" customFormat="1" ht="45" customHeight="1">
      <c r="A1169" s="91" t="s">
        <v>13947</v>
      </c>
      <c r="B1169" s="364" t="str">
        <f>VLOOKUP($A1169,SERVICOS,4,FALSE)</f>
        <v>Junção Simples, Pvc, Serie R, Água Pluvial, Dn 100 X 100 Mm, Junta Elástica, Fornecido E Instalado Em Ramal De Encaminhamento. Af_06/2022</v>
      </c>
      <c r="C1169" s="365"/>
      <c r="D1169" s="365"/>
      <c r="E1169" s="365"/>
      <c r="F1169" s="366"/>
      <c r="G1169" s="91" t="str">
        <f>VLOOKUP($A1169,SERVICOS,5,FALSE)</f>
        <v>un</v>
      </c>
      <c r="H1169" s="92">
        <f>ROUND(SUM(H1171:H1171),2)</f>
        <v>1</v>
      </c>
    </row>
    <row r="1170" spans="1:8" ht="15" customHeight="1">
      <c r="A1170" s="94" t="s">
        <v>938</v>
      </c>
      <c r="B1170" s="94" t="s">
        <v>7319</v>
      </c>
      <c r="C1170" s="95"/>
      <c r="D1170" s="95"/>
      <c r="E1170" s="94"/>
      <c r="F1170" s="94"/>
      <c r="G1170" s="94"/>
      <c r="H1170" s="96"/>
    </row>
    <row r="1171" spans="1:8" ht="15" customHeight="1">
      <c r="A1171" s="97" t="s">
        <v>13904</v>
      </c>
      <c r="B1171" s="98">
        <v>1</v>
      </c>
      <c r="C1171" s="205" t="s">
        <v>14630</v>
      </c>
      <c r="D1171" s="98"/>
      <c r="E1171" s="98"/>
      <c r="F1171" s="98"/>
      <c r="G1171" s="98"/>
      <c r="H1171" s="98">
        <f>B1171</f>
        <v>1</v>
      </c>
    </row>
    <row r="1172" spans="1:8" s="93" customFormat="1" ht="30" customHeight="1">
      <c r="A1172" s="91" t="s">
        <v>13948</v>
      </c>
      <c r="B1172" s="364" t="str">
        <f>VLOOKUP($A1172,SERVICOS,4,FALSE)</f>
        <v>Tubo Pvc, Série R, Água Pluvial, Dn 100 Mm, Fornecido E Instalado Em Condutores Verticais De Águas Pluviais. Af_06/2022</v>
      </c>
      <c r="C1172" s="365"/>
      <c r="D1172" s="365"/>
      <c r="E1172" s="365"/>
      <c r="F1172" s="366"/>
      <c r="G1172" s="91" t="str">
        <f>VLOOKUP($A1172,SERVICOS,5,FALSE)</f>
        <v>m</v>
      </c>
      <c r="H1172" s="92">
        <f>ROUND(SUM(H1174:H1175),2)</f>
        <v>299</v>
      </c>
    </row>
    <row r="1173" spans="1:8" ht="15" customHeight="1">
      <c r="A1173" s="94" t="s">
        <v>938</v>
      </c>
      <c r="B1173" s="94" t="s">
        <v>7319</v>
      </c>
      <c r="C1173" s="95"/>
      <c r="D1173" s="95"/>
      <c r="E1173" s="94"/>
      <c r="F1173" s="94"/>
      <c r="G1173" s="94"/>
      <c r="H1173" s="96"/>
    </row>
    <row r="1174" spans="1:8" ht="15" customHeight="1">
      <c r="A1174" s="97" t="s">
        <v>14744</v>
      </c>
      <c r="B1174" s="98">
        <v>145</v>
      </c>
      <c r="C1174" s="98"/>
      <c r="D1174" s="98"/>
      <c r="E1174" s="98"/>
      <c r="F1174" s="98"/>
      <c r="G1174" s="98"/>
      <c r="H1174" s="98">
        <f t="shared" ref="H1174:H1175" si="378">B1174</f>
        <v>145</v>
      </c>
    </row>
    <row r="1175" spans="1:8" ht="25.5">
      <c r="A1175" s="204" t="s">
        <v>14632</v>
      </c>
      <c r="B1175" s="98">
        <v>154</v>
      </c>
      <c r="C1175" s="98"/>
      <c r="D1175" s="98"/>
      <c r="E1175" s="98"/>
      <c r="F1175" s="98"/>
      <c r="G1175" s="98"/>
      <c r="H1175" s="98">
        <f t="shared" si="378"/>
        <v>154</v>
      </c>
    </row>
    <row r="1176" spans="1:8" ht="15" customHeight="1">
      <c r="A1176" s="89" t="s">
        <v>12623</v>
      </c>
      <c r="B1176" s="367" t="str">
        <f>VLOOKUP($A1176,SERVICOS,4,FALSE)</f>
        <v>CAIXAS</v>
      </c>
      <c r="C1176" s="367"/>
      <c r="D1176" s="367"/>
      <c r="E1176" s="367"/>
      <c r="F1176" s="367"/>
      <c r="G1176" s="367">
        <f>VLOOKUP($A1176,SERVICOS,5,FALSE)</f>
        <v>0</v>
      </c>
      <c r="H1176" s="367" t="e">
        <f>ROUND(SUM(#REF!),2)</f>
        <v>#REF!</v>
      </c>
    </row>
    <row r="1177" spans="1:8" s="93" customFormat="1" ht="60" customHeight="1">
      <c r="A1177" s="91" t="s">
        <v>13949</v>
      </c>
      <c r="B1177" s="364" t="str">
        <f>VLOOKUP($A1177,SERVICOS,4,FALSE)</f>
        <v>Caixa De Areia De Alvenaria De Blocos De Concreto 9X19X39Cm, Dim. 60X60Cm E Hmáx=1M, C/ Tampa Em Concreto Esp. 5Cm, Lastro Concreto Esp. 10Cm, Revestida Intern. C/ Chapisco E Reboco Impermeabilizante, Incl. Escavação E Reaterro</v>
      </c>
      <c r="C1177" s="365"/>
      <c r="D1177" s="365"/>
      <c r="E1177" s="365"/>
      <c r="F1177" s="366"/>
      <c r="G1177" s="91" t="str">
        <f>VLOOKUP($A1177,SERVICOS,5,FALSE)</f>
        <v>und</v>
      </c>
      <c r="H1177" s="92">
        <f>ROUND(SUM(H1179:H1179),2)</f>
        <v>18</v>
      </c>
    </row>
    <row r="1178" spans="1:8" ht="15" customHeight="1">
      <c r="A1178" s="94" t="s">
        <v>938</v>
      </c>
      <c r="B1178" s="94" t="s">
        <v>7319</v>
      </c>
      <c r="C1178" s="95"/>
      <c r="D1178" s="95"/>
      <c r="E1178" s="94"/>
      <c r="F1178" s="94"/>
      <c r="G1178" s="94"/>
      <c r="H1178" s="96"/>
    </row>
    <row r="1179" spans="1:8" ht="15" customHeight="1">
      <c r="A1179" s="204" t="s">
        <v>14590</v>
      </c>
      <c r="B1179" s="98">
        <v>18</v>
      </c>
      <c r="C1179" s="98"/>
      <c r="D1179" s="98"/>
      <c r="E1179" s="98"/>
      <c r="F1179" s="98"/>
      <c r="G1179" s="98"/>
      <c r="H1179" s="98">
        <f>B1179</f>
        <v>18</v>
      </c>
    </row>
    <row r="1180" spans="1:8" ht="15" customHeight="1">
      <c r="A1180" s="89" t="s">
        <v>12624</v>
      </c>
      <c r="B1180" s="367" t="str">
        <f>VLOOKUP($A1180,SERVICOS,4,FALSE)</f>
        <v>INSTALAÇÕES SANITÁRIAS</v>
      </c>
      <c r="C1180" s="367"/>
      <c r="D1180" s="367"/>
      <c r="E1180" s="367"/>
      <c r="F1180" s="367"/>
      <c r="G1180" s="367">
        <f>VLOOKUP($A1180,SERVICOS,5,FALSE)</f>
        <v>0</v>
      </c>
      <c r="H1180" s="367" t="e">
        <f>ROUND(SUM(#REF!),2)</f>
        <v>#REF!</v>
      </c>
    </row>
    <row r="1181" spans="1:8" ht="15" customHeight="1">
      <c r="A1181" s="89" t="s">
        <v>12625</v>
      </c>
      <c r="B1181" s="367" t="str">
        <f>VLOOKUP($A1181,SERVICOS,4,FALSE)</f>
        <v>TUBULAÇÕES E CONEXÕES</v>
      </c>
      <c r="C1181" s="367"/>
      <c r="D1181" s="367"/>
      <c r="E1181" s="367"/>
      <c r="F1181" s="367"/>
      <c r="G1181" s="367">
        <f>VLOOKUP($A1181,SERVICOS,5,FALSE)</f>
        <v>0</v>
      </c>
      <c r="H1181" s="367" t="e">
        <f>ROUND(SUM(#REF!),2)</f>
        <v>#REF!</v>
      </c>
    </row>
    <row r="1182" spans="1:8" s="93" customFormat="1" ht="30" customHeight="1">
      <c r="A1182" s="91" t="s">
        <v>14252</v>
      </c>
      <c r="B1182" s="364" t="str">
        <f>VLOOKUP($A1182,SERVICOS,4,FALSE)</f>
        <v>Caixa De Gordura Pequena (Capacidade: 19 L), Circular, Em Pvc, Diâmetro Interno= 0,3 M. Af_12/2020</v>
      </c>
      <c r="C1182" s="365"/>
      <c r="D1182" s="365"/>
      <c r="E1182" s="365"/>
      <c r="F1182" s="366"/>
      <c r="G1182" s="91" t="str">
        <f>VLOOKUP($A1182,SERVICOS,5,FALSE)</f>
        <v>un</v>
      </c>
      <c r="H1182" s="92">
        <f>ROUND(SUM(H1184:H1184),2)</f>
        <v>2</v>
      </c>
    </row>
    <row r="1183" spans="1:8" ht="15" customHeight="1">
      <c r="A1183" s="94" t="s">
        <v>938</v>
      </c>
      <c r="B1183" s="94" t="s">
        <v>7319</v>
      </c>
      <c r="C1183" s="95"/>
      <c r="D1183" s="95"/>
      <c r="E1183" s="94"/>
      <c r="F1183" s="94"/>
      <c r="G1183" s="94"/>
      <c r="H1183" s="96"/>
    </row>
    <row r="1184" spans="1:8" ht="15" customHeight="1">
      <c r="A1184" s="97" t="s">
        <v>13904</v>
      </c>
      <c r="B1184" s="98">
        <v>2</v>
      </c>
      <c r="C1184" s="98"/>
      <c r="D1184" s="98"/>
      <c r="E1184" s="98"/>
      <c r="F1184" s="98"/>
      <c r="G1184" s="98"/>
      <c r="H1184" s="98">
        <f>B1184</f>
        <v>2</v>
      </c>
    </row>
    <row r="1185" spans="1:8" s="93" customFormat="1" ht="45" customHeight="1">
      <c r="A1185" s="91" t="s">
        <v>14253</v>
      </c>
      <c r="B1185" s="364" t="str">
        <f>VLOOKUP($A1185,SERVICOS,4,FALSE)</f>
        <v>Caixa Sifonada, Pvc, Dn 150 X 185 X 75 Mm, Junta Elástica, Fornecida E Instalada Em Ramal De Descarga Ou Em Ramal De Esgoto Sanitário. Af_08/2022</v>
      </c>
      <c r="C1185" s="365"/>
      <c r="D1185" s="365"/>
      <c r="E1185" s="365"/>
      <c r="F1185" s="366"/>
      <c r="G1185" s="91" t="str">
        <f>VLOOKUP($A1185,SERVICOS,5,FALSE)</f>
        <v>un</v>
      </c>
      <c r="H1185" s="92">
        <f>ROUND(SUM(H1187:H1187),2)</f>
        <v>19</v>
      </c>
    </row>
    <row r="1186" spans="1:8" ht="15" customHeight="1">
      <c r="A1186" s="94" t="s">
        <v>938</v>
      </c>
      <c r="B1186" s="94" t="s">
        <v>7319</v>
      </c>
      <c r="C1186" s="95"/>
      <c r="D1186" s="95"/>
      <c r="E1186" s="94"/>
      <c r="F1186" s="94"/>
      <c r="G1186" s="94"/>
      <c r="H1186" s="96"/>
    </row>
    <row r="1187" spans="1:8" ht="15" customHeight="1">
      <c r="A1187" s="97" t="s">
        <v>13904</v>
      </c>
      <c r="B1187" s="98">
        <f>18+1</f>
        <v>19</v>
      </c>
      <c r="C1187" s="98"/>
      <c r="D1187" s="98"/>
      <c r="E1187" s="98"/>
      <c r="F1187" s="98"/>
      <c r="G1187" s="98"/>
      <c r="H1187" s="98">
        <f>B1187</f>
        <v>19</v>
      </c>
    </row>
    <row r="1188" spans="1:8" s="93" customFormat="1" ht="45" customHeight="1">
      <c r="A1188" s="91" t="s">
        <v>14254</v>
      </c>
      <c r="B1188" s="364" t="str">
        <f>VLOOKUP($A1188,SERVICOS,4,FALSE)</f>
        <v>Joelho 45 Graus, Pvc, Serie Normal, Esgoto Predial, Dn 40 Mm, Junta Soldável, Fornecido E Instalado Em Ramal De Descarga Ou Ramal De Esgoto Sanitário. Af_08/2022</v>
      </c>
      <c r="C1188" s="365"/>
      <c r="D1188" s="365"/>
      <c r="E1188" s="365"/>
      <c r="F1188" s="366"/>
      <c r="G1188" s="91" t="str">
        <f>VLOOKUP($A1188,SERVICOS,5,FALSE)</f>
        <v>un</v>
      </c>
      <c r="H1188" s="92">
        <f>ROUND(SUM(H1190:H1190),2)</f>
        <v>16</v>
      </c>
    </row>
    <row r="1189" spans="1:8" ht="15" customHeight="1">
      <c r="A1189" s="94" t="s">
        <v>938</v>
      </c>
      <c r="B1189" s="94" t="s">
        <v>7319</v>
      </c>
      <c r="C1189" s="95"/>
      <c r="D1189" s="95"/>
      <c r="E1189" s="94"/>
      <c r="F1189" s="94"/>
      <c r="G1189" s="94"/>
      <c r="H1189" s="96"/>
    </row>
    <row r="1190" spans="1:8" ht="15" customHeight="1">
      <c r="A1190" s="97" t="s">
        <v>13904</v>
      </c>
      <c r="B1190" s="98">
        <v>16</v>
      </c>
      <c r="C1190" s="98"/>
      <c r="D1190" s="98"/>
      <c r="E1190" s="98"/>
      <c r="F1190" s="98"/>
      <c r="G1190" s="98"/>
      <c r="H1190" s="98">
        <f>B1190</f>
        <v>16</v>
      </c>
    </row>
    <row r="1191" spans="1:8" s="93" customFormat="1" ht="45" customHeight="1">
      <c r="A1191" s="91" t="s">
        <v>14255</v>
      </c>
      <c r="B1191" s="364" t="str">
        <f>VLOOKUP($A1191,SERVICOS,4,FALSE)</f>
        <v>Joelho 45 Graus, Pvc, Serie Normal, Esgoto Predial, Dn 50 Mm, Junta Elástica, Fornecido E Instalado Em Ramal De Descarga Ou Ramal De Esgoto Sanitário. Af_08/2022</v>
      </c>
      <c r="C1191" s="365"/>
      <c r="D1191" s="365"/>
      <c r="E1191" s="365"/>
      <c r="F1191" s="366"/>
      <c r="G1191" s="91" t="str">
        <f>VLOOKUP($A1191,SERVICOS,5,FALSE)</f>
        <v>un</v>
      </c>
      <c r="H1191" s="92">
        <f>ROUND(SUM(H1193:H1193),2)</f>
        <v>18</v>
      </c>
    </row>
    <row r="1192" spans="1:8" ht="15" customHeight="1">
      <c r="A1192" s="94" t="s">
        <v>938</v>
      </c>
      <c r="B1192" s="94" t="s">
        <v>7319</v>
      </c>
      <c r="C1192" s="95"/>
      <c r="D1192" s="95"/>
      <c r="E1192" s="94"/>
      <c r="F1192" s="94"/>
      <c r="G1192" s="94"/>
      <c r="H1192" s="96"/>
    </row>
    <row r="1193" spans="1:8" ht="15" customHeight="1">
      <c r="A1193" s="97" t="s">
        <v>13904</v>
      </c>
      <c r="B1193" s="98">
        <f>16+2</f>
        <v>18</v>
      </c>
      <c r="C1193" s="98"/>
      <c r="D1193" s="98"/>
      <c r="E1193" s="98"/>
      <c r="F1193" s="98"/>
      <c r="G1193" s="98"/>
      <c r="H1193" s="98">
        <f>B1193</f>
        <v>18</v>
      </c>
    </row>
    <row r="1194" spans="1:8" s="93" customFormat="1" ht="45" customHeight="1">
      <c r="A1194" s="91" t="s">
        <v>14256</v>
      </c>
      <c r="B1194" s="364" t="str">
        <f>VLOOKUP($A1194,SERVICOS,4,FALSE)</f>
        <v>Joelho 45 Graus, Pvc, Serie Normal, Esgoto Predial, Dn 100 Mm, Junta Elástica, Fornecido E Instalado Em Ramal De Descarga Ou Ramal De Esgoto Sanitário. Af_08/2022</v>
      </c>
      <c r="C1194" s="365"/>
      <c r="D1194" s="365"/>
      <c r="E1194" s="365"/>
      <c r="F1194" s="366"/>
      <c r="G1194" s="91" t="str">
        <f>VLOOKUP($A1194,SERVICOS,5,FALSE)</f>
        <v>un</v>
      </c>
      <c r="H1194" s="92">
        <f>ROUND(SUM(H1196:H1196),2)</f>
        <v>6</v>
      </c>
    </row>
    <row r="1195" spans="1:8" ht="15" customHeight="1">
      <c r="A1195" s="94" t="s">
        <v>938</v>
      </c>
      <c r="B1195" s="94" t="s">
        <v>7319</v>
      </c>
      <c r="C1195" s="95"/>
      <c r="D1195" s="95"/>
      <c r="E1195" s="94"/>
      <c r="F1195" s="94"/>
      <c r="G1195" s="94"/>
      <c r="H1195" s="96"/>
    </row>
    <row r="1196" spans="1:8" ht="15" customHeight="1">
      <c r="A1196" s="97" t="s">
        <v>13904</v>
      </c>
      <c r="B1196" s="98">
        <v>6</v>
      </c>
      <c r="C1196" s="98"/>
      <c r="D1196" s="98"/>
      <c r="E1196" s="98"/>
      <c r="F1196" s="98"/>
      <c r="G1196" s="98"/>
      <c r="H1196" s="98">
        <f>B1196</f>
        <v>6</v>
      </c>
    </row>
    <row r="1197" spans="1:8" s="93" customFormat="1" ht="45" customHeight="1">
      <c r="A1197" s="91" t="s">
        <v>14257</v>
      </c>
      <c r="B1197" s="364" t="str">
        <f>VLOOKUP($A1197,SERVICOS,4,FALSE)</f>
        <v>Joelho 90 Graus, Pvc, Serie Normal, Esgoto Predial, Dn 40 Mm, Junta Soldável, Fornecido E Instalado Em Ramal De Descarga Ou Ramal De Esgoto Sanitário. Af_08/2022</v>
      </c>
      <c r="C1197" s="365"/>
      <c r="D1197" s="365"/>
      <c r="E1197" s="365"/>
      <c r="F1197" s="366"/>
      <c r="G1197" s="91" t="str">
        <f>VLOOKUP($A1197,SERVICOS,5,FALSE)</f>
        <v>un</v>
      </c>
      <c r="H1197" s="92">
        <f>ROUND(SUM(H1199:H1199),2)</f>
        <v>49</v>
      </c>
    </row>
    <row r="1198" spans="1:8" ht="15" customHeight="1">
      <c r="A1198" s="94" t="s">
        <v>938</v>
      </c>
      <c r="B1198" s="94" t="s">
        <v>7319</v>
      </c>
      <c r="C1198" s="95"/>
      <c r="D1198" s="95"/>
      <c r="E1198" s="94"/>
      <c r="F1198" s="94"/>
      <c r="G1198" s="94"/>
      <c r="H1198" s="96"/>
    </row>
    <row r="1199" spans="1:8" ht="15" customHeight="1">
      <c r="A1199" s="97" t="s">
        <v>13904</v>
      </c>
      <c r="B1199" s="98">
        <v>49</v>
      </c>
      <c r="C1199" s="98"/>
      <c r="D1199" s="98"/>
      <c r="E1199" s="98"/>
      <c r="F1199" s="98"/>
      <c r="G1199" s="98"/>
      <c r="H1199" s="98">
        <f>B1199</f>
        <v>49</v>
      </c>
    </row>
    <row r="1200" spans="1:8" s="93" customFormat="1" ht="45" customHeight="1">
      <c r="A1200" s="91" t="s">
        <v>14258</v>
      </c>
      <c r="B1200" s="364" t="str">
        <f>VLOOKUP($A1200,SERVICOS,4,FALSE)</f>
        <v>Joelho 90 Graus, Pvc, Serie Normal, Esgoto Predial, Dn 50 Mm, Junta Elástica, Fornecido E Instalado Em Ramal De Descarga Ou Ramal De Esgoto Sanitário. Af_08/2022</v>
      </c>
      <c r="C1200" s="365"/>
      <c r="D1200" s="365"/>
      <c r="E1200" s="365"/>
      <c r="F1200" s="366"/>
      <c r="G1200" s="91" t="str">
        <f>VLOOKUP($A1200,SERVICOS,5,FALSE)</f>
        <v>un</v>
      </c>
      <c r="H1200" s="92">
        <f>ROUND(SUM(H1202:H1202),2)</f>
        <v>26</v>
      </c>
    </row>
    <row r="1201" spans="1:8" ht="15" customHeight="1">
      <c r="A1201" s="94" t="s">
        <v>938</v>
      </c>
      <c r="B1201" s="94" t="s">
        <v>7319</v>
      </c>
      <c r="C1201" s="95"/>
      <c r="D1201" s="95"/>
      <c r="E1201" s="94"/>
      <c r="F1201" s="94"/>
      <c r="G1201" s="94"/>
      <c r="H1201" s="96"/>
    </row>
    <row r="1202" spans="1:8" ht="15" customHeight="1">
      <c r="A1202" s="97" t="s">
        <v>13904</v>
      </c>
      <c r="B1202" s="98">
        <v>26</v>
      </c>
      <c r="C1202" s="98"/>
      <c r="D1202" s="98"/>
      <c r="E1202" s="98"/>
      <c r="F1202" s="98"/>
      <c r="G1202" s="98"/>
      <c r="H1202" s="98">
        <f>B1202</f>
        <v>26</v>
      </c>
    </row>
    <row r="1203" spans="1:8" s="93" customFormat="1" ht="45" customHeight="1">
      <c r="A1203" s="91" t="s">
        <v>14259</v>
      </c>
      <c r="B1203" s="364" t="str">
        <f>VLOOKUP($A1203,SERVICOS,4,FALSE)</f>
        <v>Joelho 90 Graus, Pvc, Serie Normal, Esgoto Predial, Dn 100 Mm, Junta Elástica, Fornecido E Instalado Em Ramal De Descarga Ou Ramal De Esgoto Sanitário. Af_08/2022</v>
      </c>
      <c r="C1203" s="365"/>
      <c r="D1203" s="365"/>
      <c r="E1203" s="365"/>
      <c r="F1203" s="366"/>
      <c r="G1203" s="91" t="str">
        <f>VLOOKUP($A1203,SERVICOS,5,FALSE)</f>
        <v>un</v>
      </c>
      <c r="H1203" s="92">
        <f>ROUND(SUM(H1205:H1205),2)</f>
        <v>16</v>
      </c>
    </row>
    <row r="1204" spans="1:8" ht="15" customHeight="1">
      <c r="A1204" s="94" t="s">
        <v>938</v>
      </c>
      <c r="B1204" s="94" t="s">
        <v>7319</v>
      </c>
      <c r="C1204" s="95"/>
      <c r="D1204" s="95"/>
      <c r="E1204" s="94"/>
      <c r="F1204" s="94"/>
      <c r="G1204" s="94"/>
      <c r="H1204" s="96"/>
    </row>
    <row r="1205" spans="1:8" ht="15" customHeight="1">
      <c r="A1205" s="97" t="s">
        <v>13904</v>
      </c>
      <c r="B1205" s="98">
        <v>16</v>
      </c>
      <c r="C1205" s="98"/>
      <c r="D1205" s="98"/>
      <c r="E1205" s="98"/>
      <c r="F1205" s="98"/>
      <c r="G1205" s="98"/>
      <c r="H1205" s="98">
        <f>B1205</f>
        <v>16</v>
      </c>
    </row>
    <row r="1206" spans="1:8" s="93" customFormat="1" ht="45" customHeight="1">
      <c r="A1206" s="91" t="s">
        <v>14260</v>
      </c>
      <c r="B1206" s="364" t="str">
        <f>VLOOKUP($A1206,SERVICOS,4,FALSE)</f>
        <v>Junção Simples, Pvc, Serie Normal, Esgoto Predial, Dn 50 X 50 Mm, Junta Elástica, Fornecido E Instalado Em Ramal De Descarga Ou Ramal De Esgoto Sanitário. Af_08/2022</v>
      </c>
      <c r="C1206" s="365"/>
      <c r="D1206" s="365"/>
      <c r="E1206" s="365"/>
      <c r="F1206" s="366"/>
      <c r="G1206" s="91" t="str">
        <f>VLOOKUP($A1206,SERVICOS,5,FALSE)</f>
        <v>un</v>
      </c>
      <c r="H1206" s="92">
        <f>ROUND(SUM(H1208:H1208),2)</f>
        <v>7</v>
      </c>
    </row>
    <row r="1207" spans="1:8" ht="15" customHeight="1">
      <c r="A1207" s="94" t="s">
        <v>938</v>
      </c>
      <c r="B1207" s="94" t="s">
        <v>7319</v>
      </c>
      <c r="C1207" s="95"/>
      <c r="D1207" s="95"/>
      <c r="E1207" s="94"/>
      <c r="F1207" s="94"/>
      <c r="G1207" s="94"/>
      <c r="H1207" s="96"/>
    </row>
    <row r="1208" spans="1:8" ht="15" customHeight="1">
      <c r="A1208" s="97" t="s">
        <v>13904</v>
      </c>
      <c r="B1208" s="98">
        <v>7</v>
      </c>
      <c r="C1208" s="98"/>
      <c r="D1208" s="98"/>
      <c r="E1208" s="98"/>
      <c r="F1208" s="98"/>
      <c r="G1208" s="98"/>
      <c r="H1208" s="98">
        <f>B1208</f>
        <v>7</v>
      </c>
    </row>
    <row r="1209" spans="1:8" s="93" customFormat="1" ht="45" customHeight="1">
      <c r="A1209" s="91" t="s">
        <v>14261</v>
      </c>
      <c r="B1209" s="364" t="str">
        <f>VLOOKUP($A1209,SERVICOS,4,FALSE)</f>
        <v>Junção Simples, Pvc, Serie Normal, Esgoto Predial, Dn 100 X 100 Mm, Junta Elástica, Fornecido E Instalado Em Ramal De Descarga Ou Ramal De Esgoto Sanitário. Af_08/2022</v>
      </c>
      <c r="C1209" s="365"/>
      <c r="D1209" s="365"/>
      <c r="E1209" s="365"/>
      <c r="F1209" s="366"/>
      <c r="G1209" s="91" t="str">
        <f>VLOOKUP($A1209,SERVICOS,5,FALSE)</f>
        <v>un</v>
      </c>
      <c r="H1209" s="92">
        <f>ROUND(SUM(H1211:H1211),2)</f>
        <v>11</v>
      </c>
    </row>
    <row r="1210" spans="1:8" ht="15" customHeight="1">
      <c r="A1210" s="94" t="s">
        <v>938</v>
      </c>
      <c r="B1210" s="94" t="s">
        <v>7319</v>
      </c>
      <c r="C1210" s="95"/>
      <c r="D1210" s="95"/>
      <c r="E1210" s="94"/>
      <c r="F1210" s="94"/>
      <c r="G1210" s="94"/>
      <c r="H1210" s="96"/>
    </row>
    <row r="1211" spans="1:8" ht="15" customHeight="1">
      <c r="A1211" s="97" t="s">
        <v>13904</v>
      </c>
      <c r="B1211" s="98">
        <v>11</v>
      </c>
      <c r="C1211" s="98"/>
      <c r="D1211" s="98"/>
      <c r="E1211" s="98"/>
      <c r="F1211" s="98"/>
      <c r="G1211" s="98"/>
      <c r="H1211" s="98">
        <f>B1211</f>
        <v>11</v>
      </c>
    </row>
    <row r="1212" spans="1:8" s="93" customFormat="1" ht="30" customHeight="1">
      <c r="A1212" s="91" t="s">
        <v>14262</v>
      </c>
      <c r="B1212" s="364" t="str">
        <f>VLOOKUP($A1212,SERVICOS,4,FALSE)</f>
        <v>Junção Simples, Pvc, Série Normal, Dn 100 X 50 Mm, Junta Elástica, Fornecido E Instalado</v>
      </c>
      <c r="C1212" s="365"/>
      <c r="D1212" s="365"/>
      <c r="E1212" s="365"/>
      <c r="F1212" s="366"/>
      <c r="G1212" s="91" t="str">
        <f>VLOOKUP($A1212,SERVICOS,5,FALSE)</f>
        <v>und.</v>
      </c>
      <c r="H1212" s="92">
        <f>ROUND(SUM(H1214:H1214),2)</f>
        <v>9</v>
      </c>
    </row>
    <row r="1213" spans="1:8" ht="15" customHeight="1">
      <c r="A1213" s="94" t="s">
        <v>938</v>
      </c>
      <c r="B1213" s="94" t="s">
        <v>7319</v>
      </c>
      <c r="C1213" s="95"/>
      <c r="D1213" s="95"/>
      <c r="E1213" s="94"/>
      <c r="F1213" s="94"/>
      <c r="G1213" s="94"/>
      <c r="H1213" s="96"/>
    </row>
    <row r="1214" spans="1:8" ht="15" customHeight="1">
      <c r="A1214" s="97" t="s">
        <v>13904</v>
      </c>
      <c r="B1214" s="98">
        <f>8+1</f>
        <v>9</v>
      </c>
      <c r="C1214" s="98"/>
      <c r="D1214" s="98"/>
      <c r="E1214" s="98"/>
      <c r="F1214" s="98"/>
      <c r="G1214" s="98"/>
      <c r="H1214" s="98">
        <f>B1214</f>
        <v>9</v>
      </c>
    </row>
    <row r="1215" spans="1:8" s="93" customFormat="1" ht="45" customHeight="1">
      <c r="A1215" s="91" t="s">
        <v>14263</v>
      </c>
      <c r="B1215" s="364" t="str">
        <f>VLOOKUP($A1215,SERVICOS,4,FALSE)</f>
        <v>Luva Simples, Pvc, Serie Normal, Esgoto Predial, Dn 50 Mm, Junta Elástica, Fornecido E Instalado Em Ramal De Descarga Ou Ramal De Esgoto Sanitário. Af_08/2022</v>
      </c>
      <c r="C1215" s="365"/>
      <c r="D1215" s="365"/>
      <c r="E1215" s="365"/>
      <c r="F1215" s="366"/>
      <c r="G1215" s="91" t="str">
        <f>VLOOKUP($A1215,SERVICOS,5,FALSE)</f>
        <v>un</v>
      </c>
      <c r="H1215" s="92">
        <f>ROUND(SUM(H1217:H1217),2)</f>
        <v>36</v>
      </c>
    </row>
    <row r="1216" spans="1:8" ht="15" customHeight="1">
      <c r="A1216" s="94" t="s">
        <v>938</v>
      </c>
      <c r="B1216" s="94" t="s">
        <v>7319</v>
      </c>
      <c r="C1216" s="95"/>
      <c r="D1216" s="95"/>
      <c r="E1216" s="94"/>
      <c r="F1216" s="94"/>
      <c r="G1216" s="94"/>
      <c r="H1216" s="96"/>
    </row>
    <row r="1217" spans="1:8" ht="15" customHeight="1">
      <c r="A1217" s="97" t="s">
        <v>13904</v>
      </c>
      <c r="B1217" s="98">
        <f>35+1</f>
        <v>36</v>
      </c>
      <c r="C1217" s="98"/>
      <c r="D1217" s="98"/>
      <c r="E1217" s="98"/>
      <c r="F1217" s="98"/>
      <c r="G1217" s="98"/>
      <c r="H1217" s="98">
        <f>B1217</f>
        <v>36</v>
      </c>
    </row>
    <row r="1218" spans="1:8" s="93" customFormat="1" ht="45" customHeight="1">
      <c r="A1218" s="91" t="s">
        <v>14264</v>
      </c>
      <c r="B1218" s="364" t="str">
        <f>VLOOKUP($A1218,SERVICOS,4,FALSE)</f>
        <v>Luva Simples, Pvc, Serie Normal, Esgoto Predial, Dn 100 Mm, Junta Elástica, Fornecido E Instalado Em Ramal De Descarga Ou Ramal De Esgoto Sanitário. Af_08/2022</v>
      </c>
      <c r="C1218" s="365"/>
      <c r="D1218" s="365"/>
      <c r="E1218" s="365"/>
      <c r="F1218" s="366"/>
      <c r="G1218" s="91" t="str">
        <f>VLOOKUP($A1218,SERVICOS,5,FALSE)</f>
        <v>un</v>
      </c>
      <c r="H1218" s="92">
        <f>ROUND(SUM(H1220:H1220),2)</f>
        <v>36</v>
      </c>
    </row>
    <row r="1219" spans="1:8" ht="15" customHeight="1">
      <c r="A1219" s="94" t="s">
        <v>938</v>
      </c>
      <c r="B1219" s="94" t="s">
        <v>7319</v>
      </c>
      <c r="C1219" s="95"/>
      <c r="D1219" s="95"/>
      <c r="E1219" s="94"/>
      <c r="F1219" s="94"/>
      <c r="G1219" s="94"/>
      <c r="H1219" s="96"/>
    </row>
    <row r="1220" spans="1:8" ht="15" customHeight="1">
      <c r="A1220" s="97" t="s">
        <v>13904</v>
      </c>
      <c r="B1220" s="98">
        <f>35+1</f>
        <v>36</v>
      </c>
      <c r="C1220" s="98"/>
      <c r="D1220" s="98"/>
      <c r="E1220" s="98"/>
      <c r="F1220" s="98"/>
      <c r="G1220" s="98"/>
      <c r="H1220" s="98">
        <f>B1220</f>
        <v>36</v>
      </c>
    </row>
    <row r="1221" spans="1:8" s="93" customFormat="1" ht="45" customHeight="1">
      <c r="A1221" s="91" t="s">
        <v>14265</v>
      </c>
      <c r="B1221" s="364" t="str">
        <f>VLOOKUP($A1221,SERVICOS,4,FALSE)</f>
        <v>Te, Pvc, Serie Normal, Esgoto Predial, Dn 50 X 50 Mm, Junta Elástica, Fornecido E Instalado Em Ramal De Descarga Ou Ramal De Esgoto Sanitário. Af_08/2022</v>
      </c>
      <c r="C1221" s="365"/>
      <c r="D1221" s="365"/>
      <c r="E1221" s="365"/>
      <c r="F1221" s="366"/>
      <c r="G1221" s="91" t="str">
        <f>VLOOKUP($A1221,SERVICOS,5,FALSE)</f>
        <v>un</v>
      </c>
      <c r="H1221" s="92">
        <f>ROUND(SUM(H1223:H1223),2)</f>
        <v>7</v>
      </c>
    </row>
    <row r="1222" spans="1:8" ht="15" customHeight="1">
      <c r="A1222" s="94" t="s">
        <v>938</v>
      </c>
      <c r="B1222" s="94" t="s">
        <v>7319</v>
      </c>
      <c r="C1222" s="95"/>
      <c r="D1222" s="95"/>
      <c r="E1222" s="94"/>
      <c r="F1222" s="94"/>
      <c r="G1222" s="94"/>
      <c r="H1222" s="96"/>
    </row>
    <row r="1223" spans="1:8" ht="15" customHeight="1">
      <c r="A1223" s="97" t="s">
        <v>13904</v>
      </c>
      <c r="B1223" s="98">
        <v>7</v>
      </c>
      <c r="C1223" s="98"/>
      <c r="D1223" s="98"/>
      <c r="E1223" s="98"/>
      <c r="F1223" s="98"/>
      <c r="G1223" s="98"/>
      <c r="H1223" s="98">
        <f>B1223</f>
        <v>7</v>
      </c>
    </row>
    <row r="1224" spans="1:8" s="93" customFormat="1" ht="45" customHeight="1">
      <c r="A1224" s="91" t="s">
        <v>14266</v>
      </c>
      <c r="B1224" s="364" t="str">
        <f>VLOOKUP($A1224,SERVICOS,4,FALSE)</f>
        <v>Tubo Pvc, Serie Normal, Esgoto Predial, Dn 40 Mm, Fornecido E Instalado Em Ramal De Descarga Ou Ramal De Esgoto Sanitário. Af_08/2022</v>
      </c>
      <c r="C1224" s="365"/>
      <c r="D1224" s="365"/>
      <c r="E1224" s="365"/>
      <c r="F1224" s="366"/>
      <c r="G1224" s="91" t="str">
        <f>VLOOKUP($A1224,SERVICOS,5,FALSE)</f>
        <v>m</v>
      </c>
      <c r="H1224" s="92">
        <f>ROUND(SUM(H1226:H1226),2)</f>
        <v>35</v>
      </c>
    </row>
    <row r="1225" spans="1:8" ht="15" customHeight="1">
      <c r="A1225" s="94" t="s">
        <v>938</v>
      </c>
      <c r="B1225" s="94" t="s">
        <v>7319</v>
      </c>
      <c r="C1225" s="95"/>
      <c r="D1225" s="95"/>
      <c r="E1225" s="94"/>
      <c r="F1225" s="94"/>
      <c r="G1225" s="94"/>
      <c r="H1225" s="96"/>
    </row>
    <row r="1226" spans="1:8" ht="15" customHeight="1">
      <c r="A1226" s="97" t="s">
        <v>13904</v>
      </c>
      <c r="B1226" s="98">
        <v>35</v>
      </c>
      <c r="C1226" s="98"/>
      <c r="D1226" s="98"/>
      <c r="E1226" s="98"/>
      <c r="F1226" s="98"/>
      <c r="G1226" s="98"/>
      <c r="H1226" s="98">
        <f>B1226</f>
        <v>35</v>
      </c>
    </row>
    <row r="1227" spans="1:8" s="93" customFormat="1" ht="45" customHeight="1">
      <c r="A1227" s="91" t="s">
        <v>14267</v>
      </c>
      <c r="B1227" s="364" t="str">
        <f>VLOOKUP($A1227,SERVICOS,4,FALSE)</f>
        <v>Tubo Pvc, Serie Normal, Esgoto Predial, Dn 50 Mm, Fornecido E Instalado Em Ramal De Descarga Ou Ramal De Esgoto Sanitário. Af_08/2022</v>
      </c>
      <c r="C1227" s="365"/>
      <c r="D1227" s="365"/>
      <c r="E1227" s="365"/>
      <c r="F1227" s="366"/>
      <c r="G1227" s="91" t="str">
        <f>VLOOKUP($A1227,SERVICOS,5,FALSE)</f>
        <v>m</v>
      </c>
      <c r="H1227" s="92">
        <f>ROUND(SUM(H1229:H1229),2)</f>
        <v>62</v>
      </c>
    </row>
    <row r="1228" spans="1:8" ht="15" customHeight="1">
      <c r="A1228" s="94" t="s">
        <v>938</v>
      </c>
      <c r="B1228" s="94" t="s">
        <v>7319</v>
      </c>
      <c r="C1228" s="95"/>
      <c r="D1228" s="95"/>
      <c r="E1228" s="94"/>
      <c r="F1228" s="94"/>
      <c r="G1228" s="94"/>
      <c r="H1228" s="96"/>
    </row>
    <row r="1229" spans="1:8" ht="15" customHeight="1">
      <c r="A1229" s="97" t="s">
        <v>13904</v>
      </c>
      <c r="B1229" s="98">
        <v>62</v>
      </c>
      <c r="C1229" s="98"/>
      <c r="D1229" s="98"/>
      <c r="E1229" s="98"/>
      <c r="F1229" s="98"/>
      <c r="G1229" s="98"/>
      <c r="H1229" s="98">
        <f>B1229</f>
        <v>62</v>
      </c>
    </row>
    <row r="1230" spans="1:8" s="93" customFormat="1" ht="45" customHeight="1">
      <c r="A1230" s="91" t="s">
        <v>14268</v>
      </c>
      <c r="B1230" s="364" t="str">
        <f>VLOOKUP($A1230,SERVICOS,4,FALSE)</f>
        <v>Tubo Pvc, Serie Normal, Esgoto Predial, Dn 100 Mm, Fornecido E Instalado Em Ramal De Descarga Ou Ramal De Esgoto Sanitário. Af_08/2022</v>
      </c>
      <c r="C1230" s="365"/>
      <c r="D1230" s="365"/>
      <c r="E1230" s="365"/>
      <c r="F1230" s="366"/>
      <c r="G1230" s="91" t="str">
        <f>VLOOKUP($A1230,SERVICOS,5,FALSE)</f>
        <v>m</v>
      </c>
      <c r="H1230" s="92">
        <f>ROUND(SUM(H1232:H1233),2)</f>
        <v>71</v>
      </c>
    </row>
    <row r="1231" spans="1:8" ht="15" customHeight="1">
      <c r="A1231" s="94" t="s">
        <v>938</v>
      </c>
      <c r="B1231" s="94" t="s">
        <v>7319</v>
      </c>
      <c r="C1231" s="95"/>
      <c r="D1231" s="95"/>
      <c r="E1231" s="94"/>
      <c r="F1231" s="94"/>
      <c r="G1231" s="94"/>
      <c r="H1231" s="96"/>
    </row>
    <row r="1232" spans="1:8" ht="15" customHeight="1">
      <c r="A1232" s="97" t="s">
        <v>13904</v>
      </c>
      <c r="B1232" s="98">
        <v>41</v>
      </c>
      <c r="C1232" s="98"/>
      <c r="D1232" s="98"/>
      <c r="E1232" s="98"/>
      <c r="F1232" s="98"/>
      <c r="G1232" s="98"/>
      <c r="H1232" s="98">
        <f>B1232</f>
        <v>41</v>
      </c>
    </row>
    <row r="1233" spans="1:8" ht="25.5">
      <c r="A1233" s="204" t="s">
        <v>14632</v>
      </c>
      <c r="B1233" s="98">
        <v>30</v>
      </c>
      <c r="C1233" s="98"/>
      <c r="D1233" s="98"/>
      <c r="E1233" s="98"/>
      <c r="F1233" s="98"/>
      <c r="G1233" s="98"/>
      <c r="H1233" s="98">
        <f>B1233</f>
        <v>30</v>
      </c>
    </row>
    <row r="1234" spans="1:8" s="93" customFormat="1" ht="30" customHeight="1">
      <c r="A1234" s="91" t="s">
        <v>14269</v>
      </c>
      <c r="B1234" s="364" t="str">
        <f>VLOOKUP($A1234,SERVICOS,4,FALSE)</f>
        <v>Terminal De Ventilação, Dn 100 Mm, Série Normal, Esgoto Predial, Fornecido E Instalado</v>
      </c>
      <c r="C1234" s="365"/>
      <c r="D1234" s="365"/>
      <c r="E1234" s="365"/>
      <c r="F1234" s="366"/>
      <c r="G1234" s="91" t="str">
        <f>VLOOKUP($A1234,SERVICOS,5,FALSE)</f>
        <v>und.</v>
      </c>
      <c r="H1234" s="92">
        <f>ROUND(SUM(H1236:H1236),2)</f>
        <v>7</v>
      </c>
    </row>
    <row r="1235" spans="1:8" ht="15" customHeight="1">
      <c r="A1235" s="94" t="s">
        <v>938</v>
      </c>
      <c r="B1235" s="94" t="s">
        <v>7319</v>
      </c>
      <c r="C1235" s="95"/>
      <c r="D1235" s="95"/>
      <c r="E1235" s="94"/>
      <c r="F1235" s="94"/>
      <c r="G1235" s="94"/>
      <c r="H1235" s="96"/>
    </row>
    <row r="1236" spans="1:8" ht="15" customHeight="1">
      <c r="A1236" s="97" t="s">
        <v>13904</v>
      </c>
      <c r="B1236" s="98">
        <v>7</v>
      </c>
      <c r="C1236" s="98"/>
      <c r="D1236" s="98"/>
      <c r="E1236" s="98"/>
      <c r="F1236" s="98"/>
      <c r="G1236" s="98"/>
      <c r="H1236" s="98">
        <f>B1236</f>
        <v>7</v>
      </c>
    </row>
    <row r="1237" spans="1:8" ht="15" customHeight="1">
      <c r="A1237" s="89" t="s">
        <v>12626</v>
      </c>
      <c r="B1237" s="367" t="str">
        <f>VLOOKUP($A1237,SERVICOS,4,FALSE)</f>
        <v>CAIXAS</v>
      </c>
      <c r="C1237" s="367"/>
      <c r="D1237" s="367"/>
      <c r="E1237" s="367"/>
      <c r="F1237" s="367"/>
      <c r="G1237" s="367">
        <f>VLOOKUP($A1237,SERVICOS,5,FALSE)</f>
        <v>0</v>
      </c>
      <c r="H1237" s="367" t="e">
        <f>ROUND(SUM(#REF!),2)</f>
        <v>#REF!</v>
      </c>
    </row>
    <row r="1238" spans="1:8" s="93" customFormat="1" ht="60" customHeight="1">
      <c r="A1238" s="91" t="s">
        <v>14304</v>
      </c>
      <c r="B1238" s="364" t="str">
        <f>VLOOKUP($A1238,SERVICOS,4,FALSE)</f>
        <v>Caixas De Inspeção De Alv. Blocos Concreto 9X19X39Cm, Dim, 60X60Cm E Hmáx = 1M, Com Tampa De Conc. Esp. 5Cm, Lastro De Conc. Esp. 10Cm, Revest Intern. C/ Chapisco E Reboco Impermeabilizado, Incl. Escavação, Reaterro E Enchimento</v>
      </c>
      <c r="C1238" s="365"/>
      <c r="D1238" s="365"/>
      <c r="E1238" s="365"/>
      <c r="F1238" s="366"/>
      <c r="G1238" s="91" t="str">
        <f>VLOOKUP($A1238,SERVICOS,5,FALSE)</f>
        <v>und</v>
      </c>
      <c r="H1238" s="92">
        <f>ROUND(SUM(H1240:H1240),2)</f>
        <v>4</v>
      </c>
    </row>
    <row r="1239" spans="1:8" ht="15" customHeight="1">
      <c r="A1239" s="94" t="s">
        <v>938</v>
      </c>
      <c r="B1239" s="94" t="s">
        <v>7319</v>
      </c>
      <c r="C1239" s="95"/>
      <c r="D1239" s="95"/>
      <c r="E1239" s="94"/>
      <c r="F1239" s="94"/>
      <c r="G1239" s="94"/>
      <c r="H1239" s="96"/>
    </row>
    <row r="1240" spans="1:8" ht="15" customHeight="1">
      <c r="A1240" s="97" t="s">
        <v>13904</v>
      </c>
      <c r="B1240" s="98">
        <v>4</v>
      </c>
      <c r="C1240" s="98"/>
      <c r="D1240" s="98"/>
      <c r="E1240" s="98"/>
      <c r="F1240" s="98"/>
      <c r="G1240" s="98"/>
      <c r="H1240" s="98">
        <f>B1240</f>
        <v>4</v>
      </c>
    </row>
    <row r="1241" spans="1:8" ht="15" customHeight="1">
      <c r="A1241" s="89" t="s">
        <v>12627</v>
      </c>
      <c r="B1241" s="367" t="str">
        <f>VLOOKUP($A1241,SERVICOS,4,FALSE)</f>
        <v>BANCADAS, LOUÇAS, ACESSÓRIOS E METAIS</v>
      </c>
      <c r="C1241" s="367"/>
      <c r="D1241" s="367"/>
      <c r="E1241" s="367"/>
      <c r="F1241" s="367"/>
      <c r="G1241" s="367">
        <f>VLOOKUP($A1241,SERVICOS,5,FALSE)</f>
        <v>0</v>
      </c>
      <c r="H1241" s="367" t="e">
        <f>ROUND(SUM(#REF!),2)</f>
        <v>#REF!</v>
      </c>
    </row>
    <row r="1242" spans="1:8" ht="15" customHeight="1">
      <c r="A1242" s="89" t="s">
        <v>12628</v>
      </c>
      <c r="B1242" s="367" t="str">
        <f>VLOOKUP($A1242,SERVICOS,4,FALSE)</f>
        <v>BANCADAS/ DIVISÓRIAS E PRATELEIRAS</v>
      </c>
      <c r="C1242" s="367"/>
      <c r="D1242" s="367"/>
      <c r="E1242" s="367"/>
      <c r="F1242" s="367"/>
      <c r="G1242" s="367">
        <f>VLOOKUP($A1242,SERVICOS,5,FALSE)</f>
        <v>0</v>
      </c>
      <c r="H1242" s="367" t="e">
        <f>ROUND(SUM(#REF!),2)</f>
        <v>#REF!</v>
      </c>
    </row>
    <row r="1243" spans="1:8" s="93" customFormat="1" ht="45" customHeight="1">
      <c r="A1243" s="91" t="s">
        <v>14270</v>
      </c>
      <c r="B1243" s="364" t="str">
        <f>VLOOKUP($A1243,SERVICOS,4,FALSE)</f>
        <v>Divisoria Sanitária, Tipo Cabine, Em Granito Cinza Polido, Esp = 3Cm, Assentado Com Argamassa Colante Ac Iii-E, Exclusive Ferragens. Af_01/2021</v>
      </c>
      <c r="C1243" s="365"/>
      <c r="D1243" s="365"/>
      <c r="E1243" s="365"/>
      <c r="F1243" s="366"/>
      <c r="G1243" s="91" t="str">
        <f>VLOOKUP($A1243,SERVICOS,5,FALSE)</f>
        <v>m2</v>
      </c>
      <c r="H1243" s="92">
        <f>ROUND(SUM(H1245:H1250),2)</f>
        <v>21.08</v>
      </c>
    </row>
    <row r="1244" spans="1:8" ht="15" customHeight="1">
      <c r="A1244" s="94" t="s">
        <v>938</v>
      </c>
      <c r="B1244" s="94" t="s">
        <v>7320</v>
      </c>
      <c r="C1244" s="95" t="s">
        <v>14192</v>
      </c>
      <c r="D1244" s="95"/>
      <c r="E1244" s="94"/>
      <c r="F1244" s="94"/>
      <c r="G1244" s="94"/>
      <c r="H1244" s="96"/>
    </row>
    <row r="1245" spans="1:8" ht="15" customHeight="1">
      <c r="A1245" s="97" t="s">
        <v>14335</v>
      </c>
      <c r="B1245" s="98">
        <f>0.98*3+0.4+0.32*3+0.07*2+0.25+1.18*2</f>
        <v>7.0499999999999989</v>
      </c>
      <c r="C1245" s="98">
        <v>1.8</v>
      </c>
      <c r="D1245" s="98"/>
      <c r="E1245" s="98"/>
      <c r="F1245" s="98"/>
      <c r="G1245" s="98"/>
      <c r="H1245" s="98">
        <f t="shared" ref="H1245:H1250" si="379">B1245</f>
        <v>7.0499999999999989</v>
      </c>
    </row>
    <row r="1246" spans="1:8" ht="15" customHeight="1">
      <c r="A1246" s="97" t="s">
        <v>14336</v>
      </c>
      <c r="B1246" s="98">
        <f>0.98*3+0.4+0.32*3+0.07*2+0.25+1.18*2</f>
        <v>7.0499999999999989</v>
      </c>
      <c r="C1246" s="98">
        <v>1.8</v>
      </c>
      <c r="D1246" s="98"/>
      <c r="E1246" s="98"/>
      <c r="F1246" s="98"/>
      <c r="G1246" s="98"/>
      <c r="H1246" s="98">
        <f t="shared" si="379"/>
        <v>7.0499999999999989</v>
      </c>
    </row>
    <row r="1247" spans="1:8" ht="15" customHeight="1">
      <c r="A1247" s="97" t="s">
        <v>14310</v>
      </c>
      <c r="B1247" s="98">
        <f>0.42+0.48*2+0.06+1.18*2</f>
        <v>3.8</v>
      </c>
      <c r="C1247" s="98">
        <v>1.8</v>
      </c>
      <c r="D1247" s="98"/>
      <c r="E1247" s="98"/>
      <c r="F1247" s="98"/>
      <c r="G1247" s="98"/>
      <c r="H1247" s="98">
        <f t="shared" si="379"/>
        <v>3.8</v>
      </c>
    </row>
    <row r="1248" spans="1:8" ht="15" customHeight="1">
      <c r="A1248" s="97" t="s">
        <v>14311</v>
      </c>
      <c r="B1248" s="98">
        <f>0.34+0.41+0.05+1.18</f>
        <v>1.98</v>
      </c>
      <c r="C1248" s="98">
        <v>1.8</v>
      </c>
      <c r="D1248" s="98"/>
      <c r="E1248" s="98"/>
      <c r="F1248" s="98"/>
      <c r="G1248" s="98"/>
      <c r="H1248" s="98">
        <f t="shared" si="379"/>
        <v>1.98</v>
      </c>
    </row>
    <row r="1249" spans="1:8" ht="25.5">
      <c r="A1249" s="204" t="s">
        <v>14422</v>
      </c>
      <c r="B1249" s="98">
        <v>0.4</v>
      </c>
      <c r="C1249" s="98">
        <v>1.2</v>
      </c>
      <c r="D1249" s="98"/>
      <c r="E1249" s="98"/>
      <c r="F1249" s="98"/>
      <c r="G1249" s="98"/>
      <c r="H1249" s="98">
        <f t="shared" si="379"/>
        <v>0.4</v>
      </c>
    </row>
    <row r="1250" spans="1:8" ht="15" customHeight="1">
      <c r="A1250" s="97" t="s">
        <v>14338</v>
      </c>
      <c r="B1250" s="98">
        <v>0.8</v>
      </c>
      <c r="C1250" s="98">
        <v>1.8</v>
      </c>
      <c r="D1250" s="98"/>
      <c r="E1250" s="98"/>
      <c r="F1250" s="98"/>
      <c r="G1250" s="98"/>
      <c r="H1250" s="98">
        <f t="shared" si="379"/>
        <v>0.8</v>
      </c>
    </row>
    <row r="1251" spans="1:8" s="93" customFormat="1" ht="15" customHeight="1">
      <c r="A1251" s="91" t="s">
        <v>14271</v>
      </c>
      <c r="B1251" s="364" t="str">
        <f>VLOOKUP($A1251,SERVICOS,4,FALSE)</f>
        <v>Bancada De Granito Com Espessura De 2 Cm</v>
      </c>
      <c r="C1251" s="365"/>
      <c r="D1251" s="365"/>
      <c r="E1251" s="365"/>
      <c r="F1251" s="366"/>
      <c r="G1251" s="91" t="str">
        <f>VLOOKUP($A1251,SERVICOS,5,FALSE)</f>
        <v>m2</v>
      </c>
      <c r="H1251" s="92">
        <f>ROUND(SUM(H1253:H1255),2)</f>
        <v>3.69</v>
      </c>
    </row>
    <row r="1252" spans="1:8" ht="15" customHeight="1">
      <c r="A1252" s="94" t="s">
        <v>938</v>
      </c>
      <c r="B1252" s="95" t="s">
        <v>7320</v>
      </c>
      <c r="C1252" s="95" t="s">
        <v>14191</v>
      </c>
      <c r="D1252" s="94"/>
      <c r="E1252" s="94"/>
      <c r="F1252" s="94"/>
      <c r="G1252" s="94"/>
      <c r="H1252" s="96"/>
    </row>
    <row r="1253" spans="1:8" ht="15" customHeight="1">
      <c r="A1253" s="97" t="s">
        <v>14423</v>
      </c>
      <c r="B1253" s="98">
        <v>1.94</v>
      </c>
      <c r="C1253" s="98">
        <v>0.62</v>
      </c>
      <c r="D1253" s="98"/>
      <c r="E1253" s="98"/>
      <c r="F1253" s="98"/>
      <c r="G1253" s="98"/>
      <c r="H1253" s="98">
        <f>B1253*C1253</f>
        <v>1.2027999999999999</v>
      </c>
    </row>
    <row r="1254" spans="1:8" ht="15" customHeight="1">
      <c r="A1254" s="97" t="s">
        <v>14398</v>
      </c>
      <c r="B1254" s="98">
        <v>3.04</v>
      </c>
      <c r="C1254" s="98">
        <v>0.62</v>
      </c>
      <c r="D1254" s="98"/>
      <c r="E1254" s="98"/>
      <c r="F1254" s="98"/>
      <c r="G1254" s="98"/>
      <c r="H1254" s="98">
        <f t="shared" ref="H1254" si="380">B1254*C1254</f>
        <v>1.8848</v>
      </c>
    </row>
    <row r="1255" spans="1:8" ht="15" customHeight="1">
      <c r="A1255" s="97" t="s">
        <v>14919</v>
      </c>
      <c r="B1255" s="98">
        <v>1.5</v>
      </c>
      <c r="C1255" s="98">
        <v>0.4</v>
      </c>
      <c r="D1255" s="98"/>
      <c r="E1255" s="98"/>
      <c r="F1255" s="98"/>
      <c r="G1255" s="98"/>
      <c r="H1255" s="98">
        <f t="shared" ref="H1255" si="381">B1255*C1255</f>
        <v>0.60000000000000009</v>
      </c>
    </row>
    <row r="1256" spans="1:8" ht="15" customHeight="1">
      <c r="A1256" s="97" t="s">
        <v>14892</v>
      </c>
      <c r="B1256" s="236"/>
      <c r="C1256" s="237"/>
      <c r="D1256" s="237"/>
      <c r="E1256" s="237"/>
      <c r="F1256" s="238"/>
      <c r="G1256" s="98"/>
      <c r="H1256" s="98"/>
    </row>
    <row r="1257" spans="1:8" s="93" customFormat="1" ht="30" customHeight="1">
      <c r="A1257" s="91" t="s">
        <v>14272</v>
      </c>
      <c r="B1257" s="364" t="str">
        <f>VLOOKUP($A1257,SERVICOS,4,FALSE)</f>
        <v>Roda Parede Em Granito Cinza Andorinha 7X2Cm, Com Acabamento Abaulado Nos Dois Lados</v>
      </c>
      <c r="C1257" s="365"/>
      <c r="D1257" s="365"/>
      <c r="E1257" s="365"/>
      <c r="F1257" s="366"/>
      <c r="G1257" s="91" t="str">
        <f>VLOOKUP($A1257,SERVICOS,5,FALSE)</f>
        <v>m</v>
      </c>
      <c r="H1257" s="92">
        <f>ROUND(SUM(H1259:H1260),2)</f>
        <v>11.33</v>
      </c>
    </row>
    <row r="1258" spans="1:8" ht="25.5">
      <c r="A1258" s="94" t="s">
        <v>938</v>
      </c>
      <c r="B1258" s="95" t="s">
        <v>14424</v>
      </c>
      <c r="C1258" s="95" t="s">
        <v>14425</v>
      </c>
      <c r="D1258" s="95"/>
      <c r="E1258" s="94"/>
      <c r="F1258" s="94"/>
      <c r="G1258" s="94"/>
      <c r="H1258" s="96"/>
    </row>
    <row r="1259" spans="1:8" ht="15" customHeight="1">
      <c r="A1259" s="97" t="s">
        <v>14423</v>
      </c>
      <c r="B1259" s="98">
        <f>0.6*2*1.9</f>
        <v>2.2799999999999998</v>
      </c>
      <c r="C1259" s="98">
        <v>1.9</v>
      </c>
      <c r="D1259" s="98"/>
      <c r="E1259" s="98"/>
      <c r="F1259" s="98"/>
      <c r="G1259" s="98"/>
      <c r="H1259" s="98">
        <f>B1259+C1259</f>
        <v>4.18</v>
      </c>
    </row>
    <row r="1260" spans="1:8" ht="15" customHeight="1">
      <c r="A1260" s="97" t="s">
        <v>14398</v>
      </c>
      <c r="B1260" s="98">
        <f>0.6*2+3</f>
        <v>4.2</v>
      </c>
      <c r="C1260" s="98">
        <v>2.95</v>
      </c>
      <c r="D1260" s="98"/>
      <c r="E1260" s="98"/>
      <c r="F1260" s="98"/>
      <c r="G1260" s="98"/>
      <c r="H1260" s="98">
        <f>B1260+C1260</f>
        <v>7.15</v>
      </c>
    </row>
    <row r="1261" spans="1:8" s="93" customFormat="1" ht="15" customHeight="1">
      <c r="A1261" s="91" t="s">
        <v>14273</v>
      </c>
      <c r="B1261" s="364" t="str">
        <f>VLOOKUP($A1261,SERVICOS,4,FALSE)</f>
        <v>Prateleiras Em Granito Cinza Andorinha, Esp. 2Cm</v>
      </c>
      <c r="C1261" s="365"/>
      <c r="D1261" s="365"/>
      <c r="E1261" s="365"/>
      <c r="F1261" s="366"/>
      <c r="G1261" s="91" t="str">
        <f>VLOOKUP($A1261,SERVICOS,5,FALSE)</f>
        <v>m2</v>
      </c>
      <c r="H1261" s="92">
        <f>ROUND(SUM(H1263:H1263),2)</f>
        <v>4.91</v>
      </c>
    </row>
    <row r="1262" spans="1:8" ht="15" customHeight="1">
      <c r="A1262" s="94" t="s">
        <v>938</v>
      </c>
      <c r="B1262" s="94" t="s">
        <v>7319</v>
      </c>
      <c r="C1262" s="95" t="s">
        <v>7320</v>
      </c>
      <c r="D1262" s="95" t="s">
        <v>14191</v>
      </c>
      <c r="E1262" s="94"/>
      <c r="F1262" s="94"/>
      <c r="G1262" s="94"/>
      <c r="H1262" s="96"/>
    </row>
    <row r="1263" spans="1:8" ht="15" customHeight="1">
      <c r="A1263" s="97" t="s">
        <v>14309</v>
      </c>
      <c r="B1263" s="98">
        <v>5</v>
      </c>
      <c r="C1263" s="98">
        <v>2.34</v>
      </c>
      <c r="D1263" s="98">
        <v>0.42</v>
      </c>
      <c r="E1263" s="98"/>
      <c r="F1263" s="98"/>
      <c r="G1263" s="98"/>
      <c r="H1263" s="98">
        <f>B1263*C1263*D1263</f>
        <v>4.9139999999999997</v>
      </c>
    </row>
    <row r="1264" spans="1:8" ht="15" customHeight="1">
      <c r="A1264" s="97" t="s">
        <v>14892</v>
      </c>
      <c r="B1264" s="98"/>
      <c r="C1264" s="98"/>
      <c r="D1264" s="98"/>
      <c r="E1264" s="98"/>
      <c r="F1264" s="98"/>
      <c r="G1264" s="98"/>
      <c r="H1264" s="98"/>
    </row>
    <row r="1265" spans="1:8" ht="15" customHeight="1">
      <c r="A1265" s="89" t="s">
        <v>13883</v>
      </c>
      <c r="B1265" s="367" t="str">
        <f>VLOOKUP($A1265,SERVICOS,4,FALSE)</f>
        <v>LOUÇAS</v>
      </c>
      <c r="C1265" s="367"/>
      <c r="D1265" s="367"/>
      <c r="E1265" s="367"/>
      <c r="F1265" s="367"/>
      <c r="G1265" s="367">
        <f>VLOOKUP($A1265,SERVICOS,5,FALSE)</f>
        <v>0</v>
      </c>
      <c r="H1265" s="367" t="e">
        <f>ROUND(SUM(#REF!),2)</f>
        <v>#REF!</v>
      </c>
    </row>
    <row r="1266" spans="1:8" s="93" customFormat="1" ht="45" customHeight="1">
      <c r="A1266" s="91" t="s">
        <v>14274</v>
      </c>
      <c r="B1266" s="364" t="str">
        <f>VLOOKUP($A1266,SERVICOS,4,FALSE)</f>
        <v>Vaso Sanitario Sifonado Convencional Com Louça Branca, Incluso Conjunto De Ligação Para Bacia Sanitária Ajustável - Fornecimento E Instalação. Af_10/2016</v>
      </c>
      <c r="C1266" s="365"/>
      <c r="D1266" s="365"/>
      <c r="E1266" s="365"/>
      <c r="F1266" s="366"/>
      <c r="G1266" s="91" t="str">
        <f>VLOOKUP($A1266,SERVICOS,5,FALSE)</f>
        <v>un</v>
      </c>
      <c r="H1266" s="92">
        <f>ROUND(SUM(H1268:H1272),2)</f>
        <v>10</v>
      </c>
    </row>
    <row r="1267" spans="1:8" ht="15" customHeight="1">
      <c r="A1267" s="94" t="s">
        <v>938</v>
      </c>
      <c r="B1267" s="94" t="s">
        <v>7319</v>
      </c>
      <c r="C1267" s="95"/>
      <c r="D1267" s="95"/>
      <c r="E1267" s="94"/>
      <c r="F1267" s="94"/>
      <c r="G1267" s="94"/>
      <c r="H1267" s="96"/>
    </row>
    <row r="1268" spans="1:8" ht="15" customHeight="1">
      <c r="A1268" s="97" t="s">
        <v>14335</v>
      </c>
      <c r="B1268" s="98">
        <v>2</v>
      </c>
      <c r="C1268" s="98"/>
      <c r="D1268" s="98"/>
      <c r="E1268" s="98"/>
      <c r="F1268" s="98"/>
      <c r="G1268" s="98"/>
      <c r="H1268" s="98">
        <f>B1268</f>
        <v>2</v>
      </c>
    </row>
    <row r="1269" spans="1:8" ht="15" customHeight="1">
      <c r="A1269" s="97" t="s">
        <v>14336</v>
      </c>
      <c r="B1269" s="98">
        <v>2</v>
      </c>
      <c r="C1269" s="98"/>
      <c r="D1269" s="98"/>
      <c r="E1269" s="98"/>
      <c r="F1269" s="98"/>
      <c r="G1269" s="98"/>
      <c r="H1269" s="98">
        <f>B1269</f>
        <v>2</v>
      </c>
    </row>
    <row r="1270" spans="1:8" ht="15" customHeight="1">
      <c r="A1270" s="97" t="s">
        <v>14310</v>
      </c>
      <c r="B1270" s="98">
        <v>3</v>
      </c>
      <c r="C1270" s="98"/>
      <c r="D1270" s="98"/>
      <c r="E1270" s="98"/>
      <c r="F1270" s="98"/>
      <c r="G1270" s="98"/>
      <c r="H1270" s="98">
        <f>B1270</f>
        <v>3</v>
      </c>
    </row>
    <row r="1271" spans="1:8" ht="15" customHeight="1">
      <c r="A1271" s="97" t="s">
        <v>14311</v>
      </c>
      <c r="B1271" s="98">
        <v>2</v>
      </c>
      <c r="C1271" s="98"/>
      <c r="D1271" s="98"/>
      <c r="E1271" s="98"/>
      <c r="F1271" s="98"/>
      <c r="G1271" s="98"/>
      <c r="H1271" s="98">
        <f>B1271</f>
        <v>2</v>
      </c>
    </row>
    <row r="1272" spans="1:8" ht="15" customHeight="1">
      <c r="A1272" s="97" t="s">
        <v>14338</v>
      </c>
      <c r="B1272" s="98">
        <v>1</v>
      </c>
      <c r="C1272" s="98"/>
      <c r="D1272" s="98"/>
      <c r="E1272" s="98"/>
      <c r="F1272" s="98"/>
      <c r="G1272" s="98"/>
      <c r="H1272" s="98">
        <f>B1272</f>
        <v>1</v>
      </c>
    </row>
    <row r="1273" spans="1:8" s="93" customFormat="1" ht="30" customHeight="1">
      <c r="A1273" s="91" t="s">
        <v>14275</v>
      </c>
      <c r="B1273" s="364" t="str">
        <f>VLOOKUP($A1273,SERVICOS,4,FALSE)</f>
        <v>Vaso Sanitario Sifonado Convencional Para Pcd Sem Furo Frontal Com  Louça Branca Sem Assento -  Fornecimento E Instalação. Af_01/2020</v>
      </c>
      <c r="C1273" s="365"/>
      <c r="D1273" s="365"/>
      <c r="E1273" s="365"/>
      <c r="F1273" s="366"/>
      <c r="G1273" s="91" t="str">
        <f>VLOOKUP($A1273,SERVICOS,5,FALSE)</f>
        <v>un</v>
      </c>
      <c r="H1273" s="92">
        <f>ROUND(SUM(H1275:H1275),2)</f>
        <v>1</v>
      </c>
    </row>
    <row r="1274" spans="1:8" ht="15" customHeight="1">
      <c r="A1274" s="94" t="s">
        <v>938</v>
      </c>
      <c r="B1274" s="94" t="s">
        <v>7319</v>
      </c>
      <c r="C1274" s="95"/>
      <c r="D1274" s="95"/>
      <c r="E1274" s="94"/>
      <c r="F1274" s="94"/>
      <c r="G1274" s="94"/>
      <c r="H1274" s="96"/>
    </row>
    <row r="1275" spans="1:8" ht="15" customHeight="1">
      <c r="A1275" s="97" t="s">
        <v>14337</v>
      </c>
      <c r="B1275" s="98">
        <v>1</v>
      </c>
      <c r="C1275" s="98"/>
      <c r="D1275" s="98"/>
      <c r="E1275" s="98"/>
      <c r="F1275" s="98"/>
      <c r="G1275" s="98"/>
      <c r="H1275" s="98">
        <f>B1275</f>
        <v>1</v>
      </c>
    </row>
    <row r="1276" spans="1:8" s="93" customFormat="1" ht="30" customHeight="1">
      <c r="A1276" s="91" t="s">
        <v>14276</v>
      </c>
      <c r="B1276" s="364" t="str">
        <f>VLOOKUP($A1276,SERVICOS,4,FALSE)</f>
        <v>Lavatório Louça Branca Suspenso, 29,5 X 39Cm Ou Equivalente, Padrão Popular - Fornecimento E Instalação. Af_01/2020</v>
      </c>
      <c r="C1276" s="365"/>
      <c r="D1276" s="365"/>
      <c r="E1276" s="365"/>
      <c r="F1276" s="366"/>
      <c r="G1276" s="91" t="str">
        <f>VLOOKUP($A1276,SERVICOS,5,FALSE)</f>
        <v>un</v>
      </c>
      <c r="H1276" s="92">
        <f>ROUND(SUM(H1278:H1283),2)</f>
        <v>14</v>
      </c>
    </row>
    <row r="1277" spans="1:8" ht="15" customHeight="1">
      <c r="A1277" s="94" t="s">
        <v>938</v>
      </c>
      <c r="B1277" s="94" t="s">
        <v>7319</v>
      </c>
      <c r="C1277" s="95"/>
      <c r="D1277" s="95"/>
      <c r="E1277" s="94"/>
      <c r="F1277" s="94"/>
      <c r="G1277" s="94"/>
      <c r="H1277" s="96"/>
    </row>
    <row r="1278" spans="1:8" ht="15" customHeight="1">
      <c r="A1278" s="97" t="s">
        <v>14335</v>
      </c>
      <c r="B1278" s="98">
        <v>3</v>
      </c>
      <c r="C1278" s="98"/>
      <c r="D1278" s="98"/>
      <c r="E1278" s="98"/>
      <c r="F1278" s="98"/>
      <c r="G1278" s="98"/>
      <c r="H1278" s="98">
        <f t="shared" ref="H1278:H1283" si="382">B1278</f>
        <v>3</v>
      </c>
    </row>
    <row r="1279" spans="1:8" ht="15" customHeight="1">
      <c r="A1279" s="97" t="s">
        <v>14336</v>
      </c>
      <c r="B1279" s="98">
        <v>3</v>
      </c>
      <c r="C1279" s="98"/>
      <c r="D1279" s="98"/>
      <c r="E1279" s="98"/>
      <c r="F1279" s="98"/>
      <c r="G1279" s="98"/>
      <c r="H1279" s="98">
        <f t="shared" si="382"/>
        <v>3</v>
      </c>
    </row>
    <row r="1280" spans="1:8" ht="15" customHeight="1">
      <c r="A1280" s="97" t="s">
        <v>14310</v>
      </c>
      <c r="B1280" s="98">
        <v>3</v>
      </c>
      <c r="C1280" s="98"/>
      <c r="D1280" s="98"/>
      <c r="E1280" s="98"/>
      <c r="F1280" s="98"/>
      <c r="G1280" s="98"/>
      <c r="H1280" s="98">
        <f t="shared" si="382"/>
        <v>3</v>
      </c>
    </row>
    <row r="1281" spans="1:8" ht="15" customHeight="1">
      <c r="A1281" s="97" t="s">
        <v>14311</v>
      </c>
      <c r="B1281" s="98">
        <v>3</v>
      </c>
      <c r="C1281" s="98"/>
      <c r="D1281" s="98"/>
      <c r="E1281" s="98"/>
      <c r="F1281" s="98"/>
      <c r="G1281" s="98"/>
      <c r="H1281" s="98">
        <f t="shared" si="382"/>
        <v>3</v>
      </c>
    </row>
    <row r="1282" spans="1:8" ht="15" customHeight="1">
      <c r="A1282" s="97" t="s">
        <v>14337</v>
      </c>
      <c r="B1282" s="98">
        <v>1</v>
      </c>
      <c r="C1282" s="98"/>
      <c r="D1282" s="98"/>
      <c r="E1282" s="98"/>
      <c r="F1282" s="98"/>
      <c r="G1282" s="98"/>
      <c r="H1282" s="98">
        <f t="shared" si="382"/>
        <v>1</v>
      </c>
    </row>
    <row r="1283" spans="1:8" ht="15" customHeight="1">
      <c r="A1283" s="97" t="s">
        <v>14338</v>
      </c>
      <c r="B1283" s="98">
        <v>1</v>
      </c>
      <c r="C1283" s="98"/>
      <c r="D1283" s="98"/>
      <c r="E1283" s="98"/>
      <c r="F1283" s="98"/>
      <c r="G1283" s="98"/>
      <c r="H1283" s="98">
        <f t="shared" si="382"/>
        <v>1</v>
      </c>
    </row>
    <row r="1284" spans="1:8" s="93" customFormat="1" ht="30" customHeight="1">
      <c r="A1284" s="91" t="s">
        <v>14277</v>
      </c>
      <c r="B1284" s="364" t="str">
        <f>VLOOKUP($A1284,SERVICOS,4,FALSE)</f>
        <v>Tanque Em Mármore Sintético Com 2 Bojos, Inclusive Válvula E Sifão Em Pvc</v>
      </c>
      <c r="C1284" s="365"/>
      <c r="D1284" s="365"/>
      <c r="E1284" s="365"/>
      <c r="F1284" s="366"/>
      <c r="G1284" s="91" t="str">
        <f>VLOOKUP($A1284,SERVICOS,5,FALSE)</f>
        <v>und</v>
      </c>
      <c r="H1284" s="92">
        <f>ROUND(SUM(H1286:H1286),2)</f>
        <v>1</v>
      </c>
    </row>
    <row r="1285" spans="1:8" ht="15" customHeight="1">
      <c r="A1285" s="94" t="s">
        <v>938</v>
      </c>
      <c r="B1285" s="94" t="s">
        <v>7319</v>
      </c>
      <c r="C1285" s="95"/>
      <c r="D1285" s="95"/>
      <c r="E1285" s="94"/>
      <c r="F1285" s="94"/>
      <c r="G1285" s="94"/>
      <c r="H1285" s="96"/>
    </row>
    <row r="1286" spans="1:8" ht="15" customHeight="1">
      <c r="A1286" s="97" t="s">
        <v>14309</v>
      </c>
      <c r="B1286" s="98">
        <v>1</v>
      </c>
      <c r="C1286" s="98"/>
      <c r="D1286" s="98"/>
      <c r="E1286" s="98"/>
      <c r="F1286" s="98"/>
      <c r="G1286" s="98"/>
      <c r="H1286" s="98">
        <f>B1286</f>
        <v>1</v>
      </c>
    </row>
    <row r="1287" spans="1:8" s="93" customFormat="1" ht="30" customHeight="1">
      <c r="A1287" s="91" t="s">
        <v>14278</v>
      </c>
      <c r="B1287" s="364" t="str">
        <f>VLOOKUP($A1287,SERVICOS,4,FALSE)</f>
        <v>Mictório De Louça Branca, Marcas De Referência Deca, Celite Ou Ideal Standard, Inclusive Engates Cromados</v>
      </c>
      <c r="C1287" s="365"/>
      <c r="D1287" s="365"/>
      <c r="E1287" s="365"/>
      <c r="F1287" s="366"/>
      <c r="G1287" s="91" t="str">
        <f>VLOOKUP($A1287,SERVICOS,5,FALSE)</f>
        <v>und</v>
      </c>
      <c r="H1287" s="92">
        <f>ROUND(SUM(H1289:H1289),2)</f>
        <v>2</v>
      </c>
    </row>
    <row r="1288" spans="1:8" ht="15" customHeight="1">
      <c r="A1288" s="94" t="s">
        <v>938</v>
      </c>
      <c r="B1288" s="94" t="s">
        <v>7319</v>
      </c>
      <c r="C1288" s="95"/>
      <c r="D1288" s="95"/>
      <c r="E1288" s="94"/>
      <c r="F1288" s="94"/>
      <c r="G1288" s="94"/>
      <c r="H1288" s="96"/>
    </row>
    <row r="1289" spans="1:8" ht="15" customHeight="1">
      <c r="A1289" s="97" t="s">
        <v>14311</v>
      </c>
      <c r="B1289" s="98">
        <v>2</v>
      </c>
      <c r="C1289" s="98"/>
      <c r="D1289" s="98"/>
      <c r="E1289" s="98"/>
      <c r="F1289" s="98"/>
      <c r="G1289" s="98"/>
      <c r="H1289" s="98">
        <f>B1289</f>
        <v>2</v>
      </c>
    </row>
    <row r="1290" spans="1:8" ht="15" customHeight="1">
      <c r="A1290" s="89" t="s">
        <v>14115</v>
      </c>
      <c r="B1290" s="367" t="str">
        <f>VLOOKUP($A1290,SERVICOS,4,FALSE)</f>
        <v>ACESSÓRIOS</v>
      </c>
      <c r="C1290" s="367"/>
      <c r="D1290" s="367"/>
      <c r="E1290" s="367"/>
      <c r="F1290" s="367"/>
      <c r="G1290" s="367">
        <f>VLOOKUP($A1290,SERVICOS,5,FALSE)</f>
        <v>0</v>
      </c>
      <c r="H1290" s="367" t="e">
        <f>ROUND(SUM(#REF!),2)</f>
        <v>#REF!</v>
      </c>
    </row>
    <row r="1291" spans="1:8" s="93" customFormat="1" ht="30" customHeight="1">
      <c r="A1291" s="91" t="s">
        <v>14279</v>
      </c>
      <c r="B1291" s="364" t="str">
        <f>VLOOKUP($A1291,SERVICOS,4,FALSE)</f>
        <v>Assento Sanitário Convencional - Fornecimento E Instalacao. Af_01/2020</v>
      </c>
      <c r="C1291" s="365"/>
      <c r="D1291" s="365"/>
      <c r="E1291" s="365"/>
      <c r="F1291" s="366"/>
      <c r="G1291" s="91" t="str">
        <f>VLOOKUP($A1291,SERVICOS,5,FALSE)</f>
        <v>un</v>
      </c>
      <c r="H1291" s="92">
        <f>ROUND(SUM(H1293:H1298),2)</f>
        <v>11</v>
      </c>
    </row>
    <row r="1292" spans="1:8" ht="15" customHeight="1">
      <c r="A1292" s="94" t="s">
        <v>938</v>
      </c>
      <c r="B1292" s="94" t="s">
        <v>7319</v>
      </c>
      <c r="C1292" s="95"/>
      <c r="D1292" s="95"/>
      <c r="E1292" s="94"/>
      <c r="F1292" s="94"/>
      <c r="G1292" s="94"/>
      <c r="H1292" s="96"/>
    </row>
    <row r="1293" spans="1:8" ht="15" customHeight="1">
      <c r="A1293" s="97" t="s">
        <v>14335</v>
      </c>
      <c r="B1293" s="98">
        <v>2</v>
      </c>
      <c r="C1293" s="98"/>
      <c r="D1293" s="98"/>
      <c r="E1293" s="98"/>
      <c r="F1293" s="98"/>
      <c r="G1293" s="98"/>
      <c r="H1293" s="98">
        <f t="shared" ref="H1293:H1298" si="383">B1293</f>
        <v>2</v>
      </c>
    </row>
    <row r="1294" spans="1:8" ht="15" customHeight="1">
      <c r="A1294" s="97" t="s">
        <v>14336</v>
      </c>
      <c r="B1294" s="98">
        <v>2</v>
      </c>
      <c r="C1294" s="98"/>
      <c r="D1294" s="98"/>
      <c r="E1294" s="98"/>
      <c r="F1294" s="98"/>
      <c r="G1294" s="98"/>
      <c r="H1294" s="98">
        <f t="shared" si="383"/>
        <v>2</v>
      </c>
    </row>
    <row r="1295" spans="1:8" ht="15" customHeight="1">
      <c r="A1295" s="97" t="s">
        <v>14310</v>
      </c>
      <c r="B1295" s="98">
        <v>3</v>
      </c>
      <c r="C1295" s="98"/>
      <c r="D1295" s="98"/>
      <c r="E1295" s="98"/>
      <c r="F1295" s="98"/>
      <c r="G1295" s="98"/>
      <c r="H1295" s="98">
        <f t="shared" si="383"/>
        <v>3</v>
      </c>
    </row>
    <row r="1296" spans="1:8" ht="15" customHeight="1">
      <c r="A1296" s="97" t="s">
        <v>14311</v>
      </c>
      <c r="B1296" s="98">
        <v>2</v>
      </c>
      <c r="C1296" s="98"/>
      <c r="D1296" s="98"/>
      <c r="E1296" s="98"/>
      <c r="F1296" s="98"/>
      <c r="G1296" s="98"/>
      <c r="H1296" s="98">
        <f t="shared" si="383"/>
        <v>2</v>
      </c>
    </row>
    <row r="1297" spans="1:8" ht="15" customHeight="1">
      <c r="A1297" s="97" t="s">
        <v>14337</v>
      </c>
      <c r="B1297" s="98">
        <v>1</v>
      </c>
      <c r="C1297" s="98"/>
      <c r="D1297" s="98"/>
      <c r="E1297" s="98"/>
      <c r="F1297" s="98"/>
      <c r="G1297" s="98"/>
      <c r="H1297" s="98">
        <f t="shared" si="383"/>
        <v>1</v>
      </c>
    </row>
    <row r="1298" spans="1:8" ht="15" customHeight="1">
      <c r="A1298" s="97" t="s">
        <v>14338</v>
      </c>
      <c r="B1298" s="98">
        <v>1</v>
      </c>
      <c r="C1298" s="98"/>
      <c r="D1298" s="98"/>
      <c r="E1298" s="98"/>
      <c r="F1298" s="98"/>
      <c r="G1298" s="98"/>
      <c r="H1298" s="98">
        <f t="shared" si="383"/>
        <v>1</v>
      </c>
    </row>
    <row r="1299" spans="1:8" s="93" customFormat="1" ht="30" customHeight="1">
      <c r="A1299" s="91" t="s">
        <v>14280</v>
      </c>
      <c r="B1299" s="364" t="str">
        <f>VLOOKUP($A1299,SERVICOS,4,FALSE)</f>
        <v>Chuveiro Elétrico Comum Corpo Plástico, Tipo Ducha  Fornecimento E Instalação. Af_01/2020</v>
      </c>
      <c r="C1299" s="365"/>
      <c r="D1299" s="365"/>
      <c r="E1299" s="365"/>
      <c r="F1299" s="366"/>
      <c r="G1299" s="91" t="str">
        <f>VLOOKUP($A1299,SERVICOS,5,FALSE)</f>
        <v>un</v>
      </c>
      <c r="H1299" s="92">
        <f>ROUND(SUM(H1301:H1303),2)</f>
        <v>7</v>
      </c>
    </row>
    <row r="1300" spans="1:8" ht="15" customHeight="1">
      <c r="A1300" s="94" t="s">
        <v>938</v>
      </c>
      <c r="B1300" s="94" t="s">
        <v>7319</v>
      </c>
      <c r="C1300" s="95"/>
      <c r="D1300" s="95"/>
      <c r="E1300" s="94"/>
      <c r="F1300" s="94"/>
      <c r="G1300" s="94"/>
      <c r="H1300" s="96"/>
    </row>
    <row r="1301" spans="1:8" ht="15" customHeight="1">
      <c r="A1301" s="97" t="s">
        <v>14335</v>
      </c>
      <c r="B1301" s="98">
        <v>3</v>
      </c>
      <c r="C1301" s="98"/>
      <c r="D1301" s="98"/>
      <c r="E1301" s="98"/>
      <c r="F1301" s="98"/>
      <c r="G1301" s="98"/>
      <c r="H1301" s="98">
        <f>B1301</f>
        <v>3</v>
      </c>
    </row>
    <row r="1302" spans="1:8" ht="15" customHeight="1">
      <c r="A1302" s="97" t="s">
        <v>14336</v>
      </c>
      <c r="B1302" s="98">
        <v>3</v>
      </c>
      <c r="C1302" s="98"/>
      <c r="D1302" s="98"/>
      <c r="E1302" s="98"/>
      <c r="F1302" s="98"/>
      <c r="G1302" s="98"/>
      <c r="H1302" s="98">
        <f>B1302</f>
        <v>3</v>
      </c>
    </row>
    <row r="1303" spans="1:8" ht="15" customHeight="1">
      <c r="A1303" s="97" t="s">
        <v>14338</v>
      </c>
      <c r="B1303" s="98">
        <v>1</v>
      </c>
      <c r="C1303" s="98"/>
      <c r="D1303" s="98"/>
      <c r="E1303" s="98"/>
      <c r="F1303" s="98"/>
      <c r="G1303" s="98"/>
      <c r="H1303" s="98">
        <f>B1303</f>
        <v>1</v>
      </c>
    </row>
    <row r="1304" spans="1:8" s="93" customFormat="1" ht="30" customHeight="1">
      <c r="A1304" s="91" t="s">
        <v>14281</v>
      </c>
      <c r="B1304" s="364" t="str">
        <f>VLOOKUP($A1304,SERVICOS,4,FALSE)</f>
        <v>Suporte Mão Francesa Em Aço, Abas Iguais 30 Cm, Capacidade Minima 60 Kg, Branco - Fornecimento E Instalação. Af_01/2020</v>
      </c>
      <c r="C1304" s="365"/>
      <c r="D1304" s="365"/>
      <c r="E1304" s="365"/>
      <c r="F1304" s="366"/>
      <c r="G1304" s="91" t="str">
        <f>VLOOKUP($A1304,SERVICOS,5,FALSE)</f>
        <v>un</v>
      </c>
      <c r="H1304" s="92">
        <f>ROUND(SUM(H1306:H1306),2)</f>
        <v>25</v>
      </c>
    </row>
    <row r="1305" spans="1:8" ht="15" customHeight="1">
      <c r="A1305" s="94" t="s">
        <v>938</v>
      </c>
      <c r="B1305" s="94" t="s">
        <v>7319</v>
      </c>
      <c r="C1305" s="95"/>
      <c r="D1305" s="95"/>
      <c r="E1305" s="94"/>
      <c r="F1305" s="94"/>
      <c r="G1305" s="94"/>
      <c r="H1305" s="96"/>
    </row>
    <row r="1306" spans="1:8" ht="15" customHeight="1">
      <c r="A1306" s="97" t="s">
        <v>14894</v>
      </c>
      <c r="B1306" s="98">
        <f>5*5</f>
        <v>25</v>
      </c>
      <c r="C1306" s="205" t="s">
        <v>14893</v>
      </c>
      <c r="D1306" s="98"/>
      <c r="E1306" s="98"/>
      <c r="F1306" s="98"/>
      <c r="G1306" s="98"/>
      <c r="H1306" s="98">
        <f>B1306</f>
        <v>25</v>
      </c>
    </row>
    <row r="1307" spans="1:8" ht="15" customHeight="1">
      <c r="A1307" s="89" t="s">
        <v>14116</v>
      </c>
      <c r="B1307" s="367" t="str">
        <f>VLOOKUP($A1307,SERVICOS,4,FALSE)</f>
        <v>METAIS</v>
      </c>
      <c r="C1307" s="367"/>
      <c r="D1307" s="367"/>
      <c r="E1307" s="367"/>
      <c r="F1307" s="367"/>
      <c r="G1307" s="367">
        <f>VLOOKUP($A1307,SERVICOS,5,FALSE)</f>
        <v>0</v>
      </c>
      <c r="H1307" s="367" t="e">
        <f>ROUND(SUM(#REF!),2)</f>
        <v>#REF!</v>
      </c>
    </row>
    <row r="1308" spans="1:8" s="93" customFormat="1" ht="30" customHeight="1">
      <c r="A1308" s="91" t="s">
        <v>14282</v>
      </c>
      <c r="B1308" s="364" t="str">
        <f>VLOOKUP($A1308,SERVICOS,4,FALSE)</f>
        <v>Papeleira De Parede Em Metal Cromado Sem Tampa, Incluso Fixação. Af_01/2020</v>
      </c>
      <c r="C1308" s="365"/>
      <c r="D1308" s="365"/>
      <c r="E1308" s="365"/>
      <c r="F1308" s="366"/>
      <c r="G1308" s="91" t="str">
        <f>VLOOKUP($A1308,SERVICOS,5,FALSE)</f>
        <v>un</v>
      </c>
      <c r="H1308" s="92">
        <f>ROUND(SUM(H1310:H1315),2)</f>
        <v>11</v>
      </c>
    </row>
    <row r="1309" spans="1:8" ht="15" customHeight="1">
      <c r="A1309" s="94" t="s">
        <v>938</v>
      </c>
      <c r="B1309" s="94" t="s">
        <v>7319</v>
      </c>
      <c r="C1309" s="95"/>
      <c r="D1309" s="95"/>
      <c r="E1309" s="94"/>
      <c r="F1309" s="94"/>
      <c r="G1309" s="94"/>
      <c r="H1309" s="96"/>
    </row>
    <row r="1310" spans="1:8" ht="15" customHeight="1">
      <c r="A1310" s="97" t="s">
        <v>14335</v>
      </c>
      <c r="B1310" s="98">
        <v>2</v>
      </c>
      <c r="C1310" s="98"/>
      <c r="D1310" s="98"/>
      <c r="E1310" s="98"/>
      <c r="F1310" s="98"/>
      <c r="G1310" s="98"/>
      <c r="H1310" s="98">
        <f t="shared" ref="H1310:H1315" si="384">B1310</f>
        <v>2</v>
      </c>
    </row>
    <row r="1311" spans="1:8" ht="15" customHeight="1">
      <c r="A1311" s="97" t="s">
        <v>14336</v>
      </c>
      <c r="B1311" s="98">
        <v>2</v>
      </c>
      <c r="C1311" s="98"/>
      <c r="D1311" s="98"/>
      <c r="E1311" s="98"/>
      <c r="F1311" s="98"/>
      <c r="G1311" s="98"/>
      <c r="H1311" s="98">
        <f t="shared" si="384"/>
        <v>2</v>
      </c>
    </row>
    <row r="1312" spans="1:8" ht="15" customHeight="1">
      <c r="A1312" s="97" t="s">
        <v>14310</v>
      </c>
      <c r="B1312" s="98">
        <v>3</v>
      </c>
      <c r="C1312" s="98"/>
      <c r="D1312" s="98"/>
      <c r="E1312" s="98"/>
      <c r="F1312" s="98"/>
      <c r="G1312" s="98"/>
      <c r="H1312" s="98">
        <f t="shared" si="384"/>
        <v>3</v>
      </c>
    </row>
    <row r="1313" spans="1:8" ht="15" customHeight="1">
      <c r="A1313" s="97" t="s">
        <v>14311</v>
      </c>
      <c r="B1313" s="98">
        <v>2</v>
      </c>
      <c r="C1313" s="98"/>
      <c r="D1313" s="98"/>
      <c r="E1313" s="98"/>
      <c r="F1313" s="98"/>
      <c r="G1313" s="98"/>
      <c r="H1313" s="98">
        <f t="shared" si="384"/>
        <v>2</v>
      </c>
    </row>
    <row r="1314" spans="1:8" ht="15" customHeight="1">
      <c r="A1314" s="97" t="s">
        <v>14337</v>
      </c>
      <c r="B1314" s="98">
        <v>1</v>
      </c>
      <c r="C1314" s="98"/>
      <c r="D1314" s="98"/>
      <c r="E1314" s="98"/>
      <c r="F1314" s="98"/>
      <c r="G1314" s="98"/>
      <c r="H1314" s="98">
        <f t="shared" si="384"/>
        <v>1</v>
      </c>
    </row>
    <row r="1315" spans="1:8" ht="15" customHeight="1">
      <c r="A1315" s="97" t="s">
        <v>14338</v>
      </c>
      <c r="B1315" s="98">
        <v>1</v>
      </c>
      <c r="C1315" s="98"/>
      <c r="D1315" s="98"/>
      <c r="E1315" s="98"/>
      <c r="F1315" s="98"/>
      <c r="G1315" s="98"/>
      <c r="H1315" s="98">
        <f t="shared" si="384"/>
        <v>1</v>
      </c>
    </row>
    <row r="1316" spans="1:8" s="93" customFormat="1" ht="15" customHeight="1">
      <c r="A1316" s="91" t="s">
        <v>14283</v>
      </c>
      <c r="B1316" s="364" t="str">
        <f>VLOOKUP($A1316,SERVICOS,4,FALSE)</f>
        <v>Ducha Manual Higiênica, Plástica, Com Registro Metálico</v>
      </c>
      <c r="C1316" s="365"/>
      <c r="D1316" s="365"/>
      <c r="E1316" s="365"/>
      <c r="F1316" s="366"/>
      <c r="G1316" s="91" t="str">
        <f>VLOOKUP($A1316,SERVICOS,5,FALSE)</f>
        <v>und.</v>
      </c>
      <c r="H1316" s="92">
        <f>ROUND(SUM(H1318:H1319),2)</f>
        <v>2</v>
      </c>
    </row>
    <row r="1317" spans="1:8" ht="15" customHeight="1">
      <c r="A1317" s="94" t="s">
        <v>938</v>
      </c>
      <c r="B1317" s="94" t="s">
        <v>7319</v>
      </c>
      <c r="C1317" s="95"/>
      <c r="D1317" s="95"/>
      <c r="E1317" s="94"/>
      <c r="F1317" s="94"/>
      <c r="G1317" s="94"/>
      <c r="H1317" s="96"/>
    </row>
    <row r="1318" spans="1:8" ht="15" customHeight="1">
      <c r="A1318" s="97" t="s">
        <v>14337</v>
      </c>
      <c r="B1318" s="98">
        <v>1</v>
      </c>
      <c r="C1318" s="98"/>
      <c r="D1318" s="98"/>
      <c r="E1318" s="98"/>
      <c r="F1318" s="98"/>
      <c r="G1318" s="98"/>
      <c r="H1318" s="98">
        <f>B1318</f>
        <v>1</v>
      </c>
    </row>
    <row r="1319" spans="1:8" ht="15" customHeight="1">
      <c r="A1319" s="97" t="s">
        <v>14338</v>
      </c>
      <c r="B1319" s="98">
        <v>1</v>
      </c>
      <c r="C1319" s="98"/>
      <c r="D1319" s="98"/>
      <c r="E1319" s="98"/>
      <c r="F1319" s="98"/>
      <c r="G1319" s="98"/>
      <c r="H1319" s="98">
        <f>B1319</f>
        <v>1</v>
      </c>
    </row>
    <row r="1320" spans="1:8" s="93" customFormat="1" ht="30" customHeight="1">
      <c r="A1320" s="91" t="s">
        <v>14284</v>
      </c>
      <c r="B1320" s="364" t="str">
        <f>VLOOKUP($A1320,SERVICOS,4,FALSE)</f>
        <v>Cuba De Embutir Retangular De Aço Inoxidável, 56 X 33 X 12 Cm - Fornecimento E Instalação. Af_01/2020</v>
      </c>
      <c r="C1320" s="365"/>
      <c r="D1320" s="365"/>
      <c r="E1320" s="365"/>
      <c r="F1320" s="366"/>
      <c r="G1320" s="91" t="str">
        <f>VLOOKUP($A1320,SERVICOS,5,FALSE)</f>
        <v>un</v>
      </c>
      <c r="H1320" s="92">
        <f>ROUND(SUM(H1322:H1323),2)</f>
        <v>2</v>
      </c>
    </row>
    <row r="1321" spans="1:8" ht="15" customHeight="1">
      <c r="A1321" s="94" t="s">
        <v>938</v>
      </c>
      <c r="B1321" s="94" t="s">
        <v>7319</v>
      </c>
      <c r="C1321" s="95"/>
      <c r="D1321" s="95"/>
      <c r="E1321" s="94"/>
      <c r="F1321" s="94"/>
      <c r="G1321" s="94"/>
      <c r="H1321" s="96"/>
    </row>
    <row r="1322" spans="1:8" ht="15" customHeight="1">
      <c r="A1322" s="97" t="s">
        <v>14312</v>
      </c>
      <c r="B1322" s="98">
        <v>1</v>
      </c>
      <c r="C1322" s="98"/>
      <c r="D1322" s="98"/>
      <c r="E1322" s="98"/>
      <c r="F1322" s="98"/>
      <c r="G1322" s="98"/>
      <c r="H1322" s="98">
        <f>B1322</f>
        <v>1</v>
      </c>
    </row>
    <row r="1323" spans="1:8" ht="15" customHeight="1">
      <c r="A1323" s="97" t="s">
        <v>14398</v>
      </c>
      <c r="B1323" s="98">
        <v>1</v>
      </c>
      <c r="C1323" s="98"/>
      <c r="D1323" s="98"/>
      <c r="E1323" s="98"/>
      <c r="F1323" s="98"/>
      <c r="G1323" s="98"/>
      <c r="H1323" s="98">
        <f>B1323</f>
        <v>1</v>
      </c>
    </row>
    <row r="1324" spans="1:8" s="93" customFormat="1" ht="30" customHeight="1">
      <c r="A1324" s="91" t="s">
        <v>14285</v>
      </c>
      <c r="B1324" s="364" t="str">
        <f>VLOOKUP($A1324,SERVICOS,4,FALSE)</f>
        <v>Torneira Cromada Tubo Móvel, De Mesa, 1/2 Ou 3/4, Para Pia De Cozinha, Padrão Alto - Fornecimento E Instalação. Af_01/2020</v>
      </c>
      <c r="C1324" s="365"/>
      <c r="D1324" s="365"/>
      <c r="E1324" s="365"/>
      <c r="F1324" s="366"/>
      <c r="G1324" s="91" t="str">
        <f>VLOOKUP($A1324,SERVICOS,5,FALSE)</f>
        <v>un</v>
      </c>
      <c r="H1324" s="92">
        <f>ROUND(SUM(H1326:H1327),2)</f>
        <v>2</v>
      </c>
    </row>
    <row r="1325" spans="1:8" ht="15" customHeight="1">
      <c r="A1325" s="94" t="s">
        <v>938</v>
      </c>
      <c r="B1325" s="94" t="s">
        <v>7319</v>
      </c>
      <c r="C1325" s="95"/>
      <c r="D1325" s="95"/>
      <c r="E1325" s="94"/>
      <c r="F1325" s="94"/>
      <c r="G1325" s="94"/>
      <c r="H1325" s="96"/>
    </row>
    <row r="1326" spans="1:8" ht="15" customHeight="1">
      <c r="A1326" s="97" t="s">
        <v>14312</v>
      </c>
      <c r="B1326" s="98">
        <v>1</v>
      </c>
      <c r="C1326" s="98"/>
      <c r="D1326" s="98"/>
      <c r="E1326" s="98"/>
      <c r="F1326" s="98"/>
      <c r="G1326" s="98"/>
      <c r="H1326" s="98">
        <f>B1326</f>
        <v>1</v>
      </c>
    </row>
    <row r="1327" spans="1:8" ht="15" customHeight="1">
      <c r="A1327" s="97" t="s">
        <v>14398</v>
      </c>
      <c r="B1327" s="98">
        <v>1</v>
      </c>
      <c r="C1327" s="98"/>
      <c r="D1327" s="98"/>
      <c r="E1327" s="98"/>
      <c r="F1327" s="98"/>
      <c r="G1327" s="98"/>
      <c r="H1327" s="98">
        <f>B1327</f>
        <v>1</v>
      </c>
    </row>
    <row r="1328" spans="1:8" s="93" customFormat="1" ht="30" customHeight="1">
      <c r="A1328" s="91" t="s">
        <v>14286</v>
      </c>
      <c r="B1328" s="364" t="str">
        <f>VLOOKUP($A1328,SERVICOS,4,FALSE)</f>
        <v>Torneira Cromada 1/2 Ou 3/4 Para Tanque, Padrão Popular - Fornecimento E Instalação. Af_01/2020</v>
      </c>
      <c r="C1328" s="365"/>
      <c r="D1328" s="365"/>
      <c r="E1328" s="365"/>
      <c r="F1328" s="366"/>
      <c r="G1328" s="91" t="str">
        <f>VLOOKUP($A1328,SERVICOS,5,FALSE)</f>
        <v>un</v>
      </c>
      <c r="H1328" s="92">
        <f>ROUND(SUM(H1330:H1331),2)</f>
        <v>4</v>
      </c>
    </row>
    <row r="1329" spans="1:8" ht="15" customHeight="1">
      <c r="A1329" s="94" t="s">
        <v>938</v>
      </c>
      <c r="B1329" s="94" t="s">
        <v>7319</v>
      </c>
      <c r="C1329" s="95"/>
      <c r="D1329" s="95"/>
      <c r="E1329" s="94"/>
      <c r="F1329" s="94"/>
      <c r="G1329" s="94"/>
      <c r="H1329" s="96"/>
    </row>
    <row r="1330" spans="1:8" ht="15" customHeight="1">
      <c r="A1330" s="97" t="s">
        <v>14309</v>
      </c>
      <c r="B1330" s="98">
        <v>1</v>
      </c>
      <c r="C1330" s="98"/>
      <c r="D1330" s="98"/>
      <c r="E1330" s="98"/>
      <c r="F1330" s="98"/>
      <c r="G1330" s="98"/>
      <c r="H1330" s="98">
        <f>B1330</f>
        <v>1</v>
      </c>
    </row>
    <row r="1331" spans="1:8" ht="15" customHeight="1">
      <c r="A1331" s="97" t="s">
        <v>14896</v>
      </c>
      <c r="B1331" s="98">
        <v>3</v>
      </c>
      <c r="C1331" s="98"/>
      <c r="D1331" s="98"/>
      <c r="E1331" s="98"/>
      <c r="F1331" s="98"/>
      <c r="G1331" s="98"/>
      <c r="H1331" s="98">
        <f>B1331</f>
        <v>3</v>
      </c>
    </row>
    <row r="1332" spans="1:8" ht="30" customHeight="1">
      <c r="A1332" s="376" t="s">
        <v>14897</v>
      </c>
      <c r="B1332" s="377"/>
      <c r="C1332" s="377"/>
      <c r="D1332" s="377"/>
      <c r="E1332" s="377"/>
      <c r="F1332" s="377"/>
      <c r="G1332" s="377"/>
      <c r="H1332" s="378"/>
    </row>
    <row r="1333" spans="1:8" s="93" customFormat="1" ht="30" customHeight="1">
      <c r="A1333" s="91" t="s">
        <v>14287</v>
      </c>
      <c r="B1333" s="364" t="str">
        <f>VLOOKUP($A1333,SERVICOS,4,FALSE)</f>
        <v>Torneira Cromada De Mesa Para Lavatorio, Tipo Monocomando. Af_01/2020</v>
      </c>
      <c r="C1333" s="365"/>
      <c r="D1333" s="365"/>
      <c r="E1333" s="365"/>
      <c r="F1333" s="366"/>
      <c r="G1333" s="91" t="str">
        <f>VLOOKUP($A1333,SERVICOS,5,FALSE)</f>
        <v>un</v>
      </c>
      <c r="H1333" s="92">
        <f>ROUND(SUM(H1335:H1340),2)</f>
        <v>14</v>
      </c>
    </row>
    <row r="1334" spans="1:8" ht="15" customHeight="1">
      <c r="A1334" s="94" t="s">
        <v>938</v>
      </c>
      <c r="B1334" s="94" t="s">
        <v>7319</v>
      </c>
      <c r="C1334" s="95"/>
      <c r="D1334" s="95"/>
      <c r="E1334" s="94"/>
      <c r="F1334" s="94"/>
      <c r="G1334" s="94"/>
      <c r="H1334" s="96"/>
    </row>
    <row r="1335" spans="1:8" ht="15" customHeight="1">
      <c r="A1335" s="97" t="s">
        <v>14335</v>
      </c>
      <c r="B1335" s="98">
        <v>3</v>
      </c>
      <c r="C1335" s="98"/>
      <c r="D1335" s="98"/>
      <c r="E1335" s="98"/>
      <c r="F1335" s="98"/>
      <c r="G1335" s="98"/>
      <c r="H1335" s="98">
        <f t="shared" ref="H1335:H1340" si="385">B1335</f>
        <v>3</v>
      </c>
    </row>
    <row r="1336" spans="1:8" ht="15" customHeight="1">
      <c r="A1336" s="97" t="s">
        <v>14336</v>
      </c>
      <c r="B1336" s="98">
        <v>3</v>
      </c>
      <c r="C1336" s="98"/>
      <c r="D1336" s="98"/>
      <c r="E1336" s="98"/>
      <c r="F1336" s="98"/>
      <c r="G1336" s="98"/>
      <c r="H1336" s="98">
        <f t="shared" si="385"/>
        <v>3</v>
      </c>
    </row>
    <row r="1337" spans="1:8" ht="15" customHeight="1">
      <c r="A1337" s="97" t="s">
        <v>14310</v>
      </c>
      <c r="B1337" s="98">
        <v>3</v>
      </c>
      <c r="C1337" s="98"/>
      <c r="D1337" s="98"/>
      <c r="E1337" s="98"/>
      <c r="F1337" s="98"/>
      <c r="G1337" s="98"/>
      <c r="H1337" s="98">
        <f t="shared" si="385"/>
        <v>3</v>
      </c>
    </row>
    <row r="1338" spans="1:8" ht="15" customHeight="1">
      <c r="A1338" s="97" t="s">
        <v>14311</v>
      </c>
      <c r="B1338" s="98">
        <v>3</v>
      </c>
      <c r="C1338" s="98"/>
      <c r="D1338" s="98"/>
      <c r="E1338" s="98"/>
      <c r="F1338" s="98"/>
      <c r="G1338" s="98"/>
      <c r="H1338" s="98">
        <f t="shared" si="385"/>
        <v>3</v>
      </c>
    </row>
    <row r="1339" spans="1:8" ht="15" customHeight="1">
      <c r="A1339" s="97" t="s">
        <v>14337</v>
      </c>
      <c r="B1339" s="98">
        <v>1</v>
      </c>
      <c r="C1339" s="98"/>
      <c r="D1339" s="98"/>
      <c r="E1339" s="98"/>
      <c r="F1339" s="98"/>
      <c r="G1339" s="98"/>
      <c r="H1339" s="98">
        <f t="shared" si="385"/>
        <v>1</v>
      </c>
    </row>
    <row r="1340" spans="1:8" ht="15" customHeight="1">
      <c r="A1340" s="97" t="s">
        <v>14338</v>
      </c>
      <c r="B1340" s="98">
        <v>1</v>
      </c>
      <c r="C1340" s="98"/>
      <c r="D1340" s="98"/>
      <c r="E1340" s="98"/>
      <c r="F1340" s="98"/>
      <c r="G1340" s="98"/>
      <c r="H1340" s="98">
        <f t="shared" si="385"/>
        <v>1</v>
      </c>
    </row>
    <row r="1341" spans="1:8" s="93" customFormat="1" ht="30" customHeight="1">
      <c r="A1341" s="91" t="s">
        <v>14288</v>
      </c>
      <c r="B1341" s="364" t="str">
        <f>VLOOKUP($A1341,SERVICOS,4,FALSE)</f>
        <v>Saboneteira Plastica Tipo Dispenser Para Sabonete Liquido Com Reservatorio 800 A 1500 Ml, Incluso Fixação. Af_01/2020</v>
      </c>
      <c r="C1341" s="365"/>
      <c r="D1341" s="365"/>
      <c r="E1341" s="365"/>
      <c r="F1341" s="366"/>
      <c r="G1341" s="91" t="str">
        <f>VLOOKUP($A1341,SERVICOS,5,FALSE)</f>
        <v>un</v>
      </c>
      <c r="H1341" s="92">
        <f>ROUND(SUM(H1343:H1348),2)</f>
        <v>10</v>
      </c>
    </row>
    <row r="1342" spans="1:8" ht="15" customHeight="1">
      <c r="A1342" s="94" t="s">
        <v>938</v>
      </c>
      <c r="B1342" s="94" t="s">
        <v>7319</v>
      </c>
      <c r="C1342" s="95"/>
      <c r="D1342" s="95"/>
      <c r="E1342" s="94"/>
      <c r="F1342" s="94"/>
      <c r="G1342" s="94"/>
      <c r="H1342" s="96"/>
    </row>
    <row r="1343" spans="1:8" ht="15" customHeight="1">
      <c r="A1343" s="97" t="s">
        <v>14335</v>
      </c>
      <c r="B1343" s="98">
        <v>2</v>
      </c>
      <c r="C1343" s="98"/>
      <c r="D1343" s="98"/>
      <c r="E1343" s="98"/>
      <c r="F1343" s="98"/>
      <c r="G1343" s="98"/>
      <c r="H1343" s="98">
        <f t="shared" ref="H1343:H1348" si="386">B1343</f>
        <v>2</v>
      </c>
    </row>
    <row r="1344" spans="1:8" ht="15" customHeight="1">
      <c r="A1344" s="97" t="s">
        <v>14336</v>
      </c>
      <c r="B1344" s="98">
        <v>2</v>
      </c>
      <c r="C1344" s="98"/>
      <c r="D1344" s="98"/>
      <c r="E1344" s="98"/>
      <c r="F1344" s="98"/>
      <c r="G1344" s="98"/>
      <c r="H1344" s="98">
        <f t="shared" si="386"/>
        <v>2</v>
      </c>
    </row>
    <row r="1345" spans="1:8" ht="15" customHeight="1">
      <c r="A1345" s="97" t="s">
        <v>14310</v>
      </c>
      <c r="B1345" s="98">
        <v>2</v>
      </c>
      <c r="C1345" s="98"/>
      <c r="D1345" s="98"/>
      <c r="E1345" s="98"/>
      <c r="F1345" s="98"/>
      <c r="G1345" s="98"/>
      <c r="H1345" s="98">
        <f t="shared" si="386"/>
        <v>2</v>
      </c>
    </row>
    <row r="1346" spans="1:8" ht="15" customHeight="1">
      <c r="A1346" s="97" t="s">
        <v>14311</v>
      </c>
      <c r="B1346" s="98">
        <v>2</v>
      </c>
      <c r="C1346" s="98"/>
      <c r="D1346" s="98"/>
      <c r="E1346" s="98"/>
      <c r="F1346" s="98"/>
      <c r="G1346" s="98"/>
      <c r="H1346" s="98">
        <f t="shared" si="386"/>
        <v>2</v>
      </c>
    </row>
    <row r="1347" spans="1:8" ht="15" customHeight="1">
      <c r="A1347" s="97" t="s">
        <v>14337</v>
      </c>
      <c r="B1347" s="98">
        <v>1</v>
      </c>
      <c r="C1347" s="98"/>
      <c r="D1347" s="98"/>
      <c r="E1347" s="98"/>
      <c r="F1347" s="98"/>
      <c r="G1347" s="98"/>
      <c r="H1347" s="98">
        <f t="shared" si="386"/>
        <v>1</v>
      </c>
    </row>
    <row r="1348" spans="1:8" ht="15" customHeight="1">
      <c r="A1348" s="97" t="s">
        <v>14338</v>
      </c>
      <c r="B1348" s="98">
        <v>1</v>
      </c>
      <c r="C1348" s="98"/>
      <c r="D1348" s="98"/>
      <c r="E1348" s="98"/>
      <c r="F1348" s="98"/>
      <c r="G1348" s="98"/>
      <c r="H1348" s="98">
        <f t="shared" si="386"/>
        <v>1</v>
      </c>
    </row>
    <row r="1349" spans="1:8" s="93" customFormat="1" ht="30" customHeight="1">
      <c r="A1349" s="91" t="s">
        <v>14289</v>
      </c>
      <c r="B1349" s="364" t="str">
        <f>VLOOKUP($A1349,SERVICOS,4,FALSE)</f>
        <v>Toalheiro Plástico Tipo Dispenser Para Papel Toalha Interfolhado, Inclusive Fixação</v>
      </c>
      <c r="C1349" s="365"/>
      <c r="D1349" s="365"/>
      <c r="E1349" s="365"/>
      <c r="F1349" s="366"/>
      <c r="G1349" s="91" t="str">
        <f>VLOOKUP($A1349,SERVICOS,5,FALSE)</f>
        <v>und.</v>
      </c>
      <c r="H1349" s="92">
        <f>ROUND(SUM(H1351:H1356),2)</f>
        <v>10</v>
      </c>
    </row>
    <row r="1350" spans="1:8" ht="15" customHeight="1">
      <c r="A1350" s="94" t="s">
        <v>938</v>
      </c>
      <c r="B1350" s="94" t="s">
        <v>7319</v>
      </c>
      <c r="C1350" s="95"/>
      <c r="D1350" s="95"/>
      <c r="E1350" s="94"/>
      <c r="F1350" s="94"/>
      <c r="G1350" s="94"/>
      <c r="H1350" s="96"/>
    </row>
    <row r="1351" spans="1:8" ht="15" customHeight="1">
      <c r="A1351" s="97" t="s">
        <v>14335</v>
      </c>
      <c r="B1351" s="98">
        <v>2</v>
      </c>
      <c r="C1351" s="98"/>
      <c r="D1351" s="98"/>
      <c r="E1351" s="98"/>
      <c r="F1351" s="98"/>
      <c r="G1351" s="98"/>
      <c r="H1351" s="98">
        <f t="shared" ref="H1351:H1356" si="387">B1351</f>
        <v>2</v>
      </c>
    </row>
    <row r="1352" spans="1:8" ht="15" customHeight="1">
      <c r="A1352" s="97" t="s">
        <v>14336</v>
      </c>
      <c r="B1352" s="98">
        <v>2</v>
      </c>
      <c r="C1352" s="98"/>
      <c r="D1352" s="98"/>
      <c r="E1352" s="98"/>
      <c r="F1352" s="98"/>
      <c r="G1352" s="98"/>
      <c r="H1352" s="98">
        <f t="shared" si="387"/>
        <v>2</v>
      </c>
    </row>
    <row r="1353" spans="1:8" ht="15" customHeight="1">
      <c r="A1353" s="97" t="s">
        <v>14310</v>
      </c>
      <c r="B1353" s="98">
        <v>2</v>
      </c>
      <c r="C1353" s="98"/>
      <c r="D1353" s="98"/>
      <c r="E1353" s="98"/>
      <c r="F1353" s="98"/>
      <c r="G1353" s="98"/>
      <c r="H1353" s="98">
        <f t="shared" si="387"/>
        <v>2</v>
      </c>
    </row>
    <row r="1354" spans="1:8" ht="15" customHeight="1">
      <c r="A1354" s="97" t="s">
        <v>14311</v>
      </c>
      <c r="B1354" s="98">
        <v>2</v>
      </c>
      <c r="C1354" s="98"/>
      <c r="D1354" s="98"/>
      <c r="E1354" s="98"/>
      <c r="F1354" s="98"/>
      <c r="G1354" s="98"/>
      <c r="H1354" s="98">
        <f t="shared" si="387"/>
        <v>2</v>
      </c>
    </row>
    <row r="1355" spans="1:8" ht="15" customHeight="1">
      <c r="A1355" s="97" t="s">
        <v>14337</v>
      </c>
      <c r="B1355" s="98">
        <v>1</v>
      </c>
      <c r="C1355" s="98"/>
      <c r="D1355" s="98"/>
      <c r="E1355" s="98"/>
      <c r="F1355" s="98"/>
      <c r="G1355" s="98"/>
      <c r="H1355" s="98">
        <f t="shared" si="387"/>
        <v>1</v>
      </c>
    </row>
    <row r="1356" spans="1:8" ht="15" customHeight="1">
      <c r="A1356" s="97" t="s">
        <v>14338</v>
      </c>
      <c r="B1356" s="98">
        <v>1</v>
      </c>
      <c r="C1356" s="98"/>
      <c r="D1356" s="98"/>
      <c r="E1356" s="98"/>
      <c r="F1356" s="98"/>
      <c r="G1356" s="98"/>
      <c r="H1356" s="98">
        <f t="shared" si="387"/>
        <v>1</v>
      </c>
    </row>
    <row r="1357" spans="1:8" s="93" customFormat="1" ht="30" customHeight="1">
      <c r="A1357" s="91" t="s">
        <v>14290</v>
      </c>
      <c r="B1357" s="364" t="str">
        <f>VLOOKUP($A1357,SERVICOS,4,FALSE)</f>
        <v>Barra De Apoio Reta, Em Aco Inox Polido, Comprimento 80 Cm,  Fixada Na Parede - Fornecimento E Instalação. Af_01/2020</v>
      </c>
      <c r="C1357" s="365"/>
      <c r="D1357" s="365"/>
      <c r="E1357" s="365"/>
      <c r="F1357" s="366"/>
      <c r="G1357" s="91" t="str">
        <f>VLOOKUP($A1357,SERVICOS,5,FALSE)</f>
        <v>un</v>
      </c>
      <c r="H1357" s="92">
        <f>ROUND(SUM(H1359:H1359),2)</f>
        <v>3</v>
      </c>
    </row>
    <row r="1358" spans="1:8" ht="15" customHeight="1">
      <c r="A1358" s="94" t="s">
        <v>938</v>
      </c>
      <c r="B1358" s="94" t="s">
        <v>7319</v>
      </c>
      <c r="C1358" s="95"/>
      <c r="D1358" s="95"/>
      <c r="E1358" s="94"/>
      <c r="F1358" s="94"/>
      <c r="G1358" s="94"/>
      <c r="H1358" s="96"/>
    </row>
    <row r="1359" spans="1:8" ht="15" customHeight="1">
      <c r="A1359" s="97" t="s">
        <v>14337</v>
      </c>
      <c r="B1359" s="98">
        <v>3</v>
      </c>
      <c r="C1359" s="98"/>
      <c r="D1359" s="98"/>
      <c r="E1359" s="98"/>
      <c r="F1359" s="98"/>
      <c r="G1359" s="98"/>
      <c r="H1359" s="98">
        <f>B1359</f>
        <v>3</v>
      </c>
    </row>
    <row r="1360" spans="1:8" s="93" customFormat="1" ht="30" customHeight="1">
      <c r="A1360" s="91" t="s">
        <v>14291</v>
      </c>
      <c r="B1360" s="364" t="str">
        <f>VLOOKUP($A1360,SERVICOS,4,FALSE)</f>
        <v>Barra De Apoio Reta, Em Aco Inox Polido, Comprimento 60Cm, Fixada Na Parede - Fornecimento E Instalação. Af_01/2020</v>
      </c>
      <c r="C1360" s="365"/>
      <c r="D1360" s="365"/>
      <c r="E1360" s="365"/>
      <c r="F1360" s="366"/>
      <c r="G1360" s="91" t="str">
        <f>VLOOKUP($A1360,SERVICOS,5,FALSE)</f>
        <v>un</v>
      </c>
      <c r="H1360" s="92">
        <f>ROUND(SUM(H1362:H1362),2)</f>
        <v>2</v>
      </c>
    </row>
    <row r="1361" spans="1:8" ht="15" customHeight="1">
      <c r="A1361" s="94" t="s">
        <v>938</v>
      </c>
      <c r="B1361" s="94" t="s">
        <v>7319</v>
      </c>
      <c r="C1361" s="95"/>
      <c r="D1361" s="95"/>
      <c r="E1361" s="94"/>
      <c r="F1361" s="94"/>
      <c r="G1361" s="94"/>
      <c r="H1361" s="96"/>
    </row>
    <row r="1362" spans="1:8" ht="15" customHeight="1">
      <c r="A1362" s="97" t="s">
        <v>14898</v>
      </c>
      <c r="B1362" s="98">
        <v>2</v>
      </c>
      <c r="C1362" s="98"/>
      <c r="D1362" s="98"/>
      <c r="E1362" s="98"/>
      <c r="F1362" s="98"/>
      <c r="G1362" s="98"/>
      <c r="H1362" s="98">
        <f>B1362</f>
        <v>2</v>
      </c>
    </row>
    <row r="1363" spans="1:8" ht="15" customHeight="1">
      <c r="A1363" s="97" t="s">
        <v>14895</v>
      </c>
      <c r="B1363" s="98"/>
      <c r="C1363" s="98"/>
      <c r="D1363" s="98"/>
      <c r="E1363" s="98"/>
      <c r="F1363" s="98"/>
      <c r="G1363" s="98"/>
      <c r="H1363" s="98"/>
    </row>
    <row r="1364" spans="1:8" ht="15" customHeight="1">
      <c r="A1364" s="89" t="s">
        <v>12629</v>
      </c>
      <c r="B1364" s="367" t="str">
        <f>VLOOKUP($A1364,SERVICOS,4,FALSE)</f>
        <v>SISTEMA DE PROTEÇÃO CONTRA INCÊNDIO</v>
      </c>
      <c r="C1364" s="367"/>
      <c r="D1364" s="367"/>
      <c r="E1364" s="367"/>
      <c r="F1364" s="367"/>
      <c r="G1364" s="367">
        <f>VLOOKUP($A1364,SERVICOS,5,FALSE)</f>
        <v>0</v>
      </c>
      <c r="H1364" s="367" t="e">
        <f>ROUND(SUM(#REF!),2)</f>
        <v>#REF!</v>
      </c>
    </row>
    <row r="1365" spans="1:8" ht="15" customHeight="1">
      <c r="A1365" s="89" t="s">
        <v>12630</v>
      </c>
      <c r="B1365" s="367" t="str">
        <f>VLOOKUP($A1365,SERVICOS,4,FALSE)</f>
        <v>EXTINTOR</v>
      </c>
      <c r="C1365" s="367"/>
      <c r="D1365" s="367"/>
      <c r="E1365" s="367"/>
      <c r="F1365" s="367"/>
      <c r="G1365" s="367">
        <f>VLOOKUP($A1365,SERVICOS,5,FALSE)</f>
        <v>0</v>
      </c>
      <c r="H1365" s="367" t="e">
        <f>ROUND(SUM(#REF!),2)</f>
        <v>#REF!</v>
      </c>
    </row>
    <row r="1366" spans="1:8" s="93" customFormat="1" ht="30" customHeight="1">
      <c r="A1366" s="91" t="s">
        <v>14118</v>
      </c>
      <c r="B1366" s="364" t="str">
        <f>VLOOKUP($A1366,SERVICOS,4,FALSE)</f>
        <v>Extintor De Incêndio Portátil Com Carga De Pqs De 6 Kg, Classe Bc - Fornecimento E Instalação. Af_10/2020_Pe</v>
      </c>
      <c r="C1366" s="365"/>
      <c r="D1366" s="365"/>
      <c r="E1366" s="365"/>
      <c r="F1366" s="366"/>
      <c r="G1366" s="91" t="str">
        <f>VLOOKUP($A1366,SERVICOS,5,FALSE)</f>
        <v>un</v>
      </c>
      <c r="H1366" s="92">
        <f>ROUND(SUM(H1368:H1368),2)</f>
        <v>3</v>
      </c>
    </row>
    <row r="1367" spans="1:8" ht="15" customHeight="1">
      <c r="A1367" s="94" t="s">
        <v>938</v>
      </c>
      <c r="B1367" s="94" t="s">
        <v>7319</v>
      </c>
      <c r="C1367" s="95"/>
      <c r="D1367" s="95"/>
      <c r="E1367" s="94"/>
      <c r="F1367" s="94"/>
      <c r="G1367" s="94"/>
      <c r="H1367" s="96"/>
    </row>
    <row r="1368" spans="1:8" ht="15" customHeight="1">
      <c r="A1368" s="97" t="s">
        <v>13904</v>
      </c>
      <c r="B1368" s="98">
        <v>3</v>
      </c>
      <c r="C1368" s="98"/>
      <c r="D1368" s="98"/>
      <c r="E1368" s="98"/>
      <c r="F1368" s="98"/>
      <c r="G1368" s="98"/>
      <c r="H1368" s="98">
        <f>B1368</f>
        <v>3</v>
      </c>
    </row>
    <row r="1369" spans="1:8" ht="15" customHeight="1">
      <c r="A1369" s="89" t="s">
        <v>12631</v>
      </c>
      <c r="B1369" s="367" t="str">
        <f>VLOOKUP($A1369,SERVICOS,4,FALSE)</f>
        <v>FERRO MALEÁVEL CLASSE 10</v>
      </c>
      <c r="C1369" s="367"/>
      <c r="D1369" s="367"/>
      <c r="E1369" s="367"/>
      <c r="F1369" s="367"/>
      <c r="G1369" s="367">
        <f>VLOOKUP($A1369,SERVICOS,5,FALSE)</f>
        <v>0</v>
      </c>
      <c r="H1369" s="367" t="e">
        <f>ROUND(SUM(#REF!),2)</f>
        <v>#REF!</v>
      </c>
    </row>
    <row r="1370" spans="1:8" s="93" customFormat="1" ht="60" customHeight="1">
      <c r="A1370" s="91" t="s">
        <v>14120</v>
      </c>
      <c r="B1370" s="364" t="str">
        <f>VLOOKUP($A1370,SERVICOS,4,FALSE)</f>
        <v>Cotovelo 90 Graus, Em Ferro Galvanizado, Conexão Rosqueada, Dn 65 (2 1/2), Instalado Em Reservação De Água De Edificação Que Possua Reservatório De Fibra/Fibrocimento  Fornecimento E Instalação. Af_06/2016</v>
      </c>
      <c r="C1370" s="365"/>
      <c r="D1370" s="365"/>
      <c r="E1370" s="365"/>
      <c r="F1370" s="366"/>
      <c r="G1370" s="91" t="str">
        <f>VLOOKUP($A1370,SERVICOS,5,FALSE)</f>
        <v>un</v>
      </c>
      <c r="H1370" s="92">
        <f>ROUND(SUM(H1372:H1372),2)</f>
        <v>6</v>
      </c>
    </row>
    <row r="1371" spans="1:8" ht="15" customHeight="1">
      <c r="A1371" s="94" t="s">
        <v>938</v>
      </c>
      <c r="B1371" s="94" t="s">
        <v>7319</v>
      </c>
      <c r="C1371" s="95"/>
      <c r="D1371" s="95"/>
      <c r="E1371" s="94"/>
      <c r="F1371" s="94"/>
      <c r="G1371" s="94"/>
      <c r="H1371" s="96"/>
    </row>
    <row r="1372" spans="1:8" ht="15" customHeight="1">
      <c r="A1372" s="97" t="s">
        <v>13904</v>
      </c>
      <c r="B1372" s="98">
        <v>6</v>
      </c>
      <c r="C1372" s="98"/>
      <c r="D1372" s="98"/>
      <c r="E1372" s="98"/>
      <c r="F1372" s="98"/>
      <c r="G1372" s="98"/>
      <c r="H1372" s="98">
        <f>B1372</f>
        <v>6</v>
      </c>
    </row>
    <row r="1373" spans="1:8" s="93" customFormat="1" ht="45" customHeight="1">
      <c r="A1373" s="91" t="s">
        <v>14121</v>
      </c>
      <c r="B1373" s="364" t="str">
        <f>VLOOKUP($A1373,SERVICOS,4,FALSE)</f>
        <v>Curva 90 Graus, Em Aço, Conexão Soldada, Dn 65 (2 1/2"), Instalado Em Rede De Alimentação Para Hidrante - Fornecimento E Instalação. Af_10/2020</v>
      </c>
      <c r="C1373" s="365"/>
      <c r="D1373" s="365"/>
      <c r="E1373" s="365"/>
      <c r="F1373" s="366"/>
      <c r="G1373" s="91" t="str">
        <f>VLOOKUP($A1373,SERVICOS,5,FALSE)</f>
        <v>un</v>
      </c>
      <c r="H1373" s="92">
        <f>ROUND(SUM(H1375:H1375),2)</f>
        <v>1</v>
      </c>
    </row>
    <row r="1374" spans="1:8" ht="15" customHeight="1">
      <c r="A1374" s="94" t="s">
        <v>938</v>
      </c>
      <c r="B1374" s="94" t="s">
        <v>7319</v>
      </c>
      <c r="C1374" s="95"/>
      <c r="D1374" s="95"/>
      <c r="E1374" s="94"/>
      <c r="F1374" s="94"/>
      <c r="G1374" s="94"/>
      <c r="H1374" s="96"/>
    </row>
    <row r="1375" spans="1:8" ht="15" customHeight="1">
      <c r="A1375" s="97" t="s">
        <v>13904</v>
      </c>
      <c r="B1375" s="98">
        <v>1</v>
      </c>
      <c r="C1375" s="205" t="s">
        <v>14696</v>
      </c>
      <c r="D1375" s="98"/>
      <c r="E1375" s="98"/>
      <c r="F1375" s="98"/>
      <c r="G1375" s="98"/>
      <c r="H1375" s="98">
        <f>B1375</f>
        <v>1</v>
      </c>
    </row>
    <row r="1376" spans="1:8" s="93" customFormat="1" ht="45" customHeight="1">
      <c r="A1376" s="91" t="s">
        <v>14122</v>
      </c>
      <c r="B1376" s="364" t="str">
        <f>VLOOKUP($A1376,SERVICOS,4,FALSE)</f>
        <v>Niple, Em Ferro Galvanizado, Dn 65 (2 1/2"), Conexão Rosqueada, Instalado Em Rede De Alimentação Para Hidrante - Fornecimento E Instalação. Af_10/2020</v>
      </c>
      <c r="C1376" s="365"/>
      <c r="D1376" s="365"/>
      <c r="E1376" s="365"/>
      <c r="F1376" s="366"/>
      <c r="G1376" s="91" t="str">
        <f>VLOOKUP($A1376,SERVICOS,5,FALSE)</f>
        <v>un</v>
      </c>
      <c r="H1376" s="92">
        <f>ROUND(SUM(H1378:H1378),2)</f>
        <v>2</v>
      </c>
    </row>
    <row r="1377" spans="1:8" ht="15" customHeight="1">
      <c r="A1377" s="94" t="s">
        <v>938</v>
      </c>
      <c r="B1377" s="94" t="s">
        <v>7319</v>
      </c>
      <c r="C1377" s="95"/>
      <c r="D1377" s="95"/>
      <c r="E1377" s="94"/>
      <c r="F1377" s="94"/>
      <c r="G1377" s="94"/>
      <c r="H1377" s="96"/>
    </row>
    <row r="1378" spans="1:8" ht="15" customHeight="1">
      <c r="A1378" s="97" t="s">
        <v>13904</v>
      </c>
      <c r="B1378" s="98">
        <v>2</v>
      </c>
      <c r="C1378" s="98"/>
      <c r="D1378" s="98"/>
      <c r="E1378" s="98"/>
      <c r="F1378" s="98"/>
      <c r="G1378" s="98"/>
      <c r="H1378" s="98">
        <f>B1378</f>
        <v>2</v>
      </c>
    </row>
    <row r="1379" spans="1:8" s="93" customFormat="1" ht="45" customHeight="1">
      <c r="A1379" s="91" t="s">
        <v>14123</v>
      </c>
      <c r="B1379" s="364" t="str">
        <f>VLOOKUP($A1379,SERVICOS,4,FALSE)</f>
        <v>Tubo De Aço Galvanizado Com Costura, Classe Média, Dn 65 (2 1/2"), Conexão Rosqueada, Instalado Em Rede De Alimentação Para Hidrante - Fornecimento E Instalação. Af_10/2020</v>
      </c>
      <c r="C1379" s="365"/>
      <c r="D1379" s="365"/>
      <c r="E1379" s="365"/>
      <c r="F1379" s="366"/>
      <c r="G1379" s="91" t="str">
        <f>VLOOKUP($A1379,SERVICOS,5,FALSE)</f>
        <v>m</v>
      </c>
      <c r="H1379" s="92">
        <f>ROUND(SUM(H1381:H1381),2)</f>
        <v>6</v>
      </c>
    </row>
    <row r="1380" spans="1:8" ht="15" customHeight="1">
      <c r="A1380" s="94" t="s">
        <v>938</v>
      </c>
      <c r="B1380" s="94" t="s">
        <v>7319</v>
      </c>
      <c r="C1380" s="95"/>
      <c r="D1380" s="95"/>
      <c r="E1380" s="94"/>
      <c r="F1380" s="94"/>
      <c r="G1380" s="94"/>
      <c r="H1380" s="96"/>
    </row>
    <row r="1381" spans="1:8" ht="15" customHeight="1">
      <c r="A1381" s="97" t="s">
        <v>13904</v>
      </c>
      <c r="B1381" s="98">
        <v>6</v>
      </c>
      <c r="C1381" s="98"/>
      <c r="D1381" s="98"/>
      <c r="E1381" s="98"/>
      <c r="F1381" s="98"/>
      <c r="G1381" s="98"/>
      <c r="H1381" s="98">
        <f>B1381</f>
        <v>6</v>
      </c>
    </row>
    <row r="1382" spans="1:8" ht="15" customHeight="1">
      <c r="A1382" s="89" t="s">
        <v>14124</v>
      </c>
      <c r="B1382" s="367" t="str">
        <f>VLOOKUP($A1382,SERVICOS,4,FALSE)</f>
        <v>METAIS</v>
      </c>
      <c r="C1382" s="367"/>
      <c r="D1382" s="367"/>
      <c r="E1382" s="367"/>
      <c r="F1382" s="367"/>
      <c r="G1382" s="367">
        <f>VLOOKUP($A1382,SERVICOS,5,FALSE)</f>
        <v>0</v>
      </c>
      <c r="H1382" s="367" t="e">
        <f>ROUND(SUM(#REF!),2)</f>
        <v>#REF!</v>
      </c>
    </row>
    <row r="1383" spans="1:8" s="93" customFormat="1" ht="30" customHeight="1">
      <c r="A1383" s="91" t="s">
        <v>14125</v>
      </c>
      <c r="B1383" s="364" t="str">
        <f>VLOOKUP($A1383,SERVICOS,4,FALSE)</f>
        <v>Registro De Gaveta Bruto, Latão, Roscável, 2 1/2" - Fornecimento E Instalação. Af_08/2021</v>
      </c>
      <c r="C1383" s="365"/>
      <c r="D1383" s="365"/>
      <c r="E1383" s="365"/>
      <c r="F1383" s="366"/>
      <c r="G1383" s="91" t="str">
        <f>VLOOKUP($A1383,SERVICOS,5,FALSE)</f>
        <v>un</v>
      </c>
      <c r="H1383" s="92">
        <f>ROUND(SUM(H1385:H1385),2)</f>
        <v>1</v>
      </c>
    </row>
    <row r="1384" spans="1:8" ht="15" customHeight="1">
      <c r="A1384" s="94" t="s">
        <v>938</v>
      </c>
      <c r="B1384" s="94" t="s">
        <v>7319</v>
      </c>
      <c r="C1384" s="95"/>
      <c r="D1384" s="95"/>
      <c r="E1384" s="94"/>
      <c r="F1384" s="94"/>
      <c r="G1384" s="94"/>
      <c r="H1384" s="96"/>
    </row>
    <row r="1385" spans="1:8" ht="15" customHeight="1">
      <c r="A1385" s="97" t="s">
        <v>13904</v>
      </c>
      <c r="B1385" s="98">
        <v>1</v>
      </c>
      <c r="C1385" s="98"/>
      <c r="D1385" s="98"/>
      <c r="E1385" s="98"/>
      <c r="F1385" s="98"/>
      <c r="G1385" s="98"/>
      <c r="H1385" s="98">
        <f>B1385</f>
        <v>1</v>
      </c>
    </row>
    <row r="1386" spans="1:8" s="93" customFormat="1" ht="30" customHeight="1">
      <c r="A1386" s="91" t="s">
        <v>14126</v>
      </c>
      <c r="B1386" s="364" t="str">
        <f>VLOOKUP($A1386,SERVICOS,4,FALSE)</f>
        <v>Válvula De Retenção Horizontal, De Bronze, Roscável, 2 1/2" - Fornecimento E Instalação. Af_08/2021</v>
      </c>
      <c r="C1386" s="365"/>
      <c r="D1386" s="365"/>
      <c r="E1386" s="365"/>
      <c r="F1386" s="366"/>
      <c r="G1386" s="91" t="str">
        <f>VLOOKUP($A1386,SERVICOS,5,FALSE)</f>
        <v>un</v>
      </c>
      <c r="H1386" s="92">
        <f>ROUND(SUM(H1388:H1388),2)</f>
        <v>1</v>
      </c>
    </row>
    <row r="1387" spans="1:8" ht="15" customHeight="1">
      <c r="A1387" s="94" t="s">
        <v>938</v>
      </c>
      <c r="B1387" s="94" t="s">
        <v>7319</v>
      </c>
      <c r="C1387" s="95"/>
      <c r="D1387" s="95"/>
      <c r="E1387" s="94"/>
      <c r="F1387" s="94"/>
      <c r="G1387" s="94"/>
      <c r="H1387" s="96"/>
    </row>
    <row r="1388" spans="1:8" ht="15" customHeight="1">
      <c r="A1388" s="97" t="s">
        <v>13904</v>
      </c>
      <c r="B1388" s="98">
        <v>1</v>
      </c>
      <c r="C1388" s="98"/>
      <c r="D1388" s="98"/>
      <c r="E1388" s="98"/>
      <c r="F1388" s="98"/>
      <c r="G1388" s="98"/>
      <c r="H1388" s="98">
        <f>B1388</f>
        <v>1</v>
      </c>
    </row>
    <row r="1389" spans="1:8" ht="15" customHeight="1">
      <c r="A1389" s="89" t="s">
        <v>14131</v>
      </c>
      <c r="B1389" s="367" t="str">
        <f>VLOOKUP($A1389,SERVICOS,4,FALSE)</f>
        <v>HIDRANTES</v>
      </c>
      <c r="C1389" s="367"/>
      <c r="D1389" s="367"/>
      <c r="E1389" s="367"/>
      <c r="F1389" s="367"/>
      <c r="G1389" s="367">
        <f>VLOOKUP($A1389,SERVICOS,5,FALSE)</f>
        <v>0</v>
      </c>
      <c r="H1389" s="367" t="e">
        <f>ROUND(SUM(#REF!),2)</f>
        <v>#REF!</v>
      </c>
    </row>
    <row r="1390" spans="1:8" s="93" customFormat="1" ht="60" customHeight="1">
      <c r="A1390" s="91" t="s">
        <v>14132</v>
      </c>
      <c r="B1390" s="364" t="str">
        <f>VLOOKUP($A1390,SERVICOS,4,FALSE)</f>
        <v>Abrigo Para Hidrante, 90X60X17Cm, Com Registro Globo Angular 45 Graus 2 1/2", Adaptador Storz 2 1/2", Mangueira De Incêndio 20M, Redução 2 1/2" X 1 1/2" E Esguicho Em Latão 1 1/2" - Fornecimento E Instalação. Af_10/2020</v>
      </c>
      <c r="C1390" s="365"/>
      <c r="D1390" s="365"/>
      <c r="E1390" s="365"/>
      <c r="F1390" s="366"/>
      <c r="G1390" s="91" t="str">
        <f>VLOOKUP($A1390,SERVICOS,5,FALSE)</f>
        <v>un</v>
      </c>
      <c r="H1390" s="92">
        <f>ROUND(SUM(H1392:H1392),2)</f>
        <v>1</v>
      </c>
    </row>
    <row r="1391" spans="1:8" ht="15" customHeight="1">
      <c r="A1391" s="94" t="s">
        <v>938</v>
      </c>
      <c r="B1391" s="94" t="s">
        <v>7319</v>
      </c>
      <c r="C1391" s="95"/>
      <c r="D1391" s="95"/>
      <c r="E1391" s="94"/>
      <c r="F1391" s="94"/>
      <c r="G1391" s="94"/>
      <c r="H1391" s="96"/>
    </row>
    <row r="1392" spans="1:8" ht="15" customHeight="1">
      <c r="A1392" s="97" t="s">
        <v>13904</v>
      </c>
      <c r="B1392" s="98">
        <v>1</v>
      </c>
      <c r="C1392" s="98"/>
      <c r="D1392" s="98"/>
      <c r="E1392" s="98"/>
      <c r="F1392" s="98"/>
      <c r="G1392" s="98"/>
      <c r="H1392" s="98">
        <f>B1392</f>
        <v>1</v>
      </c>
    </row>
    <row r="1393" spans="1:8" s="93" customFormat="1" ht="60" customHeight="1">
      <c r="A1393" s="91" t="s">
        <v>14133</v>
      </c>
      <c r="B1393" s="364" t="str">
        <f>VLOOKUP($A1393,SERVICOS,4,FALSE)</f>
        <v>Abrigo Para Hidrante De Recalque No Passeio Em Caixa De Alvenaria 60X40Cm Em Bloco De Concreto Inclusive Registro De Recalque Ø 65 Mm (2 1/2") E Tampa De Ferro Fundido 40X40Cm Com Inscrição Incêndio</v>
      </c>
      <c r="C1393" s="365"/>
      <c r="D1393" s="365"/>
      <c r="E1393" s="365"/>
      <c r="F1393" s="366"/>
      <c r="G1393" s="91" t="str">
        <f>VLOOKUP($A1393,SERVICOS,5,FALSE)</f>
        <v>und</v>
      </c>
      <c r="H1393" s="92">
        <f>ROUND(SUM(H1395:H1395),2)</f>
        <v>1</v>
      </c>
    </row>
    <row r="1394" spans="1:8" ht="15" customHeight="1">
      <c r="A1394" s="94" t="s">
        <v>938</v>
      </c>
      <c r="B1394" s="94" t="s">
        <v>7319</v>
      </c>
      <c r="C1394" s="95"/>
      <c r="D1394" s="95"/>
      <c r="E1394" s="94"/>
      <c r="F1394" s="94"/>
      <c r="G1394" s="94"/>
      <c r="H1394" s="96"/>
    </row>
    <row r="1395" spans="1:8" ht="15" customHeight="1">
      <c r="A1395" s="97" t="s">
        <v>13904</v>
      </c>
      <c r="B1395" s="98">
        <v>1</v>
      </c>
      <c r="C1395" s="98"/>
      <c r="D1395" s="98"/>
      <c r="E1395" s="98"/>
      <c r="F1395" s="98"/>
      <c r="G1395" s="98"/>
      <c r="H1395" s="98">
        <f>B1395</f>
        <v>1</v>
      </c>
    </row>
    <row r="1396" spans="1:8" ht="15" customHeight="1">
      <c r="A1396" s="89" t="s">
        <v>14130</v>
      </c>
      <c r="B1396" s="367" t="str">
        <f>VLOOKUP($A1396,SERVICOS,4,FALSE)</f>
        <v>OUTROS</v>
      </c>
      <c r="C1396" s="367"/>
      <c r="D1396" s="367"/>
      <c r="E1396" s="367"/>
      <c r="F1396" s="367"/>
      <c r="G1396" s="367">
        <f>VLOOKUP($A1396,SERVICOS,5,FALSE)</f>
        <v>0</v>
      </c>
      <c r="H1396" s="367" t="e">
        <f>ROUND(SUM(#REF!),2)</f>
        <v>#REF!</v>
      </c>
    </row>
    <row r="1397" spans="1:8" s="93" customFormat="1" ht="30" customHeight="1">
      <c r="A1397" s="91" t="s">
        <v>14134</v>
      </c>
      <c r="B1397" s="364" t="str">
        <f>VLOOKUP($A1397,SERVICOS,4,FALSE)</f>
        <v>Placa De Sinalização De Segurança Codigo 14 - 315/158(Nbr 13.434); Código S3(Nt 14/2010-Es) ("Saida De Emergência" - Seta Vertical)</v>
      </c>
      <c r="C1397" s="365"/>
      <c r="D1397" s="365"/>
      <c r="E1397" s="365"/>
      <c r="F1397" s="366"/>
      <c r="G1397" s="91" t="str">
        <f>VLOOKUP($A1397,SERVICOS,5,FALSE)</f>
        <v>und</v>
      </c>
      <c r="H1397" s="92">
        <f>ROUND(SUM(H1399:H1399),2)</f>
        <v>22</v>
      </c>
    </row>
    <row r="1398" spans="1:8" ht="15" customHeight="1">
      <c r="A1398" s="94" t="s">
        <v>938</v>
      </c>
      <c r="B1398" s="94" t="s">
        <v>7319</v>
      </c>
      <c r="C1398" s="95"/>
      <c r="D1398" s="95"/>
      <c r="E1398" s="94"/>
      <c r="F1398" s="94"/>
      <c r="G1398" s="94"/>
      <c r="H1398" s="96"/>
    </row>
    <row r="1399" spans="1:8" ht="15" customHeight="1">
      <c r="A1399" s="97" t="s">
        <v>13904</v>
      </c>
      <c r="B1399" s="98">
        <v>22</v>
      </c>
      <c r="C1399" s="98"/>
      <c r="D1399" s="98"/>
      <c r="E1399" s="98"/>
      <c r="F1399" s="98"/>
      <c r="G1399" s="98"/>
      <c r="H1399" s="98">
        <f>B1399</f>
        <v>22</v>
      </c>
    </row>
    <row r="1400" spans="1:8" s="93" customFormat="1" ht="30" customHeight="1">
      <c r="A1400" s="91" t="s">
        <v>14135</v>
      </c>
      <c r="B1400" s="364" t="str">
        <f>VLOOKUP($A1400,SERVICOS,4,FALSE)</f>
        <v>Pintura De Símbolos E Textos Com Tinta Acrílica, Demarcação Com Fita Adesiva E Aplicação Com Rolo. Af_05/2021</v>
      </c>
      <c r="C1400" s="365"/>
      <c r="D1400" s="365"/>
      <c r="E1400" s="365"/>
      <c r="F1400" s="366"/>
      <c r="G1400" s="91" t="str">
        <f>VLOOKUP($A1400,SERVICOS,5,FALSE)</f>
        <v>m2</v>
      </c>
      <c r="H1400" s="92">
        <f>ROUND(SUM(H1402:H1402),2)</f>
        <v>3</v>
      </c>
    </row>
    <row r="1401" spans="1:8" ht="15" customHeight="1">
      <c r="A1401" s="94" t="s">
        <v>938</v>
      </c>
      <c r="B1401" s="94" t="s">
        <v>7319</v>
      </c>
      <c r="C1401" s="95" t="s">
        <v>7320</v>
      </c>
      <c r="D1401" s="95" t="s">
        <v>14191</v>
      </c>
      <c r="E1401" s="94"/>
      <c r="F1401" s="94"/>
      <c r="G1401" s="94"/>
      <c r="H1401" s="96"/>
    </row>
    <row r="1402" spans="1:8" ht="15" customHeight="1">
      <c r="A1402" s="97" t="s">
        <v>13904</v>
      </c>
      <c r="B1402" s="98">
        <v>3</v>
      </c>
      <c r="C1402" s="98">
        <v>1</v>
      </c>
      <c r="D1402" s="98">
        <v>1</v>
      </c>
      <c r="E1402" s="98"/>
      <c r="F1402" s="98"/>
      <c r="G1402" s="98"/>
      <c r="H1402" s="98">
        <f>B1402*C1402*D1402</f>
        <v>3</v>
      </c>
    </row>
    <row r="1403" spans="1:8" s="93" customFormat="1" ht="30" customHeight="1">
      <c r="A1403" s="91" t="s">
        <v>14136</v>
      </c>
      <c r="B1403" s="364" t="str">
        <f>VLOOKUP($A1403,SERVICOS,4,FALSE)</f>
        <v>Fornecimento E Instalação De Acionador Manual De Alarme De Incêndio Endereçavel, Tipo Quebra Vidro</v>
      </c>
      <c r="C1403" s="365"/>
      <c r="D1403" s="365"/>
      <c r="E1403" s="365"/>
      <c r="F1403" s="366"/>
      <c r="G1403" s="91" t="str">
        <f>VLOOKUP($A1403,SERVICOS,5,FALSE)</f>
        <v>und</v>
      </c>
      <c r="H1403" s="92">
        <f>ROUND(SUM(H1405:H1405),2)</f>
        <v>1</v>
      </c>
    </row>
    <row r="1404" spans="1:8" ht="15" customHeight="1">
      <c r="A1404" s="94" t="s">
        <v>938</v>
      </c>
      <c r="B1404" s="94" t="s">
        <v>7319</v>
      </c>
      <c r="C1404" s="95"/>
      <c r="D1404" s="95"/>
      <c r="E1404" s="94"/>
      <c r="F1404" s="94"/>
      <c r="G1404" s="94"/>
      <c r="H1404" s="96"/>
    </row>
    <row r="1405" spans="1:8" ht="15" customHeight="1">
      <c r="A1405" s="97" t="s">
        <v>13904</v>
      </c>
      <c r="B1405" s="98">
        <v>1</v>
      </c>
      <c r="C1405" s="98"/>
      <c r="D1405" s="98"/>
      <c r="E1405" s="98"/>
      <c r="F1405" s="98"/>
      <c r="G1405" s="98"/>
      <c r="H1405" s="98">
        <f>B1405</f>
        <v>1</v>
      </c>
    </row>
    <row r="1406" spans="1:8" s="93" customFormat="1" ht="30" customHeight="1">
      <c r="A1406" s="91" t="s">
        <v>14697</v>
      </c>
      <c r="B1406" s="364" t="str">
        <f>VLOOKUP($A1406,SERVICOS,4,FALSE)</f>
        <v>Fornecimento E Instalação De Acionador Manual De Alarme De Incêndio Endereçavel, Tipo Quebra Vidro</v>
      </c>
      <c r="C1406" s="365"/>
      <c r="D1406" s="365"/>
      <c r="E1406" s="365"/>
      <c r="F1406" s="366"/>
      <c r="G1406" s="91" t="str">
        <f>VLOOKUP($A1406,SERVICOS,5,FALSE)</f>
        <v>und</v>
      </c>
      <c r="H1406" s="92">
        <f>ROUND(SUM(H1408:H1408),2)</f>
        <v>1</v>
      </c>
    </row>
    <row r="1407" spans="1:8" ht="15" customHeight="1">
      <c r="A1407" s="94" t="s">
        <v>938</v>
      </c>
      <c r="B1407" s="94" t="s">
        <v>7319</v>
      </c>
      <c r="C1407" s="95"/>
      <c r="D1407" s="95"/>
      <c r="E1407" s="94"/>
      <c r="F1407" s="94"/>
      <c r="G1407" s="94"/>
      <c r="H1407" s="96"/>
    </row>
    <row r="1408" spans="1:8" ht="15" customHeight="1">
      <c r="A1408" s="97" t="s">
        <v>13904</v>
      </c>
      <c r="B1408" s="98">
        <v>1</v>
      </c>
      <c r="C1408" s="98"/>
      <c r="D1408" s="98"/>
      <c r="E1408" s="98"/>
      <c r="F1408" s="98"/>
      <c r="G1408" s="98"/>
      <c r="H1408" s="98">
        <f>B1408</f>
        <v>1</v>
      </c>
    </row>
    <row r="1409" spans="1:8" s="93" customFormat="1" ht="15" customHeight="1">
      <c r="A1409" s="91" t="s">
        <v>14698</v>
      </c>
      <c r="B1409" s="364" t="str">
        <f>VLOOKUP($A1409,SERVICOS,4,FALSE)</f>
        <v>Fornecimento E Instalação De Sirene Eletronica Média Tipo Corneta</v>
      </c>
      <c r="C1409" s="365"/>
      <c r="D1409" s="365"/>
      <c r="E1409" s="365"/>
      <c r="F1409" s="366"/>
      <c r="G1409" s="91" t="str">
        <f>VLOOKUP($A1409,SERVICOS,5,FALSE)</f>
        <v>und</v>
      </c>
      <c r="H1409" s="92">
        <f>ROUND(SUM(H1411:H1411),2)</f>
        <v>1</v>
      </c>
    </row>
    <row r="1410" spans="1:8" ht="15" customHeight="1">
      <c r="A1410" s="94" t="s">
        <v>938</v>
      </c>
      <c r="B1410" s="94" t="s">
        <v>7319</v>
      </c>
      <c r="C1410" s="95"/>
      <c r="D1410" s="95"/>
      <c r="E1410" s="94"/>
      <c r="F1410" s="94"/>
      <c r="G1410" s="94"/>
      <c r="H1410" s="96"/>
    </row>
    <row r="1411" spans="1:8" ht="15" customHeight="1">
      <c r="A1411" s="97" t="s">
        <v>13904</v>
      </c>
      <c r="B1411" s="98">
        <v>1</v>
      </c>
      <c r="C1411" s="98"/>
      <c r="D1411" s="98"/>
      <c r="E1411" s="98"/>
      <c r="F1411" s="98"/>
      <c r="G1411" s="98"/>
      <c r="H1411" s="98">
        <f>B1411</f>
        <v>1</v>
      </c>
    </row>
    <row r="1412" spans="1:8" ht="15" customHeight="1">
      <c r="A1412" s="89" t="s">
        <v>12632</v>
      </c>
      <c r="B1412" s="367" t="str">
        <f>VLOOKUP($A1412,SERVICOS,4,FALSE)</f>
        <v>INSTALAÇÃO ELÉTRICA - 220 V</v>
      </c>
      <c r="C1412" s="367"/>
      <c r="D1412" s="367"/>
      <c r="E1412" s="367"/>
      <c r="F1412" s="367"/>
      <c r="G1412" s="367">
        <f>VLOOKUP($A1412,SERVICOS,5,FALSE)</f>
        <v>0</v>
      </c>
      <c r="H1412" s="367" t="e">
        <f>ROUND(SUM(#REF!),2)</f>
        <v>#REF!</v>
      </c>
    </row>
    <row r="1413" spans="1:8" ht="15" customHeight="1">
      <c r="A1413" s="89" t="s">
        <v>13884</v>
      </c>
      <c r="B1413" s="367" t="str">
        <f>VLOOKUP($A1413,SERVICOS,4,FALSE)</f>
        <v>ENTRADA E DISTRIBUIÇÃO</v>
      </c>
      <c r="C1413" s="367"/>
      <c r="D1413" s="367"/>
      <c r="E1413" s="367"/>
      <c r="F1413" s="367"/>
      <c r="G1413" s="367">
        <f>VLOOKUP($A1413,SERVICOS,5,FALSE)</f>
        <v>0</v>
      </c>
      <c r="H1413" s="367" t="e">
        <f>ROUND(SUM(#REF!),2)</f>
        <v>#REF!</v>
      </c>
    </row>
    <row r="1414" spans="1:8" s="93" customFormat="1" ht="45" customHeight="1">
      <c r="A1414" s="91" t="s">
        <v>14139</v>
      </c>
      <c r="B1414" s="364" t="str">
        <f>VLOOKUP($A1414,SERVICOS,4,FALSE)</f>
        <v>Padrão De Entrada De Energia Elétrica, Trifásico, Entrada Subterrânea, A 4 Fios, Carga Instalada Em Muro De 41001 Até 57000W - 220/127V, Exclusive Derivação De Ramal De Entrada Subterrânea</v>
      </c>
      <c r="C1414" s="365"/>
      <c r="D1414" s="365"/>
      <c r="E1414" s="365"/>
      <c r="F1414" s="366"/>
      <c r="G1414" s="91" t="str">
        <f>VLOOKUP($A1414,SERVICOS,5,FALSE)</f>
        <v>und</v>
      </c>
      <c r="H1414" s="92">
        <f>ROUND(SUM(H1416:H1416),2)</f>
        <v>1</v>
      </c>
    </row>
    <row r="1415" spans="1:8" ht="15" customHeight="1">
      <c r="A1415" s="94" t="s">
        <v>938</v>
      </c>
      <c r="B1415" s="94" t="s">
        <v>7319</v>
      </c>
      <c r="C1415" s="95"/>
      <c r="D1415" s="95"/>
      <c r="E1415" s="94"/>
      <c r="F1415" s="94"/>
      <c r="G1415" s="94"/>
      <c r="H1415" s="96"/>
    </row>
    <row r="1416" spans="1:8" ht="15" customHeight="1">
      <c r="A1416" s="97" t="s">
        <v>13904</v>
      </c>
      <c r="B1416" s="98">
        <v>1</v>
      </c>
      <c r="C1416" s="98"/>
      <c r="D1416" s="98"/>
      <c r="E1416" s="98"/>
      <c r="F1416" s="98"/>
      <c r="G1416" s="98"/>
      <c r="H1416" s="98">
        <f>B1416</f>
        <v>1</v>
      </c>
    </row>
    <row r="1417" spans="1:8" s="93" customFormat="1" ht="30" customHeight="1">
      <c r="A1417" s="91" t="s">
        <v>14140</v>
      </c>
      <c r="B1417" s="364" t="str">
        <f>VLOOKUP($A1417,SERVICOS,4,FALSE)</f>
        <v>Caixa De Passagem 400X400X120Mm, Chapa 18, Com Tampa Parafusada</v>
      </c>
      <c r="C1417" s="365"/>
      <c r="D1417" s="365"/>
      <c r="E1417" s="365"/>
      <c r="F1417" s="366"/>
      <c r="G1417" s="91" t="str">
        <f>VLOOKUP($A1417,SERVICOS,5,FALSE)</f>
        <v>und</v>
      </c>
      <c r="H1417" s="92">
        <f>ROUND(SUM(H1419:H1419),2)</f>
        <v>3</v>
      </c>
    </row>
    <row r="1418" spans="1:8" ht="15" customHeight="1">
      <c r="A1418" s="94" t="s">
        <v>938</v>
      </c>
      <c r="B1418" s="94" t="s">
        <v>7319</v>
      </c>
      <c r="C1418" s="95"/>
      <c r="D1418" s="95"/>
      <c r="E1418" s="94"/>
      <c r="F1418" s="94"/>
      <c r="G1418" s="94"/>
      <c r="H1418" s="96"/>
    </row>
    <row r="1419" spans="1:8" ht="15" customHeight="1">
      <c r="A1419" s="97" t="s">
        <v>13904</v>
      </c>
      <c r="B1419" s="98">
        <v>3</v>
      </c>
      <c r="C1419" s="98"/>
      <c r="D1419" s="98"/>
      <c r="E1419" s="98"/>
      <c r="F1419" s="98"/>
      <c r="G1419" s="98"/>
      <c r="H1419" s="98">
        <f>B1419</f>
        <v>3</v>
      </c>
    </row>
    <row r="1420" spans="1:8" s="93" customFormat="1" ht="45" customHeight="1">
      <c r="A1420" s="91" t="s">
        <v>14141</v>
      </c>
      <c r="B1420" s="364" t="str">
        <f>VLOOKUP($A1420,SERVICOS,4,FALSE)</f>
        <v>Caixa De Passagem De Alvenaria De Blocos De Concreto 9X19X39Cm, Dimensões De 50X50X50Cm, Com Revestimento Interno Em Chapisco E Reboco, Tampa De Concreto Esp.5Cm E Lastro De Brita 5 Cm</v>
      </c>
      <c r="C1420" s="365"/>
      <c r="D1420" s="365"/>
      <c r="E1420" s="365"/>
      <c r="F1420" s="366"/>
      <c r="G1420" s="91" t="str">
        <f>VLOOKUP($A1420,SERVICOS,5,FALSE)</f>
        <v>und</v>
      </c>
      <c r="H1420" s="92">
        <f>ROUND(SUM(H1422:H1422),2)</f>
        <v>2</v>
      </c>
    </row>
    <row r="1421" spans="1:8" ht="15" customHeight="1">
      <c r="A1421" s="94" t="s">
        <v>938</v>
      </c>
      <c r="B1421" s="94" t="s">
        <v>7319</v>
      </c>
      <c r="C1421" s="95"/>
      <c r="D1421" s="95"/>
      <c r="E1421" s="94"/>
      <c r="F1421" s="94"/>
      <c r="G1421" s="94"/>
      <c r="H1421" s="96"/>
    </row>
    <row r="1422" spans="1:8" ht="15" customHeight="1">
      <c r="A1422" s="97" t="s">
        <v>13904</v>
      </c>
      <c r="B1422" s="98">
        <v>2</v>
      </c>
      <c r="C1422" s="205" t="s">
        <v>16572</v>
      </c>
      <c r="D1422" s="98"/>
      <c r="E1422" s="98"/>
      <c r="F1422" s="98"/>
      <c r="G1422" s="98"/>
      <c r="H1422" s="98">
        <f>B1422</f>
        <v>2</v>
      </c>
    </row>
    <row r="1423" spans="1:8" s="93" customFormat="1" ht="45" customHeight="1">
      <c r="A1423" s="91" t="s">
        <v>14142</v>
      </c>
      <c r="B1423" s="364" t="str">
        <f>VLOOKUP($A1423,SERVICOS,4,FALSE)</f>
        <v>Eletroduto Flexível Corrugado, Pead, Dn 63 (2"), Para Rede Enterrada De Distribuição De Energia Elétrica - Fornecimento E Instalação. Af_12/2021</v>
      </c>
      <c r="C1423" s="365"/>
      <c r="D1423" s="365"/>
      <c r="E1423" s="365"/>
      <c r="F1423" s="366"/>
      <c r="G1423" s="91" t="str">
        <f>VLOOKUP($A1423,SERVICOS,5,FALSE)</f>
        <v>m</v>
      </c>
      <c r="H1423" s="92">
        <f>ROUND(SUM(H1425:H1425),2)</f>
        <v>6</v>
      </c>
    </row>
    <row r="1424" spans="1:8" ht="15" customHeight="1">
      <c r="A1424" s="94" t="s">
        <v>938</v>
      </c>
      <c r="B1424" s="94" t="s">
        <v>7319</v>
      </c>
      <c r="C1424" s="95"/>
      <c r="D1424" s="95"/>
      <c r="E1424" s="94"/>
      <c r="F1424" s="94"/>
      <c r="G1424" s="94"/>
      <c r="H1424" s="96"/>
    </row>
    <row r="1425" spans="1:8" ht="15" customHeight="1">
      <c r="A1425" s="97" t="s">
        <v>13904</v>
      </c>
      <c r="B1425" s="98">
        <v>6</v>
      </c>
      <c r="C1425" s="98"/>
      <c r="D1425" s="98"/>
      <c r="E1425" s="98"/>
      <c r="F1425" s="98"/>
      <c r="G1425" s="98"/>
      <c r="H1425" s="98">
        <f>B1425</f>
        <v>6</v>
      </c>
    </row>
    <row r="1426" spans="1:8" s="93" customFormat="1" ht="45" customHeight="1">
      <c r="A1426" s="91" t="s">
        <v>14143</v>
      </c>
      <c r="B1426" s="364" t="str">
        <f>VLOOKUP($A1426,SERVICOS,4,FALSE)</f>
        <v>Envelopamento De Concreto Simples Com Consumo Mínimo De Cimento De 250Kg/M3, Inclusive Escavação Para Profundidade Mínima Do Eletroduto De 50 Cm, De 25 X 25 Cm, Para 1 Eletroduto</v>
      </c>
      <c r="C1426" s="365"/>
      <c r="D1426" s="365"/>
      <c r="E1426" s="365"/>
      <c r="F1426" s="366"/>
      <c r="G1426" s="91" t="str">
        <f>VLOOKUP($A1426,SERVICOS,5,FALSE)</f>
        <v>m</v>
      </c>
      <c r="H1426" s="92">
        <f>ROUND(SUM(H1428:H1428),2)</f>
        <v>6</v>
      </c>
    </row>
    <row r="1427" spans="1:8" ht="15" customHeight="1">
      <c r="A1427" s="94" t="s">
        <v>938</v>
      </c>
      <c r="B1427" s="94" t="s">
        <v>7319</v>
      </c>
      <c r="C1427" s="95"/>
      <c r="D1427" s="95"/>
      <c r="E1427" s="94"/>
      <c r="F1427" s="94"/>
      <c r="G1427" s="94"/>
      <c r="H1427" s="96"/>
    </row>
    <row r="1428" spans="1:8" ht="15" customHeight="1">
      <c r="A1428" s="97" t="s">
        <v>13904</v>
      </c>
      <c r="B1428" s="98">
        <v>6</v>
      </c>
      <c r="C1428" s="98"/>
      <c r="D1428" s="98"/>
      <c r="E1428" s="98"/>
      <c r="F1428" s="98"/>
      <c r="G1428" s="98"/>
      <c r="H1428" s="98">
        <f>B1428</f>
        <v>6</v>
      </c>
    </row>
    <row r="1429" spans="1:8" s="93" customFormat="1" ht="60" customHeight="1">
      <c r="A1429" s="91" t="s">
        <v>14782</v>
      </c>
      <c r="B1429" s="364" t="str">
        <f>VLOOKUP($A1429,SERVICOS,4,FALSE)</f>
        <v>Quadro Distrib. Energia, Embutido Ou Semi Embutido, Capac. P/ 54 Disj. Din, C/Barram Trif. 100A Barra. Neutro E Terra, Fab. Em Chapa De Aço 12 Usg Com Porta, Espelho, Trinco Com Fechad Ch Yale, Ref. Qdtn Ii-54Din-Cemar</v>
      </c>
      <c r="C1429" s="365"/>
      <c r="D1429" s="365"/>
      <c r="E1429" s="365"/>
      <c r="F1429" s="366"/>
      <c r="G1429" s="91" t="str">
        <f>VLOOKUP($A1429,SERVICOS,5,FALSE)</f>
        <v>und</v>
      </c>
      <c r="H1429" s="92">
        <f>ROUND(SUM(H1431:H1431),2)</f>
        <v>1</v>
      </c>
    </row>
    <row r="1430" spans="1:8" ht="15" customHeight="1">
      <c r="A1430" s="94" t="s">
        <v>938</v>
      </c>
      <c r="B1430" s="94" t="s">
        <v>7319</v>
      </c>
      <c r="C1430" s="95"/>
      <c r="D1430" s="95"/>
      <c r="E1430" s="94"/>
      <c r="F1430" s="94"/>
      <c r="G1430" s="94"/>
      <c r="H1430" s="96"/>
    </row>
    <row r="1431" spans="1:8" ht="15" customHeight="1">
      <c r="A1431" s="97" t="s">
        <v>13904</v>
      </c>
      <c r="B1431" s="98">
        <v>1</v>
      </c>
      <c r="C1431" s="98"/>
      <c r="D1431" s="98"/>
      <c r="E1431" s="98"/>
      <c r="F1431" s="98"/>
      <c r="G1431" s="98"/>
      <c r="H1431" s="98">
        <f>B1431</f>
        <v>1</v>
      </c>
    </row>
    <row r="1432" spans="1:8" ht="15" customHeight="1">
      <c r="A1432" s="89" t="s">
        <v>13885</v>
      </c>
      <c r="B1432" s="367" t="str">
        <f>VLOOKUP($A1432,SERVICOS,4,FALSE)</f>
        <v>DISJUNTORES</v>
      </c>
      <c r="C1432" s="367"/>
      <c r="D1432" s="367"/>
      <c r="E1432" s="367"/>
      <c r="F1432" s="367"/>
      <c r="G1432" s="367">
        <f>VLOOKUP($A1432,SERVICOS,5,FALSE)</f>
        <v>0</v>
      </c>
      <c r="H1432" s="367" t="e">
        <f>ROUND(SUM(#REF!),2)</f>
        <v>#REF!</v>
      </c>
    </row>
    <row r="1433" spans="1:8" s="93" customFormat="1" ht="30" customHeight="1">
      <c r="A1433" s="91" t="s">
        <v>14144</v>
      </c>
      <c r="B1433" s="364" t="str">
        <f>VLOOKUP($A1433,SERVICOS,4,FALSE)</f>
        <v>Disjuntor Monopolar Tipo Din, Corrente Nominal De 10A - Fornecimento E Instalação. Af_10/2020</v>
      </c>
      <c r="C1433" s="365"/>
      <c r="D1433" s="365"/>
      <c r="E1433" s="365"/>
      <c r="F1433" s="366"/>
      <c r="G1433" s="91" t="str">
        <f>VLOOKUP($A1433,SERVICOS,5,FALSE)</f>
        <v>un</v>
      </c>
      <c r="H1433" s="92">
        <f>ROUND(SUM(H1435:H1435),2)</f>
        <v>9</v>
      </c>
    </row>
    <row r="1434" spans="1:8" ht="15" customHeight="1">
      <c r="A1434" s="94" t="s">
        <v>938</v>
      </c>
      <c r="B1434" s="94" t="s">
        <v>7319</v>
      </c>
      <c r="C1434" s="95"/>
      <c r="D1434" s="95"/>
      <c r="E1434" s="94"/>
      <c r="F1434" s="94"/>
      <c r="G1434" s="94"/>
      <c r="H1434" s="96"/>
    </row>
    <row r="1435" spans="1:8" ht="15" customHeight="1">
      <c r="A1435" s="97" t="s">
        <v>13904</v>
      </c>
      <c r="B1435" s="98">
        <v>9</v>
      </c>
      <c r="C1435" s="98"/>
      <c r="D1435" s="98"/>
      <c r="E1435" s="98"/>
      <c r="F1435" s="98"/>
      <c r="G1435" s="98"/>
      <c r="H1435" s="98">
        <f>B1435</f>
        <v>9</v>
      </c>
    </row>
    <row r="1436" spans="1:8" s="93" customFormat="1" ht="30" customHeight="1">
      <c r="A1436" s="91" t="s">
        <v>14145</v>
      </c>
      <c r="B1436" s="364" t="str">
        <f>VLOOKUP($A1436,SERVICOS,4,FALSE)</f>
        <v>Disjuntor Monopolar Tipo Din, Corrente Nominal De 16A - Fornecimento E Instalação. Af_10/2020</v>
      </c>
      <c r="C1436" s="365"/>
      <c r="D1436" s="365"/>
      <c r="E1436" s="365"/>
      <c r="F1436" s="366"/>
      <c r="G1436" s="91" t="str">
        <f>VLOOKUP($A1436,SERVICOS,5,FALSE)</f>
        <v>un</v>
      </c>
      <c r="H1436" s="92">
        <f>ROUND(SUM(H1438:H1438),2)</f>
        <v>6</v>
      </c>
    </row>
    <row r="1437" spans="1:8" ht="15" customHeight="1">
      <c r="A1437" s="94" t="s">
        <v>938</v>
      </c>
      <c r="B1437" s="94" t="s">
        <v>7319</v>
      </c>
      <c r="C1437" s="95"/>
      <c r="D1437" s="95"/>
      <c r="E1437" s="94"/>
      <c r="F1437" s="94"/>
      <c r="G1437" s="94"/>
      <c r="H1437" s="96"/>
    </row>
    <row r="1438" spans="1:8" ht="15" customHeight="1">
      <c r="A1438" s="97" t="s">
        <v>13904</v>
      </c>
      <c r="B1438" s="98">
        <v>6</v>
      </c>
      <c r="C1438" s="98"/>
      <c r="D1438" s="98"/>
      <c r="E1438" s="98"/>
      <c r="F1438" s="98"/>
      <c r="G1438" s="98"/>
      <c r="H1438" s="98">
        <f>B1438</f>
        <v>6</v>
      </c>
    </row>
    <row r="1439" spans="1:8" s="93" customFormat="1" ht="30" customHeight="1">
      <c r="A1439" s="91" t="s">
        <v>14146</v>
      </c>
      <c r="B1439" s="364" t="str">
        <f>VLOOKUP($A1439,SERVICOS,4,FALSE)</f>
        <v>Disjuntor Monopolar Tipo Din, Corrente Nominal De 20A - Fornecimento E Instalação. Af_10/2020</v>
      </c>
      <c r="C1439" s="365"/>
      <c r="D1439" s="365"/>
      <c r="E1439" s="365"/>
      <c r="F1439" s="366"/>
      <c r="G1439" s="91" t="str">
        <f>VLOOKUP($A1439,SERVICOS,5,FALSE)</f>
        <v>un</v>
      </c>
      <c r="H1439" s="92">
        <f>ROUND(SUM(H1441:H1441),2)</f>
        <v>1</v>
      </c>
    </row>
    <row r="1440" spans="1:8" ht="15" customHeight="1">
      <c r="A1440" s="94" t="s">
        <v>938</v>
      </c>
      <c r="B1440" s="94" t="s">
        <v>7319</v>
      </c>
      <c r="C1440" s="95"/>
      <c r="D1440" s="95"/>
      <c r="E1440" s="94"/>
      <c r="F1440" s="94"/>
      <c r="G1440" s="94"/>
      <c r="H1440" s="96"/>
    </row>
    <row r="1441" spans="1:8" ht="15" customHeight="1">
      <c r="A1441" s="97" t="s">
        <v>13904</v>
      </c>
      <c r="B1441" s="98">
        <v>1</v>
      </c>
      <c r="C1441" s="98"/>
      <c r="D1441" s="98"/>
      <c r="E1441" s="98"/>
      <c r="F1441" s="98"/>
      <c r="G1441" s="98"/>
      <c r="H1441" s="98">
        <f>B1441</f>
        <v>1</v>
      </c>
    </row>
    <row r="1442" spans="1:8" s="93" customFormat="1" ht="30" customHeight="1">
      <c r="A1442" s="91" t="s">
        <v>14147</v>
      </c>
      <c r="B1442" s="364" t="str">
        <f>VLOOKUP($A1442,SERVICOS,4,FALSE)</f>
        <v>Disjuntor Monopolar Tipo Din, Corrente Nominal De 50A - Fornecimento E Instalação. Af_10/2020</v>
      </c>
      <c r="C1442" s="365"/>
      <c r="D1442" s="365"/>
      <c r="E1442" s="365"/>
      <c r="F1442" s="366"/>
      <c r="G1442" s="91" t="str">
        <f>VLOOKUP($A1442,SERVICOS,5,FALSE)</f>
        <v>un</v>
      </c>
      <c r="H1442" s="92">
        <f>ROUND(SUM(H1444:H1444),2)</f>
        <v>1</v>
      </c>
    </row>
    <row r="1443" spans="1:8" ht="15" customHeight="1">
      <c r="A1443" s="94" t="s">
        <v>938</v>
      </c>
      <c r="B1443" s="94" t="s">
        <v>7319</v>
      </c>
      <c r="C1443" s="95"/>
      <c r="D1443" s="95"/>
      <c r="E1443" s="94"/>
      <c r="F1443" s="94"/>
      <c r="G1443" s="94"/>
      <c r="H1443" s="96"/>
    </row>
    <row r="1444" spans="1:8" ht="15" customHeight="1">
      <c r="A1444" s="97" t="s">
        <v>13904</v>
      </c>
      <c r="B1444" s="98">
        <v>1</v>
      </c>
      <c r="C1444" s="98"/>
      <c r="D1444" s="98"/>
      <c r="E1444" s="98"/>
      <c r="F1444" s="98"/>
      <c r="G1444" s="98"/>
      <c r="H1444" s="98">
        <f>B1444</f>
        <v>1</v>
      </c>
    </row>
    <row r="1445" spans="1:8" s="93" customFormat="1" ht="30" customHeight="1">
      <c r="A1445" s="91" t="s">
        <v>14148</v>
      </c>
      <c r="B1445" s="364" t="str">
        <f>VLOOKUP($A1445,SERVICOS,4,FALSE)</f>
        <v>Mini-Disjuntor Tripolar 63 A, Curva C - 5Ka 220/127Vca (Nbr Iec 60947-2), Ref. Siemens, Ge, Schneider Ou Equivalente</v>
      </c>
      <c r="C1445" s="365"/>
      <c r="D1445" s="365"/>
      <c r="E1445" s="365"/>
      <c r="F1445" s="366"/>
      <c r="G1445" s="91" t="str">
        <f>VLOOKUP($A1445,SERVICOS,5,FALSE)</f>
        <v>und</v>
      </c>
      <c r="H1445" s="92">
        <f>ROUND(SUM(H1447:H1447),2)</f>
        <v>1</v>
      </c>
    </row>
    <row r="1446" spans="1:8" ht="15" customHeight="1">
      <c r="A1446" s="94" t="s">
        <v>938</v>
      </c>
      <c r="B1446" s="94" t="s">
        <v>7319</v>
      </c>
      <c r="C1446" s="95"/>
      <c r="D1446" s="95"/>
      <c r="E1446" s="94"/>
      <c r="F1446" s="94"/>
      <c r="G1446" s="94"/>
      <c r="H1446" s="96"/>
    </row>
    <row r="1447" spans="1:8" ht="15" customHeight="1">
      <c r="A1447" s="97" t="s">
        <v>13904</v>
      </c>
      <c r="B1447" s="98">
        <v>1</v>
      </c>
      <c r="C1447" s="98"/>
      <c r="D1447" s="98"/>
      <c r="E1447" s="98"/>
      <c r="F1447" s="98"/>
      <c r="G1447" s="98"/>
      <c r="H1447" s="98">
        <f>B1447</f>
        <v>1</v>
      </c>
    </row>
    <row r="1448" spans="1:8" s="93" customFormat="1" ht="15" customHeight="1">
      <c r="A1448" s="91" t="s">
        <v>14149</v>
      </c>
      <c r="B1448" s="364" t="str">
        <f>VLOOKUP($A1448,SERVICOS,4,FALSE)</f>
        <v>Interruptor Diferencial Dr 40A, 30Ma, 2 Modulos</v>
      </c>
      <c r="C1448" s="365"/>
      <c r="D1448" s="365"/>
      <c r="E1448" s="365"/>
      <c r="F1448" s="366"/>
      <c r="G1448" s="91" t="str">
        <f>VLOOKUP($A1448,SERVICOS,5,FALSE)</f>
        <v>und</v>
      </c>
      <c r="H1448" s="92">
        <f>ROUND(SUM(H1450:H1450),2)</f>
        <v>6</v>
      </c>
    </row>
    <row r="1449" spans="1:8" ht="15" customHeight="1">
      <c r="A1449" s="94" t="s">
        <v>938</v>
      </c>
      <c r="B1449" s="94" t="s">
        <v>7319</v>
      </c>
      <c r="C1449" s="95"/>
      <c r="D1449" s="95"/>
      <c r="E1449" s="94"/>
      <c r="F1449" s="94"/>
      <c r="G1449" s="94"/>
      <c r="H1449" s="96"/>
    </row>
    <row r="1450" spans="1:8" ht="15" customHeight="1">
      <c r="A1450" s="97" t="s">
        <v>13904</v>
      </c>
      <c r="B1450" s="98">
        <v>6</v>
      </c>
      <c r="C1450" s="98"/>
      <c r="D1450" s="98"/>
      <c r="E1450" s="98"/>
      <c r="F1450" s="98"/>
      <c r="G1450" s="98"/>
      <c r="H1450" s="98">
        <f>B1450</f>
        <v>6</v>
      </c>
    </row>
    <row r="1451" spans="1:8" s="93" customFormat="1" ht="30" customHeight="1">
      <c r="A1451" s="91" t="s">
        <v>14150</v>
      </c>
      <c r="B1451" s="364" t="str">
        <f>VLOOKUP($A1451,SERVICOS,4,FALSE)</f>
        <v>Dispositivo De Proteção Contra Surto (Dps) Bipolar, Tensão Nominal Máxima 275Vca, Corente De Surto Máxima 40Ka.</v>
      </c>
      <c r="C1451" s="365"/>
      <c r="D1451" s="365"/>
      <c r="E1451" s="365"/>
      <c r="F1451" s="366"/>
      <c r="G1451" s="91" t="str">
        <f>VLOOKUP($A1451,SERVICOS,5,FALSE)</f>
        <v>und</v>
      </c>
      <c r="H1451" s="92">
        <f>ROUND(SUM(H1453:H1453),2)</f>
        <v>4</v>
      </c>
    </row>
    <row r="1452" spans="1:8" ht="15" customHeight="1">
      <c r="A1452" s="94" t="s">
        <v>938</v>
      </c>
      <c r="B1452" s="94" t="s">
        <v>7319</v>
      </c>
      <c r="C1452" s="95"/>
      <c r="D1452" s="95"/>
      <c r="E1452" s="94"/>
      <c r="F1452" s="94"/>
      <c r="G1452" s="94"/>
      <c r="H1452" s="96"/>
    </row>
    <row r="1453" spans="1:8" ht="15" customHeight="1">
      <c r="A1453" s="97" t="s">
        <v>13904</v>
      </c>
      <c r="B1453" s="98">
        <v>4</v>
      </c>
      <c r="C1453" s="98"/>
      <c r="D1453" s="98"/>
      <c r="E1453" s="98"/>
      <c r="F1453" s="98"/>
      <c r="G1453" s="98"/>
      <c r="H1453" s="98">
        <f>B1453</f>
        <v>4</v>
      </c>
    </row>
    <row r="1454" spans="1:8" s="93" customFormat="1" ht="30" customHeight="1">
      <c r="A1454" s="91" t="s">
        <v>14151</v>
      </c>
      <c r="B1454" s="364" t="str">
        <f>VLOOKUP($A1454,SERVICOS,4,FALSE)</f>
        <v>Mini-Disjuntor Tripolar 125 A, Curva C - 15Ka 240Vca (Nbr Iec 60947-2), Ref. Siemens, Ge, Schneider Ou Equivalente</v>
      </c>
      <c r="C1454" s="365"/>
      <c r="D1454" s="365"/>
      <c r="E1454" s="365"/>
      <c r="F1454" s="366"/>
      <c r="G1454" s="91" t="str">
        <f>VLOOKUP($A1454,SERVICOS,5,FALSE)</f>
        <v>und</v>
      </c>
      <c r="H1454" s="92">
        <f>ROUND(SUM(H1456:H1456),2)</f>
        <v>1</v>
      </c>
    </row>
    <row r="1455" spans="1:8" ht="15" customHeight="1">
      <c r="A1455" s="94" t="s">
        <v>938</v>
      </c>
      <c r="B1455" s="94" t="s">
        <v>7319</v>
      </c>
      <c r="C1455" s="95"/>
      <c r="D1455" s="95"/>
      <c r="E1455" s="94"/>
      <c r="F1455" s="94"/>
      <c r="G1455" s="94"/>
      <c r="H1455" s="96"/>
    </row>
    <row r="1456" spans="1:8" ht="15" customHeight="1">
      <c r="A1456" s="97" t="s">
        <v>13904</v>
      </c>
      <c r="B1456" s="98">
        <v>1</v>
      </c>
      <c r="C1456" s="98"/>
      <c r="D1456" s="98"/>
      <c r="E1456" s="98"/>
      <c r="F1456" s="98"/>
      <c r="G1456" s="98"/>
      <c r="H1456" s="98">
        <f>B1456</f>
        <v>1</v>
      </c>
    </row>
    <row r="1457" spans="1:8" ht="15" customHeight="1">
      <c r="A1457" s="89" t="s">
        <v>14159</v>
      </c>
      <c r="B1457" s="367" t="str">
        <f>VLOOKUP($A1457,SERVICOS,4,FALSE)</f>
        <v>ELETRODUTOS E ACESSÓRIOS</v>
      </c>
      <c r="C1457" s="367"/>
      <c r="D1457" s="367"/>
      <c r="E1457" s="367"/>
      <c r="F1457" s="367"/>
      <c r="G1457" s="367">
        <f>VLOOKUP($A1457,SERVICOS,5,FALSE)</f>
        <v>0</v>
      </c>
      <c r="H1457" s="367" t="e">
        <f>ROUND(SUM(#REF!),2)</f>
        <v>#REF!</v>
      </c>
    </row>
    <row r="1458" spans="1:8" s="93" customFormat="1" ht="30" customHeight="1">
      <c r="A1458" s="91" t="s">
        <v>14161</v>
      </c>
      <c r="B1458" s="364" t="str">
        <f>VLOOKUP($A1458,SERVICOS,4,FALSE)</f>
        <v>Eletrocalha Perfurada Em Chapa De Aço Galvanizado Nº16, 300X100Mm, Sem Tampa</v>
      </c>
      <c r="C1458" s="365"/>
      <c r="D1458" s="365"/>
      <c r="E1458" s="365"/>
      <c r="F1458" s="366"/>
      <c r="G1458" s="91" t="str">
        <f>VLOOKUP($A1458,SERVICOS,5,FALSE)</f>
        <v>m</v>
      </c>
      <c r="H1458" s="92">
        <f>ROUND(SUM(H1460:H1460),2)</f>
        <v>87</v>
      </c>
    </row>
    <row r="1459" spans="1:8" ht="15" customHeight="1">
      <c r="A1459" s="94" t="s">
        <v>938</v>
      </c>
      <c r="B1459" s="94" t="s">
        <v>7320</v>
      </c>
      <c r="C1459" s="95"/>
      <c r="D1459" s="95"/>
      <c r="E1459" s="94"/>
      <c r="F1459" s="94"/>
      <c r="G1459" s="94"/>
      <c r="H1459" s="96"/>
    </row>
    <row r="1460" spans="1:8" ht="15" customHeight="1">
      <c r="A1460" s="97" t="s">
        <v>13904</v>
      </c>
      <c r="B1460" s="98">
        <v>87</v>
      </c>
      <c r="C1460" s="98"/>
      <c r="D1460" s="98"/>
      <c r="E1460" s="98"/>
      <c r="F1460" s="98"/>
      <c r="G1460" s="98"/>
      <c r="H1460" s="98">
        <f>B1460</f>
        <v>87</v>
      </c>
    </row>
    <row r="1461" spans="1:8" s="93" customFormat="1" ht="30" customHeight="1">
      <c r="A1461" s="91" t="s">
        <v>14162</v>
      </c>
      <c r="B1461" s="364" t="str">
        <f>VLOOKUP($A1461,SERVICOS,4,FALSE)</f>
        <v>Tampa De Encaixe Para Eletrocalha Em Chapa De Aço Galvanizada 18, Dim. 300Mm</v>
      </c>
      <c r="C1461" s="365"/>
      <c r="D1461" s="365"/>
      <c r="E1461" s="365"/>
      <c r="F1461" s="366"/>
      <c r="G1461" s="91" t="str">
        <f>VLOOKUP($A1461,SERVICOS,5,FALSE)</f>
        <v>und</v>
      </c>
      <c r="H1461" s="92">
        <f>ROUND(SUM(H1463:H1463),2)</f>
        <v>87</v>
      </c>
    </row>
    <row r="1462" spans="1:8" ht="15" customHeight="1">
      <c r="A1462" s="94" t="s">
        <v>938</v>
      </c>
      <c r="B1462" s="94" t="s">
        <v>7319</v>
      </c>
      <c r="C1462" s="95"/>
      <c r="D1462" s="95"/>
      <c r="E1462" s="94"/>
      <c r="F1462" s="94"/>
      <c r="G1462" s="94"/>
      <c r="H1462" s="96"/>
    </row>
    <row r="1463" spans="1:8" ht="15" customHeight="1">
      <c r="A1463" s="97" t="s">
        <v>13904</v>
      </c>
      <c r="B1463" s="98">
        <f>B1460</f>
        <v>87</v>
      </c>
      <c r="C1463" s="98"/>
      <c r="D1463" s="98"/>
      <c r="E1463" s="98"/>
      <c r="F1463" s="98"/>
      <c r="G1463" s="98"/>
      <c r="H1463" s="98">
        <f>B1463</f>
        <v>87</v>
      </c>
    </row>
    <row r="1464" spans="1:8" s="93" customFormat="1" ht="30" customHeight="1">
      <c r="A1464" s="91" t="s">
        <v>14163</v>
      </c>
      <c r="B1464" s="364" t="str">
        <f>VLOOKUP($A1464,SERVICOS,4,FALSE)</f>
        <v>Tê Horizontal 90º Para Eletrocalha Metálica 300X100Mm, Galvanizada, Ref. Mega Mg 2570 Ou Equivalente</v>
      </c>
      <c r="C1464" s="365"/>
      <c r="D1464" s="365"/>
      <c r="E1464" s="365"/>
      <c r="F1464" s="366"/>
      <c r="G1464" s="91" t="str">
        <f>VLOOKUP($A1464,SERVICOS,5,FALSE)</f>
        <v>und</v>
      </c>
      <c r="H1464" s="92">
        <f>ROUND(SUM(H1466:H1466),2)</f>
        <v>6</v>
      </c>
    </row>
    <row r="1465" spans="1:8" ht="15" customHeight="1">
      <c r="A1465" s="94" t="s">
        <v>938</v>
      </c>
      <c r="B1465" s="94" t="s">
        <v>7319</v>
      </c>
      <c r="C1465" s="95"/>
      <c r="D1465" s="95"/>
      <c r="E1465" s="94"/>
      <c r="F1465" s="94"/>
      <c r="G1465" s="94"/>
      <c r="H1465" s="96"/>
    </row>
    <row r="1466" spans="1:8" ht="15" customHeight="1">
      <c r="A1466" s="97" t="s">
        <v>13904</v>
      </c>
      <c r="B1466" s="98">
        <v>6</v>
      </c>
      <c r="C1466" s="98"/>
      <c r="D1466" s="98"/>
      <c r="E1466" s="98"/>
      <c r="F1466" s="98"/>
      <c r="G1466" s="98"/>
      <c r="H1466" s="98">
        <f>B1466</f>
        <v>6</v>
      </c>
    </row>
    <row r="1467" spans="1:8" s="93" customFormat="1" ht="30" customHeight="1">
      <c r="A1467" s="91" t="s">
        <v>14164</v>
      </c>
      <c r="B1467" s="364" t="str">
        <f>VLOOKUP($A1467,SERVICOS,4,FALSE)</f>
        <v>Curva Horizontal 90º Para Eletrocalha Metálica, 300X100Mm, Galvanizada, Ref. Mega Mg 2510</v>
      </c>
      <c r="C1467" s="365"/>
      <c r="D1467" s="365"/>
      <c r="E1467" s="365"/>
      <c r="F1467" s="366"/>
      <c r="G1467" s="91" t="str">
        <f>VLOOKUP($A1467,SERVICOS,5,FALSE)</f>
        <v>und</v>
      </c>
      <c r="H1467" s="92">
        <f>ROUND(SUM(H1469:H1469),2)</f>
        <v>2</v>
      </c>
    </row>
    <row r="1468" spans="1:8" ht="15" customHeight="1">
      <c r="A1468" s="94" t="s">
        <v>938</v>
      </c>
      <c r="B1468" s="94" t="s">
        <v>7319</v>
      </c>
      <c r="C1468" s="95"/>
      <c r="D1468" s="95"/>
      <c r="E1468" s="94"/>
      <c r="F1468" s="94"/>
      <c r="G1468" s="94"/>
      <c r="H1468" s="96"/>
    </row>
    <row r="1469" spans="1:8" ht="15" customHeight="1">
      <c r="A1469" s="97" t="s">
        <v>13904</v>
      </c>
      <c r="B1469" s="98">
        <v>2</v>
      </c>
      <c r="C1469" s="98"/>
      <c r="D1469" s="98"/>
      <c r="E1469" s="98"/>
      <c r="F1469" s="98"/>
      <c r="G1469" s="98"/>
      <c r="H1469" s="98">
        <f>B1469</f>
        <v>2</v>
      </c>
    </row>
    <row r="1470" spans="1:8" s="93" customFormat="1" ht="45" customHeight="1">
      <c r="A1470" s="91" t="s">
        <v>14165</v>
      </c>
      <c r="B1470" s="364" t="str">
        <f>VLOOKUP($A1470,SERVICOS,4,FALSE)</f>
        <v>Suporte De Fixação De Eletrocalha De 300X100Mm, Na Parede, Através De Suporte Tipo Mão Francesa Reforçada (1 Und), Parafuso E Bucha S8 (2 Und)</v>
      </c>
      <c r="C1470" s="365"/>
      <c r="D1470" s="365"/>
      <c r="E1470" s="365"/>
      <c r="F1470" s="366"/>
      <c r="G1470" s="91" t="str">
        <f>VLOOKUP($A1470,SERVICOS,5,FALSE)</f>
        <v>und</v>
      </c>
      <c r="H1470" s="92">
        <f>ROUND(SUM(H1472:H1472),2)</f>
        <v>85</v>
      </c>
    </row>
    <row r="1471" spans="1:8" ht="15" customHeight="1">
      <c r="A1471" s="94" t="s">
        <v>938</v>
      </c>
      <c r="B1471" s="94" t="s">
        <v>7319</v>
      </c>
      <c r="C1471" s="95"/>
      <c r="D1471" s="95"/>
      <c r="E1471" s="94"/>
      <c r="F1471" s="94"/>
      <c r="G1471" s="94"/>
      <c r="H1471" s="96"/>
    </row>
    <row r="1472" spans="1:8" ht="15" customHeight="1">
      <c r="A1472" s="97" t="s">
        <v>13904</v>
      </c>
      <c r="B1472" s="98">
        <v>85</v>
      </c>
      <c r="C1472" s="98"/>
      <c r="D1472" s="98"/>
      <c r="E1472" s="98"/>
      <c r="F1472" s="98"/>
      <c r="G1472" s="98"/>
      <c r="H1472" s="98">
        <f>B1472</f>
        <v>85</v>
      </c>
    </row>
    <row r="1473" spans="1:8" s="93" customFormat="1" ht="60" customHeight="1">
      <c r="A1473" s="91" t="s">
        <v>14166</v>
      </c>
      <c r="B1473" s="364" t="str">
        <f>VLOOKUP($A1473,SERVICOS,4,FALSE)</f>
        <v>Suporte De Fixação De Eletrocalha De 300X100Mm, No Teto, Através De Suporte Angular (1 Und), Porca Sextavada E Arruela 1/4  (4 Und) , Vergalhão Com Rosca Total 1/4" (H=60Cm), Cantoneira Zz (2 Und) E Parafuso E Bucha S8 (2 Und)</v>
      </c>
      <c r="C1473" s="365"/>
      <c r="D1473" s="365"/>
      <c r="E1473" s="365"/>
      <c r="F1473" s="366"/>
      <c r="G1473" s="91" t="str">
        <f>VLOOKUP($A1473,SERVICOS,5,FALSE)</f>
        <v>und</v>
      </c>
      <c r="H1473" s="92">
        <f>ROUND(SUM(H1475:H1475),2)</f>
        <v>131</v>
      </c>
    </row>
    <row r="1474" spans="1:8" ht="15" customHeight="1">
      <c r="A1474" s="94" t="s">
        <v>938</v>
      </c>
      <c r="B1474" s="94" t="s">
        <v>7319</v>
      </c>
      <c r="C1474" s="95"/>
      <c r="D1474" s="95"/>
      <c r="E1474" s="94"/>
      <c r="F1474" s="94"/>
      <c r="G1474" s="94"/>
      <c r="H1474" s="96"/>
    </row>
    <row r="1475" spans="1:8" ht="15" customHeight="1">
      <c r="A1475" s="97" t="s">
        <v>13904</v>
      </c>
      <c r="B1475" s="98">
        <v>131</v>
      </c>
      <c r="C1475" s="98"/>
      <c r="D1475" s="98"/>
      <c r="E1475" s="98"/>
      <c r="F1475" s="98"/>
      <c r="G1475" s="98"/>
      <c r="H1475" s="98">
        <f>B1475</f>
        <v>131</v>
      </c>
    </row>
    <row r="1476" spans="1:8" s="93" customFormat="1" ht="45" customHeight="1">
      <c r="A1476" s="91" t="s">
        <v>14167</v>
      </c>
      <c r="B1476" s="364" t="str">
        <f>VLOOKUP($A1476,SERVICOS,4,FALSE)</f>
        <v>Eletroduto Rígido Roscável, Pvc, Dn 40 Mm (1 1/4"), Para Circuitos Terminais, Instalado Em Parede - Fornecimento E Instalação. Af_03/2023</v>
      </c>
      <c r="C1476" s="365"/>
      <c r="D1476" s="365"/>
      <c r="E1476" s="365"/>
      <c r="F1476" s="366"/>
      <c r="G1476" s="91" t="str">
        <f>VLOOKUP($A1476,SERVICOS,5,FALSE)</f>
        <v>m</v>
      </c>
      <c r="H1476" s="92">
        <f>ROUND(SUM(H1478:H1479),2)</f>
        <v>149.4</v>
      </c>
    </row>
    <row r="1477" spans="1:8" ht="15" customHeight="1">
      <c r="A1477" s="94" t="s">
        <v>938</v>
      </c>
      <c r="B1477" s="94" t="s">
        <v>7319</v>
      </c>
      <c r="C1477" s="95"/>
      <c r="D1477" s="95"/>
      <c r="E1477" s="94"/>
      <c r="F1477" s="94"/>
      <c r="G1477" s="94"/>
      <c r="H1477" s="96"/>
    </row>
    <row r="1478" spans="1:8" ht="15" customHeight="1">
      <c r="A1478" s="97" t="s">
        <v>13904</v>
      </c>
      <c r="B1478" s="98">
        <v>131</v>
      </c>
      <c r="C1478" s="205" t="s">
        <v>16573</v>
      </c>
      <c r="D1478" s="98"/>
      <c r="E1478" s="98"/>
      <c r="F1478" s="98"/>
      <c r="G1478" s="98"/>
      <c r="H1478" s="98">
        <f>B1478</f>
        <v>131</v>
      </c>
    </row>
    <row r="1479" spans="1:8" ht="15" customHeight="1">
      <c r="A1479" s="97" t="s">
        <v>13904</v>
      </c>
      <c r="B1479" s="98">
        <f>5*3+1.75+1.05+0.6</f>
        <v>18.400000000000002</v>
      </c>
      <c r="C1479" s="98"/>
      <c r="D1479" s="98"/>
      <c r="E1479" s="98"/>
      <c r="F1479" s="98"/>
      <c r="G1479" s="98"/>
      <c r="H1479" s="98">
        <f>B1479</f>
        <v>18.400000000000002</v>
      </c>
    </row>
    <row r="1480" spans="1:8" s="93" customFormat="1" ht="45" customHeight="1">
      <c r="A1480" s="91" t="s">
        <v>14168</v>
      </c>
      <c r="B1480" s="364" t="str">
        <f>VLOOKUP($A1480,SERVICOS,4,FALSE)</f>
        <v>Curva 90 Graus Para Eletroduto, Pvc, Roscável, Dn 40 Mm (1 1/4"), Para Circuitos Terminais, Instalada Em Parede - Fornecimento E Instalação. Af_03/2023</v>
      </c>
      <c r="C1480" s="365"/>
      <c r="D1480" s="365"/>
      <c r="E1480" s="365"/>
      <c r="F1480" s="366"/>
      <c r="G1480" s="91" t="str">
        <f>VLOOKUP($A1480,SERVICOS,5,FALSE)</f>
        <v>un</v>
      </c>
      <c r="H1480" s="92">
        <f>ROUND(SUM(H1482:H1482),2)</f>
        <v>3</v>
      </c>
    </row>
    <row r="1481" spans="1:8" ht="15" customHeight="1">
      <c r="A1481" s="94" t="s">
        <v>938</v>
      </c>
      <c r="B1481" s="94" t="s">
        <v>7319</v>
      </c>
      <c r="C1481" s="95"/>
      <c r="D1481" s="95"/>
      <c r="E1481" s="94"/>
      <c r="F1481" s="94"/>
      <c r="G1481" s="94"/>
      <c r="H1481" s="96"/>
    </row>
    <row r="1482" spans="1:8" ht="15" customHeight="1">
      <c r="A1482" s="97" t="s">
        <v>13904</v>
      </c>
      <c r="B1482" s="98">
        <v>3</v>
      </c>
      <c r="C1482" s="98"/>
      <c r="D1482" s="98"/>
      <c r="E1482" s="98"/>
      <c r="F1482" s="98"/>
      <c r="G1482" s="98"/>
      <c r="H1482" s="98">
        <f>B1482</f>
        <v>3</v>
      </c>
    </row>
    <row r="1483" spans="1:8" s="93" customFormat="1" ht="30" customHeight="1">
      <c r="A1483" s="91" t="s">
        <v>16574</v>
      </c>
      <c r="B1483" s="364" t="str">
        <f>VLOOKUP($A1483,SERVICOS,4,FALSE)</f>
        <v>Caixa De Ligação De Alumínio Silício, Tipo Conduletes, Sem Rosca, No Formato T, Inclusive Tampa Com Vedação, Diâmetro 3/4"</v>
      </c>
      <c r="C1483" s="365"/>
      <c r="D1483" s="365"/>
      <c r="E1483" s="365"/>
      <c r="F1483" s="366"/>
      <c r="G1483" s="91" t="str">
        <f>VLOOKUP($A1483,SERVICOS,5,FALSE)</f>
        <v>und</v>
      </c>
      <c r="H1483" s="92">
        <f>ROUND(SUM(H1485:H1485),2)</f>
        <v>24</v>
      </c>
    </row>
    <row r="1484" spans="1:8" ht="15" customHeight="1">
      <c r="A1484" s="94" t="s">
        <v>938</v>
      </c>
      <c r="B1484" s="94" t="s">
        <v>7319</v>
      </c>
      <c r="C1484" s="95"/>
      <c r="D1484" s="95"/>
      <c r="E1484" s="94"/>
      <c r="F1484" s="94"/>
      <c r="G1484" s="94"/>
      <c r="H1484" s="96"/>
    </row>
    <row r="1485" spans="1:8" ht="15" customHeight="1">
      <c r="A1485" s="97" t="s">
        <v>13904</v>
      </c>
      <c r="B1485" s="98">
        <v>24</v>
      </c>
      <c r="C1485" s="205" t="s">
        <v>16573</v>
      </c>
      <c r="D1485" s="98"/>
      <c r="E1485" s="98"/>
      <c r="F1485" s="98"/>
      <c r="G1485" s="98"/>
      <c r="H1485" s="98">
        <f>B1485</f>
        <v>24</v>
      </c>
    </row>
    <row r="1486" spans="1:8" ht="15" customHeight="1">
      <c r="A1486" s="89" t="s">
        <v>14170</v>
      </c>
      <c r="B1486" s="367" t="str">
        <f>VLOOKUP($A1486,SERVICOS,4,FALSE)</f>
        <v>ILUMINAÇÃO E TOMADAS</v>
      </c>
      <c r="C1486" s="367"/>
      <c r="D1486" s="367"/>
      <c r="E1486" s="367"/>
      <c r="F1486" s="367"/>
      <c r="G1486" s="367">
        <f>VLOOKUP($A1486,SERVICOS,5,FALSE)</f>
        <v>0</v>
      </c>
      <c r="H1486" s="367" t="e">
        <f>ROUND(SUM(#REF!),2)</f>
        <v>#REF!</v>
      </c>
    </row>
    <row r="1487" spans="1:8" s="93" customFormat="1" ht="45" customHeight="1">
      <c r="A1487" s="91" t="s">
        <v>14169</v>
      </c>
      <c r="B1487" s="364" t="str">
        <f>VLOOKUP($A1487,SERVICOS,4,FALSE)</f>
        <v>Luminária Tipo Calha, De Sobrepor, Com 2 Lâmpadas Tubulares Fluorescentes De 36 W, Com Reator De Partida Rápida - Fornecimento E Instalação. Af_02/2020</v>
      </c>
      <c r="C1487" s="365"/>
      <c r="D1487" s="365"/>
      <c r="E1487" s="365"/>
      <c r="F1487" s="366"/>
      <c r="G1487" s="91" t="str">
        <f>VLOOKUP($A1487,SERVICOS,5,FALSE)</f>
        <v>un</v>
      </c>
      <c r="H1487" s="92">
        <f>ROUND(SUM(H1489:H1489),2)</f>
        <v>26</v>
      </c>
    </row>
    <row r="1488" spans="1:8" ht="15" customHeight="1">
      <c r="A1488" s="94" t="s">
        <v>938</v>
      </c>
      <c r="B1488" s="94" t="s">
        <v>7319</v>
      </c>
      <c r="C1488" s="95"/>
      <c r="D1488" s="95"/>
      <c r="E1488" s="94"/>
      <c r="F1488" s="94"/>
      <c r="G1488" s="94"/>
      <c r="H1488" s="96"/>
    </row>
    <row r="1489" spans="1:8" ht="15" customHeight="1">
      <c r="A1489" s="97" t="s">
        <v>13904</v>
      </c>
      <c r="B1489" s="98">
        <v>26</v>
      </c>
      <c r="C1489" s="98"/>
      <c r="D1489" s="98"/>
      <c r="E1489" s="98"/>
      <c r="F1489" s="98"/>
      <c r="G1489" s="98"/>
      <c r="H1489" s="98">
        <f>B1489</f>
        <v>26</v>
      </c>
    </row>
    <row r="1490" spans="1:8" s="93" customFormat="1" ht="45" customHeight="1">
      <c r="A1490" s="91" t="s">
        <v>14171</v>
      </c>
      <c r="B1490" s="364" t="str">
        <f>VLOOKUP($A1490,SERVICOS,4,FALSE)</f>
        <v>Luminária Tipo Plafon Em Plástico, De Sobrepor, Com 1 Lâmpada Fluorescente De 15 W, Sem Reator - Fornecimento E Instalação. Af_02/2020</v>
      </c>
      <c r="C1490" s="365"/>
      <c r="D1490" s="365"/>
      <c r="E1490" s="365"/>
      <c r="F1490" s="366"/>
      <c r="G1490" s="91" t="str">
        <f>VLOOKUP($A1490,SERVICOS,5,FALSE)</f>
        <v>un</v>
      </c>
      <c r="H1490" s="92">
        <f>ROUND(SUM(H1492:H1492),2)</f>
        <v>1</v>
      </c>
    </row>
    <row r="1491" spans="1:8" ht="15" customHeight="1">
      <c r="A1491" s="94" t="s">
        <v>938</v>
      </c>
      <c r="B1491" s="94" t="s">
        <v>7319</v>
      </c>
      <c r="C1491" s="95"/>
      <c r="D1491" s="95"/>
      <c r="E1491" s="94"/>
      <c r="F1491" s="94"/>
      <c r="G1491" s="94"/>
      <c r="H1491" s="96"/>
    </row>
    <row r="1492" spans="1:8" ht="15" customHeight="1">
      <c r="A1492" s="97" t="s">
        <v>13904</v>
      </c>
      <c r="B1492" s="98">
        <v>1</v>
      </c>
      <c r="C1492" s="98"/>
      <c r="D1492" s="98"/>
      <c r="E1492" s="98"/>
      <c r="F1492" s="98"/>
      <c r="G1492" s="98"/>
      <c r="H1492" s="98">
        <f>B1492</f>
        <v>1</v>
      </c>
    </row>
    <row r="1493" spans="1:8" s="93" customFormat="1" ht="30" customHeight="1">
      <c r="A1493" s="91" t="s">
        <v>14172</v>
      </c>
      <c r="B1493" s="364" t="str">
        <f>VLOOKUP($A1493,SERVICOS,4,FALSE)</f>
        <v>Refletor Retangular Fechado, Com Lâmpada Vapor Metálico 400 W - Fornecimento E Instalação. Af_08/2020</v>
      </c>
      <c r="C1493" s="365"/>
      <c r="D1493" s="365"/>
      <c r="E1493" s="365"/>
      <c r="F1493" s="366"/>
      <c r="G1493" s="91" t="str">
        <f>VLOOKUP($A1493,SERVICOS,5,FALSE)</f>
        <v>un</v>
      </c>
      <c r="H1493" s="92">
        <f>ROUND(SUM(H1495:H1495),2)</f>
        <v>10</v>
      </c>
    </row>
    <row r="1494" spans="1:8" ht="15" customHeight="1">
      <c r="A1494" s="94" t="s">
        <v>938</v>
      </c>
      <c r="B1494" s="94" t="s">
        <v>7319</v>
      </c>
      <c r="C1494" s="95"/>
      <c r="D1494" s="95"/>
      <c r="E1494" s="94"/>
      <c r="F1494" s="94"/>
      <c r="G1494" s="94"/>
      <c r="H1494" s="96"/>
    </row>
    <row r="1495" spans="1:8" ht="15" customHeight="1">
      <c r="A1495" s="97" t="s">
        <v>13904</v>
      </c>
      <c r="B1495" s="98">
        <v>10</v>
      </c>
      <c r="C1495" s="98"/>
      <c r="D1495" s="98"/>
      <c r="E1495" s="98"/>
      <c r="F1495" s="98"/>
      <c r="G1495" s="98"/>
      <c r="H1495" s="98">
        <f>B1495</f>
        <v>10</v>
      </c>
    </row>
    <row r="1496" spans="1:8" s="93" customFormat="1" ht="30" customHeight="1">
      <c r="A1496" s="91" t="s">
        <v>14173</v>
      </c>
      <c r="B1496" s="364" t="str">
        <f>VLOOKUP($A1496,SERVICOS,4,FALSE)</f>
        <v>Tomada Alta De Embutir (1 Módulo), 2P+T 20 A, Incluindo Suporte E Placa - Fornecimento E Instalação. Af_03/2023</v>
      </c>
      <c r="C1496" s="365"/>
      <c r="D1496" s="365"/>
      <c r="E1496" s="365"/>
      <c r="F1496" s="366"/>
      <c r="G1496" s="91" t="str">
        <f>VLOOKUP($A1496,SERVICOS,5,FALSE)</f>
        <v>un</v>
      </c>
      <c r="H1496" s="92">
        <f>ROUND(SUM(H1498:H1498),2)</f>
        <v>7</v>
      </c>
    </row>
    <row r="1497" spans="1:8" ht="15" customHeight="1">
      <c r="A1497" s="94" t="s">
        <v>938</v>
      </c>
      <c r="B1497" s="94" t="s">
        <v>7319</v>
      </c>
      <c r="C1497" s="95"/>
      <c r="D1497" s="95"/>
      <c r="E1497" s="94"/>
      <c r="F1497" s="94"/>
      <c r="G1497" s="94"/>
      <c r="H1497" s="96"/>
    </row>
    <row r="1498" spans="1:8" ht="15" customHeight="1">
      <c r="A1498" s="97" t="s">
        <v>13904</v>
      </c>
      <c r="B1498" s="98">
        <v>7</v>
      </c>
      <c r="C1498" s="98"/>
      <c r="D1498" s="98"/>
      <c r="E1498" s="98"/>
      <c r="F1498" s="98"/>
      <c r="G1498" s="98"/>
      <c r="H1498" s="98">
        <f>B1498</f>
        <v>7</v>
      </c>
    </row>
    <row r="1499" spans="1:8" s="93" customFormat="1" ht="30" customHeight="1">
      <c r="A1499" s="91" t="s">
        <v>14174</v>
      </c>
      <c r="B1499" s="364" t="str">
        <f>VLOOKUP($A1499,SERVICOS,4,FALSE)</f>
        <v>Tomada Média De Embutir (1 Módulo), 2P+T 20 A, Incluindo Suporte E Placa - Fornecimento E Instalação. Af_03/2023</v>
      </c>
      <c r="C1499" s="365"/>
      <c r="D1499" s="365"/>
      <c r="E1499" s="365"/>
      <c r="F1499" s="366"/>
      <c r="G1499" s="91" t="str">
        <f>VLOOKUP($A1499,SERVICOS,5,FALSE)</f>
        <v>un</v>
      </c>
      <c r="H1499" s="92">
        <f>ROUND(SUM(H1501:H1501),2)</f>
        <v>14</v>
      </c>
    </row>
    <row r="1500" spans="1:8" ht="15" customHeight="1">
      <c r="A1500" s="94" t="s">
        <v>938</v>
      </c>
      <c r="B1500" s="94" t="s">
        <v>7319</v>
      </c>
      <c r="C1500" s="95"/>
      <c r="D1500" s="95"/>
      <c r="E1500" s="94"/>
      <c r="F1500" s="94"/>
      <c r="G1500" s="94"/>
      <c r="H1500" s="96"/>
    </row>
    <row r="1501" spans="1:8" ht="15" customHeight="1">
      <c r="A1501" s="97" t="s">
        <v>13904</v>
      </c>
      <c r="B1501" s="98">
        <v>14</v>
      </c>
      <c r="C1501" s="98"/>
      <c r="D1501" s="98"/>
      <c r="E1501" s="98"/>
      <c r="F1501" s="98"/>
      <c r="G1501" s="98"/>
      <c r="H1501" s="98">
        <f>B1501</f>
        <v>14</v>
      </c>
    </row>
    <row r="1502" spans="1:8" s="93" customFormat="1" ht="30" customHeight="1">
      <c r="A1502" s="91" t="s">
        <v>14175</v>
      </c>
      <c r="B1502" s="364" t="str">
        <f>VLOOKUP($A1502,SERVICOS,4,FALSE)</f>
        <v>Tomada Baixa De Embutir (1 Módulo), 2P+T 10 A, Incluindo Suporte E Placa - Fornecimento E Instalação. Af_03/2023</v>
      </c>
      <c r="C1502" s="365"/>
      <c r="D1502" s="365"/>
      <c r="E1502" s="365"/>
      <c r="F1502" s="366"/>
      <c r="G1502" s="91" t="str">
        <f>VLOOKUP($A1502,SERVICOS,5,FALSE)</f>
        <v>un</v>
      </c>
      <c r="H1502" s="92">
        <f>ROUND(SUM(H1504:H1504),2)</f>
        <v>16</v>
      </c>
    </row>
    <row r="1503" spans="1:8" ht="15" customHeight="1">
      <c r="A1503" s="94" t="s">
        <v>938</v>
      </c>
      <c r="B1503" s="94" t="s">
        <v>7319</v>
      </c>
      <c r="C1503" s="95"/>
      <c r="D1503" s="95"/>
      <c r="E1503" s="94"/>
      <c r="F1503" s="94"/>
      <c r="G1503" s="94"/>
      <c r="H1503" s="96"/>
    </row>
    <row r="1504" spans="1:8" ht="15" customHeight="1">
      <c r="A1504" s="97" t="s">
        <v>13904</v>
      </c>
      <c r="B1504" s="98">
        <v>16</v>
      </c>
      <c r="C1504" s="98"/>
      <c r="D1504" s="98"/>
      <c r="E1504" s="98"/>
      <c r="F1504" s="98"/>
      <c r="G1504" s="98"/>
      <c r="H1504" s="98">
        <f>B1504</f>
        <v>16</v>
      </c>
    </row>
    <row r="1505" spans="1:8" s="93" customFormat="1" ht="30" customHeight="1">
      <c r="A1505" s="91" t="s">
        <v>14176</v>
      </c>
      <c r="B1505" s="364" t="str">
        <f>VLOOKUP($A1505,SERVICOS,4,FALSE)</f>
        <v>Interruptor Simples (1 Módulo), 10A/250V, Incluindo Suporte E Placa - Fornecimento E Instalação. Af_03/2023</v>
      </c>
      <c r="C1505" s="365"/>
      <c r="D1505" s="365"/>
      <c r="E1505" s="365"/>
      <c r="F1505" s="366"/>
      <c r="G1505" s="91" t="str">
        <f>VLOOKUP($A1505,SERVICOS,5,FALSE)</f>
        <v>un</v>
      </c>
      <c r="H1505" s="92">
        <f>ROUND(SUM(H1507:H1507),2)</f>
        <v>12</v>
      </c>
    </row>
    <row r="1506" spans="1:8" ht="15" customHeight="1">
      <c r="A1506" s="94" t="s">
        <v>938</v>
      </c>
      <c r="B1506" s="94" t="s">
        <v>7319</v>
      </c>
      <c r="C1506" s="95"/>
      <c r="D1506" s="95"/>
      <c r="E1506" s="94"/>
      <c r="F1506" s="94"/>
      <c r="G1506" s="94"/>
      <c r="H1506" s="96"/>
    </row>
    <row r="1507" spans="1:8" ht="15" customHeight="1">
      <c r="A1507" s="97" t="s">
        <v>13904</v>
      </c>
      <c r="B1507" s="98">
        <v>12</v>
      </c>
      <c r="C1507" s="98"/>
      <c r="D1507" s="98"/>
      <c r="E1507" s="98"/>
      <c r="F1507" s="98"/>
      <c r="G1507" s="98"/>
      <c r="H1507" s="98">
        <f>B1507</f>
        <v>12</v>
      </c>
    </row>
    <row r="1508" spans="1:8" s="93" customFormat="1" ht="30" customHeight="1">
      <c r="A1508" s="91" t="s">
        <v>14177</v>
      </c>
      <c r="B1508" s="364" t="str">
        <f>VLOOKUP($A1508,SERVICOS,4,FALSE)</f>
        <v>Luminária De Emergência, Com 30 Lâmpadas Led De 2 W, Sem Reator - Fornecimento E Instalação. Af_02/2020</v>
      </c>
      <c r="C1508" s="365"/>
      <c r="D1508" s="365"/>
      <c r="E1508" s="365"/>
      <c r="F1508" s="366"/>
      <c r="G1508" s="91" t="str">
        <f>VLOOKUP($A1508,SERVICOS,5,FALSE)</f>
        <v>un</v>
      </c>
      <c r="H1508" s="92">
        <f>ROUND(SUM(H1510:H1510),2)</f>
        <v>14</v>
      </c>
    </row>
    <row r="1509" spans="1:8" ht="15" customHeight="1">
      <c r="A1509" s="94" t="s">
        <v>938</v>
      </c>
      <c r="B1509" s="94" t="s">
        <v>7319</v>
      </c>
      <c r="C1509" s="95"/>
      <c r="D1509" s="95"/>
      <c r="E1509" s="94"/>
      <c r="F1509" s="94"/>
      <c r="G1509" s="94"/>
      <c r="H1509" s="96"/>
    </row>
    <row r="1510" spans="1:8" ht="15" customHeight="1">
      <c r="A1510" s="97" t="s">
        <v>13904</v>
      </c>
      <c r="B1510" s="98">
        <v>14</v>
      </c>
      <c r="C1510" s="98"/>
      <c r="D1510" s="98"/>
      <c r="E1510" s="98"/>
      <c r="F1510" s="98"/>
      <c r="G1510" s="98"/>
      <c r="H1510" s="98">
        <f>B1510</f>
        <v>14</v>
      </c>
    </row>
    <row r="1511" spans="1:8" s="93" customFormat="1" ht="30" customHeight="1">
      <c r="A1511" s="91" t="s">
        <v>14178</v>
      </c>
      <c r="B1511" s="364" t="str">
        <f>VLOOKUP($A1511,SERVICOS,4,FALSE)</f>
        <v>Luminária Industrial A Prova De Tempo, 45 Graus, Wetzel Ou Equivalente, Inclusive Lampada Mista 160W</v>
      </c>
      <c r="C1511" s="365"/>
      <c r="D1511" s="365"/>
      <c r="E1511" s="365"/>
      <c r="F1511" s="366"/>
      <c r="G1511" s="91" t="str">
        <f>VLOOKUP($A1511,SERVICOS,5,FALSE)</f>
        <v>und</v>
      </c>
      <c r="H1511" s="92">
        <f>ROUND(SUM(H1513:H1513),2)</f>
        <v>24</v>
      </c>
    </row>
    <row r="1512" spans="1:8" ht="15" customHeight="1">
      <c r="A1512" s="94" t="s">
        <v>938</v>
      </c>
      <c r="B1512" s="94" t="s">
        <v>7319</v>
      </c>
      <c r="C1512" s="95"/>
      <c r="D1512" s="95"/>
      <c r="E1512" s="94"/>
      <c r="F1512" s="94"/>
      <c r="G1512" s="94"/>
      <c r="H1512" s="96"/>
    </row>
    <row r="1513" spans="1:8" ht="15" customHeight="1">
      <c r="A1513" s="97" t="s">
        <v>13904</v>
      </c>
      <c r="B1513" s="98">
        <v>24</v>
      </c>
      <c r="C1513" s="98"/>
      <c r="D1513" s="98"/>
      <c r="E1513" s="98"/>
      <c r="F1513" s="98"/>
      <c r="G1513" s="98"/>
      <c r="H1513" s="98">
        <f>B1513</f>
        <v>24</v>
      </c>
    </row>
    <row r="1514" spans="1:8" ht="15" customHeight="1">
      <c r="A1514" s="89" t="s">
        <v>14182</v>
      </c>
      <c r="B1514" s="367" t="str">
        <f>VLOOKUP($A1514,SERVICOS,4,FALSE)</f>
        <v>PONTOS</v>
      </c>
      <c r="C1514" s="367"/>
      <c r="D1514" s="367"/>
      <c r="E1514" s="367"/>
      <c r="F1514" s="367"/>
      <c r="G1514" s="367">
        <f>VLOOKUP($A1514,SERVICOS,5,FALSE)</f>
        <v>0</v>
      </c>
      <c r="H1514" s="367" t="e">
        <f>ROUND(SUM(#REF!),2)</f>
        <v>#REF!</v>
      </c>
    </row>
    <row r="1515" spans="1:8" s="93" customFormat="1" ht="45" customHeight="1">
      <c r="A1515" s="91" t="s">
        <v>14179</v>
      </c>
      <c r="B1515" s="364" t="str">
        <f>VLOOKUP($A1515,SERVICOS,4,FALSE)</f>
        <v>Padrão De Entrada De Energia Elétrica, Trifásico, Entrada Subterrânea, A 4 Fios, Carga Instalada Em Muro De 41001 Até 57000W - 220/127V, Exclusive Derivação De Ramal De Entrada Subterrânea</v>
      </c>
      <c r="C1515" s="365"/>
      <c r="D1515" s="365"/>
      <c r="E1515" s="365"/>
      <c r="F1515" s="366"/>
      <c r="G1515" s="91" t="str">
        <f>VLOOKUP($A1515,SERVICOS,5,FALSE)</f>
        <v>und</v>
      </c>
      <c r="H1515" s="92">
        <f>ROUND(SUM(H1517:H1517),2)</f>
        <v>1</v>
      </c>
    </row>
    <row r="1516" spans="1:8" ht="15" customHeight="1">
      <c r="A1516" s="94" t="s">
        <v>938</v>
      </c>
      <c r="B1516" s="94" t="s">
        <v>7319</v>
      </c>
      <c r="C1516" s="95"/>
      <c r="D1516" s="95"/>
      <c r="E1516" s="94"/>
      <c r="F1516" s="94"/>
      <c r="G1516" s="94"/>
      <c r="H1516" s="96"/>
    </row>
    <row r="1517" spans="1:8" ht="15" customHeight="1">
      <c r="A1517" s="97" t="s">
        <v>13904</v>
      </c>
      <c r="B1517" s="98">
        <v>1</v>
      </c>
      <c r="C1517" s="98"/>
      <c r="D1517" s="98"/>
      <c r="E1517" s="98"/>
      <c r="F1517" s="98"/>
      <c r="G1517" s="98"/>
      <c r="H1517" s="98">
        <f>B1517</f>
        <v>1</v>
      </c>
    </row>
    <row r="1518" spans="1:8" s="93" customFormat="1" ht="60" customHeight="1">
      <c r="A1518" s="91" t="s">
        <v>14180</v>
      </c>
      <c r="B1518" s="364" t="str">
        <f>VLOOKUP($A1518,SERVICOS,4,FALSE)</f>
        <v>Caixa De Passagem De Alvenaria De Blocos Cerâmicos 10 Furos 10X20X20Cm Dimensões De 50X50X50Cm, Com Revestimento Interno Em Chapisco E Reboco, Tampa De Concreto Esp.5Cm E Lastro De Brita 5 Cm</v>
      </c>
      <c r="C1518" s="365"/>
      <c r="D1518" s="365"/>
      <c r="E1518" s="365"/>
      <c r="F1518" s="366"/>
      <c r="G1518" s="91" t="str">
        <f>VLOOKUP($A1518,SERVICOS,5,FALSE)</f>
        <v>und</v>
      </c>
      <c r="H1518" s="92">
        <f>ROUND(SUM(H1520:H1520),2)</f>
        <v>1</v>
      </c>
    </row>
    <row r="1519" spans="1:8" ht="15" customHeight="1">
      <c r="A1519" s="94" t="s">
        <v>938</v>
      </c>
      <c r="B1519" s="94" t="s">
        <v>7319</v>
      </c>
      <c r="C1519" s="95"/>
      <c r="D1519" s="95"/>
      <c r="E1519" s="94"/>
      <c r="F1519" s="94"/>
      <c r="G1519" s="94"/>
      <c r="H1519" s="96"/>
    </row>
    <row r="1520" spans="1:8" ht="15" customHeight="1">
      <c r="A1520" s="97" t="s">
        <v>13904</v>
      </c>
      <c r="B1520" s="98">
        <v>1</v>
      </c>
      <c r="C1520" s="98"/>
      <c r="D1520" s="98"/>
      <c r="E1520" s="98"/>
      <c r="F1520" s="98"/>
      <c r="G1520" s="98"/>
      <c r="H1520" s="98">
        <f>B1520</f>
        <v>1</v>
      </c>
    </row>
    <row r="1521" spans="1:8" s="93" customFormat="1" ht="45" customHeight="1">
      <c r="A1521" s="91" t="s">
        <v>14181</v>
      </c>
      <c r="B1521" s="364" t="str">
        <f>VLOOKUP($A1521,SERVICOS,4,FALSE)</f>
        <v>Ponto Padrão De Luz No Teto - Considerando Eletroduto Pvc Rígido De 3/4" Inclusive Conexões (4.5M), Fio Isolado Pvc De 2.5Mm2 (16.2M) E Caixa Pvc 4X4" (1 Und)</v>
      </c>
      <c r="C1521" s="365"/>
      <c r="D1521" s="365"/>
      <c r="E1521" s="365"/>
      <c r="F1521" s="366"/>
      <c r="G1521" s="91" t="str">
        <f>VLOOKUP($A1521,SERVICOS,5,FALSE)</f>
        <v>und</v>
      </c>
      <c r="H1521" s="92">
        <f>ROUND(SUM(H1523:H1523),2)</f>
        <v>51</v>
      </c>
    </row>
    <row r="1522" spans="1:8" ht="15" customHeight="1">
      <c r="A1522" s="94" t="s">
        <v>938</v>
      </c>
      <c r="B1522" s="94" t="s">
        <v>7319</v>
      </c>
      <c r="C1522" s="95"/>
      <c r="D1522" s="95"/>
      <c r="E1522" s="94"/>
      <c r="F1522" s="94"/>
      <c r="G1522" s="94"/>
      <c r="H1522" s="96"/>
    </row>
    <row r="1523" spans="1:8" ht="15" customHeight="1">
      <c r="A1523" s="97" t="s">
        <v>13904</v>
      </c>
      <c r="B1523" s="98">
        <f>26+24+1</f>
        <v>51</v>
      </c>
      <c r="C1523" s="98"/>
      <c r="D1523" s="98"/>
      <c r="E1523" s="98"/>
      <c r="F1523" s="98"/>
      <c r="G1523" s="98"/>
      <c r="H1523" s="98">
        <f>B1523</f>
        <v>51</v>
      </c>
    </row>
    <row r="1524" spans="1:8" s="93" customFormat="1" ht="45" customHeight="1">
      <c r="A1524" s="91" t="s">
        <v>14183</v>
      </c>
      <c r="B1524" s="364" t="str">
        <f>VLOOKUP($A1524,SERVICOS,4,FALSE)</f>
        <v>Ponto Padrão De Luz Na Parede - Considerando Eletroduto Pvc Rígido De 3/4" Inclusive Conexões (4.5M), Fio Isolado Pvc De 2.5Mm2 (16.2M) E Caixa Pvc 4X2" (1 Und)</v>
      </c>
      <c r="C1524" s="365"/>
      <c r="D1524" s="365"/>
      <c r="E1524" s="365"/>
      <c r="F1524" s="366"/>
      <c r="G1524" s="91" t="str">
        <f>VLOOKUP($A1524,SERVICOS,5,FALSE)</f>
        <v>und</v>
      </c>
      <c r="H1524" s="92">
        <f>ROUND(SUM(H1526:H1526),2)</f>
        <v>22</v>
      </c>
    </row>
    <row r="1525" spans="1:8" ht="15" customHeight="1">
      <c r="A1525" s="94" t="s">
        <v>938</v>
      </c>
      <c r="B1525" s="94" t="s">
        <v>7319</v>
      </c>
      <c r="C1525" s="95"/>
      <c r="D1525" s="95"/>
      <c r="E1525" s="94"/>
      <c r="F1525" s="94"/>
      <c r="G1525" s="94"/>
      <c r="H1525" s="96"/>
    </row>
    <row r="1526" spans="1:8" ht="15" customHeight="1">
      <c r="A1526" s="97" t="s">
        <v>13904</v>
      </c>
      <c r="B1526" s="98">
        <f>14+8</f>
        <v>22</v>
      </c>
      <c r="C1526" s="98"/>
      <c r="D1526" s="98"/>
      <c r="E1526" s="98"/>
      <c r="F1526" s="98"/>
      <c r="G1526" s="98"/>
      <c r="H1526" s="98">
        <f>B1526</f>
        <v>22</v>
      </c>
    </row>
    <row r="1527" spans="1:8" s="93" customFormat="1" ht="45" customHeight="1">
      <c r="A1527" s="91" t="s">
        <v>14184</v>
      </c>
      <c r="B1527" s="364" t="str">
        <f>VLOOKUP($A1527,SERVICOS,4,FALSE)</f>
        <v>Ponto Padrão De Tomada 2 Pólos Mais Terra - Considerando Eletroduto Pvc Rígido De 3/4" Inclusive Conexões (5.0M), Fio Isolado Pvc De 2.5Mm2 (16.5M) E Caixa Pvc 4X2" (1 Und)</v>
      </c>
      <c r="C1527" s="365"/>
      <c r="D1527" s="365"/>
      <c r="E1527" s="365"/>
      <c r="F1527" s="366"/>
      <c r="G1527" s="91" t="str">
        <f>VLOOKUP($A1527,SERVICOS,5,FALSE)</f>
        <v>und</v>
      </c>
      <c r="H1527" s="92">
        <f>ROUND(SUM(H1529:H1529),2)</f>
        <v>30</v>
      </c>
    </row>
    <row r="1528" spans="1:8" ht="15" customHeight="1">
      <c r="A1528" s="94" t="s">
        <v>938</v>
      </c>
      <c r="B1528" s="94" t="s">
        <v>7319</v>
      </c>
      <c r="C1528" s="95"/>
      <c r="D1528" s="95"/>
      <c r="E1528" s="94"/>
      <c r="F1528" s="94"/>
      <c r="G1528" s="94"/>
      <c r="H1528" s="96"/>
    </row>
    <row r="1529" spans="1:8" ht="15" customHeight="1">
      <c r="A1529" s="97" t="s">
        <v>13904</v>
      </c>
      <c r="B1529" s="98">
        <f>16+14</f>
        <v>30</v>
      </c>
      <c r="C1529" s="98"/>
      <c r="D1529" s="98"/>
      <c r="E1529" s="98"/>
      <c r="F1529" s="98"/>
      <c r="G1529" s="98"/>
      <c r="H1529" s="98">
        <f>B1529</f>
        <v>30</v>
      </c>
    </row>
    <row r="1530" spans="1:8" s="93" customFormat="1" ht="45" customHeight="1">
      <c r="A1530" s="91" t="s">
        <v>14185</v>
      </c>
      <c r="B1530" s="364" t="str">
        <f>VLOOKUP($A1530,SERVICOS,4,FALSE)</f>
        <v>Ponto Padrão De Tomada Para Chuveiro Elétrico - Considerando Eletroduto Pvc Rígido De 3/4" Inclusive Conexões (9.0M), Fio Isolado Pvc De 6.0Mm2 (32.5M) E Caixa Pvc 4X2" (1 Und)</v>
      </c>
      <c r="C1530" s="365"/>
      <c r="D1530" s="365"/>
      <c r="E1530" s="365"/>
      <c r="F1530" s="366"/>
      <c r="G1530" s="91" t="str">
        <f>VLOOKUP($A1530,SERVICOS,5,FALSE)</f>
        <v>und</v>
      </c>
      <c r="H1530" s="92">
        <f>ROUND(SUM(H1532:H1532),2)</f>
        <v>7</v>
      </c>
    </row>
    <row r="1531" spans="1:8" ht="15" customHeight="1">
      <c r="A1531" s="94" t="s">
        <v>938</v>
      </c>
      <c r="B1531" s="94" t="s">
        <v>7319</v>
      </c>
      <c r="C1531" s="95"/>
      <c r="D1531" s="95"/>
      <c r="E1531" s="94"/>
      <c r="F1531" s="94"/>
      <c r="G1531" s="94"/>
      <c r="H1531" s="96"/>
    </row>
    <row r="1532" spans="1:8" ht="15" customHeight="1">
      <c r="A1532" s="97" t="s">
        <v>13904</v>
      </c>
      <c r="B1532" s="98">
        <v>7</v>
      </c>
      <c r="C1532" s="98"/>
      <c r="D1532" s="98"/>
      <c r="E1532" s="98"/>
      <c r="F1532" s="98"/>
      <c r="G1532" s="98"/>
      <c r="H1532" s="98">
        <f>B1532</f>
        <v>7</v>
      </c>
    </row>
    <row r="1533" spans="1:8" s="93" customFormat="1" ht="45" customHeight="1">
      <c r="A1533" s="91" t="s">
        <v>14186</v>
      </c>
      <c r="B1533" s="364" t="str">
        <f>VLOOKUP($A1533,SERVICOS,4,FALSE)</f>
        <v>Ponto Padrão De Interruptor De 1 Tecla Intermediário - Considerando Eletroduto Pvc Rígido De 3/4" Inclusive Conexões (3.3M), Fio Isolado Pvc De 2.5Mm2 (15.8M) E Caixa Pvc 4X2" (1 Und)</v>
      </c>
      <c r="C1533" s="365"/>
      <c r="D1533" s="365"/>
      <c r="E1533" s="365"/>
      <c r="F1533" s="366"/>
      <c r="G1533" s="91" t="str">
        <f>VLOOKUP($A1533,SERVICOS,5,FALSE)</f>
        <v>und</v>
      </c>
      <c r="H1533" s="92">
        <f>ROUND(SUM(H1535:H1535),2)</f>
        <v>12</v>
      </c>
    </row>
    <row r="1534" spans="1:8" ht="15" customHeight="1">
      <c r="A1534" s="94" t="s">
        <v>938</v>
      </c>
      <c r="B1534" s="94" t="s">
        <v>7319</v>
      </c>
      <c r="C1534" s="95"/>
      <c r="D1534" s="95"/>
      <c r="E1534" s="94"/>
      <c r="F1534" s="94"/>
      <c r="G1534" s="94"/>
      <c r="H1534" s="96"/>
    </row>
    <row r="1535" spans="1:8" ht="15" customHeight="1">
      <c r="A1535" s="97" t="s">
        <v>13904</v>
      </c>
      <c r="B1535" s="98">
        <v>12</v>
      </c>
      <c r="C1535" s="98"/>
      <c r="D1535" s="98"/>
      <c r="E1535" s="98"/>
      <c r="F1535" s="98"/>
      <c r="G1535" s="98"/>
      <c r="H1535" s="98">
        <f>B1535</f>
        <v>12</v>
      </c>
    </row>
    <row r="1536" spans="1:8" ht="15" customHeight="1">
      <c r="A1536" s="89" t="s">
        <v>12633</v>
      </c>
      <c r="B1536" s="367" t="str">
        <f>VLOOKUP($A1536,SERVICOS,4,FALSE)</f>
        <v>SISTEMA DE PROTEÇÃO CONTRA DESCARGAS ATMOSFÉRICAS (SPDA)</v>
      </c>
      <c r="C1536" s="367"/>
      <c r="D1536" s="367"/>
      <c r="E1536" s="367"/>
      <c r="F1536" s="367"/>
      <c r="G1536" s="367">
        <f>VLOOKUP($A1536,SERVICOS,5,FALSE)</f>
        <v>0</v>
      </c>
      <c r="H1536" s="367" t="e">
        <f>ROUND(SUM(#REF!),2)</f>
        <v>#REF!</v>
      </c>
    </row>
    <row r="1537" spans="1:8" s="93" customFormat="1" ht="60" customHeight="1">
      <c r="A1537" s="91" t="s">
        <v>12634</v>
      </c>
      <c r="B1537" s="364" t="str">
        <f>VLOOKUP($A1537,SERVICOS,4,FALSE)</f>
        <v>Pára-Raios Tipo Franklim Incluindo Base De Fixação, Conjunto De Contraventagem C/Abraçadeira P/3 Estais Em Tubo E Demais Acessórios C/Exceção Do Cabo De Cobre De Descida E Suportes Isoladores</v>
      </c>
      <c r="C1537" s="365"/>
      <c r="D1537" s="365"/>
      <c r="E1537" s="365"/>
      <c r="F1537" s="366"/>
      <c r="G1537" s="91" t="str">
        <f>VLOOKUP($A1537,SERVICOS,5,FALSE)</f>
        <v>und</v>
      </c>
      <c r="H1537" s="92">
        <f>ROUND(SUM(H1539:H1539),2)</f>
        <v>1</v>
      </c>
    </row>
    <row r="1538" spans="1:8" ht="15" customHeight="1">
      <c r="A1538" s="94" t="s">
        <v>938</v>
      </c>
      <c r="B1538" s="94" t="s">
        <v>7319</v>
      </c>
      <c r="C1538" s="95"/>
      <c r="D1538" s="95"/>
      <c r="E1538" s="94"/>
      <c r="F1538" s="94"/>
      <c r="G1538" s="94"/>
      <c r="H1538" s="96"/>
    </row>
    <row r="1539" spans="1:8" ht="15" customHeight="1">
      <c r="A1539" s="97" t="s">
        <v>13904</v>
      </c>
      <c r="B1539" s="98">
        <v>1</v>
      </c>
      <c r="C1539" s="98"/>
      <c r="D1539" s="98"/>
      <c r="E1539" s="98"/>
      <c r="F1539" s="98"/>
      <c r="G1539" s="98"/>
      <c r="H1539" s="98">
        <f>B1539</f>
        <v>1</v>
      </c>
    </row>
    <row r="1540" spans="1:8" s="93" customFormat="1" ht="60" customHeight="1">
      <c r="A1540" s="91" t="s">
        <v>12635</v>
      </c>
      <c r="B1540" s="364" t="str">
        <f>VLOOKUP($A1540,SERVICOS,4,FALSE)</f>
        <v>Terminal Aéreo Em Latão (Minicaptor), Com Conector E Fixação Horizontal 250Mm X 10Mm, Ref. Tel-2024, Inclusive Vedação Dos Furos Com Poliuretano Ref. Tel 5905, Marca De Ref. Termotécnica Ou Equivalente</v>
      </c>
      <c r="C1540" s="365"/>
      <c r="D1540" s="365"/>
      <c r="E1540" s="365"/>
      <c r="F1540" s="366"/>
      <c r="G1540" s="91" t="str">
        <f>VLOOKUP($A1540,SERVICOS,5,FALSE)</f>
        <v>und</v>
      </c>
      <c r="H1540" s="92">
        <f>ROUND(SUM(H1542:H1542),2)</f>
        <v>53</v>
      </c>
    </row>
    <row r="1541" spans="1:8" ht="15" customHeight="1">
      <c r="A1541" s="94" t="s">
        <v>938</v>
      </c>
      <c r="B1541" s="94" t="s">
        <v>7319</v>
      </c>
      <c r="C1541" s="95"/>
      <c r="D1541" s="95"/>
      <c r="E1541" s="94"/>
      <c r="F1541" s="94"/>
      <c r="G1541" s="94"/>
      <c r="H1541" s="96"/>
    </row>
    <row r="1542" spans="1:8" ht="15" customHeight="1">
      <c r="A1542" s="97" t="s">
        <v>13904</v>
      </c>
      <c r="B1542" s="98">
        <f>ROUNDUP(B1545/6,0)</f>
        <v>53</v>
      </c>
      <c r="C1542" s="98"/>
      <c r="D1542" s="98"/>
      <c r="E1542" s="98"/>
      <c r="F1542" s="98"/>
      <c r="G1542" s="98"/>
      <c r="H1542" s="98">
        <f>B1542</f>
        <v>53</v>
      </c>
    </row>
    <row r="1543" spans="1:8" s="93" customFormat="1" ht="30" customHeight="1">
      <c r="A1543" s="91" t="s">
        <v>14152</v>
      </c>
      <c r="B1543" s="364" t="str">
        <f>VLOOKUP($A1543,SERVICOS,4,FALSE)</f>
        <v>Condutor De Cobre Nú, Seção De 35Mm2, Inclusive Suportes Isoladores E Acessórios De Fixação, Conforme Projeto</v>
      </c>
      <c r="C1543" s="365"/>
      <c r="D1543" s="365"/>
      <c r="E1543" s="365"/>
      <c r="F1543" s="366"/>
      <c r="G1543" s="91" t="str">
        <f>VLOOKUP($A1543,SERVICOS,5,FALSE)</f>
        <v>m</v>
      </c>
      <c r="H1543" s="92">
        <f>ROUND(SUM(H1545:H1545),2)</f>
        <v>313.5</v>
      </c>
    </row>
    <row r="1544" spans="1:8" ht="15" customHeight="1">
      <c r="A1544" s="94" t="s">
        <v>938</v>
      </c>
      <c r="B1544" s="94" t="s">
        <v>7319</v>
      </c>
      <c r="C1544" s="95"/>
      <c r="D1544" s="95"/>
      <c r="E1544" s="94"/>
      <c r="F1544" s="94"/>
      <c r="G1544" s="94"/>
      <c r="H1544" s="96"/>
    </row>
    <row r="1545" spans="1:8" ht="15" customHeight="1">
      <c r="A1545" s="97" t="s">
        <v>13904</v>
      </c>
      <c r="B1545" s="98">
        <f>4*25.5+5*42.3</f>
        <v>313.5</v>
      </c>
      <c r="C1545" s="98"/>
      <c r="D1545" s="98"/>
      <c r="E1545" s="98"/>
      <c r="F1545" s="98"/>
      <c r="G1545" s="98"/>
      <c r="H1545" s="98">
        <f>B1545</f>
        <v>313.5</v>
      </c>
    </row>
    <row r="1546" spans="1:8" s="93" customFormat="1" ht="45" customHeight="1">
      <c r="A1546" s="91" t="s">
        <v>14153</v>
      </c>
      <c r="B1546" s="364" t="str">
        <f>VLOOKUP($A1546,SERVICOS,4,FALSE)</f>
        <v>Barra Chata Em Aço Galvanizado A Fogo 7/8"X1/8" (70Mm²), Com Furos Diâm. 7Mm Ref. Tel-761, Marca De Referência Termotécnica Ou Equivalente</v>
      </c>
      <c r="C1546" s="365"/>
      <c r="D1546" s="365"/>
      <c r="E1546" s="365"/>
      <c r="F1546" s="366"/>
      <c r="G1546" s="91" t="str">
        <f>VLOOKUP($A1546,SERVICOS,5,FALSE)</f>
        <v>m</v>
      </c>
      <c r="H1546" s="92">
        <f>ROUND(SUM(H1548:H1548),2)</f>
        <v>75</v>
      </c>
    </row>
    <row r="1547" spans="1:8" ht="15" customHeight="1">
      <c r="A1547" s="94" t="s">
        <v>938</v>
      </c>
      <c r="B1547" s="94" t="s">
        <v>7319</v>
      </c>
      <c r="C1547" s="95" t="s">
        <v>14192</v>
      </c>
      <c r="D1547" s="95"/>
      <c r="E1547" s="94"/>
      <c r="F1547" s="94"/>
      <c r="G1547" s="94"/>
      <c r="H1547" s="96"/>
    </row>
    <row r="1548" spans="1:8" ht="15" customHeight="1">
      <c r="A1548" s="97" t="s">
        <v>14589</v>
      </c>
      <c r="B1548" s="98">
        <v>10</v>
      </c>
      <c r="C1548" s="98">
        <v>7.5</v>
      </c>
      <c r="D1548" s="98"/>
      <c r="E1548" s="98"/>
      <c r="F1548" s="98"/>
      <c r="G1548" s="98"/>
      <c r="H1548" s="98">
        <f>B1548*C1548</f>
        <v>75</v>
      </c>
    </row>
    <row r="1549" spans="1:8" s="93" customFormat="1" ht="30" customHeight="1">
      <c r="A1549" s="91" t="s">
        <v>14154</v>
      </c>
      <c r="B1549" s="364" t="str">
        <f>VLOOKUP($A1549,SERVICOS,4,FALSE)</f>
        <v>Aterramento Com Haste Terra 5/8" X 2.40, Cabo De Cobre Nu 6Mm2, Inclusive Caixa De Concreto 30 X 30 Cm</v>
      </c>
      <c r="C1549" s="365"/>
      <c r="D1549" s="365"/>
      <c r="E1549" s="365"/>
      <c r="F1549" s="366"/>
      <c r="G1549" s="91" t="str">
        <f>VLOOKUP($A1549,SERVICOS,5,FALSE)</f>
        <v>und</v>
      </c>
      <c r="H1549" s="92">
        <f>ROUND(SUM(H1551:H1551),2)</f>
        <v>10</v>
      </c>
    </row>
    <row r="1550" spans="1:8" ht="15" customHeight="1">
      <c r="A1550" s="94" t="s">
        <v>938</v>
      </c>
      <c r="B1550" s="94" t="s">
        <v>7319</v>
      </c>
      <c r="C1550" s="95"/>
      <c r="D1550" s="95"/>
      <c r="E1550" s="94"/>
      <c r="F1550" s="94"/>
      <c r="G1550" s="94"/>
      <c r="H1550" s="96"/>
    </row>
    <row r="1551" spans="1:8" ht="15" customHeight="1">
      <c r="A1551" s="97" t="s">
        <v>13904</v>
      </c>
      <c r="B1551" s="98">
        <f>B1548</f>
        <v>10</v>
      </c>
      <c r="C1551" s="98"/>
      <c r="D1551" s="98"/>
      <c r="E1551" s="98"/>
      <c r="F1551" s="98"/>
      <c r="G1551" s="98"/>
      <c r="H1551" s="98">
        <f>B1551</f>
        <v>10</v>
      </c>
    </row>
    <row r="1552" spans="1:8" s="93" customFormat="1" ht="45" customHeight="1">
      <c r="A1552" s="91" t="s">
        <v>14155</v>
      </c>
      <c r="B1552" s="364" t="str">
        <f>VLOOKUP($A1552,SERVICOS,4,FALSE)</f>
        <v>Kit Completo Para Solda Exotérmica (Molde Hcl 5/8" Ref: Tel905611 / Cartucho N° 115 Ref: Tel 909115 / Alicate Z 201 Ref: Tel 998201), Marca De Referência Termotécnica Ou Equivalente</v>
      </c>
      <c r="C1552" s="365"/>
      <c r="D1552" s="365"/>
      <c r="E1552" s="365"/>
      <c r="F1552" s="366"/>
      <c r="G1552" s="91" t="str">
        <f>VLOOKUP($A1552,SERVICOS,5,FALSE)</f>
        <v>und</v>
      </c>
      <c r="H1552" s="92">
        <f>ROUND(SUM(H1554:H1554),2)</f>
        <v>10</v>
      </c>
    </row>
    <row r="1553" spans="1:8" ht="15" customHeight="1">
      <c r="A1553" s="94" t="s">
        <v>938</v>
      </c>
      <c r="B1553" s="94" t="s">
        <v>7319</v>
      </c>
      <c r="C1553" s="95"/>
      <c r="D1553" s="95"/>
      <c r="E1553" s="94"/>
      <c r="F1553" s="94"/>
      <c r="G1553" s="94"/>
      <c r="H1553" s="96"/>
    </row>
    <row r="1554" spans="1:8" ht="15" customHeight="1">
      <c r="A1554" s="97" t="s">
        <v>13904</v>
      </c>
      <c r="B1554" s="98">
        <f>B1551</f>
        <v>10</v>
      </c>
      <c r="C1554" s="98"/>
      <c r="D1554" s="98"/>
      <c r="E1554" s="98"/>
      <c r="F1554" s="98"/>
      <c r="G1554" s="98"/>
      <c r="H1554" s="98">
        <f>B1554</f>
        <v>10</v>
      </c>
    </row>
    <row r="1555" spans="1:8" s="93" customFormat="1" ht="30" customHeight="1">
      <c r="A1555" s="91" t="s">
        <v>14156</v>
      </c>
      <c r="B1555" s="364" t="str">
        <f>VLOOKUP($A1555,SERVICOS,4,FALSE)</f>
        <v>Cabo De Cobre Nú 50Mm2, Ref. Tel 5750, Marca De Referência Termotécnica Ou Equivalente</v>
      </c>
      <c r="C1555" s="365"/>
      <c r="D1555" s="365"/>
      <c r="E1555" s="365"/>
      <c r="F1555" s="366"/>
      <c r="G1555" s="91" t="str">
        <f>VLOOKUP($A1555,SERVICOS,5,FALSE)</f>
        <v>m</v>
      </c>
      <c r="H1555" s="92">
        <f>ROUND(SUM(H1557:H1557),2)</f>
        <v>144</v>
      </c>
    </row>
    <row r="1556" spans="1:8" ht="15" customHeight="1">
      <c r="A1556" s="94" t="s">
        <v>938</v>
      </c>
      <c r="B1556" s="94" t="s">
        <v>7319</v>
      </c>
      <c r="C1556" s="95"/>
      <c r="D1556" s="95"/>
      <c r="E1556" s="94"/>
      <c r="F1556" s="94"/>
      <c r="G1556" s="94"/>
      <c r="H1556" s="96"/>
    </row>
    <row r="1557" spans="1:8" ht="15" customHeight="1">
      <c r="A1557" s="97" t="s">
        <v>14593</v>
      </c>
      <c r="B1557" s="98">
        <f>44*2+28*2</f>
        <v>144</v>
      </c>
      <c r="C1557" s="98"/>
      <c r="D1557" s="98"/>
      <c r="E1557" s="98"/>
      <c r="F1557" s="98"/>
      <c r="G1557" s="98"/>
      <c r="H1557" s="98">
        <f>B1557</f>
        <v>144</v>
      </c>
    </row>
    <row r="1558" spans="1:8" s="93" customFormat="1" ht="45" customHeight="1">
      <c r="A1558" s="91" t="s">
        <v>14157</v>
      </c>
      <c r="B1558" s="364" t="str">
        <f>VLOOKUP($A1558,SERVICOS,4,FALSE)</f>
        <v>Caixa De Equalização De Potenciais Para Uso Interno E Externo Com Cinco (5) Terminais Para Aterramento (Bep), Em Polipropileno, Ref. Tel-902, Marca De Referência Termotécnica Ou Equivalente</v>
      </c>
      <c r="C1558" s="365"/>
      <c r="D1558" s="365"/>
      <c r="E1558" s="365"/>
      <c r="F1558" s="366"/>
      <c r="G1558" s="91" t="str">
        <f>VLOOKUP($A1558,SERVICOS,5,FALSE)</f>
        <v>und</v>
      </c>
      <c r="H1558" s="92">
        <f>ROUND(SUM(H1560:H1560),2)</f>
        <v>1</v>
      </c>
    </row>
    <row r="1559" spans="1:8" ht="15" customHeight="1">
      <c r="A1559" s="94" t="s">
        <v>938</v>
      </c>
      <c r="B1559" s="94" t="s">
        <v>7319</v>
      </c>
      <c r="C1559" s="95"/>
      <c r="D1559" s="95"/>
      <c r="E1559" s="94"/>
      <c r="F1559" s="94"/>
      <c r="G1559" s="94"/>
      <c r="H1559" s="96"/>
    </row>
    <row r="1560" spans="1:8" ht="15" customHeight="1">
      <c r="A1560" s="97" t="s">
        <v>13904</v>
      </c>
      <c r="B1560" s="98">
        <v>1</v>
      </c>
      <c r="C1560" s="98"/>
      <c r="D1560" s="98"/>
      <c r="E1560" s="98"/>
      <c r="F1560" s="98"/>
      <c r="G1560" s="98"/>
      <c r="H1560" s="98">
        <f>B1560</f>
        <v>1</v>
      </c>
    </row>
    <row r="1561" spans="1:8" ht="15" customHeight="1">
      <c r="A1561" s="89" t="s">
        <v>12636</v>
      </c>
      <c r="B1561" s="367" t="str">
        <f>VLOOKUP($A1561,SERVICOS,4,FALSE)</f>
        <v>EQUIPAMENTOS ESPORTIVOS</v>
      </c>
      <c r="C1561" s="367"/>
      <c r="D1561" s="367"/>
      <c r="E1561" s="367"/>
      <c r="F1561" s="367"/>
      <c r="G1561" s="367">
        <f>VLOOKUP($A1561,SERVICOS,5,FALSE)</f>
        <v>0</v>
      </c>
      <c r="H1561" s="367" t="e">
        <f>ROUND(SUM(#REF!),2)</f>
        <v>#REF!</v>
      </c>
    </row>
    <row r="1562" spans="1:8" s="93" customFormat="1" ht="30" customHeight="1">
      <c r="A1562" s="91" t="s">
        <v>12637</v>
      </c>
      <c r="B1562" s="364" t="str">
        <f>VLOOKUP($A1562,SERVICOS,4,FALSE)</f>
        <v>Trave Para Futebol De Salão De Tubo De Ferro Galvanizado 3", Com Recuo, Removível, Dimensões Oficiais 3X2M</v>
      </c>
      <c r="C1562" s="365"/>
      <c r="D1562" s="365"/>
      <c r="E1562" s="365"/>
      <c r="F1562" s="366"/>
      <c r="G1562" s="91" t="str">
        <f>VLOOKUP($A1562,SERVICOS,5,FALSE)</f>
        <v>und</v>
      </c>
      <c r="H1562" s="92">
        <f>ROUND(SUM(H1564:H1564),2)</f>
        <v>2</v>
      </c>
    </row>
    <row r="1563" spans="1:8" ht="15" customHeight="1">
      <c r="A1563" s="94" t="s">
        <v>938</v>
      </c>
      <c r="B1563" s="94" t="s">
        <v>7319</v>
      </c>
      <c r="C1563" s="95"/>
      <c r="D1563" s="95"/>
      <c r="E1563" s="94"/>
      <c r="F1563" s="94"/>
      <c r="G1563" s="94"/>
      <c r="H1563" s="96"/>
    </row>
    <row r="1564" spans="1:8" ht="15" customHeight="1">
      <c r="A1564" s="97" t="s">
        <v>13904</v>
      </c>
      <c r="B1564" s="98">
        <v>2</v>
      </c>
      <c r="C1564" s="98"/>
      <c r="D1564" s="98"/>
      <c r="E1564" s="98"/>
      <c r="F1564" s="98"/>
      <c r="G1564" s="98"/>
      <c r="H1564" s="98">
        <f>B1564</f>
        <v>2</v>
      </c>
    </row>
    <row r="1565" spans="1:8" s="93" customFormat="1" ht="15" customHeight="1">
      <c r="A1565" s="91" t="s">
        <v>14188</v>
      </c>
      <c r="B1565" s="364" t="str">
        <f>VLOOKUP($A1565,SERVICOS,4,FALSE)</f>
        <v>Rede Para Futebol De Salão</v>
      </c>
      <c r="C1565" s="365"/>
      <c r="D1565" s="365"/>
      <c r="E1565" s="365"/>
      <c r="F1565" s="366"/>
      <c r="G1565" s="91" t="str">
        <f>VLOOKUP($A1565,SERVICOS,5,FALSE)</f>
        <v>und</v>
      </c>
      <c r="H1565" s="92">
        <f>ROUND(SUM(H1567:H1567),2)</f>
        <v>2</v>
      </c>
    </row>
    <row r="1566" spans="1:8" ht="15" customHeight="1">
      <c r="A1566" s="94" t="s">
        <v>938</v>
      </c>
      <c r="B1566" s="94" t="s">
        <v>7319</v>
      </c>
      <c r="C1566" s="95"/>
      <c r="D1566" s="95"/>
      <c r="E1566" s="94"/>
      <c r="F1566" s="94"/>
      <c r="G1566" s="94"/>
      <c r="H1566" s="96"/>
    </row>
    <row r="1567" spans="1:8" ht="15" customHeight="1">
      <c r="A1567" s="97" t="s">
        <v>13904</v>
      </c>
      <c r="B1567" s="98">
        <v>2</v>
      </c>
      <c r="C1567" s="98"/>
      <c r="D1567" s="98"/>
      <c r="E1567" s="98"/>
      <c r="F1567" s="98"/>
      <c r="G1567" s="98"/>
      <c r="H1567" s="98">
        <f>B1567</f>
        <v>2</v>
      </c>
    </row>
    <row r="1568" spans="1:8" s="93" customFormat="1" ht="45" customHeight="1">
      <c r="A1568" s="91" t="s">
        <v>14189</v>
      </c>
      <c r="B1568" s="364" t="str">
        <f>VLOOKUP($A1568,SERVICOS,4,FALSE)</f>
        <v>Conjunto De Poste De Voleibol De Tubo De Ferro Galvanizado 3"E Parte Móvel De 21/2", Inclusive Carretilha, Furo Com Tubo De Ferro Galvanizado De 31/2"E Tampão De Furo</v>
      </c>
      <c r="C1568" s="365"/>
      <c r="D1568" s="365"/>
      <c r="E1568" s="365"/>
      <c r="F1568" s="366"/>
      <c r="G1568" s="91" t="str">
        <f>VLOOKUP($A1568,SERVICOS,5,FALSE)</f>
        <v>und</v>
      </c>
      <c r="H1568" s="92">
        <f>ROUND(SUM(H1570:H1570),2)</f>
        <v>1</v>
      </c>
    </row>
    <row r="1569" spans="1:8" ht="15" customHeight="1">
      <c r="A1569" s="94" t="s">
        <v>938</v>
      </c>
      <c r="B1569" s="94" t="s">
        <v>7319</v>
      </c>
      <c r="C1569" s="95"/>
      <c r="D1569" s="95"/>
      <c r="E1569" s="94"/>
      <c r="F1569" s="94"/>
      <c r="G1569" s="94"/>
      <c r="H1569" s="96"/>
    </row>
    <row r="1570" spans="1:8" ht="15" customHeight="1">
      <c r="A1570" s="97" t="s">
        <v>13904</v>
      </c>
      <c r="B1570" s="98">
        <v>1</v>
      </c>
      <c r="C1570" s="98"/>
      <c r="D1570" s="98"/>
      <c r="E1570" s="98"/>
      <c r="F1570" s="98"/>
      <c r="G1570" s="98"/>
      <c r="H1570" s="98">
        <f>B1570</f>
        <v>1</v>
      </c>
    </row>
    <row r="1571" spans="1:8" s="93" customFormat="1" ht="30" customHeight="1">
      <c r="A1571" s="91" t="s">
        <v>14293</v>
      </c>
      <c r="B1571" s="364" t="str">
        <f>VLOOKUP($A1571,SERVICOS,4,FALSE)</f>
        <v>Rede Para Voleibol Com Malha Grossa, Faixas De Lona Superior E Inferior</v>
      </c>
      <c r="C1571" s="365"/>
      <c r="D1571" s="365"/>
      <c r="E1571" s="365"/>
      <c r="F1571" s="366"/>
      <c r="G1571" s="91" t="str">
        <f>VLOOKUP($A1571,SERVICOS,5,FALSE)</f>
        <v>und</v>
      </c>
      <c r="H1571" s="92">
        <f>ROUND(SUM(H1573:H1573),2)</f>
        <v>1</v>
      </c>
    </row>
    <row r="1572" spans="1:8" ht="15" customHeight="1">
      <c r="A1572" s="94" t="s">
        <v>938</v>
      </c>
      <c r="B1572" s="94" t="s">
        <v>7319</v>
      </c>
      <c r="C1572" s="95"/>
      <c r="D1572" s="95"/>
      <c r="E1572" s="94"/>
      <c r="F1572" s="94"/>
      <c r="G1572" s="94"/>
      <c r="H1572" s="96"/>
    </row>
    <row r="1573" spans="1:8" ht="15" customHeight="1">
      <c r="A1573" s="97" t="s">
        <v>13904</v>
      </c>
      <c r="B1573" s="98">
        <v>1</v>
      </c>
      <c r="C1573" s="98"/>
      <c r="D1573" s="98"/>
      <c r="E1573" s="98"/>
      <c r="F1573" s="98"/>
      <c r="G1573" s="98"/>
      <c r="H1573" s="98">
        <f>B1573</f>
        <v>1</v>
      </c>
    </row>
    <row r="1574" spans="1:8" s="93" customFormat="1" ht="30" customHeight="1">
      <c r="A1574" s="91" t="s">
        <v>14294</v>
      </c>
      <c r="B1574" s="364" t="str">
        <f>VLOOKUP($A1574,SERVICOS,4,FALSE)</f>
        <v>Suporte Para Tabela De Basquete De Concreto Armado Fck = 15Mpa, Inclusive Forma, Armação, Lançamento E Desforma</v>
      </c>
      <c r="C1574" s="365"/>
      <c r="D1574" s="365"/>
      <c r="E1574" s="365"/>
      <c r="F1574" s="366"/>
      <c r="G1574" s="91" t="str">
        <f>VLOOKUP($A1574,SERVICOS,5,FALSE)</f>
        <v>und</v>
      </c>
      <c r="H1574" s="92">
        <f>ROUND(SUM(H1576:H1576),2)</f>
        <v>2</v>
      </c>
    </row>
    <row r="1575" spans="1:8" ht="15" customHeight="1">
      <c r="A1575" s="94" t="s">
        <v>938</v>
      </c>
      <c r="B1575" s="94" t="s">
        <v>7319</v>
      </c>
      <c r="C1575" s="95"/>
      <c r="D1575" s="95"/>
      <c r="E1575" s="94"/>
      <c r="F1575" s="94"/>
      <c r="G1575" s="94"/>
      <c r="H1575" s="96"/>
    </row>
    <row r="1576" spans="1:8" ht="15" customHeight="1">
      <c r="A1576" s="97" t="s">
        <v>13904</v>
      </c>
      <c r="B1576" s="98">
        <v>2</v>
      </c>
      <c r="C1576" s="98"/>
      <c r="D1576" s="98"/>
      <c r="E1576" s="98"/>
      <c r="F1576" s="98"/>
      <c r="G1576" s="98"/>
      <c r="H1576" s="98">
        <f>B1576</f>
        <v>2</v>
      </c>
    </row>
    <row r="1577" spans="1:8" s="93" customFormat="1" ht="15" customHeight="1">
      <c r="A1577" s="91" t="s">
        <v>14295</v>
      </c>
      <c r="B1577" s="364" t="str">
        <f>VLOOKUP($A1577,SERVICOS,4,FALSE)</f>
        <v>Tabela De Basquete De Madeira, Com Aro, Inclusive Colocação</v>
      </c>
      <c r="C1577" s="365"/>
      <c r="D1577" s="365"/>
      <c r="E1577" s="365"/>
      <c r="F1577" s="366"/>
      <c r="G1577" s="91" t="str">
        <f>VLOOKUP($A1577,SERVICOS,5,FALSE)</f>
        <v>und</v>
      </c>
      <c r="H1577" s="92">
        <f>ROUND(SUM(H1579:H1579),2)</f>
        <v>2</v>
      </c>
    </row>
    <row r="1578" spans="1:8" ht="15" customHeight="1">
      <c r="A1578" s="94" t="s">
        <v>938</v>
      </c>
      <c r="B1578" s="94" t="s">
        <v>7319</v>
      </c>
      <c r="C1578" s="95"/>
      <c r="D1578" s="95"/>
      <c r="E1578" s="94"/>
      <c r="F1578" s="94"/>
      <c r="G1578" s="94"/>
      <c r="H1578" s="96"/>
    </row>
    <row r="1579" spans="1:8" ht="15" customHeight="1">
      <c r="A1579" s="97" t="s">
        <v>13904</v>
      </c>
      <c r="B1579" s="98">
        <v>2</v>
      </c>
      <c r="C1579" s="98"/>
      <c r="D1579" s="98"/>
      <c r="E1579" s="98"/>
      <c r="F1579" s="98"/>
      <c r="G1579" s="98"/>
      <c r="H1579" s="98">
        <f>B1579</f>
        <v>2</v>
      </c>
    </row>
    <row r="1580" spans="1:8" s="93" customFormat="1" ht="30" customHeight="1">
      <c r="A1580" s="91" t="s">
        <v>16608</v>
      </c>
      <c r="B1580" s="364" t="str">
        <f>VLOOKUP($A1580,SERVICOS,4,FALSE)</f>
        <v>Rede De Proteção Em Nylon Malha 10X10 Cm Para Proteção De Quadra De Esportes</v>
      </c>
      <c r="C1580" s="365"/>
      <c r="D1580" s="365"/>
      <c r="E1580" s="365"/>
      <c r="F1580" s="366"/>
      <c r="G1580" s="91" t="str">
        <f>VLOOKUP($A1580,SERVICOS,5,FALSE)</f>
        <v>m2</v>
      </c>
      <c r="H1580" s="92">
        <f>ROUND(SUM(H1582:H1582),2)</f>
        <v>580.79999999999995</v>
      </c>
    </row>
    <row r="1581" spans="1:8" ht="15" customHeight="1">
      <c r="A1581" s="94" t="s">
        <v>938</v>
      </c>
      <c r="B1581" s="94" t="s">
        <v>7319</v>
      </c>
      <c r="C1581" s="95" t="s">
        <v>14191</v>
      </c>
      <c r="D1581" s="95" t="s">
        <v>7320</v>
      </c>
      <c r="E1581" s="94" t="s">
        <v>14192</v>
      </c>
      <c r="F1581" s="94"/>
      <c r="G1581" s="94"/>
      <c r="H1581" s="96"/>
    </row>
    <row r="1582" spans="1:8" ht="15" customHeight="1">
      <c r="A1582" s="97" t="s">
        <v>16609</v>
      </c>
      <c r="B1582" s="98">
        <v>1</v>
      </c>
      <c r="C1582" s="98">
        <v>18.2</v>
      </c>
      <c r="D1582" s="98">
        <v>30.2</v>
      </c>
      <c r="E1582" s="98">
        <v>6</v>
      </c>
      <c r="F1582" s="98"/>
      <c r="G1582" s="98"/>
      <c r="H1582" s="98">
        <f>B1582*(C1582+D1582)*2*E1582</f>
        <v>580.79999999999995</v>
      </c>
    </row>
    <row r="1583" spans="1:8" ht="15" customHeight="1">
      <c r="A1583" s="89" t="s">
        <v>12645</v>
      </c>
      <c r="B1583" s="367" t="str">
        <f>VLOOKUP($A1583,SERVICOS,4,FALSE)</f>
        <v>SERVIÇOS COMPLEMENTARES</v>
      </c>
      <c r="C1583" s="367"/>
      <c r="D1583" s="367"/>
      <c r="E1583" s="367"/>
      <c r="F1583" s="367"/>
      <c r="G1583" s="367">
        <f>VLOOKUP($A1583,SERVICOS,5,FALSE)</f>
        <v>0</v>
      </c>
      <c r="H1583" s="367" t="e">
        <f>ROUND(SUM(#REF!),2)</f>
        <v>#REF!</v>
      </c>
    </row>
    <row r="1584" spans="1:8" s="93" customFormat="1" ht="60" customHeight="1">
      <c r="A1584" s="91" t="s">
        <v>12646</v>
      </c>
      <c r="B1584" s="364" t="str">
        <f>VLOOKUP($A1584,SERVICOS,4,FALSE)</f>
        <v>Guarda-Corpo De Aço Galvanizado De 1,10M De Altura, Montantes Tubulares De 1.1/2  Espaçados De 1,20M, Travessa Superior De 2 , Gradil Formado Por Barras Chatas Em Ferro De 32X4,8Mm, Fixado Com Chumbador Mecânico. Af_04/2019_Ps</v>
      </c>
      <c r="C1584" s="365"/>
      <c r="D1584" s="365"/>
      <c r="E1584" s="365"/>
      <c r="F1584" s="366"/>
      <c r="G1584" s="91" t="str">
        <f>VLOOKUP($A1584,SERVICOS,5,FALSE)</f>
        <v>m</v>
      </c>
      <c r="H1584" s="92">
        <f>ROUND(SUM(H1586:H1589),2)</f>
        <v>32.4</v>
      </c>
    </row>
    <row r="1585" spans="1:8" ht="15" customHeight="1">
      <c r="A1585" s="94" t="s">
        <v>938</v>
      </c>
      <c r="B1585" s="95" t="s">
        <v>7319</v>
      </c>
      <c r="C1585" s="95" t="s">
        <v>7320</v>
      </c>
      <c r="D1585" s="95"/>
      <c r="E1585" s="94"/>
      <c r="F1585" s="94"/>
      <c r="G1585" s="94"/>
      <c r="H1585" s="96"/>
    </row>
    <row r="1586" spans="1:8" ht="25.5">
      <c r="A1586" s="204" t="s">
        <v>14900</v>
      </c>
      <c r="B1586" s="98">
        <v>2</v>
      </c>
      <c r="C1586" s="98">
        <v>7.2</v>
      </c>
      <c r="D1586" s="98"/>
      <c r="E1586" s="98"/>
      <c r="F1586" s="98"/>
      <c r="G1586" s="98"/>
      <c r="H1586" s="98">
        <f>B1586*C1586</f>
        <v>14.4</v>
      </c>
    </row>
    <row r="1587" spans="1:8" ht="25.5">
      <c r="A1587" s="204" t="s">
        <v>14899</v>
      </c>
      <c r="B1587" s="98">
        <v>2</v>
      </c>
      <c r="C1587" s="98">
        <f>0.6+1.8</f>
        <v>2.4</v>
      </c>
      <c r="D1587" s="98"/>
      <c r="E1587" s="98"/>
      <c r="F1587" s="98"/>
      <c r="G1587" s="98"/>
      <c r="H1587" s="98">
        <f>B1587*C1587</f>
        <v>4.8</v>
      </c>
    </row>
    <row r="1588" spans="1:8" ht="15" customHeight="1">
      <c r="A1588" s="204" t="s">
        <v>14901</v>
      </c>
      <c r="B1588" s="98">
        <v>1</v>
      </c>
      <c r="C1588" s="98">
        <f>1.5+0.9</f>
        <v>2.4</v>
      </c>
      <c r="D1588" s="98"/>
      <c r="E1588" s="98"/>
      <c r="F1588" s="98"/>
      <c r="G1588" s="98"/>
      <c r="H1588" s="98">
        <f>B1588*C1588</f>
        <v>2.4</v>
      </c>
    </row>
    <row r="1589" spans="1:8" ht="15" customHeight="1">
      <c r="A1589" s="204" t="s">
        <v>14940</v>
      </c>
      <c r="B1589" s="98">
        <v>1</v>
      </c>
      <c r="C1589" s="98">
        <f>3.25+7.55</f>
        <v>10.8</v>
      </c>
      <c r="D1589" s="98"/>
      <c r="E1589" s="98"/>
      <c r="F1589" s="98"/>
      <c r="G1589" s="98"/>
      <c r="H1589" s="98">
        <f>B1589*C1589</f>
        <v>10.8</v>
      </c>
    </row>
    <row r="1590" spans="1:8" s="93" customFormat="1" ht="30" customHeight="1">
      <c r="A1590" s="91" t="s">
        <v>14190</v>
      </c>
      <c r="B1590" s="364" t="str">
        <f>VLOOKUP($A1590,SERVICOS,4,FALSE)</f>
        <v>Corrimão Em Tubo De Ferro Galvanizado Diam. 2" Com Chumbadores A Cada 1.5M</v>
      </c>
      <c r="C1590" s="365"/>
      <c r="D1590" s="365"/>
      <c r="E1590" s="365"/>
      <c r="F1590" s="366"/>
      <c r="G1590" s="91" t="str">
        <f>VLOOKUP($A1590,SERVICOS,5,FALSE)</f>
        <v>m</v>
      </c>
      <c r="H1590" s="92">
        <f>ROUND(SUM(H1592:H1594),2)</f>
        <v>62.75</v>
      </c>
    </row>
    <row r="1591" spans="1:8" ht="15" customHeight="1">
      <c r="A1591" s="94" t="s">
        <v>938</v>
      </c>
      <c r="B1591" s="95" t="s">
        <v>7319</v>
      </c>
      <c r="C1591" s="95" t="s">
        <v>7320</v>
      </c>
      <c r="D1591" s="95"/>
      <c r="E1591" s="94"/>
      <c r="F1591" s="94"/>
      <c r="G1591" s="94"/>
      <c r="H1591" s="96"/>
    </row>
    <row r="1592" spans="1:8" ht="25.5">
      <c r="A1592" s="204" t="str">
        <f>A1586</f>
        <v>Guarda-corpo rampa (fachada frontal)</v>
      </c>
      <c r="B1592" s="98">
        <v>4</v>
      </c>
      <c r="C1592" s="98">
        <f>C1586</f>
        <v>7.2</v>
      </c>
      <c r="D1592" s="98"/>
      <c r="E1592" s="98"/>
      <c r="F1592" s="98"/>
      <c r="G1592" s="98"/>
      <c r="H1592" s="98">
        <f>B1592*C1592</f>
        <v>28.8</v>
      </c>
    </row>
    <row r="1593" spans="1:8" ht="25.5">
      <c r="A1593" s="204" t="str">
        <f>A1587</f>
        <v>Guarda-corpo escada (fachada frontal)</v>
      </c>
      <c r="B1593" s="98">
        <v>4</v>
      </c>
      <c r="C1593" s="98">
        <f>C1587</f>
        <v>2.4</v>
      </c>
      <c r="D1593" s="98"/>
      <c r="E1593" s="98"/>
      <c r="F1593" s="98"/>
      <c r="G1593" s="98"/>
      <c r="H1593" s="98">
        <f>B1593*C1593</f>
        <v>9.6</v>
      </c>
    </row>
    <row r="1594" spans="1:8" ht="15" customHeight="1">
      <c r="A1594" s="204" t="s">
        <v>14940</v>
      </c>
      <c r="B1594" s="98">
        <v>1</v>
      </c>
      <c r="C1594" s="98">
        <f>13.4+10.95</f>
        <v>24.35</v>
      </c>
      <c r="D1594" s="98"/>
      <c r="E1594" s="98"/>
      <c r="F1594" s="98"/>
      <c r="G1594" s="98"/>
      <c r="H1594" s="98">
        <f>B1594*C1594</f>
        <v>24.35</v>
      </c>
    </row>
    <row r="1595" spans="1:8" s="93" customFormat="1" ht="15" customHeight="1">
      <c r="A1595" s="91" t="s">
        <v>14591</v>
      </c>
      <c r="B1595" s="364" t="str">
        <f>VLOOKUP($A1595,SERVICOS,4,FALSE)</f>
        <v>Plantio De Arbusto Ou  Cerca Viva. Af_05/2018</v>
      </c>
      <c r="C1595" s="365"/>
      <c r="D1595" s="365"/>
      <c r="E1595" s="365"/>
      <c r="F1595" s="366"/>
      <c r="G1595" s="91" t="str">
        <f>VLOOKUP($A1595,SERVICOS,5,FALSE)</f>
        <v>un</v>
      </c>
      <c r="H1595" s="92">
        <f>ROUND(SUM(H1597:H1597),2)</f>
        <v>10</v>
      </c>
    </row>
    <row r="1596" spans="1:8" ht="15" customHeight="1">
      <c r="A1596" s="94" t="s">
        <v>938</v>
      </c>
      <c r="B1596" s="95" t="s">
        <v>7319</v>
      </c>
      <c r="C1596" s="95"/>
      <c r="D1596" s="95"/>
      <c r="E1596" s="94"/>
      <c r="F1596" s="94"/>
      <c r="G1596" s="94"/>
      <c r="H1596" s="96"/>
    </row>
    <row r="1597" spans="1:8" ht="15" customHeight="1">
      <c r="A1597" s="97" t="s">
        <v>14904</v>
      </c>
      <c r="B1597" s="98">
        <v>10</v>
      </c>
      <c r="C1597" s="205" t="s">
        <v>14902</v>
      </c>
      <c r="D1597" s="98"/>
      <c r="E1597" s="98"/>
      <c r="F1597" s="98"/>
      <c r="G1597" s="98"/>
      <c r="H1597" s="98">
        <f>B1597</f>
        <v>10</v>
      </c>
    </row>
    <row r="1598" spans="1:8" s="93" customFormat="1" ht="30" customHeight="1">
      <c r="A1598" s="91" t="s">
        <v>14648</v>
      </c>
      <c r="B1598" s="364" t="str">
        <f>VLOOKUP($A1598,SERVICOS,4,FALSE)</f>
        <v>Plantio De Árvore Ornamental Com Altura De Muda Maior Que 2,00 M E Menor Ou Igual A 4,00 M. Af_05/2018</v>
      </c>
      <c r="C1598" s="365"/>
      <c r="D1598" s="365"/>
      <c r="E1598" s="365"/>
      <c r="F1598" s="366"/>
      <c r="G1598" s="91" t="str">
        <f>VLOOKUP($A1598,SERVICOS,5,FALSE)</f>
        <v>un</v>
      </c>
      <c r="H1598" s="92">
        <f>ROUND(SUM(H1600:H1600),2)</f>
        <v>1</v>
      </c>
    </row>
    <row r="1599" spans="1:8" ht="15" customHeight="1">
      <c r="A1599" s="94" t="s">
        <v>938</v>
      </c>
      <c r="B1599" s="95" t="s">
        <v>7319</v>
      </c>
      <c r="C1599" s="95"/>
      <c r="D1599" s="95"/>
      <c r="E1599" s="94"/>
      <c r="F1599" s="94"/>
      <c r="G1599" s="94"/>
      <c r="H1599" s="96"/>
    </row>
    <row r="1600" spans="1:8" ht="15" customHeight="1">
      <c r="A1600" s="97" t="s">
        <v>14903</v>
      </c>
      <c r="B1600" s="98">
        <v>1</v>
      </c>
      <c r="C1600" s="205"/>
      <c r="D1600" s="98"/>
      <c r="E1600" s="98"/>
      <c r="F1600" s="98"/>
      <c r="G1600" s="98"/>
      <c r="H1600" s="98">
        <f>B1600</f>
        <v>1</v>
      </c>
    </row>
    <row r="1601" spans="1:12" ht="15" customHeight="1">
      <c r="A1601" s="89" t="s">
        <v>14470</v>
      </c>
      <c r="B1601" s="367" t="str">
        <f>VLOOKUP($A1601,SERVICOS,4,FALSE)</f>
        <v>SERVIÇOS FINAIS</v>
      </c>
      <c r="C1601" s="367"/>
      <c r="D1601" s="367"/>
      <c r="E1601" s="367"/>
      <c r="F1601" s="367"/>
      <c r="G1601" s="367">
        <f>VLOOKUP($A1601,SERVICOS,5,FALSE)</f>
        <v>0</v>
      </c>
      <c r="H1601" s="367" t="e">
        <f>ROUND(SUM(#REF!),2)</f>
        <v>#REF!</v>
      </c>
    </row>
    <row r="1602" spans="1:12" s="93" customFormat="1" ht="15" customHeight="1">
      <c r="A1602" s="91" t="s">
        <v>14471</v>
      </c>
      <c r="B1602" s="364" t="str">
        <f>VLOOKUP($A1602,SERVICOS,4,FALSE)</f>
        <v>Limpeza Geral De Obras (Quadras, Praças E Jardins)</v>
      </c>
      <c r="C1602" s="365"/>
      <c r="D1602" s="365"/>
      <c r="E1602" s="365"/>
      <c r="F1602" s="366"/>
      <c r="G1602" s="91" t="str">
        <f>VLOOKUP($A1602,SERVICOS,5,FALSE)</f>
        <v>m2</v>
      </c>
      <c r="H1602" s="92">
        <f>ROUND(SUM(H1604:H1604),2)</f>
        <v>1337.87</v>
      </c>
    </row>
    <row r="1603" spans="1:12" ht="15" customHeight="1">
      <c r="A1603" s="94" t="s">
        <v>938</v>
      </c>
      <c r="B1603" s="95" t="s">
        <v>12639</v>
      </c>
      <c r="C1603" s="95"/>
      <c r="D1603" s="95"/>
      <c r="E1603" s="94"/>
      <c r="F1603" s="94"/>
      <c r="G1603" s="94"/>
      <c r="H1603" s="96"/>
    </row>
    <row r="1604" spans="1:12" ht="15" customHeight="1">
      <c r="A1604" s="97" t="s">
        <v>12640</v>
      </c>
      <c r="B1604" s="98">
        <v>1337.87</v>
      </c>
      <c r="C1604" s="98"/>
      <c r="D1604" s="98"/>
      <c r="E1604" s="98"/>
      <c r="F1604" s="98"/>
      <c r="G1604" s="98"/>
      <c r="H1604" s="98">
        <f>B1604</f>
        <v>1337.87</v>
      </c>
    </row>
    <row r="1605" spans="1:12" s="93" customFormat="1" ht="30" customHeight="1">
      <c r="A1605" s="91" t="s">
        <v>14472</v>
      </c>
      <c r="B1605" s="364" t="str">
        <f>VLOOKUP($A1605,SERVICOS,4,FALSE)</f>
        <v>Placa De Inauguração Em Inox Com Gravação Em Baixo Relevo, Dimensões 80 X 110 Cm, Inclusive Com Brasão Prefeitura</v>
      </c>
      <c r="C1605" s="365"/>
      <c r="D1605" s="365"/>
      <c r="E1605" s="365"/>
      <c r="F1605" s="366"/>
      <c r="G1605" s="91" t="str">
        <f>VLOOKUP($A1605,SERVICOS,5,FALSE)</f>
        <v>und.</v>
      </c>
      <c r="H1605" s="92">
        <f>ROUND(SUM(H1607:H1608),2)</f>
        <v>2</v>
      </c>
    </row>
    <row r="1606" spans="1:12" ht="15" customHeight="1">
      <c r="A1606" s="94" t="s">
        <v>938</v>
      </c>
      <c r="B1606" s="94" t="s">
        <v>7319</v>
      </c>
      <c r="C1606" s="95"/>
      <c r="D1606" s="95"/>
      <c r="E1606" s="94"/>
      <c r="F1606" s="94"/>
      <c r="G1606" s="94"/>
      <c r="H1606" s="96"/>
    </row>
    <row r="1607" spans="1:12" ht="15" customHeight="1">
      <c r="A1607" s="97" t="s">
        <v>13893</v>
      </c>
      <c r="B1607" s="98">
        <v>1</v>
      </c>
      <c r="C1607" s="98"/>
      <c r="D1607" s="98"/>
      <c r="E1607" s="98"/>
      <c r="F1607" s="98"/>
      <c r="G1607" s="98"/>
      <c r="H1607" s="98">
        <f>B1607</f>
        <v>1</v>
      </c>
    </row>
    <row r="1608" spans="1:12" ht="15" customHeight="1">
      <c r="A1608" s="97" t="s">
        <v>14913</v>
      </c>
      <c r="B1608" s="98">
        <v>1</v>
      </c>
      <c r="C1608" s="98"/>
      <c r="D1608" s="98"/>
      <c r="E1608" s="98"/>
      <c r="F1608" s="98"/>
      <c r="G1608" s="98"/>
      <c r="H1608" s="98">
        <f>B1608</f>
        <v>1</v>
      </c>
    </row>
    <row r="1610" spans="1:12" s="64" customFormat="1" ht="12.75">
      <c r="A1610" s="313" t="s">
        <v>16610</v>
      </c>
      <c r="B1610" s="314" t="s">
        <v>19125</v>
      </c>
      <c r="C1610" s="61"/>
      <c r="D1610" s="62"/>
      <c r="E1610" s="61"/>
      <c r="F1610" s="61"/>
      <c r="G1610" s="63"/>
      <c r="H1610" s="63"/>
      <c r="I1610" s="352"/>
      <c r="J1610" s="352"/>
      <c r="K1610" s="352"/>
      <c r="L1610" s="352"/>
    </row>
    <row r="1611" spans="1:12" s="64" customFormat="1" ht="13.5" thickBot="1">
      <c r="A1611" s="316"/>
      <c r="B1611" s="317"/>
      <c r="C1611" s="61"/>
      <c r="D1611" s="62"/>
      <c r="E1611" s="353"/>
      <c r="F1611" s="353"/>
      <c r="G1611" s="353"/>
      <c r="H1611" s="353"/>
      <c r="I1611" s="350"/>
      <c r="J1611" s="350"/>
      <c r="K1611" s="350"/>
      <c r="L1611" s="350"/>
    </row>
    <row r="1612" spans="1:12" s="64" customFormat="1" ht="12.75">
      <c r="A1612" s="316"/>
      <c r="B1612" s="319"/>
      <c r="C1612" s="61"/>
      <c r="D1612" s="62"/>
      <c r="E1612" s="354" t="s">
        <v>16611</v>
      </c>
      <c r="F1612" s="354"/>
      <c r="G1612" s="354"/>
      <c r="H1612" s="354"/>
      <c r="I1612" s="350"/>
      <c r="J1612" s="350"/>
      <c r="K1612" s="350"/>
      <c r="L1612" s="350"/>
    </row>
    <row r="1613" spans="1:12" s="64" customFormat="1" ht="12.75">
      <c r="A1613" s="60"/>
      <c r="B1613" s="61"/>
      <c r="C1613" s="61"/>
      <c r="D1613" s="62"/>
      <c r="E1613" s="350" t="s">
        <v>16612</v>
      </c>
      <c r="F1613" s="350"/>
      <c r="G1613" s="350"/>
      <c r="H1613" s="350"/>
      <c r="I1613" s="186"/>
      <c r="J1613" s="157"/>
    </row>
  </sheetData>
  <mergeCells count="365">
    <mergeCell ref="B1601:H1601"/>
    <mergeCell ref="B1480:F1480"/>
    <mergeCell ref="I1610:L1610"/>
    <mergeCell ref="E1611:H1611"/>
    <mergeCell ref="I1611:L1611"/>
    <mergeCell ref="E1612:H1612"/>
    <mergeCell ref="I1612:L1612"/>
    <mergeCell ref="E1613:H1613"/>
    <mergeCell ref="B1580:F1580"/>
    <mergeCell ref="B1486:H1486"/>
    <mergeCell ref="B1496:F1496"/>
    <mergeCell ref="B1490:F1490"/>
    <mergeCell ref="B1493:F1493"/>
    <mergeCell ref="B1515:F1515"/>
    <mergeCell ref="B1505:F1505"/>
    <mergeCell ref="B1508:F1508"/>
    <mergeCell ref="B1511:F1511"/>
    <mergeCell ref="B1499:F1499"/>
    <mergeCell ref="B1502:F1502"/>
    <mergeCell ref="B1514:H1514"/>
    <mergeCell ref="B1595:F1595"/>
    <mergeCell ref="B1598:F1598"/>
    <mergeCell ref="B1583:H1583"/>
    <mergeCell ref="B1584:F1584"/>
    <mergeCell ref="A135:H135"/>
    <mergeCell ref="B169:H169"/>
    <mergeCell ref="B223:F223"/>
    <mergeCell ref="B252:F252"/>
    <mergeCell ref="A608:H608"/>
    <mergeCell ref="A798:H798"/>
    <mergeCell ref="B991:F991"/>
    <mergeCell ref="B1605:F1605"/>
    <mergeCell ref="B966:F966"/>
    <mergeCell ref="B1590:F1590"/>
    <mergeCell ref="B1237:H1237"/>
    <mergeCell ref="B1536:H1536"/>
    <mergeCell ref="B1308:F1308"/>
    <mergeCell ref="B1333:F1333"/>
    <mergeCell ref="B1357:F1357"/>
    <mergeCell ref="B1552:F1552"/>
    <mergeCell ref="B1360:F1360"/>
    <mergeCell ref="B1403:F1403"/>
    <mergeCell ref="B1487:F1487"/>
    <mergeCell ref="B1454:F1454"/>
    <mergeCell ref="B1433:F1433"/>
    <mergeCell ref="B1436:F1436"/>
    <mergeCell ref="B1439:F1439"/>
    <mergeCell ref="B1602:F1602"/>
    <mergeCell ref="B1448:F1448"/>
    <mergeCell ref="B45:F45"/>
    <mergeCell ref="B48:F48"/>
    <mergeCell ref="B92:F92"/>
    <mergeCell ref="B58:F58"/>
    <mergeCell ref="B52:F52"/>
    <mergeCell ref="B51:H51"/>
    <mergeCell ref="B100:F100"/>
    <mergeCell ref="B78:F78"/>
    <mergeCell ref="B81:F81"/>
    <mergeCell ref="B99:H99"/>
    <mergeCell ref="B64:F64"/>
    <mergeCell ref="B67:F67"/>
    <mergeCell ref="A71:H71"/>
    <mergeCell ref="B72:F72"/>
    <mergeCell ref="A77:H77"/>
    <mergeCell ref="B84:F84"/>
    <mergeCell ref="B88:F88"/>
    <mergeCell ref="B103:F103"/>
    <mergeCell ref="B933:F933"/>
    <mergeCell ref="B1341:F1341"/>
    <mergeCell ref="B1376:F1376"/>
    <mergeCell ref="B1379:F1379"/>
    <mergeCell ref="B1370:F1370"/>
    <mergeCell ref="B1473:F1473"/>
    <mergeCell ref="B1476:F1476"/>
    <mergeCell ref="B1458:F1458"/>
    <mergeCell ref="B1461:F1461"/>
    <mergeCell ref="B1464:F1464"/>
    <mergeCell ref="B1413:H1413"/>
    <mergeCell ref="B1406:F1406"/>
    <mergeCell ref="B1389:H1389"/>
    <mergeCell ref="B1390:F1390"/>
    <mergeCell ref="B1393:F1393"/>
    <mergeCell ref="B1400:F1400"/>
    <mergeCell ref="B1442:F1442"/>
    <mergeCell ref="B1445:F1445"/>
    <mergeCell ref="B1429:F1429"/>
    <mergeCell ref="B1414:F1414"/>
    <mergeCell ref="B1470:F1470"/>
    <mergeCell ref="B1457:H1457"/>
    <mergeCell ref="B1409:F1409"/>
    <mergeCell ref="B1412:H1412"/>
    <mergeCell ref="B1397:F1397"/>
    <mergeCell ref="B1451:F1451"/>
    <mergeCell ref="B1396:H1396"/>
    <mergeCell ref="B1423:F1423"/>
    <mergeCell ref="B1417:F1417"/>
    <mergeCell ref="B1224:F1224"/>
    <mergeCell ref="B1163:F1163"/>
    <mergeCell ref="B1166:F1166"/>
    <mergeCell ref="B1169:F1169"/>
    <mergeCell ref="A716:H716"/>
    <mergeCell ref="A872:H872"/>
    <mergeCell ref="A978:H978"/>
    <mergeCell ref="B1002:F1002"/>
    <mergeCell ref="B1012:F1012"/>
    <mergeCell ref="B1031:F1031"/>
    <mergeCell ref="B1034:F1034"/>
    <mergeCell ref="B1038:F1038"/>
    <mergeCell ref="B1041:F1041"/>
    <mergeCell ref="B1092:F1092"/>
    <mergeCell ref="B1086:F1086"/>
    <mergeCell ref="B1095:F1095"/>
    <mergeCell ref="B1107:F1107"/>
    <mergeCell ref="B1110:F1110"/>
    <mergeCell ref="B1156:H1156"/>
    <mergeCell ref="B1055:F1055"/>
    <mergeCell ref="B1059:F1059"/>
    <mergeCell ref="B1069:F1069"/>
    <mergeCell ref="B1068:H1068"/>
    <mergeCell ref="B1113:F1113"/>
    <mergeCell ref="B1426:F1426"/>
    <mergeCell ref="B1432:H1432"/>
    <mergeCell ref="B1382:H1382"/>
    <mergeCell ref="B1383:F1383"/>
    <mergeCell ref="B1386:F1386"/>
    <mergeCell ref="B1273:F1273"/>
    <mergeCell ref="B1276:F1276"/>
    <mergeCell ref="B1420:F1420"/>
    <mergeCell ref="B1373:F1373"/>
    <mergeCell ref="B1365:H1365"/>
    <mergeCell ref="B1364:H1364"/>
    <mergeCell ref="B1366:F1366"/>
    <mergeCell ref="B1369:H1369"/>
    <mergeCell ref="B1328:F1328"/>
    <mergeCell ref="A1332:H1332"/>
    <mergeCell ref="B1215:F1215"/>
    <mergeCell ref="B1221:F1221"/>
    <mergeCell ref="B1197:F1197"/>
    <mergeCell ref="B1218:F1218"/>
    <mergeCell ref="B1181:H1181"/>
    <mergeCell ref="B1212:F1212"/>
    <mergeCell ref="B1200:F1200"/>
    <mergeCell ref="B1191:F1191"/>
    <mergeCell ref="B1209:F1209"/>
    <mergeCell ref="B1182:F1182"/>
    <mergeCell ref="B1185:F1185"/>
    <mergeCell ref="B1203:F1203"/>
    <mergeCell ref="B1016:H1016"/>
    <mergeCell ref="B979:F979"/>
    <mergeCell ref="B985:F985"/>
    <mergeCell ref="B1008:F1008"/>
    <mergeCell ref="B1037:H1037"/>
    <mergeCell ref="B1172:F1172"/>
    <mergeCell ref="B1176:H1176"/>
    <mergeCell ref="B1177:F1177"/>
    <mergeCell ref="B1206:F1206"/>
    <mergeCell ref="B1157:F1157"/>
    <mergeCell ref="B1160:F1160"/>
    <mergeCell ref="B1062:F1062"/>
    <mergeCell ref="B1048:F1048"/>
    <mergeCell ref="B1054:H1054"/>
    <mergeCell ref="B1015:H1015"/>
    <mergeCell ref="B1116:F1116"/>
    <mergeCell ref="B1143:F1143"/>
    <mergeCell ref="B106:F106"/>
    <mergeCell ref="B570:F570"/>
    <mergeCell ref="A1:H1"/>
    <mergeCell ref="B4:H4"/>
    <mergeCell ref="B2:H2"/>
    <mergeCell ref="B3:H3"/>
    <mergeCell ref="B5:F5"/>
    <mergeCell ref="B36:F36"/>
    <mergeCell ref="B42:F42"/>
    <mergeCell ref="B8:F8"/>
    <mergeCell ref="B14:F14"/>
    <mergeCell ref="B17:F17"/>
    <mergeCell ref="B30:F30"/>
    <mergeCell ref="B33:F33"/>
    <mergeCell ref="B20:F20"/>
    <mergeCell ref="B23:F23"/>
    <mergeCell ref="B39:F39"/>
    <mergeCell ref="B136:F136"/>
    <mergeCell ref="B165:F165"/>
    <mergeCell ref="B170:F170"/>
    <mergeCell ref="B185:F185"/>
    <mergeCell ref="B201:F201"/>
    <mergeCell ref="B234:F234"/>
    <mergeCell ref="B168:H168"/>
    <mergeCell ref="B1521:F1521"/>
    <mergeCell ref="B1518:F1518"/>
    <mergeCell ref="B1533:F1533"/>
    <mergeCell ref="B1577:F1577"/>
    <mergeCell ref="B1571:F1571"/>
    <mergeCell ref="B1574:F1574"/>
    <mergeCell ref="B1558:F1558"/>
    <mergeCell ref="B1546:F1546"/>
    <mergeCell ref="B1549:F1549"/>
    <mergeCell ref="B1561:H1561"/>
    <mergeCell ref="B1562:F1562"/>
    <mergeCell ref="B1565:F1565"/>
    <mergeCell ref="B1568:F1568"/>
    <mergeCell ref="B1524:F1524"/>
    <mergeCell ref="B1527:F1527"/>
    <mergeCell ref="B1530:F1530"/>
    <mergeCell ref="B1555:F1555"/>
    <mergeCell ref="B1537:F1537"/>
    <mergeCell ref="B1540:F1540"/>
    <mergeCell ref="B1543:F1543"/>
    <mergeCell ref="B901:F901"/>
    <mergeCell ref="B868:F868"/>
    <mergeCell ref="B1230:F1230"/>
    <mergeCell ref="B1284:F1284"/>
    <mergeCell ref="B1287:F1287"/>
    <mergeCell ref="B1291:F1291"/>
    <mergeCell ref="B1299:F1299"/>
    <mergeCell ref="B1320:F1320"/>
    <mergeCell ref="B1324:F1324"/>
    <mergeCell ref="B1307:H1307"/>
    <mergeCell ref="B1265:H1265"/>
    <mergeCell ref="B1290:H1290"/>
    <mergeCell ref="B995:H995"/>
    <mergeCell ref="B999:F999"/>
    <mergeCell ref="B957:H957"/>
    <mergeCell ref="B958:H958"/>
    <mergeCell ref="B1017:F1017"/>
    <mergeCell ref="B1044:H1044"/>
    <mergeCell ref="B1005:F1005"/>
    <mergeCell ref="B1149:F1149"/>
    <mergeCell ref="B1152:F1152"/>
    <mergeCell ref="B1119:F1119"/>
    <mergeCell ref="B1122:F1122"/>
    <mergeCell ref="B1125:F1125"/>
    <mergeCell ref="B684:H684"/>
    <mergeCell ref="B667:H667"/>
    <mergeCell ref="B747:F747"/>
    <mergeCell ref="B742:H742"/>
    <mergeCell ref="B1180:H1180"/>
    <mergeCell ref="B1188:F1188"/>
    <mergeCell ref="B1194:F1194"/>
    <mergeCell ref="B944:H944"/>
    <mergeCell ref="B945:F945"/>
    <mergeCell ref="B930:F930"/>
    <mergeCell ref="B954:F954"/>
    <mergeCell ref="B1045:F1045"/>
    <mergeCell ref="B1051:F1051"/>
    <mergeCell ref="B1085:H1085"/>
    <mergeCell ref="B1089:F1089"/>
    <mergeCell ref="B1155:H1155"/>
    <mergeCell ref="B963:F963"/>
    <mergeCell ref="B996:F996"/>
    <mergeCell ref="B959:F959"/>
    <mergeCell ref="B827:F827"/>
    <mergeCell ref="B830:F830"/>
    <mergeCell ref="B833:F833"/>
    <mergeCell ref="B824:F824"/>
    <mergeCell ref="B887:F887"/>
    <mergeCell ref="B841:H841"/>
    <mergeCell ref="B842:F842"/>
    <mergeCell ref="B885:H885"/>
    <mergeCell ref="B886:H886"/>
    <mergeCell ref="B877:F877"/>
    <mergeCell ref="B873:F873"/>
    <mergeCell ref="B881:F881"/>
    <mergeCell ref="B685:F685"/>
    <mergeCell ref="B732:F732"/>
    <mergeCell ref="B731:H731"/>
    <mergeCell ref="B721:F721"/>
    <mergeCell ref="B720:H720"/>
    <mergeCell ref="B730:H730"/>
    <mergeCell ref="B691:F691"/>
    <mergeCell ref="B837:F837"/>
    <mergeCell ref="B905:F905"/>
    <mergeCell ref="B318:F318"/>
    <mergeCell ref="B476:F476"/>
    <mergeCell ref="B468:F468"/>
    <mergeCell ref="B332:F332"/>
    <mergeCell ref="B773:H773"/>
    <mergeCell ref="B389:F389"/>
    <mergeCell ref="B401:F401"/>
    <mergeCell ref="B423:F423"/>
    <mergeCell ref="B413:F413"/>
    <mergeCell ref="B433:F433"/>
    <mergeCell ref="B775:F775"/>
    <mergeCell ref="B813:F813"/>
    <mergeCell ref="B726:H726"/>
    <mergeCell ref="B727:F727"/>
    <mergeCell ref="B442:H442"/>
    <mergeCell ref="B529:F529"/>
    <mergeCell ref="B695:H695"/>
    <mergeCell ref="B696:F696"/>
    <mergeCell ref="B904:H904"/>
    <mergeCell ref="A856:G856"/>
    <mergeCell ref="A844:G844"/>
    <mergeCell ref="B799:F799"/>
    <mergeCell ref="B821:F821"/>
    <mergeCell ref="B927:F927"/>
    <mergeCell ref="B774:H774"/>
    <mergeCell ref="B816:H816"/>
    <mergeCell ref="B817:F817"/>
    <mergeCell ref="D776:E776"/>
    <mergeCell ref="B668:H668"/>
    <mergeCell ref="B388:H388"/>
    <mergeCell ref="B441:H441"/>
    <mergeCell ref="B669:F669"/>
    <mergeCell ref="B743:F743"/>
    <mergeCell ref="B758:F758"/>
    <mergeCell ref="B766:H766"/>
    <mergeCell ref="B767:F767"/>
    <mergeCell ref="B770:F770"/>
    <mergeCell ref="B757:H757"/>
    <mergeCell ref="B808:F808"/>
    <mergeCell ref="B717:F717"/>
    <mergeCell ref="B485:H485"/>
    <mergeCell ref="B486:F486"/>
    <mergeCell ref="B508:F508"/>
    <mergeCell ref="B443:F443"/>
    <mergeCell ref="B452:F452"/>
    <mergeCell ref="B462:F462"/>
    <mergeCell ref="B592:F592"/>
    <mergeCell ref="B256:H256"/>
    <mergeCell ref="B257:F257"/>
    <mergeCell ref="B267:F267"/>
    <mergeCell ref="B277:F277"/>
    <mergeCell ref="B294:F294"/>
    <mergeCell ref="B282:F282"/>
    <mergeCell ref="B662:F662"/>
    <mergeCell ref="B602:H602"/>
    <mergeCell ref="B603:F603"/>
    <mergeCell ref="B609:F609"/>
    <mergeCell ref="B614:F614"/>
    <mergeCell ref="B617:F617"/>
    <mergeCell ref="B622:F622"/>
    <mergeCell ref="B628:F628"/>
    <mergeCell ref="B633:F633"/>
    <mergeCell ref="B642:F642"/>
    <mergeCell ref="B647:F647"/>
    <mergeCell ref="B652:F652"/>
    <mergeCell ref="B657:F657"/>
    <mergeCell ref="B375:F375"/>
    <mergeCell ref="B305:F305"/>
    <mergeCell ref="B345:F345"/>
    <mergeCell ref="B1483:F1483"/>
    <mergeCell ref="B1128:F1128"/>
    <mergeCell ref="B1131:F1131"/>
    <mergeCell ref="B1134:F1134"/>
    <mergeCell ref="B1137:F1137"/>
    <mergeCell ref="B1140:F1140"/>
    <mergeCell ref="B1098:F1098"/>
    <mergeCell ref="B1101:F1101"/>
    <mergeCell ref="B1104:F1104"/>
    <mergeCell ref="B1146:F1146"/>
    <mergeCell ref="B1227:F1227"/>
    <mergeCell ref="B1349:F1349"/>
    <mergeCell ref="B1243:F1243"/>
    <mergeCell ref="B1257:F1257"/>
    <mergeCell ref="B1261:F1261"/>
    <mergeCell ref="B1266:F1266"/>
    <mergeCell ref="B1238:F1238"/>
    <mergeCell ref="B1241:H1241"/>
    <mergeCell ref="B1304:F1304"/>
    <mergeCell ref="B1316:F1316"/>
    <mergeCell ref="B1251:F1251"/>
    <mergeCell ref="B1467:F1467"/>
    <mergeCell ref="B1242:H1242"/>
    <mergeCell ref="B1234:F1234"/>
  </mergeCells>
  <phoneticPr fontId="37" type="noConversion"/>
  <dataValidations disablePrompts="1" count="1">
    <dataValidation type="list" errorStyle="warning" allowBlank="1" showInputMessage="1" showErrorMessage="1" error="Selecionar Referencial compatível" sqref="XER1:XFD3" xr:uid="{00000000-0002-0000-0A00-000000000000}">
      <formula1>DADOS</formula1>
    </dataValidation>
  </dataValidations>
  <printOptions horizontalCentered="1"/>
  <pageMargins left="0.78740157480314965" right="0.39370078740157483" top="1.3779527559055118" bottom="0.78740157480314965" header="0" footer="0"/>
  <pageSetup paperSize="9" scale="80" orientation="portrait" r:id="rId1"/>
  <headerFooter scaleWithDoc="0" alignWithMargins="0">
    <oddHeader>&amp;C&amp;G</oddHeader>
    <oddFooter>&amp;R&amp;"Arial,Normal"&amp;8Página &amp;P de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XES118"/>
  <sheetViews>
    <sheetView showGridLines="0" view="pageBreakPreview" zoomScaleNormal="100" zoomScaleSheetLayoutView="100" zoomScalePageLayoutView="85" workbookViewId="0">
      <selection activeCell="D52" sqref="D52"/>
    </sheetView>
  </sheetViews>
  <sheetFormatPr defaultColWidth="9" defaultRowHeight="12.75"/>
  <cols>
    <col min="1" max="1" width="6.625" style="120" customWidth="1"/>
    <col min="2" max="2" width="7.625" style="121" customWidth="1"/>
    <col min="3" max="3" width="8.625" style="121" customWidth="1"/>
    <col min="4" max="4" width="30.625" style="121" customWidth="1"/>
    <col min="5" max="5" width="5.625" style="120" customWidth="1"/>
    <col min="6" max="6" width="6.625" style="156" customWidth="1"/>
    <col min="7" max="7" width="8.625" style="122" customWidth="1"/>
    <col min="8" max="8" width="10.625" style="122" customWidth="1"/>
    <col min="9" max="9" width="10.125" style="209" bestFit="1" customWidth="1"/>
    <col min="10" max="11" width="10.125" style="113" bestFit="1" customWidth="1"/>
    <col min="12" max="16384" width="9" style="113"/>
  </cols>
  <sheetData>
    <row r="1" spans="1:992 16373:16373" s="103" customFormat="1" ht="30" customHeight="1">
      <c r="A1" s="388" t="s">
        <v>7246</v>
      </c>
      <c r="B1" s="388"/>
      <c r="C1" s="388"/>
      <c r="D1" s="388"/>
      <c r="E1" s="388"/>
      <c r="F1" s="388"/>
      <c r="G1" s="388"/>
      <c r="H1" s="388"/>
      <c r="I1" s="210"/>
      <c r="J1" s="104"/>
      <c r="K1" s="104"/>
      <c r="L1" s="104"/>
      <c r="M1" s="105"/>
      <c r="N1" s="106"/>
      <c r="O1" s="107"/>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c r="FL1" s="104"/>
      <c r="FM1" s="104"/>
      <c r="FN1" s="104"/>
      <c r="FO1" s="104"/>
      <c r="FP1" s="104"/>
      <c r="FQ1" s="104"/>
      <c r="FR1" s="104"/>
      <c r="FS1" s="104"/>
      <c r="FT1" s="104"/>
      <c r="FU1" s="104"/>
      <c r="FV1" s="104"/>
      <c r="FW1" s="104"/>
      <c r="FX1" s="104"/>
      <c r="FY1" s="104"/>
      <c r="FZ1" s="104"/>
      <c r="GA1" s="104"/>
      <c r="GB1" s="104"/>
      <c r="GC1" s="104"/>
      <c r="GD1" s="104"/>
      <c r="GE1" s="104"/>
      <c r="GF1" s="104"/>
      <c r="GG1" s="104"/>
      <c r="GH1" s="104"/>
      <c r="GI1" s="104"/>
      <c r="GJ1" s="104"/>
      <c r="GK1" s="104"/>
      <c r="GL1" s="104"/>
      <c r="GM1" s="104"/>
      <c r="GN1" s="104"/>
      <c r="GO1" s="104"/>
      <c r="GP1" s="104"/>
      <c r="GQ1" s="104"/>
      <c r="GR1" s="104"/>
      <c r="GS1" s="104"/>
      <c r="GT1" s="104"/>
      <c r="GU1" s="104"/>
      <c r="GV1" s="104"/>
      <c r="GW1" s="104"/>
      <c r="GX1" s="104"/>
      <c r="GY1" s="104"/>
      <c r="GZ1" s="104"/>
      <c r="HA1" s="104"/>
      <c r="HB1" s="104"/>
      <c r="HC1" s="104"/>
      <c r="HD1" s="104"/>
      <c r="HE1" s="104"/>
      <c r="HF1" s="104"/>
      <c r="HG1" s="104"/>
      <c r="HH1" s="104"/>
      <c r="HI1" s="104"/>
      <c r="HJ1" s="104"/>
      <c r="HK1" s="104"/>
      <c r="HL1" s="104"/>
      <c r="HM1" s="104"/>
      <c r="HN1" s="104"/>
      <c r="HO1" s="104"/>
      <c r="HP1" s="104"/>
      <c r="HQ1" s="104"/>
      <c r="HR1" s="104"/>
      <c r="HS1" s="104"/>
      <c r="HT1" s="104"/>
      <c r="HU1" s="104"/>
      <c r="HV1" s="104"/>
      <c r="HW1" s="104"/>
      <c r="HX1" s="104"/>
      <c r="HY1" s="104"/>
      <c r="HZ1" s="104"/>
      <c r="IA1" s="104"/>
      <c r="IB1" s="104"/>
      <c r="IC1" s="104"/>
      <c r="ID1" s="104"/>
      <c r="IE1" s="104"/>
      <c r="IF1" s="104"/>
      <c r="IG1" s="104"/>
      <c r="IH1" s="104"/>
      <c r="II1" s="104"/>
      <c r="IJ1" s="104"/>
      <c r="IK1" s="104"/>
      <c r="IL1" s="104"/>
      <c r="IM1" s="104"/>
      <c r="IN1" s="104"/>
      <c r="IO1" s="104"/>
      <c r="IP1" s="104"/>
      <c r="IQ1" s="104"/>
      <c r="IR1" s="104"/>
      <c r="IS1" s="104"/>
      <c r="IT1" s="104"/>
      <c r="IU1" s="104"/>
      <c r="IV1" s="104"/>
      <c r="IW1" s="104"/>
      <c r="IX1" s="104"/>
      <c r="IY1" s="104"/>
      <c r="IZ1" s="104"/>
      <c r="JA1" s="104"/>
      <c r="JB1" s="104"/>
      <c r="JC1" s="104"/>
      <c r="JD1" s="104"/>
      <c r="JE1" s="104"/>
      <c r="JF1" s="104"/>
      <c r="JG1" s="104"/>
      <c r="JH1" s="104"/>
      <c r="JI1" s="104"/>
      <c r="JJ1" s="104"/>
      <c r="JK1" s="104"/>
      <c r="JL1" s="104"/>
      <c r="JM1" s="104"/>
      <c r="JN1" s="104"/>
      <c r="JO1" s="104"/>
      <c r="JP1" s="104"/>
      <c r="JQ1" s="104"/>
      <c r="JR1" s="104"/>
      <c r="JS1" s="104"/>
      <c r="JT1" s="104"/>
      <c r="JU1" s="104"/>
      <c r="JV1" s="104"/>
      <c r="JW1" s="104"/>
      <c r="JX1" s="104"/>
      <c r="JY1" s="104"/>
      <c r="JZ1" s="104"/>
      <c r="KA1" s="104"/>
      <c r="KB1" s="104"/>
      <c r="KC1" s="104"/>
      <c r="KD1" s="104"/>
      <c r="KE1" s="104"/>
      <c r="KF1" s="104"/>
      <c r="KG1" s="104"/>
      <c r="KH1" s="104"/>
      <c r="KI1" s="104"/>
      <c r="KJ1" s="104"/>
      <c r="KK1" s="104"/>
      <c r="KL1" s="104"/>
      <c r="KM1" s="104"/>
      <c r="KN1" s="104"/>
      <c r="KO1" s="104"/>
      <c r="KP1" s="104"/>
      <c r="KQ1" s="104"/>
      <c r="KR1" s="104"/>
      <c r="KS1" s="104"/>
      <c r="KT1" s="104"/>
      <c r="KU1" s="104"/>
      <c r="KV1" s="104"/>
      <c r="KW1" s="104"/>
      <c r="KX1" s="104"/>
      <c r="KY1" s="104"/>
      <c r="KZ1" s="104"/>
      <c r="LA1" s="104"/>
      <c r="LB1" s="104"/>
      <c r="LC1" s="104"/>
      <c r="LD1" s="104"/>
      <c r="LE1" s="104"/>
      <c r="LF1" s="104"/>
      <c r="LG1" s="104"/>
      <c r="LH1" s="104"/>
      <c r="LI1" s="104"/>
      <c r="LJ1" s="104"/>
      <c r="LK1" s="104"/>
      <c r="LL1" s="104"/>
      <c r="LM1" s="104"/>
      <c r="LN1" s="104"/>
      <c r="LO1" s="104"/>
      <c r="LP1" s="104"/>
      <c r="LQ1" s="104"/>
      <c r="LR1" s="104"/>
      <c r="LS1" s="104"/>
      <c r="LT1" s="104"/>
      <c r="LU1" s="104"/>
      <c r="LV1" s="104"/>
      <c r="LW1" s="104"/>
      <c r="LX1" s="104"/>
      <c r="LY1" s="104"/>
      <c r="LZ1" s="104"/>
      <c r="MA1" s="104"/>
      <c r="MB1" s="104"/>
      <c r="MC1" s="104"/>
      <c r="MD1" s="104"/>
      <c r="ME1" s="104"/>
      <c r="MF1" s="104"/>
      <c r="MG1" s="104"/>
      <c r="MH1" s="104"/>
      <c r="MI1" s="104"/>
      <c r="MJ1" s="104"/>
      <c r="MK1" s="104"/>
      <c r="ML1" s="104"/>
      <c r="MM1" s="104"/>
      <c r="MN1" s="104"/>
      <c r="MO1" s="104"/>
      <c r="MP1" s="104"/>
      <c r="MQ1" s="104"/>
      <c r="MR1" s="104"/>
      <c r="MS1" s="104"/>
      <c r="MT1" s="104"/>
      <c r="MU1" s="104"/>
      <c r="MV1" s="104"/>
      <c r="MW1" s="104"/>
      <c r="MX1" s="104"/>
      <c r="MY1" s="104"/>
      <c r="MZ1" s="104"/>
      <c r="NA1" s="104"/>
      <c r="NB1" s="104"/>
      <c r="NC1" s="104"/>
      <c r="ND1" s="104"/>
      <c r="NE1" s="104"/>
      <c r="NF1" s="104"/>
      <c r="NG1" s="104"/>
      <c r="NH1" s="104"/>
      <c r="NI1" s="104"/>
      <c r="NJ1" s="104"/>
      <c r="NK1" s="104"/>
      <c r="NL1" s="104"/>
      <c r="NM1" s="104"/>
      <c r="NN1" s="104"/>
      <c r="NO1" s="104"/>
      <c r="NP1" s="104"/>
      <c r="NQ1" s="104"/>
      <c r="NR1" s="104"/>
      <c r="NS1" s="104"/>
      <c r="NT1" s="104"/>
      <c r="NU1" s="104"/>
      <c r="NV1" s="104"/>
      <c r="NW1" s="104"/>
      <c r="NX1" s="104"/>
      <c r="NY1" s="104"/>
      <c r="NZ1" s="104"/>
      <c r="OA1" s="104"/>
      <c r="OB1" s="104"/>
      <c r="OC1" s="104"/>
      <c r="OD1" s="104"/>
      <c r="OE1" s="104"/>
      <c r="OF1" s="104"/>
      <c r="OG1" s="104"/>
      <c r="OH1" s="104"/>
      <c r="OI1" s="104"/>
      <c r="OJ1" s="104"/>
      <c r="OK1" s="104"/>
      <c r="OL1" s="104"/>
      <c r="OM1" s="104"/>
      <c r="ON1" s="104"/>
      <c r="OO1" s="104"/>
      <c r="OP1" s="104"/>
      <c r="OQ1" s="104"/>
      <c r="OR1" s="104"/>
      <c r="OS1" s="104"/>
      <c r="OT1" s="104"/>
      <c r="OU1" s="104"/>
      <c r="OV1" s="104"/>
      <c r="OW1" s="104"/>
      <c r="OX1" s="104"/>
      <c r="OY1" s="104"/>
      <c r="OZ1" s="104"/>
      <c r="PA1" s="104"/>
      <c r="PB1" s="104"/>
      <c r="PC1" s="104"/>
      <c r="PD1" s="104"/>
      <c r="PE1" s="104"/>
      <c r="PF1" s="104"/>
      <c r="PG1" s="104"/>
      <c r="PH1" s="104"/>
      <c r="PI1" s="104"/>
      <c r="PJ1" s="104"/>
      <c r="PK1" s="104"/>
      <c r="PL1" s="104"/>
      <c r="PM1" s="104"/>
      <c r="PN1" s="104"/>
      <c r="PO1" s="104"/>
      <c r="PP1" s="104"/>
      <c r="PQ1" s="104"/>
      <c r="PR1" s="104"/>
      <c r="PS1" s="104"/>
      <c r="PT1" s="104"/>
      <c r="PU1" s="104"/>
      <c r="PV1" s="104"/>
      <c r="PW1" s="104"/>
      <c r="PX1" s="104"/>
      <c r="PY1" s="104"/>
      <c r="PZ1" s="104"/>
      <c r="QA1" s="104"/>
      <c r="QB1" s="104"/>
      <c r="QC1" s="104"/>
      <c r="QD1" s="104"/>
      <c r="QE1" s="104"/>
      <c r="QF1" s="104"/>
      <c r="QG1" s="104"/>
      <c r="QH1" s="104"/>
      <c r="QI1" s="104"/>
      <c r="QJ1" s="104"/>
      <c r="QK1" s="104"/>
      <c r="QL1" s="104"/>
      <c r="QM1" s="104"/>
      <c r="QN1" s="104"/>
      <c r="QO1" s="104"/>
      <c r="QP1" s="104"/>
      <c r="QQ1" s="104"/>
      <c r="QR1" s="104"/>
      <c r="QS1" s="104"/>
      <c r="QT1" s="104"/>
      <c r="QU1" s="104"/>
      <c r="QV1" s="104"/>
      <c r="QW1" s="104"/>
      <c r="QX1" s="104"/>
      <c r="QY1" s="104"/>
      <c r="QZ1" s="104"/>
      <c r="RA1" s="104"/>
      <c r="RB1" s="104"/>
      <c r="RC1" s="104"/>
      <c r="RD1" s="104"/>
      <c r="RE1" s="104"/>
      <c r="RF1" s="104"/>
      <c r="RG1" s="104"/>
      <c r="RH1" s="104"/>
      <c r="RI1" s="104"/>
      <c r="RJ1" s="104"/>
      <c r="RK1" s="104"/>
      <c r="RL1" s="104"/>
      <c r="RM1" s="104"/>
      <c r="RN1" s="104"/>
      <c r="RO1" s="104"/>
      <c r="RP1" s="104"/>
      <c r="RQ1" s="104"/>
      <c r="RR1" s="104"/>
      <c r="RS1" s="104"/>
      <c r="RT1" s="104"/>
      <c r="RU1" s="104"/>
      <c r="RV1" s="104"/>
      <c r="RW1" s="104"/>
      <c r="RX1" s="104"/>
      <c r="RY1" s="104"/>
      <c r="RZ1" s="104"/>
      <c r="SA1" s="104"/>
      <c r="SB1" s="104"/>
      <c r="SC1" s="104"/>
      <c r="SD1" s="104"/>
      <c r="SE1" s="104"/>
      <c r="SF1" s="104"/>
      <c r="SG1" s="104"/>
      <c r="SH1" s="104"/>
      <c r="SI1" s="104"/>
      <c r="SJ1" s="104"/>
      <c r="SK1" s="104"/>
      <c r="SL1" s="104"/>
      <c r="SM1" s="104"/>
      <c r="SN1" s="104"/>
      <c r="SO1" s="104"/>
      <c r="SP1" s="104"/>
      <c r="SQ1" s="104"/>
      <c r="SR1" s="104"/>
      <c r="SS1" s="104"/>
      <c r="ST1" s="104"/>
      <c r="SU1" s="104"/>
      <c r="SV1" s="104"/>
      <c r="SW1" s="104"/>
      <c r="SX1" s="104"/>
      <c r="SY1" s="104"/>
      <c r="SZ1" s="104"/>
      <c r="TA1" s="104"/>
      <c r="TB1" s="104"/>
      <c r="TC1" s="104"/>
      <c r="TD1" s="104"/>
      <c r="TE1" s="104"/>
      <c r="TF1" s="104"/>
      <c r="TG1" s="104"/>
      <c r="TH1" s="104"/>
      <c r="TI1" s="104"/>
      <c r="TJ1" s="104"/>
      <c r="TK1" s="104"/>
      <c r="TL1" s="104"/>
      <c r="TM1" s="104"/>
      <c r="TN1" s="104"/>
      <c r="TO1" s="104"/>
      <c r="TP1" s="104"/>
      <c r="TQ1" s="104"/>
      <c r="TR1" s="104"/>
      <c r="TS1" s="104"/>
      <c r="TT1" s="104"/>
      <c r="TU1" s="104"/>
      <c r="TV1" s="104"/>
      <c r="TW1" s="104"/>
      <c r="TX1" s="104"/>
      <c r="TY1" s="104"/>
      <c r="TZ1" s="104"/>
      <c r="UA1" s="104"/>
      <c r="UB1" s="104"/>
      <c r="UC1" s="104"/>
      <c r="UD1" s="104"/>
      <c r="UE1" s="104"/>
      <c r="UF1" s="104"/>
      <c r="UG1" s="104"/>
      <c r="UH1" s="104"/>
      <c r="UI1" s="104"/>
      <c r="UJ1" s="104"/>
      <c r="UK1" s="104"/>
      <c r="UL1" s="104"/>
      <c r="UM1" s="104"/>
      <c r="UN1" s="104"/>
      <c r="UO1" s="104"/>
      <c r="UP1" s="104"/>
      <c r="UQ1" s="104"/>
      <c r="UR1" s="104"/>
      <c r="US1" s="104"/>
      <c r="UT1" s="104"/>
      <c r="UU1" s="104"/>
      <c r="UV1" s="104"/>
      <c r="UW1" s="104"/>
      <c r="UX1" s="104"/>
      <c r="UY1" s="104"/>
      <c r="UZ1" s="104"/>
      <c r="VA1" s="104"/>
      <c r="VB1" s="104"/>
      <c r="VC1" s="104"/>
      <c r="VD1" s="104"/>
      <c r="VE1" s="104"/>
      <c r="VF1" s="104"/>
      <c r="VG1" s="104"/>
      <c r="VH1" s="104"/>
      <c r="VI1" s="104"/>
      <c r="VJ1" s="104"/>
      <c r="VK1" s="104"/>
      <c r="VL1" s="104"/>
      <c r="VM1" s="104"/>
      <c r="VN1" s="104"/>
      <c r="VO1" s="104"/>
      <c r="VP1" s="104"/>
      <c r="VQ1" s="104"/>
      <c r="VR1" s="104"/>
      <c r="VS1" s="104"/>
      <c r="VT1" s="104"/>
      <c r="VU1" s="104"/>
      <c r="VV1" s="104"/>
      <c r="VW1" s="104"/>
      <c r="VX1" s="104"/>
      <c r="VY1" s="104"/>
      <c r="VZ1" s="104"/>
      <c r="WA1" s="104"/>
      <c r="WB1" s="104"/>
      <c r="WC1" s="104"/>
      <c r="WD1" s="104"/>
      <c r="WE1" s="104"/>
      <c r="WF1" s="104"/>
      <c r="WG1" s="104"/>
      <c r="WH1" s="104"/>
      <c r="WI1" s="104"/>
      <c r="WJ1" s="104"/>
      <c r="WK1" s="104"/>
      <c r="WL1" s="104"/>
      <c r="WM1" s="104"/>
      <c r="WN1" s="104"/>
      <c r="WO1" s="104"/>
      <c r="WP1" s="104"/>
      <c r="WQ1" s="104"/>
      <c r="WR1" s="104"/>
      <c r="WS1" s="104"/>
      <c r="WT1" s="104"/>
      <c r="WU1" s="104"/>
      <c r="WV1" s="104"/>
      <c r="WW1" s="104"/>
      <c r="WX1" s="104"/>
      <c r="WY1" s="104"/>
      <c r="WZ1" s="104"/>
      <c r="XA1" s="104"/>
      <c r="XB1" s="104"/>
      <c r="XC1" s="104"/>
      <c r="XD1" s="104"/>
      <c r="XE1" s="104"/>
      <c r="XF1" s="104"/>
      <c r="XG1" s="104"/>
      <c r="XH1" s="104"/>
      <c r="XI1" s="104"/>
      <c r="XJ1" s="104"/>
      <c r="XK1" s="104"/>
      <c r="XL1" s="104"/>
      <c r="XM1" s="104"/>
      <c r="XN1" s="104"/>
      <c r="XO1" s="104"/>
      <c r="XP1" s="104"/>
      <c r="XQ1" s="104"/>
      <c r="XR1" s="104"/>
      <c r="XS1" s="104"/>
      <c r="XT1" s="104"/>
      <c r="XU1" s="104"/>
      <c r="XV1" s="104"/>
      <c r="XW1" s="104"/>
      <c r="XX1" s="104"/>
      <c r="XY1" s="104"/>
      <c r="XZ1" s="104"/>
      <c r="YA1" s="104"/>
      <c r="YB1" s="104"/>
      <c r="YC1" s="104"/>
      <c r="YD1" s="104"/>
      <c r="YE1" s="104"/>
      <c r="YF1" s="104"/>
      <c r="YG1" s="104"/>
      <c r="YH1" s="104"/>
      <c r="YI1" s="104"/>
      <c r="YJ1" s="104"/>
      <c r="YK1" s="104"/>
      <c r="YL1" s="104"/>
      <c r="YM1" s="104"/>
      <c r="YN1" s="104"/>
      <c r="YO1" s="104"/>
      <c r="YP1" s="104"/>
      <c r="YQ1" s="104"/>
      <c r="YR1" s="104"/>
      <c r="YS1" s="104"/>
      <c r="YT1" s="104"/>
      <c r="YU1" s="104"/>
      <c r="YV1" s="104"/>
      <c r="YW1" s="104"/>
      <c r="YX1" s="104"/>
      <c r="YY1" s="104"/>
      <c r="YZ1" s="104"/>
      <c r="ZA1" s="104"/>
      <c r="ZB1" s="104"/>
      <c r="ZC1" s="104"/>
      <c r="ZD1" s="104"/>
      <c r="ZE1" s="104"/>
      <c r="ZF1" s="104"/>
      <c r="ZG1" s="104"/>
      <c r="ZH1" s="104"/>
      <c r="ZI1" s="104"/>
      <c r="ZJ1" s="104"/>
      <c r="ZK1" s="104"/>
      <c r="ZL1" s="104"/>
      <c r="ZM1" s="104"/>
      <c r="ZN1" s="104"/>
      <c r="ZO1" s="104"/>
      <c r="ZP1" s="104"/>
      <c r="ZQ1" s="104"/>
      <c r="ZR1" s="104"/>
      <c r="ZS1" s="104"/>
      <c r="ZT1" s="104"/>
      <c r="ZU1" s="104"/>
      <c r="ZV1" s="104"/>
      <c r="ZW1" s="104"/>
      <c r="ZX1" s="104"/>
      <c r="ZY1" s="104"/>
      <c r="ZZ1" s="104"/>
      <c r="AAA1" s="104"/>
      <c r="AAB1" s="104"/>
      <c r="AAC1" s="104"/>
      <c r="AAD1" s="104"/>
      <c r="AAE1" s="104"/>
      <c r="AAF1" s="104"/>
      <c r="AAG1" s="104"/>
      <c r="AAH1" s="104"/>
      <c r="AAI1" s="104"/>
      <c r="AAJ1" s="104"/>
      <c r="AAK1" s="104"/>
      <c r="AAL1" s="104"/>
      <c r="AAM1" s="104"/>
      <c r="AAN1" s="104"/>
      <c r="AAO1" s="104"/>
      <c r="AAP1" s="104"/>
      <c r="AAQ1" s="104"/>
      <c r="AAR1" s="104"/>
      <c r="AAS1" s="104"/>
      <c r="AAT1" s="104"/>
      <c r="AAU1" s="104"/>
      <c r="AAV1" s="104"/>
      <c r="AAW1" s="104"/>
      <c r="AAX1" s="104"/>
      <c r="AAY1" s="104"/>
      <c r="AAZ1" s="104"/>
      <c r="ABA1" s="104"/>
      <c r="ABB1" s="104"/>
      <c r="ABC1" s="104"/>
      <c r="ABD1" s="104"/>
      <c r="ABE1" s="104"/>
      <c r="ABF1" s="104"/>
      <c r="ABG1" s="104"/>
      <c r="ABH1" s="104"/>
      <c r="ABI1" s="104"/>
      <c r="ABJ1" s="104"/>
      <c r="ABK1" s="104"/>
      <c r="ABL1" s="104"/>
      <c r="ABM1" s="104"/>
      <c r="ABN1" s="104"/>
      <c r="ABO1" s="104"/>
      <c r="ABP1" s="104"/>
      <c r="ABQ1" s="104"/>
      <c r="ABR1" s="104"/>
      <c r="ABS1" s="104"/>
      <c r="ABT1" s="104"/>
      <c r="ABU1" s="104"/>
      <c r="ABV1" s="104"/>
      <c r="ABW1" s="104"/>
      <c r="ABX1" s="104"/>
      <c r="ABY1" s="104"/>
      <c r="ABZ1" s="104"/>
      <c r="ACA1" s="104"/>
      <c r="ACB1" s="104"/>
      <c r="ACC1" s="104"/>
      <c r="ACD1" s="104"/>
      <c r="ACE1" s="104"/>
      <c r="ACF1" s="104"/>
      <c r="ACG1" s="104"/>
      <c r="ACH1" s="104"/>
      <c r="ACI1" s="104"/>
      <c r="ACJ1" s="104"/>
      <c r="ACK1" s="104"/>
      <c r="ACL1" s="104"/>
      <c r="ACM1" s="104"/>
      <c r="ACN1" s="104"/>
      <c r="ACO1" s="104"/>
      <c r="ACP1" s="104"/>
      <c r="ACQ1" s="104"/>
      <c r="ACR1" s="104"/>
      <c r="ACS1" s="104"/>
      <c r="ACT1" s="104"/>
      <c r="ACU1" s="104"/>
      <c r="ACV1" s="104"/>
      <c r="ACW1" s="104"/>
      <c r="ACX1" s="104"/>
      <c r="ACY1" s="104"/>
      <c r="ACZ1" s="104"/>
      <c r="ADA1" s="104"/>
      <c r="ADB1" s="104"/>
      <c r="ADC1" s="104"/>
      <c r="ADD1" s="104"/>
      <c r="ADE1" s="104"/>
      <c r="ADF1" s="104"/>
      <c r="ADG1" s="104"/>
      <c r="ADH1" s="104"/>
      <c r="ADI1" s="104"/>
      <c r="ADJ1" s="104"/>
      <c r="ADK1" s="104"/>
      <c r="ADL1" s="104"/>
      <c r="ADM1" s="104"/>
      <c r="ADN1" s="104"/>
      <c r="ADO1" s="104"/>
      <c r="ADP1" s="104"/>
      <c r="ADQ1" s="104"/>
      <c r="ADR1" s="104"/>
      <c r="ADS1" s="104"/>
      <c r="ADT1" s="104"/>
      <c r="ADU1" s="104"/>
      <c r="ADV1" s="104"/>
      <c r="ADW1" s="104"/>
      <c r="ADX1" s="104"/>
      <c r="ADY1" s="104"/>
      <c r="ADZ1" s="104"/>
      <c r="AEA1" s="104"/>
      <c r="AEB1" s="104"/>
      <c r="AEC1" s="104"/>
      <c r="AED1" s="104"/>
      <c r="AEE1" s="104"/>
      <c r="AEF1" s="104"/>
      <c r="AEG1" s="104"/>
      <c r="AEH1" s="104"/>
      <c r="AEI1" s="104"/>
      <c r="AEJ1" s="104"/>
      <c r="AEK1" s="104"/>
      <c r="AEL1" s="104"/>
      <c r="AEM1" s="104"/>
      <c r="AEN1" s="104"/>
      <c r="AEO1" s="104"/>
      <c r="AEP1" s="104"/>
      <c r="AEQ1" s="104"/>
      <c r="AER1" s="104"/>
      <c r="AES1" s="104"/>
      <c r="AET1" s="104"/>
      <c r="AEU1" s="104"/>
      <c r="AEV1" s="104"/>
      <c r="AEW1" s="104"/>
      <c r="AEX1" s="104"/>
      <c r="AEY1" s="104"/>
      <c r="AEZ1" s="104"/>
      <c r="AFA1" s="104"/>
      <c r="AFB1" s="104"/>
      <c r="AFC1" s="104"/>
      <c r="AFD1" s="104"/>
      <c r="AFE1" s="104"/>
      <c r="AFF1" s="104"/>
      <c r="AFG1" s="104"/>
      <c r="AFH1" s="104"/>
      <c r="AFI1" s="104"/>
      <c r="AFJ1" s="104"/>
      <c r="AFK1" s="104"/>
      <c r="AFL1" s="104"/>
      <c r="AFM1" s="104"/>
      <c r="AFN1" s="104"/>
      <c r="AFO1" s="104"/>
      <c r="AFP1" s="104"/>
      <c r="AFQ1" s="104"/>
      <c r="AFR1" s="104"/>
      <c r="AFS1" s="104"/>
      <c r="AFT1" s="104"/>
      <c r="AFU1" s="104"/>
      <c r="AFV1" s="104"/>
      <c r="AFW1" s="104"/>
      <c r="AFX1" s="104"/>
      <c r="AFY1" s="104"/>
      <c r="AFZ1" s="104"/>
      <c r="AGA1" s="104"/>
      <c r="AGB1" s="104"/>
      <c r="AGC1" s="104"/>
      <c r="AGD1" s="104"/>
      <c r="AGE1" s="104"/>
      <c r="AGF1" s="104"/>
      <c r="AGG1" s="104"/>
      <c r="AGH1" s="104"/>
      <c r="AGI1" s="104"/>
      <c r="AGJ1" s="104"/>
      <c r="AGK1" s="104"/>
      <c r="AGL1" s="104"/>
      <c r="AGM1" s="104"/>
      <c r="AGN1" s="104"/>
      <c r="AGO1" s="104"/>
      <c r="AGP1" s="104"/>
      <c r="AGQ1" s="104"/>
      <c r="AGR1" s="104"/>
      <c r="AGS1" s="104"/>
      <c r="AGT1" s="104"/>
      <c r="AGU1" s="104"/>
      <c r="AGV1" s="104"/>
      <c r="AGW1" s="104"/>
      <c r="AGX1" s="104"/>
      <c r="AGY1" s="104"/>
      <c r="AGZ1" s="104"/>
      <c r="AHA1" s="104"/>
      <c r="AHB1" s="104"/>
      <c r="AHC1" s="104"/>
      <c r="AHD1" s="104"/>
      <c r="AHE1" s="104"/>
      <c r="AHF1" s="104"/>
      <c r="AHG1" s="104"/>
      <c r="AHH1" s="104"/>
      <c r="AHI1" s="104"/>
      <c r="AHJ1" s="104"/>
      <c r="AHK1" s="104"/>
      <c r="AHL1" s="104"/>
      <c r="AHM1" s="104"/>
      <c r="AHN1" s="104"/>
      <c r="AHO1" s="104"/>
      <c r="AHP1" s="104"/>
      <c r="AHQ1" s="104"/>
      <c r="AHR1" s="104"/>
      <c r="AHS1" s="104"/>
      <c r="AHT1" s="104"/>
      <c r="AHU1" s="104"/>
      <c r="AHV1" s="104"/>
      <c r="AHW1" s="104"/>
      <c r="AHX1" s="104"/>
      <c r="AHY1" s="104"/>
      <c r="AHZ1" s="104"/>
      <c r="AIA1" s="104"/>
      <c r="AIB1" s="104"/>
      <c r="AIC1" s="104"/>
      <c r="AID1" s="104"/>
      <c r="AIE1" s="104"/>
      <c r="AIF1" s="104"/>
      <c r="AIG1" s="104"/>
      <c r="AIH1" s="104"/>
      <c r="AII1" s="104"/>
      <c r="AIJ1" s="104"/>
      <c r="AIK1" s="104"/>
      <c r="AIL1" s="104"/>
      <c r="AIM1" s="104"/>
      <c r="AIN1" s="104"/>
      <c r="AIO1" s="104"/>
      <c r="AIP1" s="104"/>
      <c r="AIQ1" s="104"/>
      <c r="AIR1" s="104"/>
      <c r="AIS1" s="104"/>
      <c r="AIT1" s="104"/>
      <c r="AIU1" s="104"/>
      <c r="AIV1" s="104"/>
      <c r="AIW1" s="104"/>
      <c r="AIX1" s="104"/>
      <c r="AIY1" s="104"/>
      <c r="AIZ1" s="104"/>
      <c r="AJA1" s="104"/>
      <c r="AJB1" s="104"/>
      <c r="AJC1" s="104"/>
      <c r="AJD1" s="104"/>
      <c r="AJE1" s="104"/>
      <c r="AJF1" s="104"/>
      <c r="AJG1" s="104"/>
      <c r="AJH1" s="104"/>
      <c r="AJI1" s="104"/>
      <c r="AJJ1" s="104"/>
      <c r="AJK1" s="104"/>
      <c r="AJL1" s="104"/>
      <c r="AJM1" s="104"/>
      <c r="AJN1" s="104"/>
      <c r="AJO1" s="104"/>
      <c r="AJP1" s="104"/>
      <c r="AJQ1" s="104"/>
      <c r="AJR1" s="104"/>
      <c r="AJS1" s="104"/>
      <c r="AJT1" s="104"/>
      <c r="AJU1" s="104"/>
      <c r="AJV1" s="104"/>
      <c r="AJW1" s="104"/>
      <c r="AJX1" s="104"/>
      <c r="AJY1" s="104"/>
      <c r="AJZ1" s="104"/>
      <c r="AKA1" s="104"/>
      <c r="AKB1" s="104"/>
      <c r="AKC1" s="104"/>
      <c r="AKD1" s="104"/>
      <c r="AKE1" s="104"/>
      <c r="AKF1" s="104"/>
      <c r="AKG1" s="104"/>
      <c r="AKH1" s="104"/>
      <c r="AKI1" s="104"/>
      <c r="AKJ1" s="104"/>
      <c r="AKK1" s="104"/>
      <c r="AKL1" s="104"/>
      <c r="AKM1" s="104"/>
      <c r="AKN1" s="104"/>
      <c r="AKO1" s="104"/>
      <c r="AKP1" s="104"/>
      <c r="AKQ1" s="104"/>
      <c r="AKR1" s="104"/>
      <c r="AKS1" s="104"/>
      <c r="AKT1" s="104"/>
      <c r="AKU1" s="104"/>
      <c r="AKV1" s="104"/>
      <c r="AKW1" s="104"/>
      <c r="AKX1" s="104"/>
      <c r="AKY1" s="104"/>
      <c r="AKZ1" s="104"/>
      <c r="ALA1" s="104"/>
      <c r="ALB1" s="104"/>
      <c r="ALC1" s="104"/>
      <c r="ALD1" s="104"/>
      <c r="XES1" s="103" t="s">
        <v>928</v>
      </c>
    </row>
    <row r="2" spans="1:992 16373:16373" s="103" customFormat="1" ht="20.100000000000001" customHeight="1">
      <c r="A2" s="392" t="s">
        <v>891</v>
      </c>
      <c r="B2" s="392"/>
      <c r="C2" s="362" t="str">
        <f>OBRA</f>
        <v>QUADRA POLIESPORTIVA DE MASCARENHAS</v>
      </c>
      <c r="D2" s="362"/>
      <c r="E2" s="362"/>
      <c r="F2" s="362"/>
      <c r="G2" s="362"/>
      <c r="H2" s="362"/>
      <c r="I2" s="210"/>
      <c r="J2" s="104"/>
      <c r="K2" s="104"/>
      <c r="L2" s="104"/>
      <c r="M2" s="105"/>
      <c r="N2" s="106"/>
      <c r="O2" s="107"/>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c r="IH2" s="104"/>
      <c r="II2" s="104"/>
      <c r="IJ2" s="104"/>
      <c r="IK2" s="104"/>
      <c r="IL2" s="104"/>
      <c r="IM2" s="104"/>
      <c r="IN2" s="104"/>
      <c r="IO2" s="104"/>
      <c r="IP2" s="104"/>
      <c r="IQ2" s="104"/>
      <c r="IR2" s="104"/>
      <c r="IS2" s="104"/>
      <c r="IT2" s="104"/>
      <c r="IU2" s="104"/>
      <c r="IV2" s="104"/>
      <c r="IW2" s="104"/>
      <c r="IX2" s="104"/>
      <c r="IY2" s="104"/>
      <c r="IZ2" s="104"/>
      <c r="JA2" s="104"/>
      <c r="JB2" s="104"/>
      <c r="JC2" s="104"/>
      <c r="JD2" s="104"/>
      <c r="JE2" s="104"/>
      <c r="JF2" s="104"/>
      <c r="JG2" s="104"/>
      <c r="JH2" s="104"/>
      <c r="JI2" s="104"/>
      <c r="JJ2" s="104"/>
      <c r="JK2" s="104"/>
      <c r="JL2" s="104"/>
      <c r="JM2" s="104"/>
      <c r="JN2" s="104"/>
      <c r="JO2" s="104"/>
      <c r="JP2" s="104"/>
      <c r="JQ2" s="104"/>
      <c r="JR2" s="104"/>
      <c r="JS2" s="104"/>
      <c r="JT2" s="104"/>
      <c r="JU2" s="104"/>
      <c r="JV2" s="104"/>
      <c r="JW2" s="104"/>
      <c r="JX2" s="104"/>
      <c r="JY2" s="104"/>
      <c r="JZ2" s="104"/>
      <c r="KA2" s="104"/>
      <c r="KB2" s="104"/>
      <c r="KC2" s="104"/>
      <c r="KD2" s="104"/>
      <c r="KE2" s="104"/>
      <c r="KF2" s="104"/>
      <c r="KG2" s="104"/>
      <c r="KH2" s="104"/>
      <c r="KI2" s="104"/>
      <c r="KJ2" s="104"/>
      <c r="KK2" s="104"/>
      <c r="KL2" s="104"/>
      <c r="KM2" s="104"/>
      <c r="KN2" s="104"/>
      <c r="KO2" s="104"/>
      <c r="KP2" s="104"/>
      <c r="KQ2" s="104"/>
      <c r="KR2" s="104"/>
      <c r="KS2" s="104"/>
      <c r="KT2" s="104"/>
      <c r="KU2" s="104"/>
      <c r="KV2" s="104"/>
      <c r="KW2" s="104"/>
      <c r="KX2" s="104"/>
      <c r="KY2" s="104"/>
      <c r="KZ2" s="104"/>
      <c r="LA2" s="104"/>
      <c r="LB2" s="104"/>
      <c r="LC2" s="104"/>
      <c r="LD2" s="104"/>
      <c r="LE2" s="104"/>
      <c r="LF2" s="104"/>
      <c r="LG2" s="104"/>
      <c r="LH2" s="104"/>
      <c r="LI2" s="104"/>
      <c r="LJ2" s="104"/>
      <c r="LK2" s="104"/>
      <c r="LL2" s="104"/>
      <c r="LM2" s="104"/>
      <c r="LN2" s="104"/>
      <c r="LO2" s="104"/>
      <c r="LP2" s="104"/>
      <c r="LQ2" s="104"/>
      <c r="LR2" s="104"/>
      <c r="LS2" s="104"/>
      <c r="LT2" s="104"/>
      <c r="LU2" s="104"/>
      <c r="LV2" s="104"/>
      <c r="LW2" s="104"/>
      <c r="LX2" s="104"/>
      <c r="LY2" s="104"/>
      <c r="LZ2" s="104"/>
      <c r="MA2" s="104"/>
      <c r="MB2" s="104"/>
      <c r="MC2" s="104"/>
      <c r="MD2" s="104"/>
      <c r="ME2" s="104"/>
      <c r="MF2" s="104"/>
      <c r="MG2" s="104"/>
      <c r="MH2" s="104"/>
      <c r="MI2" s="104"/>
      <c r="MJ2" s="104"/>
      <c r="MK2" s="104"/>
      <c r="ML2" s="104"/>
      <c r="MM2" s="104"/>
      <c r="MN2" s="104"/>
      <c r="MO2" s="104"/>
      <c r="MP2" s="104"/>
      <c r="MQ2" s="104"/>
      <c r="MR2" s="104"/>
      <c r="MS2" s="104"/>
      <c r="MT2" s="104"/>
      <c r="MU2" s="104"/>
      <c r="MV2" s="104"/>
      <c r="MW2" s="104"/>
      <c r="MX2" s="104"/>
      <c r="MY2" s="104"/>
      <c r="MZ2" s="104"/>
      <c r="NA2" s="104"/>
      <c r="NB2" s="104"/>
      <c r="NC2" s="104"/>
      <c r="ND2" s="104"/>
      <c r="NE2" s="104"/>
      <c r="NF2" s="104"/>
      <c r="NG2" s="104"/>
      <c r="NH2" s="104"/>
      <c r="NI2" s="104"/>
      <c r="NJ2" s="104"/>
      <c r="NK2" s="104"/>
      <c r="NL2" s="104"/>
      <c r="NM2" s="104"/>
      <c r="NN2" s="104"/>
      <c r="NO2" s="104"/>
      <c r="NP2" s="104"/>
      <c r="NQ2" s="104"/>
      <c r="NR2" s="104"/>
      <c r="NS2" s="104"/>
      <c r="NT2" s="104"/>
      <c r="NU2" s="104"/>
      <c r="NV2" s="104"/>
      <c r="NW2" s="104"/>
      <c r="NX2" s="104"/>
      <c r="NY2" s="104"/>
      <c r="NZ2" s="104"/>
      <c r="OA2" s="104"/>
      <c r="OB2" s="104"/>
      <c r="OC2" s="104"/>
      <c r="OD2" s="104"/>
      <c r="OE2" s="104"/>
      <c r="OF2" s="104"/>
      <c r="OG2" s="104"/>
      <c r="OH2" s="104"/>
      <c r="OI2" s="104"/>
      <c r="OJ2" s="104"/>
      <c r="OK2" s="104"/>
      <c r="OL2" s="104"/>
      <c r="OM2" s="104"/>
      <c r="ON2" s="104"/>
      <c r="OO2" s="104"/>
      <c r="OP2" s="104"/>
      <c r="OQ2" s="104"/>
      <c r="OR2" s="104"/>
      <c r="OS2" s="104"/>
      <c r="OT2" s="104"/>
      <c r="OU2" s="104"/>
      <c r="OV2" s="104"/>
      <c r="OW2" s="104"/>
      <c r="OX2" s="104"/>
      <c r="OY2" s="104"/>
      <c r="OZ2" s="104"/>
      <c r="PA2" s="104"/>
      <c r="PB2" s="104"/>
      <c r="PC2" s="104"/>
      <c r="PD2" s="104"/>
      <c r="PE2" s="104"/>
      <c r="PF2" s="104"/>
      <c r="PG2" s="104"/>
      <c r="PH2" s="104"/>
      <c r="PI2" s="104"/>
      <c r="PJ2" s="104"/>
      <c r="PK2" s="104"/>
      <c r="PL2" s="104"/>
      <c r="PM2" s="104"/>
      <c r="PN2" s="104"/>
      <c r="PO2" s="104"/>
      <c r="PP2" s="104"/>
      <c r="PQ2" s="104"/>
      <c r="PR2" s="104"/>
      <c r="PS2" s="104"/>
      <c r="PT2" s="104"/>
      <c r="PU2" s="104"/>
      <c r="PV2" s="104"/>
      <c r="PW2" s="104"/>
      <c r="PX2" s="104"/>
      <c r="PY2" s="104"/>
      <c r="PZ2" s="104"/>
      <c r="QA2" s="104"/>
      <c r="QB2" s="104"/>
      <c r="QC2" s="104"/>
      <c r="QD2" s="104"/>
      <c r="QE2" s="104"/>
      <c r="QF2" s="104"/>
      <c r="QG2" s="104"/>
      <c r="QH2" s="104"/>
      <c r="QI2" s="104"/>
      <c r="QJ2" s="104"/>
      <c r="QK2" s="104"/>
      <c r="QL2" s="104"/>
      <c r="QM2" s="104"/>
      <c r="QN2" s="104"/>
      <c r="QO2" s="104"/>
      <c r="QP2" s="104"/>
      <c r="QQ2" s="104"/>
      <c r="QR2" s="104"/>
      <c r="QS2" s="104"/>
      <c r="QT2" s="104"/>
      <c r="QU2" s="104"/>
      <c r="QV2" s="104"/>
      <c r="QW2" s="104"/>
      <c r="QX2" s="104"/>
      <c r="QY2" s="104"/>
      <c r="QZ2" s="104"/>
      <c r="RA2" s="104"/>
      <c r="RB2" s="104"/>
      <c r="RC2" s="104"/>
      <c r="RD2" s="104"/>
      <c r="RE2" s="104"/>
      <c r="RF2" s="104"/>
      <c r="RG2" s="104"/>
      <c r="RH2" s="104"/>
      <c r="RI2" s="104"/>
      <c r="RJ2" s="104"/>
      <c r="RK2" s="104"/>
      <c r="RL2" s="104"/>
      <c r="RM2" s="104"/>
      <c r="RN2" s="104"/>
      <c r="RO2" s="104"/>
      <c r="RP2" s="104"/>
      <c r="RQ2" s="104"/>
      <c r="RR2" s="104"/>
      <c r="RS2" s="104"/>
      <c r="RT2" s="104"/>
      <c r="RU2" s="104"/>
      <c r="RV2" s="104"/>
      <c r="RW2" s="104"/>
      <c r="RX2" s="104"/>
      <c r="RY2" s="104"/>
      <c r="RZ2" s="104"/>
      <c r="SA2" s="104"/>
      <c r="SB2" s="104"/>
      <c r="SC2" s="104"/>
      <c r="SD2" s="104"/>
      <c r="SE2" s="104"/>
      <c r="SF2" s="104"/>
      <c r="SG2" s="104"/>
      <c r="SH2" s="104"/>
      <c r="SI2" s="104"/>
      <c r="SJ2" s="104"/>
      <c r="SK2" s="104"/>
      <c r="SL2" s="104"/>
      <c r="SM2" s="104"/>
      <c r="SN2" s="104"/>
      <c r="SO2" s="104"/>
      <c r="SP2" s="104"/>
      <c r="SQ2" s="104"/>
      <c r="SR2" s="104"/>
      <c r="SS2" s="104"/>
      <c r="ST2" s="104"/>
      <c r="SU2" s="104"/>
      <c r="SV2" s="104"/>
      <c r="SW2" s="104"/>
      <c r="SX2" s="104"/>
      <c r="SY2" s="104"/>
      <c r="SZ2" s="104"/>
      <c r="TA2" s="104"/>
      <c r="TB2" s="104"/>
      <c r="TC2" s="104"/>
      <c r="TD2" s="104"/>
      <c r="TE2" s="104"/>
      <c r="TF2" s="104"/>
      <c r="TG2" s="104"/>
      <c r="TH2" s="104"/>
      <c r="TI2" s="104"/>
      <c r="TJ2" s="104"/>
      <c r="TK2" s="104"/>
      <c r="TL2" s="104"/>
      <c r="TM2" s="104"/>
      <c r="TN2" s="104"/>
      <c r="TO2" s="104"/>
      <c r="TP2" s="104"/>
      <c r="TQ2" s="104"/>
      <c r="TR2" s="104"/>
      <c r="TS2" s="104"/>
      <c r="TT2" s="104"/>
      <c r="TU2" s="104"/>
      <c r="TV2" s="104"/>
      <c r="TW2" s="104"/>
      <c r="TX2" s="104"/>
      <c r="TY2" s="104"/>
      <c r="TZ2" s="104"/>
      <c r="UA2" s="104"/>
      <c r="UB2" s="104"/>
      <c r="UC2" s="104"/>
      <c r="UD2" s="104"/>
      <c r="UE2" s="104"/>
      <c r="UF2" s="104"/>
      <c r="UG2" s="104"/>
      <c r="UH2" s="104"/>
      <c r="UI2" s="104"/>
      <c r="UJ2" s="104"/>
      <c r="UK2" s="104"/>
      <c r="UL2" s="104"/>
      <c r="UM2" s="104"/>
      <c r="UN2" s="104"/>
      <c r="UO2" s="104"/>
      <c r="UP2" s="104"/>
      <c r="UQ2" s="104"/>
      <c r="UR2" s="104"/>
      <c r="US2" s="104"/>
      <c r="UT2" s="104"/>
      <c r="UU2" s="104"/>
      <c r="UV2" s="104"/>
      <c r="UW2" s="104"/>
      <c r="UX2" s="104"/>
      <c r="UY2" s="104"/>
      <c r="UZ2" s="104"/>
      <c r="VA2" s="104"/>
      <c r="VB2" s="104"/>
      <c r="VC2" s="104"/>
      <c r="VD2" s="104"/>
      <c r="VE2" s="104"/>
      <c r="VF2" s="104"/>
      <c r="VG2" s="104"/>
      <c r="VH2" s="104"/>
      <c r="VI2" s="104"/>
      <c r="VJ2" s="104"/>
      <c r="VK2" s="104"/>
      <c r="VL2" s="104"/>
      <c r="VM2" s="104"/>
      <c r="VN2" s="104"/>
      <c r="VO2" s="104"/>
      <c r="VP2" s="104"/>
      <c r="VQ2" s="104"/>
      <c r="VR2" s="104"/>
      <c r="VS2" s="104"/>
      <c r="VT2" s="104"/>
      <c r="VU2" s="104"/>
      <c r="VV2" s="104"/>
      <c r="VW2" s="104"/>
      <c r="VX2" s="104"/>
      <c r="VY2" s="104"/>
      <c r="VZ2" s="104"/>
      <c r="WA2" s="104"/>
      <c r="WB2" s="104"/>
      <c r="WC2" s="104"/>
      <c r="WD2" s="104"/>
      <c r="WE2" s="104"/>
      <c r="WF2" s="104"/>
      <c r="WG2" s="104"/>
      <c r="WH2" s="104"/>
      <c r="WI2" s="104"/>
      <c r="WJ2" s="104"/>
      <c r="WK2" s="104"/>
      <c r="WL2" s="104"/>
      <c r="WM2" s="104"/>
      <c r="WN2" s="104"/>
      <c r="WO2" s="104"/>
      <c r="WP2" s="104"/>
      <c r="WQ2" s="104"/>
      <c r="WR2" s="104"/>
      <c r="WS2" s="104"/>
      <c r="WT2" s="104"/>
      <c r="WU2" s="104"/>
      <c r="WV2" s="104"/>
      <c r="WW2" s="104"/>
      <c r="WX2" s="104"/>
      <c r="WY2" s="104"/>
      <c r="WZ2" s="104"/>
      <c r="XA2" s="104"/>
      <c r="XB2" s="104"/>
      <c r="XC2" s="104"/>
      <c r="XD2" s="104"/>
      <c r="XE2" s="104"/>
      <c r="XF2" s="104"/>
      <c r="XG2" s="104"/>
      <c r="XH2" s="104"/>
      <c r="XI2" s="104"/>
      <c r="XJ2" s="104"/>
      <c r="XK2" s="104"/>
      <c r="XL2" s="104"/>
      <c r="XM2" s="104"/>
      <c r="XN2" s="104"/>
      <c r="XO2" s="104"/>
      <c r="XP2" s="104"/>
      <c r="XQ2" s="104"/>
      <c r="XR2" s="104"/>
      <c r="XS2" s="104"/>
      <c r="XT2" s="104"/>
      <c r="XU2" s="104"/>
      <c r="XV2" s="104"/>
      <c r="XW2" s="104"/>
      <c r="XX2" s="104"/>
      <c r="XY2" s="104"/>
      <c r="XZ2" s="104"/>
      <c r="YA2" s="104"/>
      <c r="YB2" s="104"/>
      <c r="YC2" s="104"/>
      <c r="YD2" s="104"/>
      <c r="YE2" s="104"/>
      <c r="YF2" s="104"/>
      <c r="YG2" s="104"/>
      <c r="YH2" s="104"/>
      <c r="YI2" s="104"/>
      <c r="YJ2" s="104"/>
      <c r="YK2" s="104"/>
      <c r="YL2" s="104"/>
      <c r="YM2" s="104"/>
      <c r="YN2" s="104"/>
      <c r="YO2" s="104"/>
      <c r="YP2" s="104"/>
      <c r="YQ2" s="104"/>
      <c r="YR2" s="104"/>
      <c r="YS2" s="104"/>
      <c r="YT2" s="104"/>
      <c r="YU2" s="104"/>
      <c r="YV2" s="104"/>
      <c r="YW2" s="104"/>
      <c r="YX2" s="104"/>
      <c r="YY2" s="104"/>
      <c r="YZ2" s="104"/>
      <c r="ZA2" s="104"/>
      <c r="ZB2" s="104"/>
      <c r="ZC2" s="104"/>
      <c r="ZD2" s="104"/>
      <c r="ZE2" s="104"/>
      <c r="ZF2" s="104"/>
      <c r="ZG2" s="104"/>
      <c r="ZH2" s="104"/>
      <c r="ZI2" s="104"/>
      <c r="ZJ2" s="104"/>
      <c r="ZK2" s="104"/>
      <c r="ZL2" s="104"/>
      <c r="ZM2" s="104"/>
      <c r="ZN2" s="104"/>
      <c r="ZO2" s="104"/>
      <c r="ZP2" s="104"/>
      <c r="ZQ2" s="104"/>
      <c r="ZR2" s="104"/>
      <c r="ZS2" s="104"/>
      <c r="ZT2" s="104"/>
      <c r="ZU2" s="104"/>
      <c r="ZV2" s="104"/>
      <c r="ZW2" s="104"/>
      <c r="ZX2" s="104"/>
      <c r="ZY2" s="104"/>
      <c r="ZZ2" s="104"/>
      <c r="AAA2" s="104"/>
      <c r="AAB2" s="104"/>
      <c r="AAC2" s="104"/>
      <c r="AAD2" s="104"/>
      <c r="AAE2" s="104"/>
      <c r="AAF2" s="104"/>
      <c r="AAG2" s="104"/>
      <c r="AAH2" s="104"/>
      <c r="AAI2" s="104"/>
      <c r="AAJ2" s="104"/>
      <c r="AAK2" s="104"/>
      <c r="AAL2" s="104"/>
      <c r="AAM2" s="104"/>
      <c r="AAN2" s="104"/>
      <c r="AAO2" s="104"/>
      <c r="AAP2" s="104"/>
      <c r="AAQ2" s="104"/>
      <c r="AAR2" s="104"/>
      <c r="AAS2" s="104"/>
      <c r="AAT2" s="104"/>
      <c r="AAU2" s="104"/>
      <c r="AAV2" s="104"/>
      <c r="AAW2" s="104"/>
      <c r="AAX2" s="104"/>
      <c r="AAY2" s="104"/>
      <c r="AAZ2" s="104"/>
      <c r="ABA2" s="104"/>
      <c r="ABB2" s="104"/>
      <c r="ABC2" s="104"/>
      <c r="ABD2" s="104"/>
      <c r="ABE2" s="104"/>
      <c r="ABF2" s="104"/>
      <c r="ABG2" s="104"/>
      <c r="ABH2" s="104"/>
      <c r="ABI2" s="104"/>
      <c r="ABJ2" s="104"/>
      <c r="ABK2" s="104"/>
      <c r="ABL2" s="104"/>
      <c r="ABM2" s="104"/>
      <c r="ABN2" s="104"/>
      <c r="ABO2" s="104"/>
      <c r="ABP2" s="104"/>
      <c r="ABQ2" s="104"/>
      <c r="ABR2" s="104"/>
      <c r="ABS2" s="104"/>
      <c r="ABT2" s="104"/>
      <c r="ABU2" s="104"/>
      <c r="ABV2" s="104"/>
      <c r="ABW2" s="104"/>
      <c r="ABX2" s="104"/>
      <c r="ABY2" s="104"/>
      <c r="ABZ2" s="104"/>
      <c r="ACA2" s="104"/>
      <c r="ACB2" s="104"/>
      <c r="ACC2" s="104"/>
      <c r="ACD2" s="104"/>
      <c r="ACE2" s="104"/>
      <c r="ACF2" s="104"/>
      <c r="ACG2" s="104"/>
      <c r="ACH2" s="104"/>
      <c r="ACI2" s="104"/>
      <c r="ACJ2" s="104"/>
      <c r="ACK2" s="104"/>
      <c r="ACL2" s="104"/>
      <c r="ACM2" s="104"/>
      <c r="ACN2" s="104"/>
      <c r="ACO2" s="104"/>
      <c r="ACP2" s="104"/>
      <c r="ACQ2" s="104"/>
      <c r="ACR2" s="104"/>
      <c r="ACS2" s="104"/>
      <c r="ACT2" s="104"/>
      <c r="ACU2" s="104"/>
      <c r="ACV2" s="104"/>
      <c r="ACW2" s="104"/>
      <c r="ACX2" s="104"/>
      <c r="ACY2" s="104"/>
      <c r="ACZ2" s="104"/>
      <c r="ADA2" s="104"/>
      <c r="ADB2" s="104"/>
      <c r="ADC2" s="104"/>
      <c r="ADD2" s="104"/>
      <c r="ADE2" s="104"/>
      <c r="ADF2" s="104"/>
      <c r="ADG2" s="104"/>
      <c r="ADH2" s="104"/>
      <c r="ADI2" s="104"/>
      <c r="ADJ2" s="104"/>
      <c r="ADK2" s="104"/>
      <c r="ADL2" s="104"/>
      <c r="ADM2" s="104"/>
      <c r="ADN2" s="104"/>
      <c r="ADO2" s="104"/>
      <c r="ADP2" s="104"/>
      <c r="ADQ2" s="104"/>
      <c r="ADR2" s="104"/>
      <c r="ADS2" s="104"/>
      <c r="ADT2" s="104"/>
      <c r="ADU2" s="104"/>
      <c r="ADV2" s="104"/>
      <c r="ADW2" s="104"/>
      <c r="ADX2" s="104"/>
      <c r="ADY2" s="104"/>
      <c r="ADZ2" s="104"/>
      <c r="AEA2" s="104"/>
      <c r="AEB2" s="104"/>
      <c r="AEC2" s="104"/>
      <c r="AED2" s="104"/>
      <c r="AEE2" s="104"/>
      <c r="AEF2" s="104"/>
      <c r="AEG2" s="104"/>
      <c r="AEH2" s="104"/>
      <c r="AEI2" s="104"/>
      <c r="AEJ2" s="104"/>
      <c r="AEK2" s="104"/>
      <c r="AEL2" s="104"/>
      <c r="AEM2" s="104"/>
      <c r="AEN2" s="104"/>
      <c r="AEO2" s="104"/>
      <c r="AEP2" s="104"/>
      <c r="AEQ2" s="104"/>
      <c r="AER2" s="104"/>
      <c r="AES2" s="104"/>
      <c r="AET2" s="104"/>
      <c r="AEU2" s="104"/>
      <c r="AEV2" s="104"/>
      <c r="AEW2" s="104"/>
      <c r="AEX2" s="104"/>
      <c r="AEY2" s="104"/>
      <c r="AEZ2" s="104"/>
      <c r="AFA2" s="104"/>
      <c r="AFB2" s="104"/>
      <c r="AFC2" s="104"/>
      <c r="AFD2" s="104"/>
      <c r="AFE2" s="104"/>
      <c r="AFF2" s="104"/>
      <c r="AFG2" s="104"/>
      <c r="AFH2" s="104"/>
      <c r="AFI2" s="104"/>
      <c r="AFJ2" s="104"/>
      <c r="AFK2" s="104"/>
      <c r="AFL2" s="104"/>
      <c r="AFM2" s="104"/>
      <c r="AFN2" s="104"/>
      <c r="AFO2" s="104"/>
      <c r="AFP2" s="104"/>
      <c r="AFQ2" s="104"/>
      <c r="AFR2" s="104"/>
      <c r="AFS2" s="104"/>
      <c r="AFT2" s="104"/>
      <c r="AFU2" s="104"/>
      <c r="AFV2" s="104"/>
      <c r="AFW2" s="104"/>
      <c r="AFX2" s="104"/>
      <c r="AFY2" s="104"/>
      <c r="AFZ2" s="104"/>
      <c r="AGA2" s="104"/>
      <c r="AGB2" s="104"/>
      <c r="AGC2" s="104"/>
      <c r="AGD2" s="104"/>
      <c r="AGE2" s="104"/>
      <c r="AGF2" s="104"/>
      <c r="AGG2" s="104"/>
      <c r="AGH2" s="104"/>
      <c r="AGI2" s="104"/>
      <c r="AGJ2" s="104"/>
      <c r="AGK2" s="104"/>
      <c r="AGL2" s="104"/>
      <c r="AGM2" s="104"/>
      <c r="AGN2" s="104"/>
      <c r="AGO2" s="104"/>
      <c r="AGP2" s="104"/>
      <c r="AGQ2" s="104"/>
      <c r="AGR2" s="104"/>
      <c r="AGS2" s="104"/>
      <c r="AGT2" s="104"/>
      <c r="AGU2" s="104"/>
      <c r="AGV2" s="104"/>
      <c r="AGW2" s="104"/>
      <c r="AGX2" s="104"/>
      <c r="AGY2" s="104"/>
      <c r="AGZ2" s="104"/>
      <c r="AHA2" s="104"/>
      <c r="AHB2" s="104"/>
      <c r="AHC2" s="104"/>
      <c r="AHD2" s="104"/>
      <c r="AHE2" s="104"/>
      <c r="AHF2" s="104"/>
      <c r="AHG2" s="104"/>
      <c r="AHH2" s="104"/>
      <c r="AHI2" s="104"/>
      <c r="AHJ2" s="104"/>
      <c r="AHK2" s="104"/>
      <c r="AHL2" s="104"/>
      <c r="AHM2" s="104"/>
      <c r="AHN2" s="104"/>
      <c r="AHO2" s="104"/>
      <c r="AHP2" s="104"/>
      <c r="AHQ2" s="104"/>
      <c r="AHR2" s="104"/>
      <c r="AHS2" s="104"/>
      <c r="AHT2" s="104"/>
      <c r="AHU2" s="104"/>
      <c r="AHV2" s="104"/>
      <c r="AHW2" s="104"/>
      <c r="AHX2" s="104"/>
      <c r="AHY2" s="104"/>
      <c r="AHZ2" s="104"/>
      <c r="AIA2" s="104"/>
      <c r="AIB2" s="104"/>
      <c r="AIC2" s="104"/>
      <c r="AID2" s="104"/>
      <c r="AIE2" s="104"/>
      <c r="AIF2" s="104"/>
      <c r="AIG2" s="104"/>
      <c r="AIH2" s="104"/>
      <c r="AII2" s="104"/>
      <c r="AIJ2" s="104"/>
      <c r="AIK2" s="104"/>
      <c r="AIL2" s="104"/>
      <c r="AIM2" s="104"/>
      <c r="AIN2" s="104"/>
      <c r="AIO2" s="104"/>
      <c r="AIP2" s="104"/>
      <c r="AIQ2" s="104"/>
      <c r="AIR2" s="104"/>
      <c r="AIS2" s="104"/>
      <c r="AIT2" s="104"/>
      <c r="AIU2" s="104"/>
      <c r="AIV2" s="104"/>
      <c r="AIW2" s="104"/>
      <c r="AIX2" s="104"/>
      <c r="AIY2" s="104"/>
      <c r="AIZ2" s="104"/>
      <c r="AJA2" s="104"/>
      <c r="AJB2" s="104"/>
      <c r="AJC2" s="104"/>
      <c r="AJD2" s="104"/>
      <c r="AJE2" s="104"/>
      <c r="AJF2" s="104"/>
      <c r="AJG2" s="104"/>
      <c r="AJH2" s="104"/>
      <c r="AJI2" s="104"/>
      <c r="AJJ2" s="104"/>
      <c r="AJK2" s="104"/>
      <c r="AJL2" s="104"/>
      <c r="AJM2" s="104"/>
      <c r="AJN2" s="104"/>
      <c r="AJO2" s="104"/>
      <c r="AJP2" s="104"/>
      <c r="AJQ2" s="104"/>
      <c r="AJR2" s="104"/>
      <c r="AJS2" s="104"/>
      <c r="AJT2" s="104"/>
      <c r="AJU2" s="104"/>
      <c r="AJV2" s="104"/>
      <c r="AJW2" s="104"/>
      <c r="AJX2" s="104"/>
      <c r="AJY2" s="104"/>
      <c r="AJZ2" s="104"/>
      <c r="AKA2" s="104"/>
      <c r="AKB2" s="104"/>
      <c r="AKC2" s="104"/>
      <c r="AKD2" s="104"/>
      <c r="AKE2" s="104"/>
      <c r="AKF2" s="104"/>
      <c r="AKG2" s="104"/>
      <c r="AKH2" s="104"/>
      <c r="AKI2" s="104"/>
      <c r="AKJ2" s="104"/>
      <c r="AKK2" s="104"/>
      <c r="AKL2" s="104"/>
      <c r="AKM2" s="104"/>
      <c r="AKN2" s="104"/>
      <c r="AKO2" s="104"/>
      <c r="AKP2" s="104"/>
      <c r="AKQ2" s="104"/>
      <c r="AKR2" s="104"/>
      <c r="AKS2" s="104"/>
      <c r="AKT2" s="104"/>
      <c r="AKU2" s="104"/>
      <c r="AKV2" s="104"/>
      <c r="AKW2" s="104"/>
      <c r="AKX2" s="104"/>
      <c r="AKY2" s="104"/>
      <c r="AKZ2" s="104"/>
      <c r="ALA2" s="104"/>
      <c r="ALB2" s="104"/>
      <c r="ALC2" s="104"/>
      <c r="ALD2" s="104"/>
      <c r="XES2" s="103" t="s">
        <v>32</v>
      </c>
    </row>
    <row r="3" spans="1:992 16373:16373" s="103" customFormat="1" ht="20.100000000000001" customHeight="1">
      <c r="A3" s="393" t="s">
        <v>7242</v>
      </c>
      <c r="B3" s="394"/>
      <c r="C3" s="389" t="str">
        <f>CONTRATO</f>
        <v>Distrito de Macarenhas - Baixo Guandu/ ES</v>
      </c>
      <c r="D3" s="390"/>
      <c r="E3" s="390"/>
      <c r="F3" s="390"/>
      <c r="G3" s="390"/>
      <c r="H3" s="391"/>
      <c r="I3" s="210"/>
      <c r="J3" s="104"/>
      <c r="K3" s="104"/>
      <c r="L3" s="104"/>
      <c r="M3" s="105"/>
      <c r="N3" s="106"/>
      <c r="O3" s="107"/>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c r="HV3" s="104"/>
      <c r="HW3" s="104"/>
      <c r="HX3" s="104"/>
      <c r="HY3" s="104"/>
      <c r="HZ3" s="104"/>
      <c r="IA3" s="104"/>
      <c r="IB3" s="104"/>
      <c r="IC3" s="104"/>
      <c r="ID3" s="104"/>
      <c r="IE3" s="104"/>
      <c r="IF3" s="104"/>
      <c r="IG3" s="104"/>
      <c r="IH3" s="104"/>
      <c r="II3" s="104"/>
      <c r="IJ3" s="104"/>
      <c r="IK3" s="104"/>
      <c r="IL3" s="104"/>
      <c r="IM3" s="104"/>
      <c r="IN3" s="104"/>
      <c r="IO3" s="104"/>
      <c r="IP3" s="104"/>
      <c r="IQ3" s="104"/>
      <c r="IR3" s="104"/>
      <c r="IS3" s="104"/>
      <c r="IT3" s="104"/>
      <c r="IU3" s="104"/>
      <c r="IV3" s="104"/>
      <c r="IW3" s="104"/>
      <c r="IX3" s="104"/>
      <c r="IY3" s="104"/>
      <c r="IZ3" s="104"/>
      <c r="JA3" s="104"/>
      <c r="JB3" s="104"/>
      <c r="JC3" s="104"/>
      <c r="JD3" s="104"/>
      <c r="JE3" s="104"/>
      <c r="JF3" s="104"/>
      <c r="JG3" s="104"/>
      <c r="JH3" s="104"/>
      <c r="JI3" s="104"/>
      <c r="JJ3" s="104"/>
      <c r="JK3" s="104"/>
      <c r="JL3" s="104"/>
      <c r="JM3" s="104"/>
      <c r="JN3" s="104"/>
      <c r="JO3" s="104"/>
      <c r="JP3" s="104"/>
      <c r="JQ3" s="104"/>
      <c r="JR3" s="104"/>
      <c r="JS3" s="104"/>
      <c r="JT3" s="104"/>
      <c r="JU3" s="104"/>
      <c r="JV3" s="104"/>
      <c r="JW3" s="104"/>
      <c r="JX3" s="104"/>
      <c r="JY3" s="104"/>
      <c r="JZ3" s="104"/>
      <c r="KA3" s="104"/>
      <c r="KB3" s="104"/>
      <c r="KC3" s="104"/>
      <c r="KD3" s="104"/>
      <c r="KE3" s="104"/>
      <c r="KF3" s="104"/>
      <c r="KG3" s="104"/>
      <c r="KH3" s="104"/>
      <c r="KI3" s="104"/>
      <c r="KJ3" s="104"/>
      <c r="KK3" s="104"/>
      <c r="KL3" s="104"/>
      <c r="KM3" s="104"/>
      <c r="KN3" s="104"/>
      <c r="KO3" s="104"/>
      <c r="KP3" s="104"/>
      <c r="KQ3" s="104"/>
      <c r="KR3" s="104"/>
      <c r="KS3" s="104"/>
      <c r="KT3" s="104"/>
      <c r="KU3" s="104"/>
      <c r="KV3" s="104"/>
      <c r="KW3" s="104"/>
      <c r="KX3" s="104"/>
      <c r="KY3" s="104"/>
      <c r="KZ3" s="104"/>
      <c r="LA3" s="104"/>
      <c r="LB3" s="104"/>
      <c r="LC3" s="104"/>
      <c r="LD3" s="104"/>
      <c r="LE3" s="104"/>
      <c r="LF3" s="104"/>
      <c r="LG3" s="104"/>
      <c r="LH3" s="104"/>
      <c r="LI3" s="104"/>
      <c r="LJ3" s="104"/>
      <c r="LK3" s="104"/>
      <c r="LL3" s="104"/>
      <c r="LM3" s="104"/>
      <c r="LN3" s="104"/>
      <c r="LO3" s="104"/>
      <c r="LP3" s="104"/>
      <c r="LQ3" s="104"/>
      <c r="LR3" s="104"/>
      <c r="LS3" s="104"/>
      <c r="LT3" s="104"/>
      <c r="LU3" s="104"/>
      <c r="LV3" s="104"/>
      <c r="LW3" s="104"/>
      <c r="LX3" s="104"/>
      <c r="LY3" s="104"/>
      <c r="LZ3" s="104"/>
      <c r="MA3" s="104"/>
      <c r="MB3" s="104"/>
      <c r="MC3" s="104"/>
      <c r="MD3" s="104"/>
      <c r="ME3" s="104"/>
      <c r="MF3" s="104"/>
      <c r="MG3" s="104"/>
      <c r="MH3" s="104"/>
      <c r="MI3" s="104"/>
      <c r="MJ3" s="104"/>
      <c r="MK3" s="104"/>
      <c r="ML3" s="104"/>
      <c r="MM3" s="104"/>
      <c r="MN3" s="104"/>
      <c r="MO3" s="104"/>
      <c r="MP3" s="104"/>
      <c r="MQ3" s="104"/>
      <c r="MR3" s="104"/>
      <c r="MS3" s="104"/>
      <c r="MT3" s="104"/>
      <c r="MU3" s="104"/>
      <c r="MV3" s="104"/>
      <c r="MW3" s="104"/>
      <c r="MX3" s="104"/>
      <c r="MY3" s="104"/>
      <c r="MZ3" s="104"/>
      <c r="NA3" s="104"/>
      <c r="NB3" s="104"/>
      <c r="NC3" s="104"/>
      <c r="ND3" s="104"/>
      <c r="NE3" s="104"/>
      <c r="NF3" s="104"/>
      <c r="NG3" s="104"/>
      <c r="NH3" s="104"/>
      <c r="NI3" s="104"/>
      <c r="NJ3" s="104"/>
      <c r="NK3" s="104"/>
      <c r="NL3" s="104"/>
      <c r="NM3" s="104"/>
      <c r="NN3" s="104"/>
      <c r="NO3" s="104"/>
      <c r="NP3" s="104"/>
      <c r="NQ3" s="104"/>
      <c r="NR3" s="104"/>
      <c r="NS3" s="104"/>
      <c r="NT3" s="104"/>
      <c r="NU3" s="104"/>
      <c r="NV3" s="104"/>
      <c r="NW3" s="104"/>
      <c r="NX3" s="104"/>
      <c r="NY3" s="104"/>
      <c r="NZ3" s="104"/>
      <c r="OA3" s="104"/>
      <c r="OB3" s="104"/>
      <c r="OC3" s="104"/>
      <c r="OD3" s="104"/>
      <c r="OE3" s="104"/>
      <c r="OF3" s="104"/>
      <c r="OG3" s="104"/>
      <c r="OH3" s="104"/>
      <c r="OI3" s="104"/>
      <c r="OJ3" s="104"/>
      <c r="OK3" s="104"/>
      <c r="OL3" s="104"/>
      <c r="OM3" s="104"/>
      <c r="ON3" s="104"/>
      <c r="OO3" s="104"/>
      <c r="OP3" s="104"/>
      <c r="OQ3" s="104"/>
      <c r="OR3" s="104"/>
      <c r="OS3" s="104"/>
      <c r="OT3" s="104"/>
      <c r="OU3" s="104"/>
      <c r="OV3" s="104"/>
      <c r="OW3" s="104"/>
      <c r="OX3" s="104"/>
      <c r="OY3" s="104"/>
      <c r="OZ3" s="104"/>
      <c r="PA3" s="104"/>
      <c r="PB3" s="104"/>
      <c r="PC3" s="104"/>
      <c r="PD3" s="104"/>
      <c r="PE3" s="104"/>
      <c r="PF3" s="104"/>
      <c r="PG3" s="104"/>
      <c r="PH3" s="104"/>
      <c r="PI3" s="104"/>
      <c r="PJ3" s="104"/>
      <c r="PK3" s="104"/>
      <c r="PL3" s="104"/>
      <c r="PM3" s="104"/>
      <c r="PN3" s="104"/>
      <c r="PO3" s="104"/>
      <c r="PP3" s="104"/>
      <c r="PQ3" s="104"/>
      <c r="PR3" s="104"/>
      <c r="PS3" s="104"/>
      <c r="PT3" s="104"/>
      <c r="PU3" s="104"/>
      <c r="PV3" s="104"/>
      <c r="PW3" s="104"/>
      <c r="PX3" s="104"/>
      <c r="PY3" s="104"/>
      <c r="PZ3" s="104"/>
      <c r="QA3" s="104"/>
      <c r="QB3" s="104"/>
      <c r="QC3" s="104"/>
      <c r="QD3" s="104"/>
      <c r="QE3" s="104"/>
      <c r="QF3" s="104"/>
      <c r="QG3" s="104"/>
      <c r="QH3" s="104"/>
      <c r="QI3" s="104"/>
      <c r="QJ3" s="104"/>
      <c r="QK3" s="104"/>
      <c r="QL3" s="104"/>
      <c r="QM3" s="104"/>
      <c r="QN3" s="104"/>
      <c r="QO3" s="104"/>
      <c r="QP3" s="104"/>
      <c r="QQ3" s="104"/>
      <c r="QR3" s="104"/>
      <c r="QS3" s="104"/>
      <c r="QT3" s="104"/>
      <c r="QU3" s="104"/>
      <c r="QV3" s="104"/>
      <c r="QW3" s="104"/>
      <c r="QX3" s="104"/>
      <c r="QY3" s="104"/>
      <c r="QZ3" s="104"/>
      <c r="RA3" s="104"/>
      <c r="RB3" s="104"/>
      <c r="RC3" s="104"/>
      <c r="RD3" s="104"/>
      <c r="RE3" s="104"/>
      <c r="RF3" s="104"/>
      <c r="RG3" s="104"/>
      <c r="RH3" s="104"/>
      <c r="RI3" s="104"/>
      <c r="RJ3" s="104"/>
      <c r="RK3" s="104"/>
      <c r="RL3" s="104"/>
      <c r="RM3" s="104"/>
      <c r="RN3" s="104"/>
      <c r="RO3" s="104"/>
      <c r="RP3" s="104"/>
      <c r="RQ3" s="104"/>
      <c r="RR3" s="104"/>
      <c r="RS3" s="104"/>
      <c r="RT3" s="104"/>
      <c r="RU3" s="104"/>
      <c r="RV3" s="104"/>
      <c r="RW3" s="104"/>
      <c r="RX3" s="104"/>
      <c r="RY3" s="104"/>
      <c r="RZ3" s="104"/>
      <c r="SA3" s="104"/>
      <c r="SB3" s="104"/>
      <c r="SC3" s="104"/>
      <c r="SD3" s="104"/>
      <c r="SE3" s="104"/>
      <c r="SF3" s="104"/>
      <c r="SG3" s="104"/>
      <c r="SH3" s="104"/>
      <c r="SI3" s="104"/>
      <c r="SJ3" s="104"/>
      <c r="SK3" s="104"/>
      <c r="SL3" s="104"/>
      <c r="SM3" s="104"/>
      <c r="SN3" s="104"/>
      <c r="SO3" s="104"/>
      <c r="SP3" s="104"/>
      <c r="SQ3" s="104"/>
      <c r="SR3" s="104"/>
      <c r="SS3" s="104"/>
      <c r="ST3" s="104"/>
      <c r="SU3" s="104"/>
      <c r="SV3" s="104"/>
      <c r="SW3" s="104"/>
      <c r="SX3" s="104"/>
      <c r="SY3" s="104"/>
      <c r="SZ3" s="104"/>
      <c r="TA3" s="104"/>
      <c r="TB3" s="104"/>
      <c r="TC3" s="104"/>
      <c r="TD3" s="104"/>
      <c r="TE3" s="104"/>
      <c r="TF3" s="104"/>
      <c r="TG3" s="104"/>
      <c r="TH3" s="104"/>
      <c r="TI3" s="104"/>
      <c r="TJ3" s="104"/>
      <c r="TK3" s="104"/>
      <c r="TL3" s="104"/>
      <c r="TM3" s="104"/>
      <c r="TN3" s="104"/>
      <c r="TO3" s="104"/>
      <c r="TP3" s="104"/>
      <c r="TQ3" s="104"/>
      <c r="TR3" s="104"/>
      <c r="TS3" s="104"/>
      <c r="TT3" s="104"/>
      <c r="TU3" s="104"/>
      <c r="TV3" s="104"/>
      <c r="TW3" s="104"/>
      <c r="TX3" s="104"/>
      <c r="TY3" s="104"/>
      <c r="TZ3" s="104"/>
      <c r="UA3" s="104"/>
      <c r="UB3" s="104"/>
      <c r="UC3" s="104"/>
      <c r="UD3" s="104"/>
      <c r="UE3" s="104"/>
      <c r="UF3" s="104"/>
      <c r="UG3" s="104"/>
      <c r="UH3" s="104"/>
      <c r="UI3" s="104"/>
      <c r="UJ3" s="104"/>
      <c r="UK3" s="104"/>
      <c r="UL3" s="104"/>
      <c r="UM3" s="104"/>
      <c r="UN3" s="104"/>
      <c r="UO3" s="104"/>
      <c r="UP3" s="104"/>
      <c r="UQ3" s="104"/>
      <c r="UR3" s="104"/>
      <c r="US3" s="104"/>
      <c r="UT3" s="104"/>
      <c r="UU3" s="104"/>
      <c r="UV3" s="104"/>
      <c r="UW3" s="104"/>
      <c r="UX3" s="104"/>
      <c r="UY3" s="104"/>
      <c r="UZ3" s="104"/>
      <c r="VA3" s="104"/>
      <c r="VB3" s="104"/>
      <c r="VC3" s="104"/>
      <c r="VD3" s="104"/>
      <c r="VE3" s="104"/>
      <c r="VF3" s="104"/>
      <c r="VG3" s="104"/>
      <c r="VH3" s="104"/>
      <c r="VI3" s="104"/>
      <c r="VJ3" s="104"/>
      <c r="VK3" s="104"/>
      <c r="VL3" s="104"/>
      <c r="VM3" s="104"/>
      <c r="VN3" s="104"/>
      <c r="VO3" s="104"/>
      <c r="VP3" s="104"/>
      <c r="VQ3" s="104"/>
      <c r="VR3" s="104"/>
      <c r="VS3" s="104"/>
      <c r="VT3" s="104"/>
      <c r="VU3" s="104"/>
      <c r="VV3" s="104"/>
      <c r="VW3" s="104"/>
      <c r="VX3" s="104"/>
      <c r="VY3" s="104"/>
      <c r="VZ3" s="104"/>
      <c r="WA3" s="104"/>
      <c r="WB3" s="104"/>
      <c r="WC3" s="104"/>
      <c r="WD3" s="104"/>
      <c r="WE3" s="104"/>
      <c r="WF3" s="104"/>
      <c r="WG3" s="104"/>
      <c r="WH3" s="104"/>
      <c r="WI3" s="104"/>
      <c r="WJ3" s="104"/>
      <c r="WK3" s="104"/>
      <c r="WL3" s="104"/>
      <c r="WM3" s="104"/>
      <c r="WN3" s="104"/>
      <c r="WO3" s="104"/>
      <c r="WP3" s="104"/>
      <c r="WQ3" s="104"/>
      <c r="WR3" s="104"/>
      <c r="WS3" s="104"/>
      <c r="WT3" s="104"/>
      <c r="WU3" s="104"/>
      <c r="WV3" s="104"/>
      <c r="WW3" s="104"/>
      <c r="WX3" s="104"/>
      <c r="WY3" s="104"/>
      <c r="WZ3" s="104"/>
      <c r="XA3" s="104"/>
      <c r="XB3" s="104"/>
      <c r="XC3" s="104"/>
      <c r="XD3" s="104"/>
      <c r="XE3" s="104"/>
      <c r="XF3" s="104"/>
      <c r="XG3" s="104"/>
      <c r="XH3" s="104"/>
      <c r="XI3" s="104"/>
      <c r="XJ3" s="104"/>
      <c r="XK3" s="104"/>
      <c r="XL3" s="104"/>
      <c r="XM3" s="104"/>
      <c r="XN3" s="104"/>
      <c r="XO3" s="104"/>
      <c r="XP3" s="104"/>
      <c r="XQ3" s="104"/>
      <c r="XR3" s="104"/>
      <c r="XS3" s="104"/>
      <c r="XT3" s="104"/>
      <c r="XU3" s="104"/>
      <c r="XV3" s="104"/>
      <c r="XW3" s="104"/>
      <c r="XX3" s="104"/>
      <c r="XY3" s="104"/>
      <c r="XZ3" s="104"/>
      <c r="YA3" s="104"/>
      <c r="YB3" s="104"/>
      <c r="YC3" s="104"/>
      <c r="YD3" s="104"/>
      <c r="YE3" s="104"/>
      <c r="YF3" s="104"/>
      <c r="YG3" s="104"/>
      <c r="YH3" s="104"/>
      <c r="YI3" s="104"/>
      <c r="YJ3" s="104"/>
      <c r="YK3" s="104"/>
      <c r="YL3" s="104"/>
      <c r="YM3" s="104"/>
      <c r="YN3" s="104"/>
      <c r="YO3" s="104"/>
      <c r="YP3" s="104"/>
      <c r="YQ3" s="104"/>
      <c r="YR3" s="104"/>
      <c r="YS3" s="104"/>
      <c r="YT3" s="104"/>
      <c r="YU3" s="104"/>
      <c r="YV3" s="104"/>
      <c r="YW3" s="104"/>
      <c r="YX3" s="104"/>
      <c r="YY3" s="104"/>
      <c r="YZ3" s="104"/>
      <c r="ZA3" s="104"/>
      <c r="ZB3" s="104"/>
      <c r="ZC3" s="104"/>
      <c r="ZD3" s="104"/>
      <c r="ZE3" s="104"/>
      <c r="ZF3" s="104"/>
      <c r="ZG3" s="104"/>
      <c r="ZH3" s="104"/>
      <c r="ZI3" s="104"/>
      <c r="ZJ3" s="104"/>
      <c r="ZK3" s="104"/>
      <c r="ZL3" s="104"/>
      <c r="ZM3" s="104"/>
      <c r="ZN3" s="104"/>
      <c r="ZO3" s="104"/>
      <c r="ZP3" s="104"/>
      <c r="ZQ3" s="104"/>
      <c r="ZR3" s="104"/>
      <c r="ZS3" s="104"/>
      <c r="ZT3" s="104"/>
      <c r="ZU3" s="104"/>
      <c r="ZV3" s="104"/>
      <c r="ZW3" s="104"/>
      <c r="ZX3" s="104"/>
      <c r="ZY3" s="104"/>
      <c r="ZZ3" s="104"/>
      <c r="AAA3" s="104"/>
      <c r="AAB3" s="104"/>
      <c r="AAC3" s="104"/>
      <c r="AAD3" s="104"/>
      <c r="AAE3" s="104"/>
      <c r="AAF3" s="104"/>
      <c r="AAG3" s="104"/>
      <c r="AAH3" s="104"/>
      <c r="AAI3" s="104"/>
      <c r="AAJ3" s="104"/>
      <c r="AAK3" s="104"/>
      <c r="AAL3" s="104"/>
      <c r="AAM3" s="104"/>
      <c r="AAN3" s="104"/>
      <c r="AAO3" s="104"/>
      <c r="AAP3" s="104"/>
      <c r="AAQ3" s="104"/>
      <c r="AAR3" s="104"/>
      <c r="AAS3" s="104"/>
      <c r="AAT3" s="104"/>
      <c r="AAU3" s="104"/>
      <c r="AAV3" s="104"/>
      <c r="AAW3" s="104"/>
      <c r="AAX3" s="104"/>
      <c r="AAY3" s="104"/>
      <c r="AAZ3" s="104"/>
      <c r="ABA3" s="104"/>
      <c r="ABB3" s="104"/>
      <c r="ABC3" s="104"/>
      <c r="ABD3" s="104"/>
      <c r="ABE3" s="104"/>
      <c r="ABF3" s="104"/>
      <c r="ABG3" s="104"/>
      <c r="ABH3" s="104"/>
      <c r="ABI3" s="104"/>
      <c r="ABJ3" s="104"/>
      <c r="ABK3" s="104"/>
      <c r="ABL3" s="104"/>
      <c r="ABM3" s="104"/>
      <c r="ABN3" s="104"/>
      <c r="ABO3" s="104"/>
      <c r="ABP3" s="104"/>
      <c r="ABQ3" s="104"/>
      <c r="ABR3" s="104"/>
      <c r="ABS3" s="104"/>
      <c r="ABT3" s="104"/>
      <c r="ABU3" s="104"/>
      <c r="ABV3" s="104"/>
      <c r="ABW3" s="104"/>
      <c r="ABX3" s="104"/>
      <c r="ABY3" s="104"/>
      <c r="ABZ3" s="104"/>
      <c r="ACA3" s="104"/>
      <c r="ACB3" s="104"/>
      <c r="ACC3" s="104"/>
      <c r="ACD3" s="104"/>
      <c r="ACE3" s="104"/>
      <c r="ACF3" s="104"/>
      <c r="ACG3" s="104"/>
      <c r="ACH3" s="104"/>
      <c r="ACI3" s="104"/>
      <c r="ACJ3" s="104"/>
      <c r="ACK3" s="104"/>
      <c r="ACL3" s="104"/>
      <c r="ACM3" s="104"/>
      <c r="ACN3" s="104"/>
      <c r="ACO3" s="104"/>
      <c r="ACP3" s="104"/>
      <c r="ACQ3" s="104"/>
      <c r="ACR3" s="104"/>
      <c r="ACS3" s="104"/>
      <c r="ACT3" s="104"/>
      <c r="ACU3" s="104"/>
      <c r="ACV3" s="104"/>
      <c r="ACW3" s="104"/>
      <c r="ACX3" s="104"/>
      <c r="ACY3" s="104"/>
      <c r="ACZ3" s="104"/>
      <c r="ADA3" s="104"/>
      <c r="ADB3" s="104"/>
      <c r="ADC3" s="104"/>
      <c r="ADD3" s="104"/>
      <c r="ADE3" s="104"/>
      <c r="ADF3" s="104"/>
      <c r="ADG3" s="104"/>
      <c r="ADH3" s="104"/>
      <c r="ADI3" s="104"/>
      <c r="ADJ3" s="104"/>
      <c r="ADK3" s="104"/>
      <c r="ADL3" s="104"/>
      <c r="ADM3" s="104"/>
      <c r="ADN3" s="104"/>
      <c r="ADO3" s="104"/>
      <c r="ADP3" s="104"/>
      <c r="ADQ3" s="104"/>
      <c r="ADR3" s="104"/>
      <c r="ADS3" s="104"/>
      <c r="ADT3" s="104"/>
      <c r="ADU3" s="104"/>
      <c r="ADV3" s="104"/>
      <c r="ADW3" s="104"/>
      <c r="ADX3" s="104"/>
      <c r="ADY3" s="104"/>
      <c r="ADZ3" s="104"/>
      <c r="AEA3" s="104"/>
      <c r="AEB3" s="104"/>
      <c r="AEC3" s="104"/>
      <c r="AED3" s="104"/>
      <c r="AEE3" s="104"/>
      <c r="AEF3" s="104"/>
      <c r="AEG3" s="104"/>
      <c r="AEH3" s="104"/>
      <c r="AEI3" s="104"/>
      <c r="AEJ3" s="104"/>
      <c r="AEK3" s="104"/>
      <c r="AEL3" s="104"/>
      <c r="AEM3" s="104"/>
      <c r="AEN3" s="104"/>
      <c r="AEO3" s="104"/>
      <c r="AEP3" s="104"/>
      <c r="AEQ3" s="104"/>
      <c r="AER3" s="104"/>
      <c r="AES3" s="104"/>
      <c r="AET3" s="104"/>
      <c r="AEU3" s="104"/>
      <c r="AEV3" s="104"/>
      <c r="AEW3" s="104"/>
      <c r="AEX3" s="104"/>
      <c r="AEY3" s="104"/>
      <c r="AEZ3" s="104"/>
      <c r="AFA3" s="104"/>
      <c r="AFB3" s="104"/>
      <c r="AFC3" s="104"/>
      <c r="AFD3" s="104"/>
      <c r="AFE3" s="104"/>
      <c r="AFF3" s="104"/>
      <c r="AFG3" s="104"/>
      <c r="AFH3" s="104"/>
      <c r="AFI3" s="104"/>
      <c r="AFJ3" s="104"/>
      <c r="AFK3" s="104"/>
      <c r="AFL3" s="104"/>
      <c r="AFM3" s="104"/>
      <c r="AFN3" s="104"/>
      <c r="AFO3" s="104"/>
      <c r="AFP3" s="104"/>
      <c r="AFQ3" s="104"/>
      <c r="AFR3" s="104"/>
      <c r="AFS3" s="104"/>
      <c r="AFT3" s="104"/>
      <c r="AFU3" s="104"/>
      <c r="AFV3" s="104"/>
      <c r="AFW3" s="104"/>
      <c r="AFX3" s="104"/>
      <c r="AFY3" s="104"/>
      <c r="AFZ3" s="104"/>
      <c r="AGA3" s="104"/>
      <c r="AGB3" s="104"/>
      <c r="AGC3" s="104"/>
      <c r="AGD3" s="104"/>
      <c r="AGE3" s="104"/>
      <c r="AGF3" s="104"/>
      <c r="AGG3" s="104"/>
      <c r="AGH3" s="104"/>
      <c r="AGI3" s="104"/>
      <c r="AGJ3" s="104"/>
      <c r="AGK3" s="104"/>
      <c r="AGL3" s="104"/>
      <c r="AGM3" s="104"/>
      <c r="AGN3" s="104"/>
      <c r="AGO3" s="104"/>
      <c r="AGP3" s="104"/>
      <c r="AGQ3" s="104"/>
      <c r="AGR3" s="104"/>
      <c r="AGS3" s="104"/>
      <c r="AGT3" s="104"/>
      <c r="AGU3" s="104"/>
      <c r="AGV3" s="104"/>
      <c r="AGW3" s="104"/>
      <c r="AGX3" s="104"/>
      <c r="AGY3" s="104"/>
      <c r="AGZ3" s="104"/>
      <c r="AHA3" s="104"/>
      <c r="AHB3" s="104"/>
      <c r="AHC3" s="104"/>
      <c r="AHD3" s="104"/>
      <c r="AHE3" s="104"/>
      <c r="AHF3" s="104"/>
      <c r="AHG3" s="104"/>
      <c r="AHH3" s="104"/>
      <c r="AHI3" s="104"/>
      <c r="AHJ3" s="104"/>
      <c r="AHK3" s="104"/>
      <c r="AHL3" s="104"/>
      <c r="AHM3" s="104"/>
      <c r="AHN3" s="104"/>
      <c r="AHO3" s="104"/>
      <c r="AHP3" s="104"/>
      <c r="AHQ3" s="104"/>
      <c r="AHR3" s="104"/>
      <c r="AHS3" s="104"/>
      <c r="AHT3" s="104"/>
      <c r="AHU3" s="104"/>
      <c r="AHV3" s="104"/>
      <c r="AHW3" s="104"/>
      <c r="AHX3" s="104"/>
      <c r="AHY3" s="104"/>
      <c r="AHZ3" s="104"/>
      <c r="AIA3" s="104"/>
      <c r="AIB3" s="104"/>
      <c r="AIC3" s="104"/>
      <c r="AID3" s="104"/>
      <c r="AIE3" s="104"/>
      <c r="AIF3" s="104"/>
      <c r="AIG3" s="104"/>
      <c r="AIH3" s="104"/>
      <c r="AII3" s="104"/>
      <c r="AIJ3" s="104"/>
      <c r="AIK3" s="104"/>
      <c r="AIL3" s="104"/>
      <c r="AIM3" s="104"/>
      <c r="AIN3" s="104"/>
      <c r="AIO3" s="104"/>
      <c r="AIP3" s="104"/>
      <c r="AIQ3" s="104"/>
      <c r="AIR3" s="104"/>
      <c r="AIS3" s="104"/>
      <c r="AIT3" s="104"/>
      <c r="AIU3" s="104"/>
      <c r="AIV3" s="104"/>
      <c r="AIW3" s="104"/>
      <c r="AIX3" s="104"/>
      <c r="AIY3" s="104"/>
      <c r="AIZ3" s="104"/>
      <c r="AJA3" s="104"/>
      <c r="AJB3" s="104"/>
      <c r="AJC3" s="104"/>
      <c r="AJD3" s="104"/>
      <c r="AJE3" s="104"/>
      <c r="AJF3" s="104"/>
      <c r="AJG3" s="104"/>
      <c r="AJH3" s="104"/>
      <c r="AJI3" s="104"/>
      <c r="AJJ3" s="104"/>
      <c r="AJK3" s="104"/>
      <c r="AJL3" s="104"/>
      <c r="AJM3" s="104"/>
      <c r="AJN3" s="104"/>
      <c r="AJO3" s="104"/>
      <c r="AJP3" s="104"/>
      <c r="AJQ3" s="104"/>
      <c r="AJR3" s="104"/>
      <c r="AJS3" s="104"/>
      <c r="AJT3" s="104"/>
      <c r="AJU3" s="104"/>
      <c r="AJV3" s="104"/>
      <c r="AJW3" s="104"/>
      <c r="AJX3" s="104"/>
      <c r="AJY3" s="104"/>
      <c r="AJZ3" s="104"/>
      <c r="AKA3" s="104"/>
      <c r="AKB3" s="104"/>
      <c r="AKC3" s="104"/>
      <c r="AKD3" s="104"/>
      <c r="AKE3" s="104"/>
      <c r="AKF3" s="104"/>
      <c r="AKG3" s="104"/>
      <c r="AKH3" s="104"/>
      <c r="AKI3" s="104"/>
      <c r="AKJ3" s="104"/>
      <c r="AKK3" s="104"/>
      <c r="AKL3" s="104"/>
      <c r="AKM3" s="104"/>
      <c r="AKN3" s="104"/>
      <c r="AKO3" s="104"/>
      <c r="AKP3" s="104"/>
      <c r="AKQ3" s="104"/>
      <c r="AKR3" s="104"/>
      <c r="AKS3" s="104"/>
      <c r="AKT3" s="104"/>
      <c r="AKU3" s="104"/>
      <c r="AKV3" s="104"/>
      <c r="AKW3" s="104"/>
      <c r="AKX3" s="104"/>
      <c r="AKY3" s="104"/>
      <c r="AKZ3" s="104"/>
      <c r="ALA3" s="104"/>
      <c r="ALB3" s="104"/>
      <c r="ALC3" s="104"/>
      <c r="ALD3" s="104"/>
      <c r="XES3" s="103" t="s">
        <v>1943</v>
      </c>
    </row>
    <row r="4" spans="1:992 16373:16373" s="110" customFormat="1" ht="19.5" customHeight="1">
      <c r="A4" s="158" t="s">
        <v>929</v>
      </c>
      <c r="B4" s="382" t="s">
        <v>931</v>
      </c>
      <c r="C4" s="383"/>
      <c r="D4" s="383"/>
      <c r="E4" s="383"/>
      <c r="F4" s="384"/>
      <c r="G4" s="108" t="s">
        <v>7264</v>
      </c>
      <c r="H4" s="109" t="s">
        <v>7250</v>
      </c>
      <c r="I4" s="208"/>
    </row>
    <row r="5" spans="1:992 16373:16373" ht="75" customHeight="1">
      <c r="A5" s="111">
        <v>1</v>
      </c>
      <c r="B5" s="385" t="s">
        <v>16560</v>
      </c>
      <c r="C5" s="386"/>
      <c r="D5" s="386"/>
      <c r="E5" s="386"/>
      <c r="F5" s="387"/>
      <c r="G5" s="112" t="s">
        <v>12641</v>
      </c>
      <c r="H5" s="182">
        <f>SUM(H7:H15)</f>
        <v>240.79</v>
      </c>
    </row>
    <row r="6" spans="1:992 16373:16373" ht="30" customHeight="1">
      <c r="A6" s="114" t="s">
        <v>935</v>
      </c>
      <c r="B6" s="114" t="s">
        <v>936</v>
      </c>
      <c r="C6" s="114" t="s">
        <v>28</v>
      </c>
      <c r="D6" s="114" t="s">
        <v>932</v>
      </c>
      <c r="E6" s="114" t="s">
        <v>29</v>
      </c>
      <c r="F6" s="155" t="s">
        <v>2098</v>
      </c>
      <c r="G6" s="115" t="s">
        <v>7248</v>
      </c>
      <c r="H6" s="115" t="s">
        <v>7249</v>
      </c>
    </row>
    <row r="7" spans="1:992 16373:16373" ht="51">
      <c r="A7" s="116" t="s">
        <v>12638</v>
      </c>
      <c r="B7" s="116" t="s">
        <v>928</v>
      </c>
      <c r="C7" s="116">
        <v>3737</v>
      </c>
      <c r="D7" s="117" t="str">
        <f>PROPER(IFERROR(
IF(C7="","",
IF(CONCATENATE($A7,$B7)="IDER-ES",INDEX('IDER-ES'!$B:$B,MATCH($C7,'IDER-ES'!$A:$A,0)),
IF(CONCATENATE($A7,$B7)="CDER-ES",INDEX('CDER-ES'!$B:$B,MATCH($C7,'CDER-ES'!$A:$A,0)),
IF(CONCATENATE($A7,$B7)="ISINAPI",INDEX(ISINAPI!$B:$B,MATCH($C7,ISINAPI!$A:$A,0)),
IF(CONCATENATE($A7,$B7)="CSINAPI",INDEX(CSINAPI!$B:$B,MATCH($C7,CSINAPI!$A:$A,0)),
IF(CONCATENATE($A7,$B7)="CCESAN",INDEX(CCESAN!$B:$B,MATCH($C7,CCESAN!$A:$A,0)),
IF(CONCATENATE($A7,$B7)="CSCORIO",INDEX(CSCORIO!#REF!,MATCH($C7,CSCORIO!#REF!,0)),
IF(CONCATENATE($A7,$B7)="MERC",INDEX(MERCADO!$B:$B,MATCH($C7,MERCADO!$A:$A,0)),
IF(CONCATENATE($A7,$B7)="CCOMP",INDEX(COMPOSICAO!$B:$B,MATCH($C7,COMPOSICAO!$A:$A,0)),""
))))))))),"*Verificar código*"))</f>
        <v xml:space="preserve">Laje Pre-Moldada Convencional (Lajotas + Vigotas) Para Piso, Unidirecional, Sobrecarga De 350 Kg/M2, Vao Ate 4,50 M (Sem Colocacao)                                                                                                                                                                                                                                                                                                                                                                       </v>
      </c>
      <c r="E7" s="118" t="str">
        <f>LOWER(IFERROR(
IF(CONCATENATE($A7,$B7)="IDER-ES",INDEX('IDER-ES'!$C:$C,MATCH($C7,'IDER-ES'!$A:$A,0)),
IF(CONCATENATE($A7,$B7)="CIOPES",INDEX('CDER-ES'!$C:$C,MATCH($C7,'CDER-ES'!$A:$A,0)),
IF(CONCATENATE($A7,$B7)="ISINAPI",INDEX(ISINAPI!$C:$C,MATCH($C7,ISINAPI!$A:$A,0)),
IF(CONCATENATE($A7,$B7)="CSINAPI",INDEX(CSINAPI!$C:$C,MATCH($C7,CSINAPI!$A:$A,0)),
IF(CONCATENATE($A7,$B7)="CCESAN",INDEX(CCESAN!$C:$C,MATCH($C7,CCESAN!$A:$A,0)),
IF(CONCATENATE($A7,$B7)="CSCORIO",INDEX(CSCORIO!$A:$A,MATCH($C7,CSCORIO!#REF!,0)),
IF(CONCATENATE($A7,$B7)="MERC",INDEX(MERCADO!$D:$D,MATCH($C7,MERCADO!$A:$A,0)),
IF(CONCATENATE($A7,$B7)="CCOMP",INDEX(COMPOSICAO!$H:$H,MATCH($C7,COMPOSICAO!$A:$A,0)),""
)))))))),""))</f>
        <v xml:space="preserve">m2    </v>
      </c>
      <c r="F7" s="154">
        <v>1.1000000000000001</v>
      </c>
      <c r="G7" s="119">
        <f>(IFERROR(
IF(CONCATENATE($A7,$B7)="IDER-ES",INDEX('IDER-ES'!$D:$D,MATCH($C7,'IDER-ES'!$A:$A,0)),
IF(CONCATENATE($A7,$B7)="CIOPES",INDEX('CDER-ES'!$D:$D,MATCH($C7,'CDER-ES'!$A:$A,0)),
IF(CONCATENATE($A7,$B7)="ISINAPI",INDEX(ISINAPI!$E:$E,MATCH($C7,ISINAPI!$A:$A,0)),
IF(CONCATENATE($A7,$B7)="CSINAPI",INDEX(CSINAPI!$D:$D,MATCH($C7,CSINAPI!$A:$A,0)),
IF(CONCATENATE($A7,$B7)="CCESAN",INDEX(CCESAN!$D:$D,MATCH($C7,CCESAN!$A:$A,0)),
IF(CONCATENATE($A7,$B7)="CSCORIO",INDEX(CSCORIO!$B:$B,MATCH($C7,CSCORIO!#REF!,0)),
IF(CONCATENATE($A7,$B7)="MERC",INDEX(MERCADO!$E:$E,MATCH($C7,MERCADO!$A:$A,0)),
IF(CONCATENATE($A7,$B7)="CCOMP",INDEX(COMPOSICAO!$H:$H,MATCH($C7,COMPOSICAO!$A:$A,0)),""
)))))))),""))</f>
        <v>56.68</v>
      </c>
      <c r="H7" s="119">
        <f t="shared" ref="H7:H15" si="0">IF(B7="","",ROUND(G7*F7,2))</f>
        <v>62.35</v>
      </c>
      <c r="I7" s="213"/>
      <c r="J7" s="211"/>
    </row>
    <row r="8" spans="1:992 16373:16373" ht="25.5">
      <c r="A8" s="116" t="s">
        <v>12638</v>
      </c>
      <c r="B8" s="116" t="s">
        <v>928</v>
      </c>
      <c r="C8" s="116">
        <v>10567</v>
      </c>
      <c r="D8" s="117" t="str">
        <f>PROPER(IFERROR(
IF(C8="","",
IF(CONCATENATE($A8,$B8)="IDER-ES",INDEX('IDER-ES'!$B:$B,MATCH($C8,'IDER-ES'!$A:$A,0)),
IF(CONCATENATE($A8,$B8)="CDER-ES",INDEX('CDER-ES'!$B:$B,MATCH($C8,'CDER-ES'!$A:$A,0)),
IF(CONCATENATE($A8,$B8)="ISINAPI",INDEX(ISINAPI!$B:$B,MATCH($C8,ISINAPI!$A:$A,0)),
IF(CONCATENATE($A8,$B8)="CSINAPI",INDEX(CSINAPI!$B:$B,MATCH($C8,CSINAPI!$A:$A,0)),
IF(CONCATENATE($A8,$B8)="CCESAN",INDEX(CCESAN!$B:$B,MATCH($C8,CCESAN!$A:$A,0)),
IF(CONCATENATE($A8,$B8)="CSCORIO",INDEX(CSCORIO!#REF!,MATCH($C8,CSCORIO!#REF!,0)),
IF(CONCATENATE($A8,$B8)="MERC",INDEX(MERCADO!$B:$B,MATCH($C8,MERCADO!$A:$A,0)),
IF(CONCATENATE($A8,$B8)="CCOMP",INDEX(COMPOSICAO!$B:$B,MATCH($C8,COMPOSICAO!$A:$A,0)),""
))))))))),"*Verificar código*"))</f>
        <v xml:space="preserve">Tabua *2,5 X 23* Cm Em Pinus, Mista Ou Equivalente Da Regiao - Bruta                                                                                                                                                                                                                                                                                                                                                                                                                                      </v>
      </c>
      <c r="E8" s="118" t="str">
        <f>LOWER(IFERROR(
IF(CONCATENATE($A8,$B8)="IDER-ES",INDEX('IDER-ES'!$C:$C,MATCH($C8,'IDER-ES'!$A:$A,0)),
IF(CONCATENATE($A8,$B8)="CIOPES",INDEX('CDER-ES'!$C:$C,MATCH($C8,'CDER-ES'!$A:$A,0)),
IF(CONCATENATE($A8,$B8)="ISINAPI",INDEX(ISINAPI!$C:$C,MATCH($C8,ISINAPI!$A:$A,0)),
IF(CONCATENATE($A8,$B8)="CSINAPI",INDEX(CSINAPI!$C:$C,MATCH($C8,CSINAPI!$A:$A,0)),
IF(CONCATENATE($A8,$B8)="CCESAN",INDEX(CCESAN!$C:$C,MATCH($C8,CCESAN!$A:$A,0)),
IF(CONCATENATE($A8,$B8)="CSCORIO",INDEX(CSCORIO!$A:$A,MATCH($C8,CSCORIO!#REF!,0)),
IF(CONCATENATE($A8,$B8)="MERC",INDEX(MERCADO!$D:$D,MATCH($C8,MERCADO!$A:$A,0)),
IF(CONCATENATE($A8,$B8)="CCOMP",INDEX(COMPOSICAO!$H:$H,MATCH($C8,COMPOSICAO!$A:$A,0)),""
)))))))),""))</f>
        <v xml:space="preserve">m     </v>
      </c>
      <c r="F8" s="154">
        <v>1.87</v>
      </c>
      <c r="G8" s="119">
        <f>(IFERROR(
IF(CONCATENATE($A8,$B8)="IDER-ES",INDEX('IDER-ES'!$D:$D,MATCH($C8,'IDER-ES'!$A:$A,0)),
IF(CONCATENATE($A8,$B8)="CIOPES",INDEX('CDER-ES'!$D:$D,MATCH($C8,'CDER-ES'!$A:$A,0)),
IF(CONCATENATE($A8,$B8)="ISINAPI",INDEX(ISINAPI!$E:$E,MATCH($C8,ISINAPI!$A:$A,0)),
IF(CONCATENATE($A8,$B8)="CSINAPI",INDEX(CSINAPI!$D:$D,MATCH($C8,CSINAPI!$A:$A,0)),
IF(CONCATENATE($A8,$B8)="CCESAN",INDEX(CCESAN!$D:$D,MATCH($C8,CCESAN!$A:$A,0)),
IF(CONCATENATE($A8,$B8)="CSCORIO",INDEX(CSCORIO!$B:$B,MATCH($C8,CSCORIO!#REF!,0)),
IF(CONCATENATE($A8,$B8)="MERC",INDEX(MERCADO!$E:$E,MATCH($C8,MERCADO!$A:$A,0)),
IF(CONCATENATE($A8,$B8)="CCOMP",INDEX(COMPOSICAO!$H:$H,MATCH($C8,COMPOSICAO!$A:$A,0)),""
)))))))),""))</f>
        <v>9.06</v>
      </c>
      <c r="H8" s="119">
        <f t="shared" si="0"/>
        <v>16.940000000000001</v>
      </c>
      <c r="I8" s="212"/>
      <c r="J8" s="211"/>
    </row>
    <row r="9" spans="1:992 16373:16373" ht="25.5">
      <c r="A9" s="116" t="s">
        <v>12638</v>
      </c>
      <c r="B9" s="116" t="s">
        <v>928</v>
      </c>
      <c r="C9" s="116">
        <v>40304</v>
      </c>
      <c r="D9" s="117" t="str">
        <f>PROPER(IFERROR(
IF(C9="","",
IF(CONCATENATE($A9,$B9)="IDER-ES",INDEX('IDER-ES'!$B:$B,MATCH($C9,'IDER-ES'!$A:$A,0)),
IF(CONCATENATE($A9,$B9)="CDER-ES",INDEX('CDER-ES'!$B:$B,MATCH($C9,'CDER-ES'!$A:$A,0)),
IF(CONCATENATE($A9,$B9)="ISINAPI",INDEX(ISINAPI!$B:$B,MATCH($C9,ISINAPI!$A:$A,0)),
IF(CONCATENATE($A9,$B9)="CSINAPI",INDEX(CSINAPI!$B:$B,MATCH($C9,CSINAPI!$A:$A,0)),
IF(CONCATENATE($A9,$B9)="CCESAN",INDEX(CCESAN!$B:$B,MATCH($C9,CCESAN!$A:$A,0)),
IF(CONCATENATE($A9,$B9)="CSCORIO",INDEX(CSCORIO!#REF!,MATCH($C9,CSCORIO!#REF!,0)),
IF(CONCATENATE($A9,$B9)="MERC",INDEX(MERCADO!$B:$B,MATCH($C9,MERCADO!$A:$A,0)),
IF(CONCATENATE($A9,$B9)="CCOMP",INDEX(COMPOSICAO!$B:$B,MATCH($C9,COMPOSICAO!$A:$A,0)),""
))))))))),"*Verificar código*"))</f>
        <v xml:space="preserve">Prego De Aco Polido Com Cabeca Dupla 17 X 27 (2 1/2 X 11)                                                                                                                                                                                                                                                                                                                                                                                                                                                 </v>
      </c>
      <c r="E9" s="118" t="str">
        <f>LOWER(IFERROR(
IF(CONCATENATE($A9,$B9)="IDER-ES",INDEX('IDER-ES'!$C:$C,MATCH($C9,'IDER-ES'!$A:$A,0)),
IF(CONCATENATE($A9,$B9)="CIOPES",INDEX('CDER-ES'!$C:$C,MATCH($C9,'CDER-ES'!$A:$A,0)),
IF(CONCATENATE($A9,$B9)="ISINAPI",INDEX(ISINAPI!$C:$C,MATCH($C9,ISINAPI!$A:$A,0)),
IF(CONCATENATE($A9,$B9)="CSINAPI",INDEX(CSINAPI!$C:$C,MATCH($C9,CSINAPI!$A:$A,0)),
IF(CONCATENATE($A9,$B9)="CCESAN",INDEX(CCESAN!$C:$C,MATCH($C9,CCESAN!$A:$A,0)),
IF(CONCATENATE($A9,$B9)="CSCORIO",INDEX(CSCORIO!$A:$A,MATCH($C9,CSCORIO!#REF!,0)),
IF(CONCATENATE($A9,$B9)="MERC",INDEX(MERCADO!$D:$D,MATCH($C9,MERCADO!$A:$A,0)),
IF(CONCATENATE($A9,$B9)="CCOMP",INDEX(COMPOSICAO!$H:$H,MATCH($C9,COMPOSICAO!$A:$A,0)),""
)))))))),""))</f>
        <v xml:space="preserve">kg    </v>
      </c>
      <c r="F9" s="154">
        <v>0.04</v>
      </c>
      <c r="G9" s="119">
        <f>(IFERROR(
IF(CONCATENATE($A9,$B9)="IDER-ES",INDEX('IDER-ES'!$D:$D,MATCH($C9,'IDER-ES'!$A:$A,0)),
IF(CONCATENATE($A9,$B9)="CIOPES",INDEX('CDER-ES'!$D:$D,MATCH($C9,'CDER-ES'!$A:$A,0)),
IF(CONCATENATE($A9,$B9)="ISINAPI",INDEX(ISINAPI!$E:$E,MATCH($C9,ISINAPI!$A:$A,0)),
IF(CONCATENATE($A9,$B9)="CSINAPI",INDEX(CSINAPI!$D:$D,MATCH($C9,CSINAPI!$A:$A,0)),
IF(CONCATENATE($A9,$B9)="CCESAN",INDEX(CCESAN!$D:$D,MATCH($C9,CCESAN!$A:$A,0)),
IF(CONCATENATE($A9,$B9)="CSCORIO",INDEX(CSCORIO!$B:$B,MATCH($C9,CSCORIO!#REF!,0)),
IF(CONCATENATE($A9,$B9)="MERC",INDEX(MERCADO!$E:$E,MATCH($C9,MERCADO!$A:$A,0)),
IF(CONCATENATE($A9,$B9)="CCOMP",INDEX(COMPOSICAO!$H:$H,MATCH($C9,COMPOSICAO!$A:$A,0)),""
)))))))),""))</f>
        <v>24.71</v>
      </c>
      <c r="H9" s="119">
        <f t="shared" si="0"/>
        <v>0.99</v>
      </c>
    </row>
    <row r="10" spans="1:992 16373:16373" ht="51">
      <c r="A10" s="116" t="s">
        <v>12638</v>
      </c>
      <c r="B10" s="116" t="s">
        <v>928</v>
      </c>
      <c r="C10" s="116">
        <v>7155</v>
      </c>
      <c r="D10" s="117" t="str">
        <f>PROPER(IFERROR(
IF(C10="","",
IF(CONCATENATE($A10,$B10)="IDER-ES",INDEX('IDER-ES'!$B:$B,MATCH($C10,'IDER-ES'!$A:$A,0)),
IF(CONCATENATE($A10,$B10)="CDER-ES",INDEX('CDER-ES'!$B:$B,MATCH($C10,'CDER-ES'!$A:$A,0)),
IF(CONCATENATE($A10,$B10)="ISINAPI",INDEX(ISINAPI!$B:$B,MATCH($C10,ISINAPI!$A:$A,0)),
IF(CONCATENATE($A10,$B10)="CSINAPI",INDEX(CSINAPI!$B:$B,MATCH($C10,CSINAPI!$A:$A,0)),
IF(CONCATENATE($A10,$B10)="CCESAN",INDEX(CCESAN!$B:$B,MATCH($C10,CCESAN!$A:$A,0)),
IF(CONCATENATE($A10,$B10)="CSCORIO",INDEX(CSCORIO!#REF!,MATCH($C10,CSCORIO!#REF!,0)),
IF(CONCATENATE($A10,$B10)="MERC",INDEX(MERCADO!$B:$B,MATCH($C10,MERCADO!$A:$A,0)),
IF(CONCATENATE($A10,$B10)="CCOMP",INDEX(COMPOSICAO!$B:$B,MATCH($C10,COMPOSICAO!$A:$A,0)),""
))))))))),"*Verificar código*"))</f>
        <v xml:space="preserve">Tela De Aco Soldada Nervurada, Ca-60, Q-138, (2,20 Kg/M2), Diametro Do Fio = 4,2 Mm, Largura = 2,45 M, Espacamento Da Malha = 10  X 10 Cm                                                                                                                                                                                                                                                                                                                                                                 </v>
      </c>
      <c r="E10" s="118" t="str">
        <f>LOWER(IFERROR(
IF(CONCATENATE($A10,$B10)="IDER-ES",INDEX('IDER-ES'!$C:$C,MATCH($C10,'IDER-ES'!$A:$A,0)),
IF(CONCATENATE($A10,$B10)="CIOPES",INDEX('CDER-ES'!$C:$C,MATCH($C10,'CDER-ES'!$A:$A,0)),
IF(CONCATENATE($A10,$B10)="ISINAPI",INDEX(ISINAPI!$C:$C,MATCH($C10,ISINAPI!$A:$A,0)),
IF(CONCATENATE($A10,$B10)="CSINAPI",INDEX(CSINAPI!$C:$C,MATCH($C10,CSINAPI!$A:$A,0)),
IF(CONCATENATE($A10,$B10)="CCESAN",INDEX(CCESAN!$C:$C,MATCH($C10,CCESAN!$A:$A,0)),
IF(CONCATENATE($A10,$B10)="CSCORIO",INDEX(CSCORIO!$A:$A,MATCH($C10,CSCORIO!#REF!,0)),
IF(CONCATENATE($A10,$B10)="MERC",INDEX(MERCADO!$D:$D,MATCH($C10,MERCADO!$A:$A,0)),
IF(CONCATENATE($A10,$B10)="CCOMP",INDEX(COMPOSICAO!$H:$H,MATCH($C10,COMPOSICAO!$A:$A,0)),""
)))))))),""))</f>
        <v xml:space="preserve">m2    </v>
      </c>
      <c r="F10" s="154">
        <v>1.1000000000000001</v>
      </c>
      <c r="G10" s="119">
        <f>(IFERROR(
IF(CONCATENATE($A10,$B10)="IDER-ES",INDEX('IDER-ES'!$D:$D,MATCH($C10,'IDER-ES'!$A:$A,0)),
IF(CONCATENATE($A10,$B10)="CIOPES",INDEX('CDER-ES'!$D:$D,MATCH($C10,'CDER-ES'!$A:$A,0)),
IF(CONCATENATE($A10,$B10)="ISINAPI",INDEX(ISINAPI!$E:$E,MATCH($C10,ISINAPI!$A:$A,0)),
IF(CONCATENATE($A10,$B10)="CSINAPI",INDEX(CSINAPI!$D:$D,MATCH($C10,CSINAPI!$A:$A,0)),
IF(CONCATENATE($A10,$B10)="CCESAN",INDEX(CCESAN!$D:$D,MATCH($C10,CCESAN!$A:$A,0)),
IF(CONCATENATE($A10,$B10)="CSCORIO",INDEX(CSCORIO!$B:$B,MATCH($C10,CSCORIO!#REF!,0)),
IF(CONCATENATE($A10,$B10)="MERC",INDEX(MERCADO!$E:$E,MATCH($C10,MERCADO!$A:$A,0)),
IF(CONCATENATE($A10,$B10)="CCOMP",INDEX(COMPOSICAO!$H:$H,MATCH($C10,COMPOSICAO!$A:$A,0)),""
)))))))),""))</f>
        <v>23.08</v>
      </c>
      <c r="H10" s="119">
        <f t="shared" ref="H10" si="1">IF(B10="","",ROUND(G10*F10,2))</f>
        <v>25.39</v>
      </c>
    </row>
    <row r="11" spans="1:992 16373:16373" ht="25.5">
      <c r="A11" s="116" t="s">
        <v>9107</v>
      </c>
      <c r="B11" s="116" t="s">
        <v>928</v>
      </c>
      <c r="C11" s="116">
        <v>88262</v>
      </c>
      <c r="D11" s="117" t="str">
        <f>PROPER(IFERROR(
IF(C11="","",
IF(CONCATENATE($A11,$B11)="IDER-ES",INDEX('IDER-ES'!$B:$B,MATCH($C11,'IDER-ES'!$A:$A,0)),
IF(CONCATENATE($A11,$B11)="CDER-ES",INDEX('CDER-ES'!$B:$B,MATCH($C11,'CDER-ES'!$A:$A,0)),
IF(CONCATENATE($A11,$B11)="ISINAPI",INDEX(ISINAPI!$B:$B,MATCH($C11,ISINAPI!$A:$A,0)),
IF(CONCATENATE($A11,$B11)="CSINAPI",INDEX(CSINAPI!$B:$B,MATCH($C11,CSINAPI!$A:$A,0)),
IF(CONCATENATE($A11,$B11)="CCESAN",INDEX(CCESAN!$B:$B,MATCH($C11,CCESAN!$A:$A,0)),
IF(CONCATENATE($A11,$B11)="CSCORIO",INDEX(CSCORIO!#REF!,MATCH($C11,CSCORIO!#REF!,0)),
IF(CONCATENATE($A11,$B11)="MERC",INDEX(MERCADO!$B:$B,MATCH($C11,MERCADO!$A:$A,0)),
IF(CONCATENATE($A11,$B11)="CCOMP",INDEX(COMPOSICAO!$B:$B,MATCH($C11,COMPOSICAO!$A:$A,0)),""
))))))))),"*Verificar código*"))</f>
        <v>Carpinteiro De Formas Com Encargos Complementares</v>
      </c>
      <c r="E11" s="118" t="str">
        <f>LOWER(IFERROR(
IF(CONCATENATE($A11,$B11)="IDER-ES",INDEX('IDER-ES'!$C:$C,MATCH($C11,'IDER-ES'!$A:$A,0)),
IF(CONCATENATE($A11,$B11)="CIOPES",INDEX('CDER-ES'!$C:$C,MATCH($C11,'CDER-ES'!$A:$A,0)),
IF(CONCATENATE($A11,$B11)="ISINAPI",INDEX(ISINAPI!$C:$C,MATCH($C11,ISINAPI!$A:$A,0)),
IF(CONCATENATE($A11,$B11)="CSINAPI",INDEX(CSINAPI!$C:$C,MATCH($C11,CSINAPI!$A:$A,0)),
IF(CONCATENATE($A11,$B11)="CCESAN",INDEX(CCESAN!$C:$C,MATCH($C11,CCESAN!$A:$A,0)),
IF(CONCATENATE($A11,$B11)="CSCORIO",INDEX(CSCORIO!$A:$A,MATCH($C11,CSCORIO!#REF!,0)),
IF(CONCATENATE($A11,$B11)="MERC",INDEX(MERCADO!$D:$D,MATCH($C11,MERCADO!$A:$A,0)),
IF(CONCATENATE($A11,$B11)="CCOMP",INDEX(COMPOSICAO!$H:$H,MATCH($C11,COMPOSICAO!$A:$A,0)),""
)))))))),""))</f>
        <v>h</v>
      </c>
      <c r="F11" s="154">
        <v>0.501</v>
      </c>
      <c r="G11" s="119">
        <f>(IFERROR(
IF(CONCATENATE($A11,$B11)="IDER-ES",INDEX('IDER-ES'!$D:$D,MATCH($C11,'IDER-ES'!$A:$A,0)),
IF(CONCATENATE($A11,$B11)="CIOPES",INDEX('CDER-ES'!$D:$D,MATCH($C11,'CDER-ES'!$A:$A,0)),
IF(CONCATENATE($A11,$B11)="ISINAPI",INDEX(ISINAPI!$E:$E,MATCH($C11,ISINAPI!$A:$A,0)),
IF(CONCATENATE($A11,$B11)="CSINAPI",INDEX(CSINAPI!$D:$D,MATCH($C11,CSINAPI!$A:$A,0)),
IF(CONCATENATE($A11,$B11)="CCESAN",INDEX(CCESAN!$D:$D,MATCH($C11,CCESAN!$A:$A,0)),
IF(CONCATENATE($A11,$B11)="CSCORIO",INDEX(CSCORIO!$B:$B,MATCH($C11,CSCORIO!#REF!,0)),
IF(CONCATENATE($A11,$B11)="MERC",INDEX(MERCADO!$E:$E,MATCH($C11,MERCADO!$A:$A,0)),
IF(CONCATENATE($A11,$B11)="CCOMP",INDEX(COMPOSICAO!$H:$H,MATCH($C11,COMPOSICAO!$A:$A,0)),""
)))))))),""))</f>
        <v>27.58</v>
      </c>
      <c r="H11" s="119">
        <f t="shared" si="0"/>
        <v>13.82</v>
      </c>
    </row>
    <row r="12" spans="1:992 16373:16373" ht="25.5">
      <c r="A12" s="116" t="s">
        <v>9107</v>
      </c>
      <c r="B12" s="116" t="s">
        <v>928</v>
      </c>
      <c r="C12" s="116">
        <v>88316</v>
      </c>
      <c r="D12" s="117" t="str">
        <f>PROPER(IFERROR(
IF(C12="","",
IF(CONCATENATE($A12,$B12)="IDER-ES",INDEX('IDER-ES'!$B:$B,MATCH($C12,'IDER-ES'!$A:$A,0)),
IF(CONCATENATE($A12,$B12)="CDER-ES",INDEX('CDER-ES'!$B:$B,MATCH($C12,'CDER-ES'!$A:$A,0)),
IF(CONCATENATE($A12,$B12)="ISINAPI",INDEX(ISINAPI!$B:$B,MATCH($C12,ISINAPI!$A:$A,0)),
IF(CONCATENATE($A12,$B12)="CSINAPI",INDEX(CSINAPI!$B:$B,MATCH($C12,CSINAPI!$A:$A,0)),
IF(CONCATENATE($A12,$B12)="CCESAN",INDEX(CCESAN!$B:$B,MATCH($C12,CCESAN!$A:$A,0)),
IF(CONCATENATE($A12,$B12)="CSCORIO",INDEX(CSCORIO!#REF!,MATCH($C12,CSCORIO!#REF!,0)),
IF(CONCATENATE($A12,$B12)="MERC",INDEX(MERCADO!$B:$B,MATCH($C12,MERCADO!$A:$A,0)),
IF(CONCATENATE($A12,$B12)="CCOMP",INDEX(COMPOSICAO!$B:$B,MATCH($C12,COMPOSICAO!$A:$A,0)),""
))))))))),"*Verificar código*"))</f>
        <v>Servente Com Encargos Complementares</v>
      </c>
      <c r="E12" s="118" t="str">
        <f>LOWER(IFERROR(
IF(CONCATENATE($A12,$B12)="IDER-ES",INDEX('IDER-ES'!$C:$C,MATCH($C12,'IDER-ES'!$A:$A,0)),
IF(CONCATENATE($A12,$B12)="CIOPES",INDEX('CDER-ES'!$C:$C,MATCH($C12,'CDER-ES'!$A:$A,0)),
IF(CONCATENATE($A12,$B12)="ISINAPI",INDEX(ISINAPI!$C:$C,MATCH($C12,ISINAPI!$A:$A,0)),
IF(CONCATENATE($A12,$B12)="CSINAPI",INDEX(CSINAPI!$C:$C,MATCH($C12,CSINAPI!$A:$A,0)),
IF(CONCATENATE($A12,$B12)="CCESAN",INDEX(CCESAN!$C:$C,MATCH($C12,CCESAN!$A:$A,0)),
IF(CONCATENATE($A12,$B12)="CSCORIO",INDEX(CSCORIO!$A:$A,MATCH($C12,CSCORIO!#REF!,0)),
IF(CONCATENATE($A12,$B12)="MERC",INDEX(MERCADO!$D:$D,MATCH($C12,MERCADO!$A:$A,0)),
IF(CONCATENATE($A12,$B12)="CCOMP",INDEX(COMPOSICAO!$H:$H,MATCH($C12,COMPOSICAO!$A:$A,0)),""
)))))))),""))</f>
        <v>h</v>
      </c>
      <c r="F12" s="154">
        <v>0.35399999999999998</v>
      </c>
      <c r="G12" s="119">
        <f>(IFERROR(
IF(CONCATENATE($A12,$B12)="IDER-ES",INDEX('IDER-ES'!$D:$D,MATCH($C12,'IDER-ES'!$A:$A,0)),
IF(CONCATENATE($A12,$B12)="CIOPES",INDEX('CDER-ES'!$D:$D,MATCH($C12,'CDER-ES'!$A:$A,0)),
IF(CONCATENATE($A12,$B12)="ISINAPI",INDEX(ISINAPI!$E:$E,MATCH($C12,ISINAPI!$A:$A,0)),
IF(CONCATENATE($A12,$B12)="CSINAPI",INDEX(CSINAPI!$D:$D,MATCH($C12,CSINAPI!$A:$A,0)),
IF(CONCATENATE($A12,$B12)="CCESAN",INDEX(CCESAN!$D:$D,MATCH($C12,CCESAN!$A:$A,0)),
IF(CONCATENATE($A12,$B12)="CSCORIO",INDEX(CSCORIO!$B:$B,MATCH($C12,CSCORIO!#REF!,0)),
IF(CONCATENATE($A12,$B12)="MERC",INDEX(MERCADO!$E:$E,MATCH($C12,MERCADO!$A:$A,0)),
IF(CONCATENATE($A12,$B12)="CCOMP",INDEX(COMPOSICAO!$H:$H,MATCH($C12,COMPOSICAO!$A:$A,0)),""
)))))))),""))</f>
        <v>19.260000000000002</v>
      </c>
      <c r="H12" s="119">
        <f t="shared" si="0"/>
        <v>6.82</v>
      </c>
    </row>
    <row r="13" spans="1:992 16373:16373" ht="38.25">
      <c r="A13" s="116" t="s">
        <v>9107</v>
      </c>
      <c r="B13" s="116" t="s">
        <v>928</v>
      </c>
      <c r="C13" s="116">
        <v>92273</v>
      </c>
      <c r="D13" s="117" t="str">
        <f>PROPER(IFERROR(
IF(C13="","",
IF(CONCATENATE($A13,$B13)="IDER-ES",INDEX('IDER-ES'!$B:$B,MATCH($C13,'IDER-ES'!$A:$A,0)),
IF(CONCATENATE($A13,$B13)="CDER-ES",INDEX('CDER-ES'!$B:$B,MATCH($C13,'CDER-ES'!$A:$A,0)),
IF(CONCATENATE($A13,$B13)="ISINAPI",INDEX(ISINAPI!$B:$B,MATCH($C13,ISINAPI!$A:$A,0)),
IF(CONCATENATE($A13,$B13)="CSINAPI",INDEX(CSINAPI!$B:$B,MATCH($C13,CSINAPI!$A:$A,0)),
IF(CONCATENATE($A13,$B13)="CCESAN",INDEX(CCESAN!$B:$B,MATCH($C13,CCESAN!$A:$A,0)),
IF(CONCATENATE($A13,$B13)="CSCORIO",INDEX(CSCORIO!#REF!,MATCH($C13,CSCORIO!#REF!,0)),
IF(CONCATENATE($A13,$B13)="MERC",INDEX(MERCADO!$B:$B,MATCH($C13,MERCADO!$A:$A,0)),
IF(CONCATENATE($A13,$B13)="CCOMP",INDEX(COMPOSICAO!$B:$B,MATCH($C13,COMPOSICAO!$A:$A,0)),""
))))))))),"*Verificar código*"))</f>
        <v>Fabricação De Escoras Do Tipo Pontalete, Em Madeira, Para Pé-Direito Simples. Af_09/2020</v>
      </c>
      <c r="E13" s="118" t="str">
        <f>LOWER(IFERROR(
IF(CONCATENATE($A13,$B13)="IDER-ES",INDEX('IDER-ES'!$C:$C,MATCH($C13,'IDER-ES'!$A:$A,0)),
IF(CONCATENATE($A13,$B13)="CIOPES",INDEX('CDER-ES'!$C:$C,MATCH($C13,'CDER-ES'!$A:$A,0)),
IF(CONCATENATE($A13,$B13)="ISINAPI",INDEX(ISINAPI!$C:$C,MATCH($C13,ISINAPI!$A:$A,0)),
IF(CONCATENATE($A13,$B13)="CSINAPI",INDEX(CSINAPI!$C:$C,MATCH($C13,CSINAPI!$A:$A,0)),
IF(CONCATENATE($A13,$B13)="CCESAN",INDEX(CCESAN!$C:$C,MATCH($C13,CCESAN!$A:$A,0)),
IF(CONCATENATE($A13,$B13)="CSCORIO",INDEX(CSCORIO!$A:$A,MATCH($C13,CSCORIO!#REF!,0)),
IF(CONCATENATE($A13,$B13)="MERC",INDEX(MERCADO!$D:$D,MATCH($C13,MERCADO!$A:$A,0)),
IF(CONCATENATE($A13,$B13)="CCOMP",INDEX(COMPOSICAO!$H:$H,MATCH($C13,COMPOSICAO!$A:$A,0)),""
)))))))),""))</f>
        <v>m</v>
      </c>
      <c r="F13" s="154">
        <v>0.97</v>
      </c>
      <c r="G13" s="119">
        <f>(IFERROR(
IF(CONCATENATE($A13,$B13)="IDER-ES",INDEX('IDER-ES'!$D:$D,MATCH($C13,'IDER-ES'!$A:$A,0)),
IF(CONCATENATE($A13,$B13)="CIOPES",INDEX('CDER-ES'!$D:$D,MATCH($C13,'CDER-ES'!$A:$A,0)),
IF(CONCATENATE($A13,$B13)="ISINAPI",INDEX(ISINAPI!$E:$E,MATCH($C13,ISINAPI!$A:$A,0)),
IF(CONCATENATE($A13,$B13)="CSINAPI",INDEX(CSINAPI!$D:$D,MATCH($C13,CSINAPI!$A:$A,0)),
IF(CONCATENATE($A13,$B13)="CCESAN",INDEX(CCESAN!$D:$D,MATCH($C13,CCESAN!$A:$A,0)),
IF(CONCATENATE($A13,$B13)="CSCORIO",INDEX(CSCORIO!$B:$B,MATCH($C13,CSCORIO!#REF!,0)),
IF(CONCATENATE($A13,$B13)="MERC",INDEX(MERCADO!$E:$E,MATCH($C13,MERCADO!$A:$A,0)),
IF(CONCATENATE($A13,$B13)="CCOMP",INDEX(COMPOSICAO!$H:$H,MATCH($C13,COMPOSICAO!$A:$A,0)),""
)))))))),""))</f>
        <v>15.1</v>
      </c>
      <c r="H13" s="119">
        <f t="shared" si="0"/>
        <v>14.65</v>
      </c>
    </row>
    <row r="14" spans="1:992 16373:16373" ht="63.75">
      <c r="A14" s="116" t="s">
        <v>9107</v>
      </c>
      <c r="B14" s="116" t="s">
        <v>928</v>
      </c>
      <c r="C14" s="116">
        <v>103674</v>
      </c>
      <c r="D14" s="117" t="str">
        <f>PROPER(IFERROR(
IF(C14="","",
IF(CONCATENATE($A14,$B14)="IDER-ES",INDEX('IDER-ES'!$B:$B,MATCH($C14,'IDER-ES'!$A:$A,0)),
IF(CONCATENATE($A14,$B14)="CDER-ES",INDEX('CDER-ES'!$B:$B,MATCH($C14,'CDER-ES'!$A:$A,0)),
IF(CONCATENATE($A14,$B14)="ISINAPI",INDEX(ISINAPI!$B:$B,MATCH($C14,ISINAPI!$A:$A,0)),
IF(CONCATENATE($A14,$B14)="CSINAPI",INDEX(CSINAPI!$B:$B,MATCH($C14,CSINAPI!$A:$A,0)),
IF(CONCATENATE($A14,$B14)="CCESAN",INDEX(CCESAN!$B:$B,MATCH($C14,CCESAN!$A:$A,0)),
IF(CONCATENATE($A14,$B14)="CSCORIO",INDEX(CSCORIO!#REF!,MATCH($C14,CSCORIO!#REF!,0)),
IF(CONCATENATE($A14,$B14)="MERC",INDEX(MERCADO!$B:$B,MATCH($C14,MERCADO!$A:$A,0)),
IF(CONCATENATE($A14,$B14)="CCOMP",INDEX(COMPOSICAO!$B:$B,MATCH($C14,COMPOSICAO!$A:$A,0)),""
))))))))),"*Verificar código*"))</f>
        <v>Concretagem De Vigas E Lajes, Fck=25 Mpa, Para Lajes Premoldadas Com Uso De Bomba - Lançamento, Adensamento E Acabamento. Af_02/2022_Ps</v>
      </c>
      <c r="E14" s="118" t="str">
        <f>LOWER(IFERROR(
IF(CONCATENATE($A14,$B14)="IDER-ES",INDEX('IDER-ES'!$C:$C,MATCH($C14,'IDER-ES'!$A:$A,0)),
IF(CONCATENATE($A14,$B14)="CIOPES",INDEX('CDER-ES'!$C:$C,MATCH($C14,'CDER-ES'!$A:$A,0)),
IF(CONCATENATE($A14,$B14)="ISINAPI",INDEX(ISINAPI!$C:$C,MATCH($C14,ISINAPI!$A:$A,0)),
IF(CONCATENATE($A14,$B14)="CSINAPI",INDEX(CSINAPI!$C:$C,MATCH($C14,CSINAPI!$A:$A,0)),
IF(CONCATENATE($A14,$B14)="CCESAN",INDEX(CCESAN!$C:$C,MATCH($C14,CCESAN!$A:$A,0)),
IF(CONCATENATE($A14,$B14)="CSCORIO",INDEX(CSCORIO!$A:$A,MATCH($C14,CSCORIO!#REF!,0)),
IF(CONCATENATE($A14,$B14)="MERC",INDEX(MERCADO!$D:$D,MATCH($C14,MERCADO!$A:$A,0)),
IF(CONCATENATE($A14,$B14)="CCOMP",INDEX(COMPOSICAO!$H:$H,MATCH($C14,COMPOSICAO!$A:$A,0)),""
)))))))),""))</f>
        <v>m3</v>
      </c>
      <c r="F14" s="154">
        <v>0.08</v>
      </c>
      <c r="G14" s="119">
        <f>(IFERROR(
IF(CONCATENATE($A14,$B14)="IDER-ES",INDEX('IDER-ES'!$D:$D,MATCH($C14,'IDER-ES'!$A:$A,0)),
IF(CONCATENATE($A14,$B14)="CIOPES",INDEX('CDER-ES'!$D:$D,MATCH($C14,'CDER-ES'!$A:$A,0)),
IF(CONCATENATE($A14,$B14)="ISINAPI",INDEX(ISINAPI!$E:$E,MATCH($C14,ISINAPI!$A:$A,0)),
IF(CONCATENATE($A14,$B14)="CSINAPI",INDEX(CSINAPI!$D:$D,MATCH($C14,CSINAPI!$A:$A,0)),
IF(CONCATENATE($A14,$B14)="CCESAN",INDEX(CCESAN!$D:$D,MATCH($C14,CCESAN!$A:$A,0)),
IF(CONCATENATE($A14,$B14)="CSCORIO",INDEX(CSCORIO!$B:$B,MATCH($C14,CSCORIO!#REF!,0)),
IF(CONCATENATE($A14,$B14)="MERC",INDEX(MERCADO!$E:$E,MATCH($C14,MERCADO!$A:$A,0)),
IF(CONCATENATE($A14,$B14)="CCOMP",INDEX(COMPOSICAO!$H:$H,MATCH($C14,COMPOSICAO!$A:$A,0)),""
)))))))),""))</f>
        <v>698.21</v>
      </c>
      <c r="H14" s="119">
        <f t="shared" si="0"/>
        <v>55.86</v>
      </c>
    </row>
    <row r="15" spans="1:992 16373:16373" ht="51">
      <c r="A15" s="116" t="s">
        <v>9107</v>
      </c>
      <c r="B15" s="116" t="s">
        <v>928</v>
      </c>
      <c r="C15" s="116">
        <v>92767</v>
      </c>
      <c r="D15" s="117" t="str">
        <f>PROPER(IFERROR(
IF(C15="","",
IF(CONCATENATE($A15,$B15)="IDER-ES",INDEX('IDER-ES'!$B:$B,MATCH($C15,'IDER-ES'!$A:$A,0)),
IF(CONCATENATE($A15,$B15)="CDER-ES",INDEX('CDER-ES'!$B:$B,MATCH($C15,'CDER-ES'!$A:$A,0)),
IF(CONCATENATE($A15,$B15)="ISINAPI",INDEX(ISINAPI!$B:$B,MATCH($C15,ISINAPI!$A:$A,0)),
IF(CONCATENATE($A15,$B15)="CSINAPI",INDEX(CSINAPI!$B:$B,MATCH($C15,CSINAPI!$A:$A,0)),
IF(CONCATENATE($A15,$B15)="CCESAN",INDEX(CCESAN!$B:$B,MATCH($C15,CCESAN!$A:$A,0)),
IF(CONCATENATE($A15,$B15)="CSCORIO",INDEX(CSCORIO!#REF!,MATCH($C15,CSCORIO!#REF!,0)),
IF(CONCATENATE($A15,$B15)="MERC",INDEX(MERCADO!$B:$B,MATCH($C15,MERCADO!$A:$A,0)),
IF(CONCATENATE($A15,$B15)="CCOMP",INDEX(COMPOSICAO!$B:$B,MATCH($C15,COMPOSICAO!$A:$A,0)),""
))))))))),"*Verificar código*"))</f>
        <v>Armação De Laje De Estrutura Convencional De Concreto Armado Utilizando Aço Ca-60 De 4,2 Mm - Montagem. Af_06/2022</v>
      </c>
      <c r="E15" s="118" t="str">
        <f>LOWER(IFERROR(
IF(CONCATENATE($A15,$B15)="IDER-ES",INDEX('IDER-ES'!$C:$C,MATCH($C15,'IDER-ES'!$A:$A,0)),
IF(CONCATENATE($A15,$B15)="CIOPES",INDEX('CDER-ES'!$C:$C,MATCH($C15,'CDER-ES'!$A:$A,0)),
IF(CONCATENATE($A15,$B15)="ISINAPI",INDEX(ISINAPI!$C:$C,MATCH($C15,ISINAPI!$A:$A,0)),
IF(CONCATENATE($A15,$B15)="CSINAPI",INDEX(CSINAPI!$C:$C,MATCH($C15,CSINAPI!$A:$A,0)),
IF(CONCATENATE($A15,$B15)="CCESAN",INDEX(CCESAN!$C:$C,MATCH($C15,CCESAN!$A:$A,0)),
IF(CONCATENATE($A15,$B15)="CSCORIO",INDEX(CSCORIO!$A:$A,MATCH($C15,CSCORIO!#REF!,0)),
IF(CONCATENATE($A15,$B15)="MERC",INDEX(MERCADO!$D:$D,MATCH($C15,MERCADO!$A:$A,0)),
IF(CONCATENATE($A15,$B15)="CCOMP",INDEX(COMPOSICAO!$H:$H,MATCH($C15,COMPOSICAO!$A:$A,0)),""
)))))))),""))</f>
        <v>kg</v>
      </c>
      <c r="F15" s="154">
        <f>2.2*1.1</f>
        <v>2.4200000000000004</v>
      </c>
      <c r="G15" s="119">
        <f>(IFERROR(
IF(CONCATENATE($A15,$B15)="IDER-ES",INDEX('IDER-ES'!$D:$D,MATCH($C15,'IDER-ES'!$A:$A,0)),
IF(CONCATENATE($A15,$B15)="CIOPES",INDEX('CDER-ES'!$D:$D,MATCH($C15,'CDER-ES'!$A:$A,0)),
IF(CONCATENATE($A15,$B15)="ISINAPI",INDEX(ISINAPI!$E:$E,MATCH($C15,ISINAPI!$A:$A,0)),
IF(CONCATENATE($A15,$B15)="CSINAPI",INDEX(CSINAPI!$D:$D,MATCH($C15,CSINAPI!$A:$A,0)),
IF(CONCATENATE($A15,$B15)="CCESAN",INDEX(CCESAN!$D:$D,MATCH($C15,CCESAN!$A:$A,0)),
IF(CONCATENATE($A15,$B15)="CSCORIO",INDEX(CSCORIO!$B:$B,MATCH($C15,CSCORIO!#REF!,0)),
IF(CONCATENATE($A15,$B15)="MERC",INDEX(MERCADO!$E:$E,MATCH($C15,MERCADO!$A:$A,0)),
IF(CONCATENATE($A15,$B15)="CCOMP",INDEX(COMPOSICAO!$H:$H,MATCH($C15,COMPOSICAO!$A:$A,0)),""
)))))))),""))</f>
        <v>18.170000000000002</v>
      </c>
      <c r="H15" s="119">
        <f t="shared" si="0"/>
        <v>43.97</v>
      </c>
    </row>
    <row r="16" spans="1:992 16373:16373">
      <c r="A16" s="223" t="s">
        <v>19113</v>
      </c>
    </row>
    <row r="17" spans="1:10" ht="30" customHeight="1">
      <c r="A17" s="395" t="s">
        <v>14601</v>
      </c>
      <c r="B17" s="395"/>
      <c r="C17" s="395"/>
      <c r="D17" s="395"/>
      <c r="E17" s="395"/>
      <c r="F17" s="395"/>
      <c r="G17" s="395"/>
      <c r="H17" s="395"/>
    </row>
    <row r="19" spans="1:10" s="110" customFormat="1" ht="19.5" customHeight="1">
      <c r="A19" s="158" t="s">
        <v>929</v>
      </c>
      <c r="B19" s="382" t="s">
        <v>931</v>
      </c>
      <c r="C19" s="383"/>
      <c r="D19" s="383"/>
      <c r="E19" s="383"/>
      <c r="F19" s="384"/>
      <c r="G19" s="108" t="s">
        <v>7264</v>
      </c>
      <c r="H19" s="109" t="s">
        <v>7250</v>
      </c>
      <c r="I19" s="208"/>
    </row>
    <row r="20" spans="1:10" ht="15" customHeight="1">
      <c r="A20" s="111">
        <v>2</v>
      </c>
      <c r="B20" s="385" t="s">
        <v>16561</v>
      </c>
      <c r="C20" s="386"/>
      <c r="D20" s="386"/>
      <c r="E20" s="386"/>
      <c r="F20" s="387"/>
      <c r="G20" s="112" t="s">
        <v>12641</v>
      </c>
      <c r="H20" s="182">
        <f>SUM(H22:H24)</f>
        <v>146.28</v>
      </c>
    </row>
    <row r="21" spans="1:10" ht="30" customHeight="1">
      <c r="A21" s="114" t="s">
        <v>935</v>
      </c>
      <c r="B21" s="114" t="s">
        <v>936</v>
      </c>
      <c r="C21" s="114" t="s">
        <v>28</v>
      </c>
      <c r="D21" s="114" t="s">
        <v>932</v>
      </c>
      <c r="E21" s="114" t="s">
        <v>29</v>
      </c>
      <c r="F21" s="155" t="s">
        <v>2098</v>
      </c>
      <c r="G21" s="115" t="s">
        <v>7248</v>
      </c>
      <c r="H21" s="115" t="s">
        <v>7249</v>
      </c>
    </row>
    <row r="22" spans="1:10" ht="63.75">
      <c r="A22" s="116" t="s">
        <v>9107</v>
      </c>
      <c r="B22" s="116" t="s">
        <v>12617</v>
      </c>
      <c r="C22" s="116">
        <v>40249</v>
      </c>
      <c r="D22" s="117" t="str">
        <f>PROPER(IFERROR(
IF(C22="","",
IF(CONCATENATE($A22,$B22)="IDER-ES",INDEX('IDER-ES'!$B:$B,MATCH($C22,'IDER-ES'!$A:$A,0)),
IF(CONCATENATE($A22,$B22)="CDER-ES",INDEX('CDER-ES'!$B:$B,MATCH($C22,'CDER-ES'!$A:$A,0)),
IF(CONCATENATE($A22,$B22)="ISINAPI",INDEX(ISINAPI!$B:$B,MATCH($C22,ISINAPI!$A:$A,0)),
IF(CONCATENATE($A22,$B22)="CSINAPI",INDEX(CSINAPI!$B:$B,MATCH($C22,CSINAPI!$A:$A,0)),
IF(CONCATENATE($A22,$B22)="CCESAN",INDEX(CCESAN!$B:$B,MATCH($C22,CCESAN!$A:$A,0)),
IF(CONCATENATE($A22,$B22)="CSCORIO",INDEX(CSCORIO!#REF!,MATCH($C22,CSCORIO!#REF!,0)),
IF(CONCATENATE($A22,$B22)="MERC",INDEX(MERCADO!$B:$B,MATCH($C22,MERCADO!$A:$A,0)),
IF(CONCATENATE($A22,$B22)="CCOMP",INDEX(COMPOSICAO!$B:$B,MATCH($C22,COMPOSICAO!$A:$A,0)),""
))))))))),"*Verificar código*"))</f>
        <v>Fôrma De Tábua De Madeira De 2.5X30.0Cm, Levando-Se Em Conta Utilização 1 Vez (Incluindo O Material, Corte, Montagem, Escoramento E Desforma)</v>
      </c>
      <c r="E22" s="118" t="str">
        <f>LOWER(IFERROR(
IF(CONCATENATE($A22,$B22)="IDER-ES",INDEX('IDER-ES'!$C:$C,MATCH($C22,'IDER-ES'!$A:$A,0)),
IF(CONCATENATE($A22,$B22)="CDER-ES",INDEX('CDER-ES'!$C:$C,MATCH($C22,'CDER-ES'!$A:$A,0)),
IF(CONCATENATE($A22,$B22)="ISINAPI",INDEX(ISINAPI!$C:$C,MATCH($C22,ISINAPI!$A:$A,0)),
IF(CONCATENATE($A22,$B22)="CSINAPI",INDEX(CSINAPI!$C:$C,MATCH($C22,CSINAPI!$A:$A,0)),
IF(CONCATENATE($A22,$B22)="CCESAN",INDEX(CCESAN!$C:$C,MATCH($C22,CCESAN!$A:$A,0)),
IF(CONCATENATE($A22,$B22)="CSCORIO",INDEX(CSCORIO!$A:$A,MATCH($C22,CSCORIO!#REF!,0)),
IF(CONCATENATE($A22,$B22)="MERC",INDEX(MERCADO!$D:$D,MATCH($C22,MERCADO!$A:$A,0)),
IF(CONCATENATE($A22,$B22)="CCOMP",INDEX(COMPOSICAO!$H:$H,MATCH($C22,COMPOSICAO!$A:$A,0)),""
)))))))),""))</f>
        <v>m2</v>
      </c>
      <c r="F22" s="154">
        <v>0.2</v>
      </c>
      <c r="G22" s="119">
        <f>(IFERROR(
IF(CONCATENATE($A22,$B22)="IDER-ES",INDEX('IDER-ES'!$D:$D,MATCH($C22,'IDER-ES'!$A:$A,0)),
IF(CONCATENATE($A22,$B22)="CDER-ES",INDEX('CDER-ES'!$D:$D,MATCH($C22,'CDER-ES'!$A:$A,0)),
IF(CONCATENATE($A22,$B22)="ISINAPI",INDEX(ISINAPI!$E:$E,MATCH($C22,ISINAPI!$A:$A,0)),
IF(CONCATENATE($A22,$B22)="CSINAPI",INDEX(CSINAPI!$D:$D,MATCH($C22,CSINAPI!$A:$A,0)),
IF(CONCATENATE($A22,$B22)="CCESAN",INDEX(CCESAN!$D:$D,MATCH($C22,CCESAN!$A:$A,0)),
IF(CONCATENATE($A22,$B22)="CSCORIO",INDEX(CSCORIO!$B:$B,MATCH($C22,CSCORIO!#REF!,0)),
IF(CONCATENATE($A22,$B22)="MERC",INDEX(MERCADO!$E:$E,MATCH($C22,MERCADO!$A:$A,0)),
IF(CONCATENATE($A22,$B22)="CCOMP",INDEX(COMPOSICAO!$H:$H,MATCH($C22,COMPOSICAO!$A:$A,0)),""
)))))))),""))</f>
        <v>123.29</v>
      </c>
      <c r="H22" s="119">
        <f t="shared" ref="H22:H24" si="2">IF(B22="","",ROUND(G22*F22,2))</f>
        <v>24.66</v>
      </c>
      <c r="I22" s="213"/>
      <c r="J22" s="211"/>
    </row>
    <row r="23" spans="1:10" ht="51">
      <c r="A23" s="116" t="s">
        <v>12638</v>
      </c>
      <c r="B23" s="116" t="s">
        <v>928</v>
      </c>
      <c r="C23" s="116">
        <v>7155</v>
      </c>
      <c r="D23" s="117" t="str">
        <f>PROPER(IFERROR(
IF(C23="","",
IF(CONCATENATE($A23,$B23)="IDER-ES",INDEX('IDER-ES'!$B:$B,MATCH($C23,'IDER-ES'!$A:$A,0)),
IF(CONCATENATE($A23,$B23)="CDER-ES",INDEX('CDER-ES'!$B:$B,MATCH($C23,'CDER-ES'!$A:$A,0)),
IF(CONCATENATE($A23,$B23)="ISINAPI",INDEX(ISINAPI!$B:$B,MATCH($C23,ISINAPI!$A:$A,0)),
IF(CONCATENATE($A23,$B23)="CSINAPI",INDEX(CSINAPI!$B:$B,MATCH($C23,CSINAPI!$A:$A,0)),
IF(CONCATENATE($A23,$B23)="CCESAN",INDEX(CCESAN!$B:$B,MATCH($C23,CCESAN!$A:$A,0)),
IF(CONCATENATE($A23,$B23)="CSCORIO",INDEX(CSCORIO!#REF!,MATCH($C23,CSCORIO!#REF!,0)),
IF(CONCATENATE($A23,$B23)="MERC",INDEX(MERCADO!$B:$B,MATCH($C23,MERCADO!$A:$A,0)),
IF(CONCATENATE($A23,$B23)="CCOMP",INDEX(COMPOSICAO!$B:$B,MATCH($C23,COMPOSICAO!$A:$A,0)),""
))))))))),"*Verificar código*"))</f>
        <v xml:space="preserve">Tela De Aco Soldada Nervurada, Ca-60, Q-138, (2,20 Kg/M2), Diametro Do Fio = 4,2 Mm, Largura = 2,45 M, Espacamento Da Malha = 10  X 10 Cm                                                                                                                                                                                                                                                                                                                                                                 </v>
      </c>
      <c r="E23" s="118" t="str">
        <f>LOWER(IFERROR(
IF(CONCATENATE($A23,$B23)="IDER-ES",INDEX('IDER-ES'!$C:$C,MATCH($C23,'IDER-ES'!$A:$A,0)),
IF(CONCATENATE($A23,$B23)="CDER-ES",INDEX('CDER-ES'!$C:$C,MATCH($C23,'CDER-ES'!$A:$A,0)),
IF(CONCATENATE($A23,$B23)="ISINAPI",INDEX(ISINAPI!$C:$C,MATCH($C23,ISINAPI!$A:$A,0)),
IF(CONCATENATE($A23,$B23)="CSINAPI",INDEX(CSINAPI!$C:$C,MATCH($C23,CSINAPI!$A:$A,0)),
IF(CONCATENATE($A23,$B23)="CCESAN",INDEX(CCESAN!$C:$C,MATCH($C23,CCESAN!$A:$A,0)),
IF(CONCATENATE($A23,$B23)="CSCORIO",INDEX(CSCORIO!$A:$A,MATCH($C23,CSCORIO!#REF!,0)),
IF(CONCATENATE($A23,$B23)="MERC",INDEX(MERCADO!$D:$D,MATCH($C23,MERCADO!$A:$A,0)),
IF(CONCATENATE($A23,$B23)="CCOMP",INDEX(COMPOSICAO!$H:$H,MATCH($C23,COMPOSICAO!$A:$A,0)),""
)))))))),""))</f>
        <v xml:space="preserve">m2    </v>
      </c>
      <c r="F23" s="154">
        <v>2.2000000000000002</v>
      </c>
      <c r="G23" s="119">
        <f>(IFERROR(
IF(CONCATENATE($A23,$B23)="IDER-ES",INDEX('IDER-ES'!$D:$D,MATCH($C23,'IDER-ES'!$A:$A,0)),
IF(CONCATENATE($A23,$B23)="CDER-ES",INDEX('CDER-ES'!$D:$D,MATCH($C23,'CDER-ES'!$A:$A,0)),
IF(CONCATENATE($A23,$B23)="ISINAPI",INDEX(ISINAPI!$E:$E,MATCH($C23,ISINAPI!$A:$A,0)),
IF(CONCATENATE($A23,$B23)="CSINAPI",INDEX(CSINAPI!$D:$D,MATCH($C23,CSINAPI!$A:$A,0)),
IF(CONCATENATE($A23,$B23)="CCESAN",INDEX(CCESAN!$D:$D,MATCH($C23,CCESAN!$A:$A,0)),
IF(CONCATENATE($A23,$B23)="CSCORIO",INDEX(CSCORIO!$B:$B,MATCH($C23,CSCORIO!#REF!,0)),
IF(CONCATENATE($A23,$B23)="MERC",INDEX(MERCADO!$E:$E,MATCH($C23,MERCADO!$A:$A,0)),
IF(CONCATENATE($A23,$B23)="CCOMP",INDEX(COMPOSICAO!$H:$H,MATCH($C23,COMPOSICAO!$A:$A,0)),""
)))))))),""))</f>
        <v>23.08</v>
      </c>
      <c r="H23" s="119">
        <f t="shared" si="2"/>
        <v>50.78</v>
      </c>
      <c r="I23" s="212"/>
      <c r="J23" s="211"/>
    </row>
    <row r="24" spans="1:10" ht="38.25">
      <c r="A24" s="116" t="s">
        <v>9107</v>
      </c>
      <c r="B24" s="116" t="s">
        <v>12617</v>
      </c>
      <c r="C24" s="116">
        <v>40324</v>
      </c>
      <c r="D24" s="117" t="str">
        <f>PROPER(IFERROR(
IF(C24="","",
IF(CONCATENATE($A24,$B24)="IDER-ES",INDEX('IDER-ES'!$B:$B,MATCH($C24,'IDER-ES'!$A:$A,0)),
IF(CONCATENATE($A24,$B24)="CDER-ES",INDEX('CDER-ES'!$B:$B,MATCH($C24,'CDER-ES'!$A:$A,0)),
IF(CONCATENATE($A24,$B24)="ISINAPI",INDEX(ISINAPI!$B:$B,MATCH($C24,ISINAPI!$A:$A,0)),
IF(CONCATENATE($A24,$B24)="CSINAPI",INDEX(CSINAPI!$B:$B,MATCH($C24,CSINAPI!$A:$A,0)),
IF(CONCATENATE($A24,$B24)="CCESAN",INDEX(CCESAN!$B:$B,MATCH($C24,CCESAN!$A:$A,0)),
IF(CONCATENATE($A24,$B24)="CSCORIO",INDEX(CSCORIO!#REF!,MATCH($C24,CSCORIO!#REF!,0)),
IF(CONCATENATE($A24,$B24)="MERC",INDEX(MERCADO!$B:$B,MATCH($C24,MERCADO!$A:$A,0)),
IF(CONCATENATE($A24,$B24)="CCOMP",INDEX(COMPOSICAO!$B:$B,MATCH($C24,COMPOSICAO!$A:$A,0)),""
))))))))),"*Verificar código*"))</f>
        <v>Fornecimento, Preparo E Aplicação De Concreto Fck=25 Mpa (Brita 1 E 2) - (5% De Perdas Já Incluído No Custo)</v>
      </c>
      <c r="E24" s="118" t="str">
        <f>LOWER(IFERROR(
IF(CONCATENATE($A24,$B24)="IDER-ES",INDEX('IDER-ES'!$C:$C,MATCH($C24,'IDER-ES'!$A:$A,0)),
IF(CONCATENATE($A24,$B24)="CDER-ES",INDEX('CDER-ES'!$C:$C,MATCH($C24,'CDER-ES'!$A:$A,0)),
IF(CONCATENATE($A24,$B24)="ISINAPI",INDEX(ISINAPI!$C:$C,MATCH($C24,ISINAPI!$A:$A,0)),
IF(CONCATENATE($A24,$B24)="CSINAPI",INDEX(CSINAPI!$C:$C,MATCH($C24,CSINAPI!$A:$A,0)),
IF(CONCATENATE($A24,$B24)="CCESAN",INDEX(CCESAN!$C:$C,MATCH($C24,CCESAN!$A:$A,0)),
IF(CONCATENATE($A24,$B24)="CSCORIO",INDEX(CSCORIO!$A:$A,MATCH($C24,CSCORIO!#REF!,0)),
IF(CONCATENATE($A24,$B24)="MERC",INDEX(MERCADO!$D:$D,MATCH($C24,MERCADO!$A:$A,0)),
IF(CONCATENATE($A24,$B24)="CCOMP",INDEX(COMPOSICAO!$H:$H,MATCH($C24,COMPOSICAO!$A:$A,0)),""
)))))))),""))</f>
        <v>m3</v>
      </c>
      <c r="F24" s="154">
        <v>8.5000000000000006E-2</v>
      </c>
      <c r="G24" s="119">
        <f>(IFERROR(
IF(CONCATENATE($A24,$B24)="IDER-ES",INDEX('IDER-ES'!$D:$D,MATCH($C24,'IDER-ES'!$A:$A,0)),
IF(CONCATENATE($A24,$B24)="CDER-ES",INDEX('CDER-ES'!$D:$D,MATCH($C24,'CDER-ES'!$A:$A,0)),
IF(CONCATENATE($A24,$B24)="ISINAPI",INDEX(ISINAPI!$E:$E,MATCH($C24,ISINAPI!$A:$A,0)),
IF(CONCATENATE($A24,$B24)="CSINAPI",INDEX(CSINAPI!$D:$D,MATCH($C24,CSINAPI!$A:$A,0)),
IF(CONCATENATE($A24,$B24)="CCESAN",INDEX(CCESAN!$D:$D,MATCH($C24,CCESAN!$A:$A,0)),
IF(CONCATENATE($A24,$B24)="CSCORIO",INDEX(CSCORIO!$B:$B,MATCH($C24,CSCORIO!#REF!,0)),
IF(CONCATENATE($A24,$B24)="MERC",INDEX(MERCADO!$E:$E,MATCH($C24,MERCADO!$A:$A,0)),
IF(CONCATENATE($A24,$B24)="CCOMP",INDEX(COMPOSICAO!$H:$H,MATCH($C24,COMPOSICAO!$A:$A,0)),""
)))))))),""))</f>
        <v>833.43</v>
      </c>
      <c r="H24" s="119">
        <f t="shared" si="2"/>
        <v>70.84</v>
      </c>
    </row>
    <row r="26" spans="1:10" s="110" customFormat="1" ht="20.100000000000001" customHeight="1">
      <c r="A26" s="158"/>
      <c r="B26" s="382" t="s">
        <v>931</v>
      </c>
      <c r="C26" s="383"/>
      <c r="D26" s="383"/>
      <c r="E26" s="383"/>
      <c r="F26" s="384"/>
      <c r="G26" s="108" t="s">
        <v>7264</v>
      </c>
      <c r="H26" s="109" t="s">
        <v>7250</v>
      </c>
      <c r="I26" s="208"/>
    </row>
    <row r="27" spans="1:10" ht="30" customHeight="1">
      <c r="A27" s="111">
        <v>3</v>
      </c>
      <c r="B27" s="385" t="s">
        <v>14845</v>
      </c>
      <c r="C27" s="386"/>
      <c r="D27" s="386"/>
      <c r="E27" s="386"/>
      <c r="F27" s="387"/>
      <c r="G27" s="112" t="s">
        <v>6</v>
      </c>
      <c r="H27" s="182">
        <f>SUM(H29:H34)</f>
        <v>30.17</v>
      </c>
    </row>
    <row r="28" spans="1:10" ht="30" customHeight="1">
      <c r="A28" s="114" t="s">
        <v>935</v>
      </c>
      <c r="B28" s="114" t="s">
        <v>936</v>
      </c>
      <c r="C28" s="114" t="s">
        <v>28</v>
      </c>
      <c r="D28" s="114" t="s">
        <v>932</v>
      </c>
      <c r="E28" s="114" t="s">
        <v>29</v>
      </c>
      <c r="F28" s="155" t="s">
        <v>2098</v>
      </c>
      <c r="G28" s="115" t="s">
        <v>7248</v>
      </c>
      <c r="H28" s="115" t="s">
        <v>7249</v>
      </c>
    </row>
    <row r="29" spans="1:10" ht="25.5">
      <c r="A29" s="116" t="s">
        <v>12638</v>
      </c>
      <c r="B29" s="116" t="s">
        <v>928</v>
      </c>
      <c r="C29" s="116">
        <v>658</v>
      </c>
      <c r="D29" s="117" t="str">
        <f>PROPER(IFERROR(
IF(C29="","",
IF(CONCATENATE($A29,$B29)="IDER-ES",INDEX('IDER-ES'!$B:$B,MATCH($C29,'IDER-ES'!$A:$A,0)),
IF(CONCATENATE($A29,$B29)="CDER-ES",INDEX('CDER-ES'!$B:$B,MATCH($C29,'CDER-ES'!$A:$A,0)),
IF(CONCATENATE($A29,$B29)="ISINAPI",INDEX(ISINAPI!$B:$B,MATCH($C29,ISINAPI!$A:$A,0)),
IF(CONCATENATE($A29,$B29)="CSINAPI",INDEX(CSINAPI!$B:$B,MATCH($C29,CSINAPI!$A:$A,0)),
IF(CONCATENATE($A29,$B29)="CCESAN",INDEX(CCESAN!$B:$B,MATCH($C29,CCESAN!$A:$A,0)),
IF(CONCATENATE($A29,$B29)="CSCORIO",INDEX(CSCORIO!#REF!,MATCH($C29,CSCORIO!#REF!,0)),
IF(CONCATENATE($A29,$B29)="MERC",INDEX(MERCADO!$B:$B,MATCH($C29,MERCADO!$A:$A,0)),
IF(CONCATENATE($A29,$B29)="CCOMP",INDEX(COMPOSICAO!$B:$B,MATCH($C29,COMPOSICAO!$A:$A,0)),""
))))))))),"*Verificar código*"))</f>
        <v xml:space="preserve">Canaleta De Concreto 9 X 19 X 19 Cm (Classe C - Nbr 6136)                                                                                                                                                                                                                                                                                                                                                                                                                                                 </v>
      </c>
      <c r="E29" s="118" t="str">
        <f>LOWER(IFERROR(
IF(CONCATENATE($A29,$B29)="IDER-ES",INDEX('IDER-ES'!$C:$C,MATCH($C29,'IDER-ES'!$A:$A,0)),
IF(CONCATENATE($A29,$B29)="CIOPES",INDEX('CDER-ES'!$C:$C,MATCH($C29,'CDER-ES'!$A:$A,0)),
IF(CONCATENATE($A29,$B29)="ISINAPI",INDEX(ISINAPI!$C:$C,MATCH($C29,ISINAPI!$A:$A,0)),
IF(CONCATENATE($A29,$B29)="CSINAPI",INDEX(CSINAPI!$C:$C,MATCH($C29,CSINAPI!$A:$A,0)),
IF(CONCATENATE($A29,$B29)="CCESAN",INDEX(CCESAN!$C:$C,MATCH($C29,CCESAN!$A:$A,0)),
IF(CONCATENATE($A29,$B29)="CSCORIO",INDEX(CSCORIO!$A:$A,MATCH($C29,CSCORIO!#REF!,0)),
IF(CONCATENATE($A29,$B29)="MERC",INDEX(MERCADO!$D:$D,MATCH($C29,MERCADO!$A:$A,0)),
IF(CONCATENATE($A29,$B29)="CCOMP",INDEX(COMPOSICAO!$H:$H,MATCH($C29,COMPOSICAO!$A:$A,0)),""
)))))))),""))</f>
        <v xml:space="preserve">un    </v>
      </c>
      <c r="F29" s="154">
        <v>5.34</v>
      </c>
      <c r="G29" s="119">
        <f>(IFERROR(
IF(CONCATENATE($A29,$B29)="IDER-ES",INDEX('IDER-ES'!$D:$D,MATCH($C29,'IDER-ES'!$A:$A,0)),
IF(CONCATENATE($A29,$B29)="CIOPES",INDEX('CDER-ES'!$D:$D,MATCH($C29,'CDER-ES'!$A:$A,0)),
IF(CONCATENATE($A29,$B29)="ISINAPI",INDEX(ISINAPI!$E:$E,MATCH($C29,ISINAPI!$A:$A,0)),
IF(CONCATENATE($A29,$B29)="CSINAPI",INDEX(CSINAPI!$D:$D,MATCH($C29,CSINAPI!$A:$A,0)),
IF(CONCATENATE($A29,$B29)="CCESAN",INDEX(CCESAN!$D:$D,MATCH($C29,CCESAN!$A:$A,0)),
IF(CONCATENATE($A29,$B29)="CSCORIO",INDEX(CSCORIO!$B:$B,MATCH($C29,CSCORIO!#REF!,0)),
IF(CONCATENATE($A29,$B29)="MERC",INDEX(MERCADO!$E:$E,MATCH($C29,MERCADO!$A:$A,0)),
IF(CONCATENATE($A29,$B29)="CCOMP",INDEX(COMPOSICAO!$H:$H,MATCH($C29,COMPOSICAO!$A:$A,0)),""
)))))))),""))</f>
        <v>1.74</v>
      </c>
      <c r="H29" s="119">
        <f t="shared" ref="H29:H34" si="3">IF(B29="","",ROUND(G29*F29,2))</f>
        <v>9.2899999999999991</v>
      </c>
      <c r="J29" s="211"/>
    </row>
    <row r="30" spans="1:10" ht="76.5">
      <c r="A30" s="116" t="s">
        <v>9107</v>
      </c>
      <c r="B30" s="116" t="s">
        <v>928</v>
      </c>
      <c r="C30" s="116">
        <v>87294</v>
      </c>
      <c r="D30" s="117" t="str">
        <f>PROPER(IFERROR(
IF(C30="","",
IF(CONCATENATE($A30,$B30)="IDER-ES",INDEX('IDER-ES'!$B:$B,MATCH($C30,'IDER-ES'!$A:$A,0)),
IF(CONCATENATE($A30,$B30)="CDER-ES",INDEX('CDER-ES'!$B:$B,MATCH($C30,'CDER-ES'!$A:$A,0)),
IF(CONCATENATE($A30,$B30)="ISINAPI",INDEX(ISINAPI!$B:$B,MATCH($C30,ISINAPI!$A:$A,0)),
IF(CONCATENATE($A30,$B30)="CSINAPI",INDEX(CSINAPI!$B:$B,MATCH($C30,CSINAPI!$A:$A,0)),
IF(CONCATENATE($A30,$B30)="CCESAN",INDEX(CCESAN!$B:$B,MATCH($C30,CCESAN!$A:$A,0)),
IF(CONCATENATE($A30,$B30)="CSCORIO",INDEX(CSCORIO!#REF!,MATCH($C30,CSCORIO!#REF!,0)),
IF(CONCATENATE($A30,$B30)="MERC",INDEX(MERCADO!$B:$B,MATCH($C30,MERCADO!$A:$A,0)),
IF(CONCATENATE($A30,$B30)="CCOMP",INDEX(COMPOSICAO!$B:$B,MATCH($C30,COMPOSICAO!$A:$A,0)),""
))))))))),"*Verificar código*"))</f>
        <v>Argamassa Traço 1:2:9 (Em Volume De Cimento, Cal E Areia Média Úmida) Para Emboço/Massa Única/Assentamento De Alvenaria De Vedação, Preparo Mecânico Com Betoneira 600 L. Af_08/2019</v>
      </c>
      <c r="E30" s="118" t="str">
        <f>LOWER(IFERROR(
IF(CONCATENATE($A30,$B30)="IDER-ES",INDEX('IDER-ES'!$C:$C,MATCH($C30,'IDER-ES'!$A:$A,0)),
IF(CONCATENATE($A30,$B30)="CIOPES",INDEX('CDER-ES'!$C:$C,MATCH($C30,'CDER-ES'!$A:$A,0)),
IF(CONCATENATE($A30,$B30)="ISINAPI",INDEX(ISINAPI!$C:$C,MATCH($C30,ISINAPI!$A:$A,0)),
IF(CONCATENATE($A30,$B30)="CSINAPI",INDEX(CSINAPI!$C:$C,MATCH($C30,CSINAPI!$A:$A,0)),
IF(CONCATENATE($A30,$B30)="CCESAN",INDEX(CCESAN!$C:$C,MATCH($C30,CCESAN!$A:$A,0)),
IF(CONCATENATE($A30,$B30)="CSCORIO",INDEX(CSCORIO!$A:$A,MATCH($C30,CSCORIO!#REF!,0)),
IF(CONCATENATE($A30,$B30)="MERC",INDEX(MERCADO!$D:$D,MATCH($C30,MERCADO!$A:$A,0)),
IF(CONCATENATE($A30,$B30)="CCOMP",INDEX(COMPOSICAO!$H:$H,MATCH($C30,COMPOSICAO!$A:$A,0)),""
)))))))),""))</f>
        <v>m3</v>
      </c>
      <c r="F30" s="154">
        <f>0.0014/0.14*0.09</f>
        <v>8.9999999999999987E-4</v>
      </c>
      <c r="G30" s="119">
        <f>(IFERROR(
IF(CONCATENATE($A30,$B30)="IDER-ES",INDEX('IDER-ES'!$D:$D,MATCH($C30,'IDER-ES'!$A:$A,0)),
IF(CONCATENATE($A30,$B30)="CIOPES",INDEX('CDER-ES'!$D:$D,MATCH($C30,'CDER-ES'!$A:$A,0)),
IF(CONCATENATE($A30,$B30)="ISINAPI",INDEX(ISINAPI!$E:$E,MATCH($C30,ISINAPI!$A:$A,0)),
IF(CONCATENATE($A30,$B30)="CSINAPI",INDEX(CSINAPI!$D:$D,MATCH($C30,CSINAPI!$A:$A,0)),
IF(CONCATENATE($A30,$B30)="CCESAN",INDEX(CCESAN!$D:$D,MATCH($C30,CCESAN!$A:$A,0)),
IF(CONCATENATE($A30,$B30)="CSCORIO",INDEX(CSCORIO!$B:$B,MATCH($C30,CSCORIO!#REF!,0)),
IF(CONCATENATE($A30,$B30)="MERC",INDEX(MERCADO!$E:$E,MATCH($C30,MERCADO!$A:$A,0)),
IF(CONCATENATE($A30,$B30)="CCOMP",INDEX(COMPOSICAO!$H:$H,MATCH($C30,COMPOSICAO!$A:$A,0)),""
)))))))),""))</f>
        <v>507.53</v>
      </c>
      <c r="H30" s="119">
        <f t="shared" si="3"/>
        <v>0.46</v>
      </c>
      <c r="J30" s="211"/>
    </row>
    <row r="31" spans="1:10" ht="25.5">
      <c r="A31" s="116" t="s">
        <v>9107</v>
      </c>
      <c r="B31" s="116" t="s">
        <v>928</v>
      </c>
      <c r="C31" s="116">
        <v>88309</v>
      </c>
      <c r="D31" s="117" t="str">
        <f>PROPER(IFERROR(
IF(C31="","",
IF(CONCATENATE($A31,$B31)="IDER-ES",INDEX('IDER-ES'!$B:$B,MATCH($C31,'IDER-ES'!$A:$A,0)),
IF(CONCATENATE($A31,$B31)="CDER-ES",INDEX('CDER-ES'!$B:$B,MATCH($C31,'CDER-ES'!$A:$A,0)),
IF(CONCATENATE($A31,$B31)="ISINAPI",INDEX(ISINAPI!$B:$B,MATCH($C31,ISINAPI!$A:$A,0)),
IF(CONCATENATE($A31,$B31)="CSINAPI",INDEX(CSINAPI!$B:$B,MATCH($C31,CSINAPI!$A:$A,0)),
IF(CONCATENATE($A31,$B31)="CCESAN",INDEX(CCESAN!$B:$B,MATCH($C31,CCESAN!$A:$A,0)),
IF(CONCATENATE($A31,$B31)="CSCORIO",INDEX(CSCORIO!#REF!,MATCH($C31,CSCORIO!#REF!,0)),
IF(CONCATENATE($A31,$B31)="MERC",INDEX(MERCADO!$B:$B,MATCH($C31,MERCADO!$A:$A,0)),
IF(CONCATENATE($A31,$B31)="CCOMP",INDEX(COMPOSICAO!$B:$B,MATCH($C31,COMPOSICAO!$A:$A,0)),""
))))))))),"*Verificar código*"))</f>
        <v>Pedreiro Com Encargos Complementares</v>
      </c>
      <c r="E31" s="118" t="str">
        <f>LOWER(IFERROR(
IF(CONCATENATE($A31,$B31)="IDER-ES",INDEX('IDER-ES'!$C:$C,MATCH($C31,'IDER-ES'!$A:$A,0)),
IF(CONCATENATE($A31,$B31)="CIOPES",INDEX('CDER-ES'!$C:$C,MATCH($C31,'CDER-ES'!$A:$A,0)),
IF(CONCATENATE($A31,$B31)="ISINAPI",INDEX(ISINAPI!$C:$C,MATCH($C31,ISINAPI!$A:$A,0)),
IF(CONCATENATE($A31,$B31)="CSINAPI",INDEX(CSINAPI!$C:$C,MATCH($C31,CSINAPI!$A:$A,0)),
IF(CONCATENATE($A31,$B31)="CCESAN",INDEX(CCESAN!$C:$C,MATCH($C31,CCESAN!$A:$A,0)),
IF(CONCATENATE($A31,$B31)="CSCORIO",INDEX(CSCORIO!$A:$A,MATCH($C31,CSCORIO!#REF!,0)),
IF(CONCATENATE($A31,$B31)="MERC",INDEX(MERCADO!$D:$D,MATCH($C31,MERCADO!$A:$A,0)),
IF(CONCATENATE($A31,$B31)="CCOMP",INDEX(COMPOSICAO!$H:$H,MATCH($C31,COMPOSICAO!$A:$A,0)),""
)))))))),""))</f>
        <v>h</v>
      </c>
      <c r="F31" s="154">
        <f>0.253/0.14*0.09</f>
        <v>0.16264285714285712</v>
      </c>
      <c r="G31" s="119">
        <f>(IFERROR(
IF(CONCATENATE($A31,$B31)="IDER-ES",INDEX('IDER-ES'!$D:$D,MATCH($C31,'IDER-ES'!$A:$A,0)),
IF(CONCATENATE($A31,$B31)="CIOPES",INDEX('CDER-ES'!$D:$D,MATCH($C31,'CDER-ES'!$A:$A,0)),
IF(CONCATENATE($A31,$B31)="ISINAPI",INDEX(ISINAPI!$E:$E,MATCH($C31,ISINAPI!$A:$A,0)),
IF(CONCATENATE($A31,$B31)="CSINAPI",INDEX(CSINAPI!$D:$D,MATCH($C31,CSINAPI!$A:$A,0)),
IF(CONCATENATE($A31,$B31)="CCESAN",INDEX(CCESAN!$D:$D,MATCH($C31,CCESAN!$A:$A,0)),
IF(CONCATENATE($A31,$B31)="CSCORIO",INDEX(CSCORIO!$B:$B,MATCH($C31,CSCORIO!#REF!,0)),
IF(CONCATENATE($A31,$B31)="MERC",INDEX(MERCADO!$E:$E,MATCH($C31,MERCADO!$A:$A,0)),
IF(CONCATENATE($A31,$B31)="CCOMP",INDEX(COMPOSICAO!$H:$H,MATCH($C31,COMPOSICAO!$A:$A,0)),""
)))))))),""))</f>
        <v>25.5</v>
      </c>
      <c r="H31" s="119">
        <f t="shared" si="3"/>
        <v>4.1500000000000004</v>
      </c>
      <c r="J31" s="211"/>
    </row>
    <row r="32" spans="1:10" ht="25.5">
      <c r="A32" s="116" t="s">
        <v>9107</v>
      </c>
      <c r="B32" s="116" t="s">
        <v>928</v>
      </c>
      <c r="C32" s="116">
        <v>88316</v>
      </c>
      <c r="D32" s="117" t="str">
        <f>PROPER(IFERROR(
IF(C32="","",
IF(CONCATENATE($A32,$B32)="IDER-ES",INDEX('IDER-ES'!$B:$B,MATCH($C32,'IDER-ES'!$A:$A,0)),
IF(CONCATENATE($A32,$B32)="CDER-ES",INDEX('CDER-ES'!$B:$B,MATCH($C32,'CDER-ES'!$A:$A,0)),
IF(CONCATENATE($A32,$B32)="ISINAPI",INDEX(ISINAPI!$B:$B,MATCH($C32,ISINAPI!$A:$A,0)),
IF(CONCATENATE($A32,$B32)="CSINAPI",INDEX(CSINAPI!$B:$B,MATCH($C32,CSINAPI!$A:$A,0)),
IF(CONCATENATE($A32,$B32)="CCESAN",INDEX(CCESAN!$B:$B,MATCH($C32,CCESAN!$A:$A,0)),
IF(CONCATENATE($A32,$B32)="CSCORIO",INDEX(CSCORIO!#REF!,MATCH($C32,CSCORIO!#REF!,0)),
IF(CONCATENATE($A32,$B32)="MERC",INDEX(MERCADO!$B:$B,MATCH($C32,MERCADO!$A:$A,0)),
IF(CONCATENATE($A32,$B32)="CCOMP",INDEX(COMPOSICAO!$B:$B,MATCH($C32,COMPOSICAO!$A:$A,0)),""
))))))))),"*Verificar código*"))</f>
        <v>Servente Com Encargos Complementares</v>
      </c>
      <c r="E32" s="118" t="str">
        <f>LOWER(IFERROR(
IF(CONCATENATE($A32,$B32)="IDER-ES",INDEX('IDER-ES'!$C:$C,MATCH($C32,'IDER-ES'!$A:$A,0)),
IF(CONCATENATE($A32,$B32)="CIOPES",INDEX('CDER-ES'!$C:$C,MATCH($C32,'CDER-ES'!$A:$A,0)),
IF(CONCATENATE($A32,$B32)="ISINAPI",INDEX(ISINAPI!$C:$C,MATCH($C32,ISINAPI!$A:$A,0)),
IF(CONCATENATE($A32,$B32)="CSINAPI",INDEX(CSINAPI!$C:$C,MATCH($C32,CSINAPI!$A:$A,0)),
IF(CONCATENATE($A32,$B32)="CCESAN",INDEX(CCESAN!$C:$C,MATCH($C32,CCESAN!$A:$A,0)),
IF(CONCATENATE($A32,$B32)="CSCORIO",INDEX(CSCORIO!$A:$A,MATCH($C32,CSCORIO!#REF!,0)),
IF(CONCATENATE($A32,$B32)="MERC",INDEX(MERCADO!$D:$D,MATCH($C32,MERCADO!$A:$A,0)),
IF(CONCATENATE($A32,$B32)="CCOMP",INDEX(COMPOSICAO!$H:$H,MATCH($C32,COMPOSICAO!$A:$A,0)),""
)))))))),""))</f>
        <v>h</v>
      </c>
      <c r="F32" s="154">
        <f>0.126/0.14*0.09</f>
        <v>8.0999999999999989E-2</v>
      </c>
      <c r="G32" s="119">
        <f>(IFERROR(
IF(CONCATENATE($A32,$B32)="IDER-ES",INDEX('IDER-ES'!$D:$D,MATCH($C32,'IDER-ES'!$A:$A,0)),
IF(CONCATENATE($A32,$B32)="CIOPES",INDEX('CDER-ES'!$D:$D,MATCH($C32,'CDER-ES'!$A:$A,0)),
IF(CONCATENATE($A32,$B32)="ISINAPI",INDEX(ISINAPI!$E:$E,MATCH($C32,ISINAPI!$A:$A,0)),
IF(CONCATENATE($A32,$B32)="CSINAPI",INDEX(CSINAPI!$D:$D,MATCH($C32,CSINAPI!$A:$A,0)),
IF(CONCATENATE($A32,$B32)="CCESAN",INDEX(CCESAN!$D:$D,MATCH($C32,CCESAN!$A:$A,0)),
IF(CONCATENATE($A32,$B32)="CSCORIO",INDEX(CSCORIO!$B:$B,MATCH($C32,CSCORIO!#REF!,0)),
IF(CONCATENATE($A32,$B32)="MERC",INDEX(MERCADO!$E:$E,MATCH($C32,MERCADO!$A:$A,0)),
IF(CONCATENATE($A32,$B32)="CCOMP",INDEX(COMPOSICAO!$H:$H,MATCH($C32,COMPOSICAO!$A:$A,0)),""
)))))))),""))</f>
        <v>19.260000000000002</v>
      </c>
      <c r="H32" s="119">
        <f t="shared" si="3"/>
        <v>1.56</v>
      </c>
      <c r="J32" s="211"/>
    </row>
    <row r="33" spans="1:10" ht="63.75">
      <c r="A33" s="116" t="s">
        <v>9107</v>
      </c>
      <c r="B33" s="116" t="s">
        <v>928</v>
      </c>
      <c r="C33" s="116">
        <v>90279</v>
      </c>
      <c r="D33" s="117" t="str">
        <f>PROPER(IFERROR(
IF(C33="","",
IF(CONCATENATE($A33,$B33)="IDER-ES",INDEX('IDER-ES'!$B:$B,MATCH($C33,'IDER-ES'!$A:$A,0)),
IF(CONCATENATE($A33,$B33)="CDER-ES",INDEX('CDER-ES'!$B:$B,MATCH($C33,'CDER-ES'!$A:$A,0)),
IF(CONCATENATE($A33,$B33)="ISINAPI",INDEX(ISINAPI!$B:$B,MATCH($C33,ISINAPI!$A:$A,0)),
IF(CONCATENATE($A33,$B33)="CSINAPI",INDEX(CSINAPI!$B:$B,MATCH($C33,CSINAPI!$A:$A,0)),
IF(CONCATENATE($A33,$B33)="CCESAN",INDEX(CCESAN!$B:$B,MATCH($C33,CCESAN!$A:$A,0)),
IF(CONCATENATE($A33,$B33)="CSCORIO",INDEX(CSCORIO!#REF!,MATCH($C33,CSCORIO!#REF!,0)),
IF(CONCATENATE($A33,$B33)="MERC",INDEX(MERCADO!$B:$B,MATCH($C33,MERCADO!$A:$A,0)),
IF(CONCATENATE($A33,$B33)="CCOMP",INDEX(COMPOSICAO!$B:$B,MATCH($C33,COMPOSICAO!$A:$A,0)),""
))))))))),"*Verificar código*"))</f>
        <v>Graute Fgk=20 Mpa; Traço 1:0,04:1,8:2,1 (Em Massa Seca De Cimento/ Cal/ Areia Grossa/ Brita 0) - Preparo Mecânico Com Betoneira 400 L. Af_09/2021</v>
      </c>
      <c r="E33" s="118" t="str">
        <f>LOWER(IFERROR(
IF(CONCATENATE($A33,$B33)="IDER-ES",INDEX('IDER-ES'!$C:$C,MATCH($C33,'IDER-ES'!$A:$A,0)),
IF(CONCATENATE($A33,$B33)="CDER-ES",INDEX('CDER-ES'!$C:$C,MATCH($C33,'CDER-ES'!$A:$A,0)),
IF(CONCATENATE($A33,$B33)="ISINAPI",INDEX(ISINAPI!$C:$C,MATCH($C33,ISINAPI!$A:$A,0)),
IF(CONCATENATE($A33,$B33)="CSINAPI",INDEX(CSINAPI!$C:$C,MATCH($C33,CSINAPI!$A:$A,0)),
IF(CONCATENATE($A33,$B33)="CCESAN",INDEX(CCESAN!$C:$C,MATCH($C33,CCESAN!$A:$A,0)),
IF(CONCATENATE($A33,$B33)="CSCORIO",INDEX(CSCORIO!$A:$A,MATCH($C33,CSCORIO!#REF!,0)),
IF(CONCATENATE($A33,$B33)="MERC",INDEX(MERCADO!$D:$D,MATCH($C33,MERCADO!$A:$A,0)),
IF(CONCATENATE($A33,$B33)="CCOMP",INDEX(COMPOSICAO!$H:$H,MATCH($C33,COMPOSICAO!$A:$A,0)),""
)))))))),""))</f>
        <v>m3</v>
      </c>
      <c r="F33" s="154">
        <f>0.0114/0.14*0.09</f>
        <v>7.3285714285714273E-3</v>
      </c>
      <c r="G33" s="119">
        <f>(IFERROR(
IF(CONCATENATE($A33,$B33)="IDER-ES",INDEX('IDER-ES'!$D:$D,MATCH($C33,'IDER-ES'!$A:$A,0)),
IF(CONCATENATE($A33,$B33)="CDER-ES",INDEX('CDER-ES'!$D:$D,MATCH($C33,'CDER-ES'!$A:$A,0)),
IF(CONCATENATE($A33,$B33)="ISINAPI",INDEX(ISINAPI!$E:$E,MATCH($C33,ISINAPI!$A:$A,0)),
IF(CONCATENATE($A33,$B33)="CSINAPI",INDEX(CSINAPI!$D:$D,MATCH($C33,CSINAPI!$A:$A,0)),
IF(CONCATENATE($A33,$B33)="CCESAN",INDEX(CCESAN!$D:$D,MATCH($C33,CCESAN!$A:$A,0)),
IF(CONCATENATE($A33,$B33)="CSCORIO",INDEX(CSCORIO!$B:$B,MATCH($C33,CSCORIO!#REF!,0)),
IF(CONCATENATE($A33,$B33)="MERC",INDEX(MERCADO!$E:$E,MATCH($C33,MERCADO!$A:$A,0)),
IF(CONCATENATE($A33,$B33)="CCOMP",INDEX(COMPOSICAO!$H:$H,MATCH($C33,COMPOSICAO!$A:$A,0)),""
)))))))),""))</f>
        <v>552.72</v>
      </c>
      <c r="H33" s="119">
        <f t="shared" si="3"/>
        <v>4.05</v>
      </c>
    </row>
    <row r="34" spans="1:10" ht="25.5">
      <c r="A34" s="116" t="s">
        <v>9107</v>
      </c>
      <c r="B34" s="116" t="s">
        <v>928</v>
      </c>
      <c r="C34" s="116">
        <v>92802</v>
      </c>
      <c r="D34" s="117" t="str">
        <f>PROPER(IFERROR(
IF(C34="","",
IF(CONCATENATE($A34,$B34)="IDER-ES",INDEX('IDER-ES'!$B:$B,MATCH($C34,'IDER-ES'!$A:$A,0)),
IF(CONCATENATE($A34,$B34)="CDER-ES",INDEX('CDER-ES'!$B:$B,MATCH($C34,'CDER-ES'!$A:$A,0)),
IF(CONCATENATE($A34,$B34)="ISINAPI",INDEX(ISINAPI!$B:$B,MATCH($C34,ISINAPI!$A:$A,0)),
IF(CONCATENATE($A34,$B34)="CSINAPI",INDEX(CSINAPI!$B:$B,MATCH($C34,CSINAPI!$A:$A,0)),
IF(CONCATENATE($A34,$B34)="CCESAN",INDEX(CCESAN!$B:$B,MATCH($C34,CCESAN!$A:$A,0)),
IF(CONCATENATE($A34,$B34)="CSCORIO",INDEX(CSCORIO!#REF!,MATCH($C34,CSCORIO!#REF!,0)),
IF(CONCATENATE($A34,$B34)="MERC",INDEX(MERCADO!$B:$B,MATCH($C34,MERCADO!$A:$A,0)),
IF(CONCATENATE($A34,$B34)="CCOMP",INDEX(COMPOSICAO!$B:$B,MATCH($C34,COMPOSICAO!$A:$A,0)),""
))))))))),"*Verificar código*"))</f>
        <v>Corte E Dobra De Aço Ca-50, Diâmetro De 8,0 Mm. Af_06/2022</v>
      </c>
      <c r="E34" s="118" t="str">
        <f>LOWER(IFERROR(
IF(CONCATENATE($A34,$B34)="IDER-ES",INDEX('IDER-ES'!$C:$C,MATCH($C34,'IDER-ES'!$A:$A,0)),
IF(CONCATENATE($A34,$B34)="CIOPES",INDEX('CDER-ES'!$C:$C,MATCH($C34,'CDER-ES'!$A:$A,0)),
IF(CONCATENATE($A34,$B34)="ISINAPI",INDEX(ISINAPI!$C:$C,MATCH($C34,ISINAPI!$A:$A,0)),
IF(CONCATENATE($A34,$B34)="CSINAPI",INDEX(CSINAPI!$C:$C,MATCH($C34,CSINAPI!$A:$A,0)),
IF(CONCATENATE($A34,$B34)="CCESAN",INDEX(CCESAN!$C:$C,MATCH($C34,CCESAN!$A:$A,0)),
IF(CONCATENATE($A34,$B34)="CSCORIO",INDEX(CSCORIO!$A:$A,MATCH($C34,CSCORIO!#REF!,0)),
IF(CONCATENATE($A34,$B34)="MERC",INDEX(MERCADO!$D:$D,MATCH($C34,MERCADO!$A:$A,0)),
IF(CONCATENATE($A34,$B34)="CCOMP",INDEX(COMPOSICAO!$H:$H,MATCH($C34,COMPOSICAO!$A:$A,0)),""
)))))))),""))</f>
        <v>kg</v>
      </c>
      <c r="F34" s="154">
        <v>0.79</v>
      </c>
      <c r="G34" s="119">
        <f>(IFERROR(
IF(CONCATENATE($A34,$B34)="IDER-ES",INDEX('IDER-ES'!$D:$D,MATCH($C34,'IDER-ES'!$A:$A,0)),
IF(CONCATENATE($A34,$B34)="CIOPES",INDEX('CDER-ES'!$D:$D,MATCH($C34,'CDER-ES'!$A:$A,0)),
IF(CONCATENATE($A34,$B34)="ISINAPI",INDEX(ISINAPI!$E:$E,MATCH($C34,ISINAPI!$A:$A,0)),
IF(CONCATENATE($A34,$B34)="CSINAPI",INDEX(CSINAPI!$D:$D,MATCH($C34,CSINAPI!$A:$A,0)),
IF(CONCATENATE($A34,$B34)="CCESAN",INDEX(CCESAN!$D:$D,MATCH($C34,CCESAN!$A:$A,0)),
IF(CONCATENATE($A34,$B34)="CSCORIO",INDEX(CSCORIO!$B:$B,MATCH($C34,CSCORIO!#REF!,0)),
IF(CONCATENATE($A34,$B34)="MERC",INDEX(MERCADO!$E:$E,MATCH($C34,MERCADO!$A:$A,0)),
IF(CONCATENATE($A34,$B34)="CCOMP",INDEX(COMPOSICAO!$H:$H,MATCH($C34,COMPOSICAO!$A:$A,0)),""
)))))))),""))</f>
        <v>13.49</v>
      </c>
      <c r="H34" s="119">
        <f t="shared" si="3"/>
        <v>10.66</v>
      </c>
    </row>
    <row r="35" spans="1:10">
      <c r="A35" s="223" t="s">
        <v>19113</v>
      </c>
    </row>
    <row r="36" spans="1:10" ht="30" customHeight="1">
      <c r="A36" s="395" t="s">
        <v>14213</v>
      </c>
      <c r="B36" s="395"/>
      <c r="C36" s="395"/>
      <c r="D36" s="395"/>
      <c r="E36" s="395"/>
      <c r="F36" s="395"/>
      <c r="G36" s="395"/>
      <c r="H36" s="395"/>
    </row>
    <row r="37" spans="1:10" s="110" customFormat="1" ht="19.5" customHeight="1">
      <c r="A37" s="158" t="s">
        <v>929</v>
      </c>
      <c r="B37" s="382" t="s">
        <v>931</v>
      </c>
      <c r="C37" s="383"/>
      <c r="D37" s="383"/>
      <c r="E37" s="383"/>
      <c r="F37" s="384"/>
      <c r="G37" s="108" t="s">
        <v>7264</v>
      </c>
      <c r="H37" s="109" t="s">
        <v>7250</v>
      </c>
      <c r="I37" s="208"/>
    </row>
    <row r="38" spans="1:10" ht="45" customHeight="1">
      <c r="A38" s="111">
        <v>4</v>
      </c>
      <c r="B38" s="385" t="s">
        <v>14307</v>
      </c>
      <c r="C38" s="386"/>
      <c r="D38" s="386"/>
      <c r="E38" s="386"/>
      <c r="F38" s="387"/>
      <c r="G38" s="112" t="s">
        <v>12641</v>
      </c>
      <c r="H38" s="182">
        <f>SUM(H40:H47)</f>
        <v>235.06999999999996</v>
      </c>
    </row>
    <row r="39" spans="1:10" ht="30" customHeight="1">
      <c r="A39" s="114" t="s">
        <v>935</v>
      </c>
      <c r="B39" s="114" t="s">
        <v>936</v>
      </c>
      <c r="C39" s="114" t="s">
        <v>28</v>
      </c>
      <c r="D39" s="114" t="s">
        <v>932</v>
      </c>
      <c r="E39" s="114" t="s">
        <v>29</v>
      </c>
      <c r="F39" s="155" t="s">
        <v>2098</v>
      </c>
      <c r="G39" s="115" t="s">
        <v>7248</v>
      </c>
      <c r="H39" s="115" t="s">
        <v>7249</v>
      </c>
    </row>
    <row r="40" spans="1:10" ht="51">
      <c r="A40" s="116" t="s">
        <v>12638</v>
      </c>
      <c r="B40" s="116" t="s">
        <v>928</v>
      </c>
      <c r="C40" s="116">
        <v>10935</v>
      </c>
      <c r="D40" s="117" t="str">
        <f>PROPER(IFERROR(
IF(C40="","",
IF(CONCATENATE($A40,$B40)="IDER-ES",INDEX('IDER-ES'!$B:$B,MATCH($C40,'IDER-ES'!$A:$A,0)),
IF(CONCATENATE($A40,$B40)="CDER-ES",INDEX('CDER-ES'!$B:$B,MATCH($C40,'CDER-ES'!$A:$A,0)),
IF(CONCATENATE($A40,$B40)="ISINAPI",INDEX(ISINAPI!$B:$B,MATCH($C40,ISINAPI!$A:$A,0)),
IF(CONCATENATE($A40,$B40)="CSINAPI",INDEX(CSINAPI!$B:$B,MATCH($C40,CSINAPI!$A:$A,0)),
IF(CONCATENATE($A40,$B40)="CCESAN",INDEX(CCESAN!$B:$B,MATCH($C40,CCESAN!$A:$A,0)),
IF(CONCATENATE($A40,$B40)="CSCORIO",INDEX(CSCORIO!#REF!,MATCH($C40,CSCORIO!#REF!,0)),
IF(CONCATENATE($A40,$B40)="MERC",INDEX(MERCADO!$B:$B,MATCH($C40,MERCADO!$A:$A,0)),
IF(CONCATENATE($A40,$B40)="CCOMP",INDEX(COMPOSICAO!$B:$B,MATCH($C40,COMPOSICAO!$A:$A,0)),""
))))))))),"*Verificar código*"))</f>
        <v xml:space="preserve">Tela De Arame Galvanizada Revestida Em Pvc, Quadrangular / Losangular, Fio 2,77 Mm (12 Bwg), Bitola Final = *3,8* Mm, Malha 7,5 X 7,5 Cm, H = 2 M                                                                                                                                                                                                                                                                                                                                                         </v>
      </c>
      <c r="E40" s="118" t="str">
        <f>LOWER(IFERROR(
IF(CONCATENATE($A40,$B40)="IDER-ES",INDEX('IDER-ES'!$C:$C,MATCH($C40,'IDER-ES'!$A:$A,0)),
IF(CONCATENATE($A40,$B40)="CIOPES",INDEX('CDER-ES'!$C:$C,MATCH($C40,'CDER-ES'!$A:$A,0)),
IF(CONCATENATE($A40,$B40)="ISINAPI",INDEX(ISINAPI!$C:$C,MATCH($C40,ISINAPI!$A:$A,0)),
IF(CONCATENATE($A40,$B40)="CSINAPI",INDEX(CSINAPI!$C:$C,MATCH($C40,CSINAPI!$A:$A,0)),
IF(CONCATENATE($A40,$B40)="CCESAN",INDEX(CCESAN!$C:$C,MATCH($C40,CCESAN!$A:$A,0)),
IF(CONCATENATE($A40,$B40)="CSCORIO",INDEX(CSCORIO!$A:$A,MATCH($C40,CSCORIO!#REF!,0)),
IF(CONCATENATE($A40,$B40)="MERC",INDEX(MERCADO!$D:$D,MATCH($C40,MERCADO!$A:$A,0)),
IF(CONCATENATE($A40,$B40)="CCOMP",INDEX(COMPOSICAO!$H:$H,MATCH($C40,COMPOSICAO!$A:$A,0)),""
)))))))),""))</f>
        <v xml:space="preserve">m2    </v>
      </c>
      <c r="F40" s="154">
        <v>1.02</v>
      </c>
      <c r="G40" s="119">
        <f>(IFERROR(
IF(CONCATENATE($A40,$B40)="IDER-ES",INDEX('IDER-ES'!$D:$D,MATCH($C40,'IDER-ES'!$A:$A,0)),
IF(CONCATENATE($A40,$B40)="CIOPES",INDEX('CDER-ES'!$D:$D,MATCH($C40,'CDER-ES'!$A:$A,0)),
IF(CONCATENATE($A40,$B40)="ISINAPI",INDEX(ISINAPI!$E:$E,MATCH($C40,ISINAPI!$A:$A,0)),
IF(CONCATENATE($A40,$B40)="CSINAPI",INDEX(CSINAPI!$D:$D,MATCH($C40,CSINAPI!$A:$A,0)),
IF(CONCATENATE($A40,$B40)="CCESAN",INDEX(CCESAN!$D:$D,MATCH($C40,CCESAN!$A:$A,0)),
IF(CONCATENATE($A40,$B40)="CSCORIO",INDEX(CSCORIO!$B:$B,MATCH($C40,CSCORIO!#REF!,0)),
IF(CONCATENATE($A40,$B40)="MERC",INDEX(MERCADO!$E:$E,MATCH($C40,MERCADO!$A:$A,0)),
IF(CONCATENATE($A40,$B40)="CCOMP",INDEX(COMPOSICAO!$H:$H,MATCH($C40,COMPOSICAO!$A:$A,0)),""
)))))))),""))</f>
        <v>42.93</v>
      </c>
      <c r="H40" s="119">
        <f t="shared" ref="H40:H47" si="4">IF(B40="","",ROUND(G40*F40,2))</f>
        <v>43.79</v>
      </c>
      <c r="I40" s="213"/>
      <c r="J40" s="211"/>
    </row>
    <row r="41" spans="1:10" ht="25.5">
      <c r="A41" s="116" t="s">
        <v>12638</v>
      </c>
      <c r="B41" s="116" t="s">
        <v>12617</v>
      </c>
      <c r="C41" s="116">
        <v>70328</v>
      </c>
      <c r="D41" s="117" t="str">
        <f>PROPER(IFERROR(
IF(C41="","",
IF(CONCATENATE($A41,$B41)="IDER-ES",INDEX('IDER-ES'!$B:$B,MATCH($C41,'IDER-ES'!$A:$A,0)),
IF(CONCATENATE($A41,$B41)="CDER-ES",INDEX('CDER-ES'!$B:$B,MATCH($C41,'CDER-ES'!$A:$A,0)),
IF(CONCATENATE($A41,$B41)="ISINAPI",INDEX(ISINAPI!$B:$B,MATCH($C41,ISINAPI!$A:$A,0)),
IF(CONCATENATE($A41,$B41)="CSINAPI",INDEX(CSINAPI!$B:$B,MATCH($C41,CSINAPI!$A:$A,0)),
IF(CONCATENATE($A41,$B41)="CCESAN",INDEX(CCESAN!$B:$B,MATCH($C41,CCESAN!$A:$A,0)),
IF(CONCATENATE($A41,$B41)="CSCORIO",INDEX(CSCORIO!#REF!,MATCH($C41,CSCORIO!#REF!,0)),
IF(CONCATENATE($A41,$B41)="MERC",INDEX(MERCADO!$B:$B,MATCH($C41,MERCADO!$A:$A,0)),
IF(CONCATENATE($A41,$B41)="CCOMP",INDEX(COMPOSICAO!$B:$B,MATCH($C41,COMPOSICAO!$A:$A,0)),""
))))))))),"*Verificar código*"))</f>
        <v>Tubo Aco Galv 60,30 X 3,75Mm (2") Din 2440 - Medio</v>
      </c>
      <c r="E41" s="118" t="str">
        <f>LOWER(IFERROR(
IF(CONCATENATE($A41,$B41)="IDER-ES",INDEX('IDER-ES'!$C:$C,MATCH($C41,'IDER-ES'!$A:$A,0)),
IF(CONCATENATE($A41,$B41)="CIOPES",INDEX('CDER-ES'!$C:$C,MATCH($C41,'CDER-ES'!$A:$A,0)),
IF(CONCATENATE($A41,$B41)="ISINAPI",INDEX(ISINAPI!$C:$C,MATCH($C41,ISINAPI!$A:$A,0)),
IF(CONCATENATE($A41,$B41)="CSINAPI",INDEX(CSINAPI!$C:$C,MATCH($C41,CSINAPI!$A:$A,0)),
IF(CONCATENATE($A41,$B41)="CCESAN",INDEX(CCESAN!$C:$C,MATCH($C41,CCESAN!$A:$A,0)),
IF(CONCATENATE($A41,$B41)="CSCORIO",INDEX(CSCORIO!$A:$A,MATCH($C41,CSCORIO!#REF!,0)),
IF(CONCATENATE($A41,$B41)="MERC",INDEX(MERCADO!$D:$D,MATCH($C41,MERCADO!$A:$A,0)),
IF(CONCATENATE($A41,$B41)="CCOMP",INDEX(COMPOSICAO!$H:$H,MATCH($C41,COMPOSICAO!$A:$A,0)),""
)))))))),""))</f>
        <v>m</v>
      </c>
      <c r="F41" s="154">
        <v>1.5</v>
      </c>
      <c r="G41" s="119">
        <f>(IFERROR(
IF(CONCATENATE($A41,$B41)="IDER-ES",INDEX('IDER-ES'!$D:$D,MATCH($C41,'IDER-ES'!$A:$A,0)),
IF(CONCATENATE($A41,$B41)="CIOPES",INDEX('CDER-ES'!$D:$D,MATCH($C41,'CDER-ES'!$A:$A,0)),
IF(CONCATENATE($A41,$B41)="ISINAPI",INDEX(ISINAPI!$E:$E,MATCH($C41,ISINAPI!$A:$A,0)),
IF(CONCATENATE($A41,$B41)="CSINAPI",INDEX(CSINAPI!$D:$D,MATCH($C41,CSINAPI!$A:$A,0)),
IF(CONCATENATE($A41,$B41)="CCESAN",INDEX(CCESAN!$D:$D,MATCH($C41,CCESAN!$A:$A,0)),
IF(CONCATENATE($A41,$B41)="CSCORIO",INDEX(CSCORIO!$B:$B,MATCH($C41,CSCORIO!#REF!,0)),
IF(CONCATENATE($A41,$B41)="MERC",INDEX(MERCADO!$E:$E,MATCH($C41,MERCADO!$A:$A,0)),
IF(CONCATENATE($A41,$B41)="CCOMP",INDEX(COMPOSICAO!$H:$H,MATCH($C41,COMPOSICAO!$A:$A,0)),""
)))))))),""))</f>
        <v>82.75</v>
      </c>
      <c r="H41" s="119">
        <f t="shared" si="4"/>
        <v>124.13</v>
      </c>
      <c r="I41" s="212"/>
      <c r="J41" s="211"/>
    </row>
    <row r="42" spans="1:10" ht="25.5">
      <c r="A42" s="116" t="s">
        <v>12638</v>
      </c>
      <c r="B42" s="116" t="s">
        <v>928</v>
      </c>
      <c r="C42" s="116">
        <v>11002</v>
      </c>
      <c r="D42" s="117" t="str">
        <f>PROPER(IFERROR(
IF(C42="","",
IF(CONCATENATE($A42,$B42)="IDER-ES",INDEX('IDER-ES'!$B:$B,MATCH($C42,'IDER-ES'!$A:$A,0)),
IF(CONCATENATE($A42,$B42)="CDER-ES",INDEX('CDER-ES'!$B:$B,MATCH($C42,'CDER-ES'!$A:$A,0)),
IF(CONCATENATE($A42,$B42)="ISINAPI",INDEX(ISINAPI!$B:$B,MATCH($C42,ISINAPI!$A:$A,0)),
IF(CONCATENATE($A42,$B42)="CSINAPI",INDEX(CSINAPI!$B:$B,MATCH($C42,CSINAPI!$A:$A,0)),
IF(CONCATENATE($A42,$B42)="CCESAN",INDEX(CCESAN!$B:$B,MATCH($C42,CCESAN!$A:$A,0)),
IF(CONCATENATE($A42,$B42)="CSCORIO",INDEX(CSCORIO!#REF!,MATCH($C42,CSCORIO!#REF!,0)),
IF(CONCATENATE($A42,$B42)="MERC",INDEX(MERCADO!$B:$B,MATCH($C42,MERCADO!$A:$A,0)),
IF(CONCATENATE($A42,$B42)="CCOMP",INDEX(COMPOSICAO!$B:$B,MATCH($C42,COMPOSICAO!$A:$A,0)),""
))))))))),"*Verificar código*"))</f>
        <v xml:space="preserve">Eletrodo Revestido Aws - E6013, Diametro Igual A 2,50 Mm                                                                                                                                                                                                                                                                                                                                                                                                                                                  </v>
      </c>
      <c r="E42" s="118" t="str">
        <f>LOWER(IFERROR(
IF(CONCATENATE($A42,$B42)="IDER-ES",INDEX('IDER-ES'!$C:$C,MATCH($C42,'IDER-ES'!$A:$A,0)),
IF(CONCATENATE($A42,$B42)="CIOPES",INDEX('CDER-ES'!$C:$C,MATCH($C42,'CDER-ES'!$A:$A,0)),
IF(CONCATENATE($A42,$B42)="ISINAPI",INDEX(ISINAPI!$C:$C,MATCH($C42,ISINAPI!$A:$A,0)),
IF(CONCATENATE($A42,$B42)="CSINAPI",INDEX(CSINAPI!$C:$C,MATCH($C42,CSINAPI!$A:$A,0)),
IF(CONCATENATE($A42,$B42)="CCESAN",INDEX(CCESAN!$C:$C,MATCH($C42,CCESAN!$A:$A,0)),
IF(CONCATENATE($A42,$B42)="CSCORIO",INDEX(CSCORIO!$A:$A,MATCH($C42,CSCORIO!#REF!,0)),
IF(CONCATENATE($A42,$B42)="MERC",INDEX(MERCADO!$D:$D,MATCH($C42,MERCADO!$A:$A,0)),
IF(CONCATENATE($A42,$B42)="CCOMP",INDEX(COMPOSICAO!$H:$H,MATCH($C42,COMPOSICAO!$A:$A,0)),""
)))))))),""))</f>
        <v xml:space="preserve">kg    </v>
      </c>
      <c r="F42" s="154">
        <v>2.5000000000000001E-2</v>
      </c>
      <c r="G42" s="119">
        <f>(IFERROR(
IF(CONCATENATE($A42,$B42)="IDER-ES",INDEX('IDER-ES'!$D:$D,MATCH($C42,'IDER-ES'!$A:$A,0)),
IF(CONCATENATE($A42,$B42)="CIOPES",INDEX('CDER-ES'!$D:$D,MATCH($C42,'CDER-ES'!$A:$A,0)),
IF(CONCATENATE($A42,$B42)="ISINAPI",INDEX(ISINAPI!$E:$E,MATCH($C42,ISINAPI!$A:$A,0)),
IF(CONCATENATE($A42,$B42)="CSINAPI",INDEX(CSINAPI!$D:$D,MATCH($C42,CSINAPI!$A:$A,0)),
IF(CONCATENATE($A42,$B42)="CCESAN",INDEX(CCESAN!$D:$D,MATCH($C42,CCESAN!$A:$A,0)),
IF(CONCATENATE($A42,$B42)="CSCORIO",INDEX(CSCORIO!$B:$B,MATCH($C42,CSCORIO!#REF!,0)),
IF(CONCATENATE($A42,$B42)="MERC",INDEX(MERCADO!$E:$E,MATCH($C42,MERCADO!$A:$A,0)),
IF(CONCATENATE($A42,$B42)="CCOMP",INDEX(COMPOSICAO!$H:$H,MATCH($C42,COMPOSICAO!$A:$A,0)),""
)))))))),""))</f>
        <v>28.33</v>
      </c>
      <c r="H42" s="119">
        <f t="shared" si="4"/>
        <v>0.71</v>
      </c>
    </row>
    <row r="43" spans="1:10" ht="38.25">
      <c r="A43" s="116" t="s">
        <v>12638</v>
      </c>
      <c r="B43" s="116" t="s">
        <v>928</v>
      </c>
      <c r="C43" s="116">
        <v>43130</v>
      </c>
      <c r="D43" s="117" t="str">
        <f>PROPER(IFERROR(
IF(C43="","",
IF(CONCATENATE($A43,$B43)="IDER-ES",INDEX('IDER-ES'!$B:$B,MATCH($C43,'IDER-ES'!$A:$A,0)),
IF(CONCATENATE($A43,$B43)="CDER-ES",INDEX('CDER-ES'!$B:$B,MATCH($C43,'CDER-ES'!$A:$A,0)),
IF(CONCATENATE($A43,$B43)="ISINAPI",INDEX(ISINAPI!$B:$B,MATCH($C43,ISINAPI!$A:$A,0)),
IF(CONCATENATE($A43,$B43)="CSINAPI",INDEX(CSINAPI!$B:$B,MATCH($C43,CSINAPI!$A:$A,0)),
IF(CONCATENATE($A43,$B43)="CCESAN",INDEX(CCESAN!$B:$B,MATCH($C43,CCESAN!$A:$A,0)),
IF(CONCATENATE($A43,$B43)="CSCORIO",INDEX(CSCORIO!#REF!,MATCH($C43,CSCORIO!#REF!,0)),
IF(CONCATENATE($A43,$B43)="MERC",INDEX(MERCADO!$B:$B,MATCH($C43,MERCADO!$A:$A,0)),
IF(CONCATENATE($A43,$B43)="CCOMP",INDEX(COMPOSICAO!$B:$B,MATCH($C43,COMPOSICAO!$A:$A,0)),""
))))))))),"*Verificar código*"))</f>
        <v xml:space="preserve">Arame Galvanizado 12 Bwg, D = 2,76 Mm (0,048 Kg/M) Ou 14 Bwg, D = 2,11 Mm (0,026 Kg/M)                                                                                                                                                                                                                                                                                                                                                                                                                    </v>
      </c>
      <c r="E43" s="118" t="str">
        <f>LOWER(IFERROR(
IF(CONCATENATE($A43,$B43)="IDER-ES",INDEX('IDER-ES'!$C:$C,MATCH($C43,'IDER-ES'!$A:$A,0)),
IF(CONCATENATE($A43,$B43)="CIOPES",INDEX('CDER-ES'!$C:$C,MATCH($C43,'CDER-ES'!$A:$A,0)),
IF(CONCATENATE($A43,$B43)="ISINAPI",INDEX(ISINAPI!$C:$C,MATCH($C43,ISINAPI!$A:$A,0)),
IF(CONCATENATE($A43,$B43)="CSINAPI",INDEX(CSINAPI!$C:$C,MATCH($C43,CSINAPI!$A:$A,0)),
IF(CONCATENATE($A43,$B43)="CCESAN",INDEX(CCESAN!$C:$C,MATCH($C43,CCESAN!$A:$A,0)),
IF(CONCATENATE($A43,$B43)="CSCORIO",INDEX(CSCORIO!$A:$A,MATCH($C43,CSCORIO!#REF!,0)),
IF(CONCATENATE($A43,$B43)="MERC",INDEX(MERCADO!$D:$D,MATCH($C43,MERCADO!$A:$A,0)),
IF(CONCATENATE($A43,$B43)="CCOMP",INDEX(COMPOSICAO!$H:$H,MATCH($C43,COMPOSICAO!$A:$A,0)),""
)))))))),""))</f>
        <v xml:space="preserve">kg    </v>
      </c>
      <c r="F43" s="154">
        <v>0.08</v>
      </c>
      <c r="G43" s="119">
        <f>(IFERROR(
IF(CONCATENATE($A43,$B43)="IDER-ES",INDEX('IDER-ES'!$D:$D,MATCH($C43,'IDER-ES'!$A:$A,0)),
IF(CONCATENATE($A43,$B43)="CIOPES",INDEX('CDER-ES'!$D:$D,MATCH($C43,'CDER-ES'!$A:$A,0)),
IF(CONCATENATE($A43,$B43)="ISINAPI",INDEX(ISINAPI!$E:$E,MATCH($C43,ISINAPI!$A:$A,0)),
IF(CONCATENATE($A43,$B43)="CSINAPI",INDEX(CSINAPI!$D:$D,MATCH($C43,CSINAPI!$A:$A,0)),
IF(CONCATENATE($A43,$B43)="CCESAN",INDEX(CCESAN!$D:$D,MATCH($C43,CCESAN!$A:$A,0)),
IF(CONCATENATE($A43,$B43)="CSCORIO",INDEX(CSCORIO!$B:$B,MATCH($C43,CSCORIO!#REF!,0)),
IF(CONCATENATE($A43,$B43)="MERC",INDEX(MERCADO!$E:$E,MATCH($C43,MERCADO!$A:$A,0)),
IF(CONCATENATE($A43,$B43)="CCOMP",INDEX(COMPOSICAO!$H:$H,MATCH($C43,COMPOSICAO!$A:$A,0)),""
)))))))),""))</f>
        <v>26.76</v>
      </c>
      <c r="H43" s="119">
        <f t="shared" si="4"/>
        <v>2.14</v>
      </c>
    </row>
    <row r="44" spans="1:10" ht="25.5">
      <c r="A44" s="116" t="s">
        <v>9107</v>
      </c>
      <c r="B44" s="116" t="s">
        <v>928</v>
      </c>
      <c r="C44" s="116">
        <v>88315</v>
      </c>
      <c r="D44" s="117" t="str">
        <f>PROPER(IFERROR(
IF(C44="","",
IF(CONCATENATE($A44,$B44)="IDER-ES",INDEX('IDER-ES'!$B:$B,MATCH($C44,'IDER-ES'!$A:$A,0)),
IF(CONCATENATE($A44,$B44)="CDER-ES",INDEX('CDER-ES'!$B:$B,MATCH($C44,'CDER-ES'!$A:$A,0)),
IF(CONCATENATE($A44,$B44)="ISINAPI",INDEX(ISINAPI!$B:$B,MATCH($C44,ISINAPI!$A:$A,0)),
IF(CONCATENATE($A44,$B44)="CSINAPI",INDEX(CSINAPI!$B:$B,MATCH($C44,CSINAPI!$A:$A,0)),
IF(CONCATENATE($A44,$B44)="CCESAN",INDEX(CCESAN!$B:$B,MATCH($C44,CCESAN!$A:$A,0)),
IF(CONCATENATE($A44,$B44)="CSCORIO",INDEX(CSCORIO!#REF!,MATCH($C44,CSCORIO!#REF!,0)),
IF(CONCATENATE($A44,$B44)="MERC",INDEX(MERCADO!$B:$B,MATCH($C44,MERCADO!$A:$A,0)),
IF(CONCATENATE($A44,$B44)="CCOMP",INDEX(COMPOSICAO!$B:$B,MATCH($C44,COMPOSICAO!$A:$A,0)),""
))))))))),"*Verificar código*"))</f>
        <v>Serralheiro Com Encargos Complementares</v>
      </c>
      <c r="E44" s="118" t="str">
        <f>LOWER(IFERROR(
IF(CONCATENATE($A44,$B44)="IDER-ES",INDEX('IDER-ES'!$C:$C,MATCH($C44,'IDER-ES'!$A:$A,0)),
IF(CONCATENATE($A44,$B44)="CIOPES",INDEX('CDER-ES'!$C:$C,MATCH($C44,'CDER-ES'!$A:$A,0)),
IF(CONCATENATE($A44,$B44)="ISINAPI",INDEX(ISINAPI!$C:$C,MATCH($C44,ISINAPI!$A:$A,0)),
IF(CONCATENATE($A44,$B44)="CSINAPI",INDEX(CSINAPI!$C:$C,MATCH($C44,CSINAPI!$A:$A,0)),
IF(CONCATENATE($A44,$B44)="CCESAN",INDEX(CCESAN!$C:$C,MATCH($C44,CCESAN!$A:$A,0)),
IF(CONCATENATE($A44,$B44)="CSCORIO",INDEX(CSCORIO!$A:$A,MATCH($C44,CSCORIO!#REF!,0)),
IF(CONCATENATE($A44,$B44)="MERC",INDEX(MERCADO!$D:$D,MATCH($C44,MERCADO!$A:$A,0)),
IF(CONCATENATE($A44,$B44)="CCOMP",INDEX(COMPOSICAO!$H:$H,MATCH($C44,COMPOSICAO!$A:$A,0)),""
)))))))),""))</f>
        <v>h</v>
      </c>
      <c r="F44" s="154">
        <v>1</v>
      </c>
      <c r="G44" s="119">
        <f>(IFERROR(
IF(CONCATENATE($A44,$B44)="IDER-ES",INDEX('IDER-ES'!$D:$D,MATCH($C44,'IDER-ES'!$A:$A,0)),
IF(CONCATENATE($A44,$B44)="CIOPES",INDEX('CDER-ES'!$D:$D,MATCH($C44,'CDER-ES'!$A:$A,0)),
IF(CONCATENATE($A44,$B44)="ISINAPI",INDEX(ISINAPI!$E:$E,MATCH($C44,ISINAPI!$A:$A,0)),
IF(CONCATENATE($A44,$B44)="CSINAPI",INDEX(CSINAPI!$D:$D,MATCH($C44,CSINAPI!$A:$A,0)),
IF(CONCATENATE($A44,$B44)="CCESAN",INDEX(CCESAN!$D:$D,MATCH($C44,CCESAN!$A:$A,0)),
IF(CONCATENATE($A44,$B44)="CSCORIO",INDEX(CSCORIO!$B:$B,MATCH($C44,CSCORIO!#REF!,0)),
IF(CONCATENATE($A44,$B44)="MERC",INDEX(MERCADO!$E:$E,MATCH($C44,MERCADO!$A:$A,0)),
IF(CONCATENATE($A44,$B44)="CCOMP",INDEX(COMPOSICAO!$H:$H,MATCH($C44,COMPOSICAO!$A:$A,0)),""
)))))))),""))</f>
        <v>28.9</v>
      </c>
      <c r="H44" s="119">
        <f t="shared" si="4"/>
        <v>28.9</v>
      </c>
    </row>
    <row r="45" spans="1:10" ht="25.5">
      <c r="A45" s="116" t="s">
        <v>9107</v>
      </c>
      <c r="B45" s="116" t="s">
        <v>928</v>
      </c>
      <c r="C45" s="116">
        <v>88316</v>
      </c>
      <c r="D45" s="117" t="str">
        <f>PROPER(IFERROR(
IF(C45="","",
IF(CONCATENATE($A45,$B45)="IDER-ES",INDEX('IDER-ES'!$B:$B,MATCH($C45,'IDER-ES'!$A:$A,0)),
IF(CONCATENATE($A45,$B45)="CDER-ES",INDEX('CDER-ES'!$B:$B,MATCH($C45,'CDER-ES'!$A:$A,0)),
IF(CONCATENATE($A45,$B45)="ISINAPI",INDEX(ISINAPI!$B:$B,MATCH($C45,ISINAPI!$A:$A,0)),
IF(CONCATENATE($A45,$B45)="CSINAPI",INDEX(CSINAPI!$B:$B,MATCH($C45,CSINAPI!$A:$A,0)),
IF(CONCATENATE($A45,$B45)="CCESAN",INDEX(CCESAN!$B:$B,MATCH($C45,CCESAN!$A:$A,0)),
IF(CONCATENATE($A45,$B45)="CSCORIO",INDEX(CSCORIO!#REF!,MATCH($C45,CSCORIO!#REF!,0)),
IF(CONCATENATE($A45,$B45)="MERC",INDEX(MERCADO!$B:$B,MATCH($C45,MERCADO!$A:$A,0)),
IF(CONCATENATE($A45,$B45)="CCOMP",INDEX(COMPOSICAO!$B:$B,MATCH($C45,COMPOSICAO!$A:$A,0)),""
))))))))),"*Verificar código*"))</f>
        <v>Servente Com Encargos Complementares</v>
      </c>
      <c r="E45" s="118" t="str">
        <f>LOWER(IFERROR(
IF(CONCATENATE($A45,$B45)="IDER-ES",INDEX('IDER-ES'!$C:$C,MATCH($C45,'IDER-ES'!$A:$A,0)),
IF(CONCATENATE($A45,$B45)="CIOPES",INDEX('CDER-ES'!$C:$C,MATCH($C45,'CDER-ES'!$A:$A,0)),
IF(CONCATENATE($A45,$B45)="ISINAPI",INDEX(ISINAPI!$C:$C,MATCH($C45,ISINAPI!$A:$A,0)),
IF(CONCATENATE($A45,$B45)="CSINAPI",INDEX(CSINAPI!$C:$C,MATCH($C45,CSINAPI!$A:$A,0)),
IF(CONCATENATE($A45,$B45)="CCESAN",INDEX(CCESAN!$C:$C,MATCH($C45,CCESAN!$A:$A,0)),
IF(CONCATENATE($A45,$B45)="CSCORIO",INDEX(CSCORIO!$A:$A,MATCH($C45,CSCORIO!#REF!,0)),
IF(CONCATENATE($A45,$B45)="MERC",INDEX(MERCADO!$D:$D,MATCH($C45,MERCADO!$A:$A,0)),
IF(CONCATENATE($A45,$B45)="CCOMP",INDEX(COMPOSICAO!$H:$H,MATCH($C45,COMPOSICAO!$A:$A,0)),""
)))))))),""))</f>
        <v>h</v>
      </c>
      <c r="F45" s="154">
        <v>1</v>
      </c>
      <c r="G45" s="119">
        <f>(IFERROR(
IF(CONCATENATE($A45,$B45)="IDER-ES",INDEX('IDER-ES'!$D:$D,MATCH($C45,'IDER-ES'!$A:$A,0)),
IF(CONCATENATE($A45,$B45)="CIOPES",INDEX('CDER-ES'!$D:$D,MATCH($C45,'CDER-ES'!$A:$A,0)),
IF(CONCATENATE($A45,$B45)="ISINAPI",INDEX(ISINAPI!$E:$E,MATCH($C45,ISINAPI!$A:$A,0)),
IF(CONCATENATE($A45,$B45)="CSINAPI",INDEX(CSINAPI!$D:$D,MATCH($C45,CSINAPI!$A:$A,0)),
IF(CONCATENATE($A45,$B45)="CCESAN",INDEX(CCESAN!$D:$D,MATCH($C45,CCESAN!$A:$A,0)),
IF(CONCATENATE($A45,$B45)="CSCORIO",INDEX(CSCORIO!$B:$B,MATCH($C45,CSCORIO!#REF!,0)),
IF(CONCATENATE($A45,$B45)="MERC",INDEX(MERCADO!$E:$E,MATCH($C45,MERCADO!$A:$A,0)),
IF(CONCATENATE($A45,$B45)="CCOMP",INDEX(COMPOSICAO!$H:$H,MATCH($C45,COMPOSICAO!$A:$A,0)),""
)))))))),""))</f>
        <v>19.260000000000002</v>
      </c>
      <c r="H45" s="119">
        <f t="shared" si="4"/>
        <v>19.260000000000002</v>
      </c>
    </row>
    <row r="46" spans="1:10" ht="25.5">
      <c r="A46" s="116" t="s">
        <v>9107</v>
      </c>
      <c r="B46" s="116" t="s">
        <v>928</v>
      </c>
      <c r="C46" s="116">
        <v>100717</v>
      </c>
      <c r="D46" s="117" t="str">
        <f>PROPER(IFERROR(
IF(C46="","",
IF(CONCATENATE($A46,$B46)="IDER-ES",INDEX('IDER-ES'!$B:$B,MATCH($C46,'IDER-ES'!$A:$A,0)),
IF(CONCATENATE($A46,$B46)="CDER-ES",INDEX('CDER-ES'!$B:$B,MATCH($C46,'CDER-ES'!$A:$A,0)),
IF(CONCATENATE($A46,$B46)="ISINAPI",INDEX(ISINAPI!$B:$B,MATCH($C46,ISINAPI!$A:$A,0)),
IF(CONCATENATE($A46,$B46)="CSINAPI",INDEX(CSINAPI!$B:$B,MATCH($C46,CSINAPI!$A:$A,0)),
IF(CONCATENATE($A46,$B46)="CCESAN",INDEX(CCESAN!$B:$B,MATCH($C46,CCESAN!$A:$A,0)),
IF(CONCATENATE($A46,$B46)="CSCORIO",INDEX(CSCORIO!#REF!,MATCH($C46,CSCORIO!#REF!,0)),
IF(CONCATENATE($A46,$B46)="MERC",INDEX(MERCADO!$B:$B,MATCH($C46,MERCADO!$A:$A,0)),
IF(CONCATENATE($A46,$B46)="CCOMP",INDEX(COMPOSICAO!$B:$B,MATCH($C46,COMPOSICAO!$A:$A,0)),""
))))))))),"*Verificar código*"))</f>
        <v>Lixamento Manual Em Superfícies Metálicas Em Obra. Af_01/2020</v>
      </c>
      <c r="E46" s="118" t="str">
        <f>LOWER(IFERROR(
IF(CONCATENATE($A46,$B46)="IDER-ES",INDEX('IDER-ES'!$C:$C,MATCH($C46,'IDER-ES'!$A:$A,0)),
IF(CONCATENATE($A46,$B46)="CIOPES",INDEX('CDER-ES'!$C:$C,MATCH($C46,'CDER-ES'!$A:$A,0)),
IF(CONCATENATE($A46,$B46)="ISINAPI",INDEX(ISINAPI!$C:$C,MATCH($C46,ISINAPI!$A:$A,0)),
IF(CONCATENATE($A46,$B46)="CSINAPI",INDEX(CSINAPI!$C:$C,MATCH($C46,CSINAPI!$A:$A,0)),
IF(CONCATENATE($A46,$B46)="CCESAN",INDEX(CCESAN!$C:$C,MATCH($C46,CCESAN!$A:$A,0)),
IF(CONCATENATE($A46,$B46)="CSCORIO",INDEX(CSCORIO!$A:$A,MATCH($C46,CSCORIO!#REF!,0)),
IF(CONCATENATE($A46,$B46)="MERC",INDEX(MERCADO!$D:$D,MATCH($C46,MERCADO!$A:$A,0)),
IF(CONCATENATE($A46,$B46)="CCOMP",INDEX(COMPOSICAO!$H:$H,MATCH($C46,COMPOSICAO!$A:$A,0)),""
)))))))),""))</f>
        <v>m2</v>
      </c>
      <c r="F46" s="154">
        <f>0.19*F41</f>
        <v>0.28500000000000003</v>
      </c>
      <c r="G46" s="119">
        <f>(IFERROR(
IF(CONCATENATE($A46,$B46)="IDER-ES",INDEX('IDER-ES'!$D:$D,MATCH($C46,'IDER-ES'!$A:$A,0)),
IF(CONCATENATE($A46,$B46)="CIOPES",INDEX('CDER-ES'!$D:$D,MATCH($C46,'CDER-ES'!$A:$A,0)),
IF(CONCATENATE($A46,$B46)="ISINAPI",INDEX(ISINAPI!$E:$E,MATCH($C46,ISINAPI!$A:$A,0)),
IF(CONCATENATE($A46,$B46)="CSINAPI",INDEX(CSINAPI!$D:$D,MATCH($C46,CSINAPI!$A:$A,0)),
IF(CONCATENATE($A46,$B46)="CCESAN",INDEX(CCESAN!$D:$D,MATCH($C46,CCESAN!$A:$A,0)),
IF(CONCATENATE($A46,$B46)="CSCORIO",INDEX(CSCORIO!$B:$B,MATCH($C46,CSCORIO!#REF!,0)),
IF(CONCATENATE($A46,$B46)="MERC",INDEX(MERCADO!$E:$E,MATCH($C46,MERCADO!$A:$A,0)),
IF(CONCATENATE($A46,$B46)="CCOMP",INDEX(COMPOSICAO!$H:$H,MATCH($C46,COMPOSICAO!$A:$A,0)),""
)))))))),""))</f>
        <v>10.130000000000001</v>
      </c>
      <c r="H46" s="119">
        <f t="shared" si="4"/>
        <v>2.89</v>
      </c>
    </row>
    <row r="47" spans="1:10" ht="63.75">
      <c r="A47" s="116" t="s">
        <v>9107</v>
      </c>
      <c r="B47" s="116" t="s">
        <v>12617</v>
      </c>
      <c r="C47" s="116">
        <v>190417</v>
      </c>
      <c r="D47" s="117" t="str">
        <f>PROPER(IFERROR(
IF(C47="","",
IF(CONCATENATE($A47,$B47)="IDER-ES",INDEX('IDER-ES'!$B:$B,MATCH($C47,'IDER-ES'!$A:$A,0)),
IF(CONCATENATE($A47,$B47)="CDER-ES",INDEX('CDER-ES'!$B:$B,MATCH($C47,'CDER-ES'!$A:$A,0)),
IF(CONCATENATE($A47,$B47)="ISINAPI",INDEX(ISINAPI!$B:$B,MATCH($C47,ISINAPI!$A:$A,0)),
IF(CONCATENATE($A47,$B47)="CSINAPI",INDEX(CSINAPI!$B:$B,MATCH($C47,CSINAPI!$A:$A,0)),
IF(CONCATENATE($A47,$B47)="CCESAN",INDEX(CCESAN!$B:$B,MATCH($C47,CCESAN!$A:$A,0)),
IF(CONCATENATE($A47,$B47)="CSCORIO",INDEX(CSCORIO!#REF!,MATCH($C47,CSCORIO!#REF!,0)),
IF(CONCATENATE($A47,$B47)="MERC",INDEX(MERCADO!$B:$B,MATCH($C47,MERCADO!$A:$A,0)),
IF(CONCATENATE($A47,$B47)="CCOMP",INDEX(COMPOSICAO!$B:$B,MATCH($C47,COMPOSICAO!$A:$A,0)),""
))))))))),"*Verificar código*"))</f>
        <v>Pintura Sobre Metal, Aplicação Manual, Com Duas Demãos De Tinta Esmalte Sintético, Referência Suvinil, Coral Ou Metalatex, Inclusive Uma Demão De Fundo Anticorrosivo</v>
      </c>
      <c r="E47" s="118" t="str">
        <f>LOWER(IFERROR(
IF(CONCATENATE($A47,$B47)="IDER-ES",INDEX('IDER-ES'!$C:$C,MATCH($C47,'IDER-ES'!$A:$A,0)),
IF(CONCATENATE($A47,$B47)="CDER-ES",INDEX('CDER-ES'!$C:$C,MATCH($C47,'CDER-ES'!$A:$A,0)),
IF(CONCATENATE($A47,$B47)="ISINAPI",INDEX(ISINAPI!$C:$C,MATCH($C47,ISINAPI!$A:$A,0)),
IF(CONCATENATE($A47,$B47)="CSINAPI",INDEX(CSINAPI!$C:$C,MATCH($C47,CSINAPI!$A:$A,0)),
IF(CONCATENATE($A47,$B47)="CCESAN",INDEX(CCESAN!$C:$C,MATCH($C47,CCESAN!$A:$A,0)),
IF(CONCATENATE($A47,$B47)="CSCORIO",INDEX(CSCORIO!$A:$A,MATCH($C47,CSCORIO!#REF!,0)),
IF(CONCATENATE($A47,$B47)="MERC",INDEX(MERCADO!$D:$D,MATCH($C47,MERCADO!$A:$A,0)),
IF(CONCATENATE($A47,$B47)="CCOMP",INDEX(COMPOSICAO!$H:$H,MATCH($C47,COMPOSICAO!$A:$A,0)),""
)))))))),""))</f>
        <v>m2</v>
      </c>
      <c r="F47" s="154">
        <f>F46</f>
        <v>0.28500000000000003</v>
      </c>
      <c r="G47" s="119">
        <f>(IFERROR(
IF(CONCATENATE($A47,$B47)="IDER-ES",INDEX('IDER-ES'!$D:$D,MATCH($C47,'IDER-ES'!$A:$A,0)),
IF(CONCATENATE($A47,$B47)="CDER-ES",INDEX('CDER-ES'!$D:$D,MATCH($C47,'CDER-ES'!$A:$A,0)),
IF(CONCATENATE($A47,$B47)="ISINAPI",INDEX(ISINAPI!$E:$E,MATCH($C47,ISINAPI!$A:$A,0)),
IF(CONCATENATE($A47,$B47)="CSINAPI",INDEX(CSINAPI!$D:$D,MATCH($C47,CSINAPI!$A:$A,0)),
IF(CONCATENATE($A47,$B47)="CCESAN",INDEX(CCESAN!$D:$D,MATCH($C47,CCESAN!$A:$A,0)),
IF(CONCATENATE($A47,$B47)="CSCORIO",INDEX(CSCORIO!$B:$B,MATCH($C47,CSCORIO!#REF!,0)),
IF(CONCATENATE($A47,$B47)="MERC",INDEX(MERCADO!$E:$E,MATCH($C47,MERCADO!$A:$A,0)),
IF(CONCATENATE($A47,$B47)="CCOMP",INDEX(COMPOSICAO!$H:$H,MATCH($C47,COMPOSICAO!$A:$A,0)),""
)))))))),""))</f>
        <v>46.48</v>
      </c>
      <c r="H47" s="119">
        <f t="shared" si="4"/>
        <v>13.25</v>
      </c>
    </row>
    <row r="49" spans="1:9">
      <c r="A49" s="158"/>
      <c r="B49" s="382" t="s">
        <v>931</v>
      </c>
      <c r="C49" s="383"/>
      <c r="D49" s="383"/>
      <c r="E49" s="383"/>
      <c r="F49" s="384"/>
      <c r="G49" s="108" t="s">
        <v>7264</v>
      </c>
      <c r="H49" s="109" t="s">
        <v>7250</v>
      </c>
    </row>
    <row r="50" spans="1:9" ht="60" customHeight="1">
      <c r="A50" s="111">
        <v>5</v>
      </c>
      <c r="B50" s="385" t="s">
        <v>14687</v>
      </c>
      <c r="C50" s="386"/>
      <c r="D50" s="386"/>
      <c r="E50" s="386"/>
      <c r="F50" s="387"/>
      <c r="G50" s="112" t="s">
        <v>7264</v>
      </c>
      <c r="H50" s="182">
        <f>SUM(H52:H52)</f>
        <v>81625.33</v>
      </c>
    </row>
    <row r="51" spans="1:9" ht="25.5">
      <c r="A51" s="114" t="s">
        <v>935</v>
      </c>
      <c r="B51" s="114" t="s">
        <v>936</v>
      </c>
      <c r="C51" s="114" t="s">
        <v>28</v>
      </c>
      <c r="D51" s="114" t="s">
        <v>932</v>
      </c>
      <c r="E51" s="114" t="s">
        <v>29</v>
      </c>
      <c r="F51" s="155" t="s">
        <v>2098</v>
      </c>
      <c r="G51" s="115" t="s">
        <v>7248</v>
      </c>
      <c r="H51" s="115" t="s">
        <v>7249</v>
      </c>
    </row>
    <row r="52" spans="1:9" ht="38.25">
      <c r="A52" s="116"/>
      <c r="B52" s="116" t="s">
        <v>930</v>
      </c>
      <c r="C52" s="116">
        <v>1</v>
      </c>
      <c r="D52" s="117" t="str">
        <f>PROPER(IFERROR(
IF(C52="","",
IF(CONCATENATE($A52,$B52)="IDER-ES",INDEX('IDER-ES'!$B:$B,MATCH($C52,'IDER-ES'!$A:$A,0)),
IF(CONCATENATE($A52,$B52)="CDER-ES",INDEX('CDER-ES'!$B:$B,MATCH($C52,'CDER-ES'!$A:$A,0)),
IF(CONCATENATE($A52,$B52)="ISINAPI",INDEX(ISINAPI!$B:$B,MATCH($C52,ISINAPI!$A:$A,0)),
IF(CONCATENATE($A52,$B52)="CSINAPI",INDEX(CSINAPI!$B:$B,MATCH($C52,CSINAPI!$A:$A,0)),
IF(CONCATENATE($A52,$B52)="CCESAN",INDEX(CCESAN!$B:$B,MATCH($C52,CCESAN!$A:$A,0)),
IF(CONCATENATE($A52,$B52)="CSCORIO",INDEX(CSCORIO!#REF!,MATCH($C52,CSCORIO!#REF!,0)),
IF(CONCATENATE($A52,$B52)="MERC",INDEX(MERCADO!$B:$B,MATCH($C52,MERCADO!$A:$A,0)),
IF(CONCATENATE($A52,$B52)="CCOMP",INDEX(COMPOSICAO!$B:$B,MATCH($C52,COMPOSICAO!$A:$A,0)),""
))))))))),"*Verificar código*"))</f>
        <v>Estrutura De Acm, Tipo Bandeja, Espessura 4 Mm, Em Alto Relevo, Letreiro E Brasão, Conforme Projeto</v>
      </c>
      <c r="E52" s="118" t="str">
        <f>LOWER(IFERROR(
IF(CONCATENATE($A52,$B52)="IDER-ES",INDEX('IDER-ES'!$C:$C,MATCH($C52,'IDER-ES'!$A:$A,0)),
IF(CONCATENATE($A52,$B52)="CIOPES",INDEX('CDER-ES'!$C:$C,MATCH($C52,'CDER-ES'!$A:$A,0)),
IF(CONCATENATE($A52,$B52)="ISINAPI",INDEX(ISINAPI!$C:$C,MATCH($C52,ISINAPI!$A:$A,0)),
IF(CONCATENATE($A52,$B52)="CSINAPI",INDEX(CSINAPI!$C:$C,MATCH($C52,CSINAPI!$A:$A,0)),
IF(CONCATENATE($A52,$B52)="CCESAN",INDEX(CCESAN!$C:$C,MATCH($C52,CCESAN!$A:$A,0)),
IF(CONCATENATE($A52,$B52)="CSCORIO",INDEX(CSCORIO!$A:$A,MATCH($C52,CSCORIO!#REF!,0)),
IF(CONCATENATE($A52,$B52)="MERC",INDEX(MERCADO!$D:$D,MATCH($C52,MERCADO!$A:$A,0)),
IF(CONCATENATE($A52,$B52)="CCOMP",INDEX(COMPOSICAO!$H:$H,MATCH($C52,COMPOSICAO!$A:$A,0)),""
)))))))),""))</f>
        <v>und</v>
      </c>
      <c r="F52" s="154">
        <v>1</v>
      </c>
      <c r="G52" s="119">
        <f>(IFERROR(
IF(CONCATENATE($A52,$B52)="IDER-ES",INDEX('IDER-ES'!$D:$D,MATCH($C52,'IDER-ES'!$A:$A,0)),
IF(CONCATENATE($A52,$B52)="CIOPES",INDEX('CDER-ES'!$D:$D,MATCH($C52,'CDER-ES'!$A:$A,0)),
IF(CONCATENATE($A52,$B52)="ISINAPI",INDEX(ISINAPI!$E:$E,MATCH($C52,ISINAPI!$A:$A,0)),
IF(CONCATENATE($A52,$B52)="CSINAPI",INDEX(CSINAPI!$D:$D,MATCH($C52,CSINAPI!$A:$A,0)),
IF(CONCATENATE($A52,$B52)="CCESAN",INDEX(CCESAN!$D:$D,MATCH($C52,CCESAN!$A:$A,0)),
IF(CONCATENATE($A52,$B52)="CSCORIO",INDEX(CSCORIO!$B:$B,MATCH($C52,CSCORIO!#REF!,0)),
IF(CONCATENATE($A52,$B52)="MERC",INDEX(MERCADO!$E:$E,MATCH($C52,MERCADO!$A:$A,0)),
IF(CONCATENATE($A52,$B52)="CCOMP",INDEX(COMPOSICAO!$H:$H,MATCH($C52,COMPOSICAO!$A:$A,0)),""
)))))))),""))</f>
        <v>81625.33</v>
      </c>
      <c r="H52" s="119">
        <f t="shared" ref="H52" si="5">IF(B52="","",ROUND(G52*F52,2))</f>
        <v>81625.33</v>
      </c>
    </row>
    <row r="54" spans="1:9" s="110" customFormat="1" ht="20.100000000000001" customHeight="1">
      <c r="A54" s="158" t="s">
        <v>929</v>
      </c>
      <c r="B54" s="382" t="s">
        <v>931</v>
      </c>
      <c r="C54" s="383"/>
      <c r="D54" s="383"/>
      <c r="E54" s="383"/>
      <c r="F54" s="384"/>
      <c r="G54" s="108" t="s">
        <v>7264</v>
      </c>
      <c r="H54" s="109" t="s">
        <v>7250</v>
      </c>
      <c r="I54" s="208"/>
    </row>
    <row r="55" spans="1:9" ht="30" customHeight="1">
      <c r="A55" s="111">
        <v>6</v>
      </c>
      <c r="B55" s="385" t="s">
        <v>14918</v>
      </c>
      <c r="C55" s="386"/>
      <c r="D55" s="386"/>
      <c r="E55" s="386"/>
      <c r="F55" s="387"/>
      <c r="G55" s="112" t="s">
        <v>12641</v>
      </c>
      <c r="H55" s="182">
        <f>SUM(H57:H61)</f>
        <v>823.13999999999987</v>
      </c>
    </row>
    <row r="56" spans="1:9" ht="30" customHeight="1">
      <c r="A56" s="114" t="s">
        <v>935</v>
      </c>
      <c r="B56" s="114" t="s">
        <v>936</v>
      </c>
      <c r="C56" s="114" t="s">
        <v>28</v>
      </c>
      <c r="D56" s="114" t="s">
        <v>932</v>
      </c>
      <c r="E56" s="114" t="s">
        <v>29</v>
      </c>
      <c r="F56" s="155" t="s">
        <v>2098</v>
      </c>
      <c r="G56" s="115" t="s">
        <v>7248</v>
      </c>
      <c r="H56" s="115" t="s">
        <v>7249</v>
      </c>
    </row>
    <row r="57" spans="1:9" ht="63.75">
      <c r="A57" s="116" t="s">
        <v>12638</v>
      </c>
      <c r="B57" s="116" t="s">
        <v>928</v>
      </c>
      <c r="C57" s="116">
        <v>37561</v>
      </c>
      <c r="D57" s="117" t="str">
        <f>PROPER(IFERROR(
IF(C57="","",
IF(CONCATENATE($A57,$B57)="IDER-ES",INDEX('IDER-ES'!$B:$B,MATCH($C57,'IDER-ES'!$A:$A,0)),
IF(CONCATENATE($A57,$B57)="CDER-ES",INDEX('CDER-ES'!$B:$B,MATCH($C57,'CDER-ES'!$A:$A,0)),
IF(CONCATENATE($A57,$B57)="ISINAPI",INDEX(ISINAPI!$B:$B,MATCH($C57,ISINAPI!$A:$A,0)),
IF(CONCATENATE($A57,$B57)="CSINAPI",INDEX(CSINAPI!$B:$B,MATCH($C57,CSINAPI!$A:$A,0)),
IF(CONCATENATE($A57,$B57)="CCESAN",INDEX(CCESAN!$B:$B,MATCH($C57,CCESAN!$A:$A,0)),
IF(CONCATENATE($A57,$B57)="CSCORIO",INDEX(CSCORIO!#REF!,MATCH($C57,CSCORIO!#REF!,0)),
IF(CONCATENATE($A57,$B57)="MERC",INDEX(MERCADO!$B:$B,MATCH($C57,MERCADO!$A:$A,0)),
IF(CONCATENATE($A57,$B57)="CCOMP",INDEX(COMPOSICAO!$B:$B,MATCH($C57,COMPOSICAO!$A:$A,0)),""
))))))))),"*Verificar código*"))</f>
        <v xml:space="preserve">Portao De Correr Em Chapa Tipo Painel Lambril Quadrado, Com Porta Social Completa Incluida, Com Requadro, Acabamento Natural, Com Trilhos E Roldanas                                                                                                                                                                                                                                                                                                                                                      </v>
      </c>
      <c r="E57" s="118" t="str">
        <f>LOWER(IFERROR(
IF(CONCATENATE($A57,$B57)="IDER-ES",INDEX('IDER-ES'!$C:$C,MATCH($C57,'IDER-ES'!$A:$A,0)),
IF(CONCATENATE($A57,$B57)="CIOPES",INDEX('CDER-ES'!$C:$C,MATCH($C57,'CDER-ES'!$A:$A,0)),
IF(CONCATENATE($A57,$B57)="ISINAPI",INDEX(ISINAPI!$C:$C,MATCH($C57,ISINAPI!$A:$A,0)),
IF(CONCATENATE($A57,$B57)="CSINAPI",INDEX(CSINAPI!$C:$C,MATCH($C57,CSINAPI!$A:$A,0)),
IF(CONCATENATE($A57,$B57)="CCESAN",INDEX(CCESAN!$C:$C,MATCH($C57,CCESAN!$A:$A,0)),
IF(CONCATENATE($A57,$B57)="CSCORIO",INDEX(CSCORIO!$A:$A,MATCH($C57,CSCORIO!#REF!,0)),
IF(CONCATENATE($A57,$B57)="MERC",INDEX(MERCADO!$D:$D,MATCH($C57,MERCADO!$A:$A,0)),
IF(CONCATENATE($A57,$B57)="CCOMP",INDEX(COMPOSICAO!$H:$H,MATCH($C57,COMPOSICAO!$A:$A,0)),""
)))))))),""))</f>
        <v xml:space="preserve">m2    </v>
      </c>
      <c r="F57" s="154">
        <v>1</v>
      </c>
      <c r="G57" s="214">
        <f>(IFERROR(
IF(CONCATENATE($A57,$B57)="IDER-ES",INDEX('IDER-ES'!$D:$D,MATCH($C57,'IDER-ES'!$A:$A,0)),
IF(CONCATENATE($A57,$B57)="CIOPES",INDEX('CDER-ES'!$D:$D,MATCH($C57,'CDER-ES'!$A:$A,0)),
IF(CONCATENATE($A57,$B57)="ISINAPI",INDEX(ISINAPI!$E:$E,MATCH($C57,ISINAPI!$A:$A,0)),
IF(CONCATENATE($A57,$B57)="CSINAPI",INDEX(CSINAPI!$D:$D,MATCH($C57,CSINAPI!$A:$A,0)),
IF(CONCATENATE($A57,$B57)="CCESAN",INDEX(CCESAN!$D:$D,MATCH($C57,CCESAN!$A:$A,0)),
IF(CONCATENATE($A57,$B57)="CSCORIO",INDEX(CSCORIO!$B:$B,MATCH($C57,CSCORIO!#REF!,0)),
IF(CONCATENATE($A57,$B57)="MERC",INDEX(MERCADO!$E:$E,MATCH($C57,MERCADO!$A:$A,0)),
IF(CONCATENATE($A57,$B57)="CCOMP",INDEX(COMPOSICAO!$H:$H,MATCH($C57,COMPOSICAO!$A:$A,0)),""
)))))))),""))</f>
        <v>517.87</v>
      </c>
      <c r="H57" s="119">
        <f t="shared" ref="H57:H61" si="6">IF(B57="","",ROUND(G57*F57,2))</f>
        <v>517.87</v>
      </c>
    </row>
    <row r="58" spans="1:9" ht="25.5">
      <c r="A58" s="116" t="s">
        <v>9107</v>
      </c>
      <c r="B58" s="116" t="s">
        <v>928</v>
      </c>
      <c r="C58" s="116">
        <v>88309</v>
      </c>
      <c r="D58" s="117" t="str">
        <f>PROPER(IFERROR(
IF(C58="","",
IF(CONCATENATE($A58,$B58)="IDER-ES",INDEX('IDER-ES'!$B:$B,MATCH($C58,'IDER-ES'!$A:$A,0)),
IF(CONCATENATE($A58,$B58)="CDER-ES",INDEX('CDER-ES'!$B:$B,MATCH($C58,'CDER-ES'!$A:$A,0)),
IF(CONCATENATE($A58,$B58)="ISINAPI",INDEX(ISINAPI!$B:$B,MATCH($C58,ISINAPI!$A:$A,0)),
IF(CONCATENATE($A58,$B58)="CSINAPI",INDEX(CSINAPI!$B:$B,MATCH($C58,CSINAPI!$A:$A,0)),
IF(CONCATENATE($A58,$B58)="CCESAN",INDEX(CCESAN!$B:$B,MATCH($C58,CCESAN!$A:$A,0)),
IF(CONCATENATE($A58,$B58)="CSCORIO",INDEX(CSCORIO!#REF!,MATCH($C58,CSCORIO!#REF!,0)),
IF(CONCATENATE($A58,$B58)="MERC",INDEX(MERCADO!$B:$B,MATCH($C58,MERCADO!$A:$A,0)),
IF(CONCATENATE($A58,$B58)="CCOMP",INDEX(COMPOSICAO!$B:$B,MATCH($C58,COMPOSICAO!$A:$A,0)),""
))))))))),"*Verificar código*"))</f>
        <v>Pedreiro Com Encargos Complementares</v>
      </c>
      <c r="E58" s="118" t="str">
        <f>LOWER(IFERROR(
IF(CONCATENATE($A58,$B58)="IDER-ES",INDEX('IDER-ES'!$C:$C,MATCH($C58,'IDER-ES'!$A:$A,0)),
IF(CONCATENATE($A58,$B58)="CIOPES",INDEX('CDER-ES'!$C:$C,MATCH($C58,'CDER-ES'!$A:$A,0)),
IF(CONCATENATE($A58,$B58)="ISINAPI",INDEX(ISINAPI!$C:$C,MATCH($C58,ISINAPI!$A:$A,0)),
IF(CONCATENATE($A58,$B58)="CSINAPI",INDEX(CSINAPI!$C:$C,MATCH($C58,CSINAPI!$A:$A,0)),
IF(CONCATENATE($A58,$B58)="CCESAN",INDEX(CCESAN!$C:$C,MATCH($C58,CCESAN!$A:$A,0)),
IF(CONCATENATE($A58,$B58)="CSCORIO",INDEX(CSCORIO!$A:$A,MATCH($C58,CSCORIO!#REF!,0)),
IF(CONCATENATE($A58,$B58)="MERC",INDEX(MERCADO!$D:$D,MATCH($C58,MERCADO!$A:$A,0)),
IF(CONCATENATE($A58,$B58)="CCOMP",INDEX(COMPOSICAO!$H:$H,MATCH($C58,COMPOSICAO!$A:$A,0)),""
)))))))),""))</f>
        <v>h</v>
      </c>
      <c r="F58" s="154">
        <v>3</v>
      </c>
      <c r="G58" s="119">
        <f>(IFERROR(
IF(CONCATENATE($A58,$B58)="IDER-ES",INDEX('IDER-ES'!$D:$D,MATCH($C58,'IDER-ES'!$A:$A,0)),
IF(CONCATENATE($A58,$B58)="CIOPES",INDEX('CDER-ES'!$D:$D,MATCH($C58,'CDER-ES'!$A:$A,0)),
IF(CONCATENATE($A58,$B58)="ISINAPI",INDEX(ISINAPI!$E:$E,MATCH($C58,ISINAPI!$A:$A,0)),
IF(CONCATENATE($A58,$B58)="CSINAPI",INDEX(CSINAPI!$D:$D,MATCH($C58,CSINAPI!$A:$A,0)),
IF(CONCATENATE($A58,$B58)="CCESAN",INDEX(CCESAN!$D:$D,MATCH($C58,CCESAN!$A:$A,0)),
IF(CONCATENATE($A58,$B58)="CSCORIO",INDEX(CSCORIO!$B:$B,MATCH($C58,CSCORIO!#REF!,0)),
IF(CONCATENATE($A58,$B58)="MERC",INDEX(MERCADO!$E:$E,MATCH($C58,MERCADO!$A:$A,0)),
IF(CONCATENATE($A58,$B58)="CCOMP",INDEX(COMPOSICAO!$H:$H,MATCH($C58,COMPOSICAO!$A:$A,0)),""
)))))))),""))</f>
        <v>25.5</v>
      </c>
      <c r="H58" s="119">
        <f t="shared" si="6"/>
        <v>76.5</v>
      </c>
    </row>
    <row r="59" spans="1:9" ht="25.5">
      <c r="A59" s="116" t="s">
        <v>9107</v>
      </c>
      <c r="B59" s="116" t="s">
        <v>928</v>
      </c>
      <c r="C59" s="116">
        <v>88316</v>
      </c>
      <c r="D59" s="117" t="str">
        <f>PROPER(IFERROR(
IF(C59="","",
IF(CONCATENATE($A59,$B59)="IDER-ES",INDEX('IDER-ES'!$B:$B,MATCH($C59,'IDER-ES'!$A:$A,0)),
IF(CONCATENATE($A59,$B59)="CDER-ES",INDEX('CDER-ES'!$B:$B,MATCH($C59,'CDER-ES'!$A:$A,0)),
IF(CONCATENATE($A59,$B59)="ISINAPI",INDEX(ISINAPI!$B:$B,MATCH($C59,ISINAPI!$A:$A,0)),
IF(CONCATENATE($A59,$B59)="CSINAPI",INDEX(CSINAPI!$B:$B,MATCH($C59,CSINAPI!$A:$A,0)),
IF(CONCATENATE($A59,$B59)="CCESAN",INDEX(CCESAN!$B:$B,MATCH($C59,CCESAN!$A:$A,0)),
IF(CONCATENATE($A59,$B59)="CSCORIO",INDEX(CSCORIO!#REF!,MATCH($C59,CSCORIO!#REF!,0)),
IF(CONCATENATE($A59,$B59)="MERC",INDEX(MERCADO!$B:$B,MATCH($C59,MERCADO!$A:$A,0)),
IF(CONCATENATE($A59,$B59)="CCOMP",INDEX(COMPOSICAO!$B:$B,MATCH($C59,COMPOSICAO!$A:$A,0)),""
))))))))),"*Verificar código*"))</f>
        <v>Servente Com Encargos Complementares</v>
      </c>
      <c r="E59" s="118" t="str">
        <f>LOWER(IFERROR(
IF(CONCATENATE($A59,$B59)="IDER-ES",INDEX('IDER-ES'!$C:$C,MATCH($C59,'IDER-ES'!$A:$A,0)),
IF(CONCATENATE($A59,$B59)="CIOPES",INDEX('CDER-ES'!$C:$C,MATCH($C59,'CDER-ES'!$A:$A,0)),
IF(CONCATENATE($A59,$B59)="ISINAPI",INDEX(ISINAPI!$C:$C,MATCH($C59,ISINAPI!$A:$A,0)),
IF(CONCATENATE($A59,$B59)="CSINAPI",INDEX(CSINAPI!$C:$C,MATCH($C59,CSINAPI!$A:$A,0)),
IF(CONCATENATE($A59,$B59)="CCESAN",INDEX(CCESAN!$C:$C,MATCH($C59,CCESAN!$A:$A,0)),
IF(CONCATENATE($A59,$B59)="CSCORIO",INDEX(CSCORIO!$A:$A,MATCH($C59,CSCORIO!#REF!,0)),
IF(CONCATENATE($A59,$B59)="MERC",INDEX(MERCADO!$D:$D,MATCH($C59,MERCADO!$A:$A,0)),
IF(CONCATENATE($A59,$B59)="CCOMP",INDEX(COMPOSICAO!$H:$H,MATCH($C59,COMPOSICAO!$A:$A,0)),""
)))))))),""))</f>
        <v>h</v>
      </c>
      <c r="F59" s="154">
        <v>3.06</v>
      </c>
      <c r="G59" s="119">
        <f>(IFERROR(
IF(CONCATENATE($A59,$B59)="IDER-ES",INDEX('IDER-ES'!$D:$D,MATCH($C59,'IDER-ES'!$A:$A,0)),
IF(CONCATENATE($A59,$B59)="CIOPES",INDEX('CDER-ES'!$D:$D,MATCH($C59,'CDER-ES'!$A:$A,0)),
IF(CONCATENATE($A59,$B59)="ISINAPI",INDEX(ISINAPI!$E:$E,MATCH($C59,ISINAPI!$A:$A,0)),
IF(CONCATENATE($A59,$B59)="CSINAPI",INDEX(CSINAPI!$D:$D,MATCH($C59,CSINAPI!$A:$A,0)),
IF(CONCATENATE($A59,$B59)="CCESAN",INDEX(CCESAN!$D:$D,MATCH($C59,CCESAN!$A:$A,0)),
IF(CONCATENATE($A59,$B59)="CSCORIO",INDEX(CSCORIO!$B:$B,MATCH($C59,CSCORIO!#REF!,0)),
IF(CONCATENATE($A59,$B59)="MERC",INDEX(MERCADO!$E:$E,MATCH($C59,MERCADO!$A:$A,0)),
IF(CONCATENATE($A59,$B59)="CCOMP",INDEX(COMPOSICAO!$H:$H,MATCH($C59,COMPOSICAO!$A:$A,0)),""
)))))))),""))</f>
        <v>19.260000000000002</v>
      </c>
      <c r="H59" s="119">
        <f t="shared" ref="H59" si="7">IF(B59="","",ROUND(G59*F59,2))</f>
        <v>58.94</v>
      </c>
    </row>
    <row r="60" spans="1:9" ht="25.5">
      <c r="A60" s="116" t="s">
        <v>9107</v>
      </c>
      <c r="B60" s="116" t="s">
        <v>928</v>
      </c>
      <c r="C60" s="116">
        <v>100717</v>
      </c>
      <c r="D60" s="117" t="str">
        <f>PROPER(IFERROR(
IF(C60="","",
IF(CONCATENATE($A60,$B60)="IDER-ES",INDEX('IDER-ES'!$B:$B,MATCH($C60,'IDER-ES'!$A:$A,0)),
IF(CONCATENATE($A60,$B60)="CDER-ES",INDEX('CDER-ES'!$B:$B,MATCH($C60,'CDER-ES'!$A:$A,0)),
IF(CONCATENATE($A60,$B60)="ISINAPI",INDEX(ISINAPI!$B:$B,MATCH($C60,ISINAPI!$A:$A,0)),
IF(CONCATENATE($A60,$B60)="CSINAPI",INDEX(CSINAPI!$B:$B,MATCH($C60,CSINAPI!$A:$A,0)),
IF(CONCATENATE($A60,$B60)="CCESAN",INDEX(CCESAN!$B:$B,MATCH($C60,CCESAN!$A:$A,0)),
IF(CONCATENATE($A60,$B60)="CSCORIO",INDEX(CSCORIO!#REF!,MATCH($C60,CSCORIO!#REF!,0)),
IF(CONCATENATE($A60,$B60)="MERC",INDEX(MERCADO!$B:$B,MATCH($C60,MERCADO!$A:$A,0)),
IF(CONCATENATE($A60,$B60)="CCOMP",INDEX(COMPOSICAO!$B:$B,MATCH($C60,COMPOSICAO!$A:$A,0)),""
))))))))),"*Verificar código*"))</f>
        <v>Lixamento Manual Em Superfícies Metálicas Em Obra. Af_01/2020</v>
      </c>
      <c r="E60" s="118" t="str">
        <f>LOWER(IFERROR(
IF(CONCATENATE($A60,$B60)="IDER-ES",INDEX('IDER-ES'!$C:$C,MATCH($C60,'IDER-ES'!$A:$A,0)),
IF(CONCATENATE($A60,$B60)="CIOPES",INDEX('CDER-ES'!$C:$C,MATCH($C60,'CDER-ES'!$A:$A,0)),
IF(CONCATENATE($A60,$B60)="ISINAPI",INDEX(ISINAPI!$C:$C,MATCH($C60,ISINAPI!$A:$A,0)),
IF(CONCATENATE($A60,$B60)="CSINAPI",INDEX(CSINAPI!$C:$C,MATCH($C60,CSINAPI!$A:$A,0)),
IF(CONCATENATE($A60,$B60)="CCESAN",INDEX(CCESAN!$C:$C,MATCH($C60,CCESAN!$A:$A,0)),
IF(CONCATENATE($A60,$B60)="CSCORIO",INDEX(CSCORIO!$A:$A,MATCH($C60,CSCORIO!#REF!,0)),
IF(CONCATENATE($A60,$B60)="MERC",INDEX(MERCADO!$D:$D,MATCH($C60,MERCADO!$A:$A,0)),
IF(CONCATENATE($A60,$B60)="CCOMP",INDEX(COMPOSICAO!$H:$H,MATCH($C60,COMPOSICAO!$A:$A,0)),""
)))))))),""))</f>
        <v>m2</v>
      </c>
      <c r="F60" s="154">
        <v>3</v>
      </c>
      <c r="G60" s="119">
        <f>(IFERROR(
IF(CONCATENATE($A60,$B60)="IDER-ES",INDEX('IDER-ES'!$D:$D,MATCH($C60,'IDER-ES'!$A:$A,0)),
IF(CONCATENATE($A60,$B60)="CIOPES",INDEX('CDER-ES'!$D:$D,MATCH($C60,'CDER-ES'!$A:$A,0)),
IF(CONCATENATE($A60,$B60)="ISINAPI",INDEX(ISINAPI!$E:$E,MATCH($C60,ISINAPI!$A:$A,0)),
IF(CONCATENATE($A60,$B60)="CSINAPI",INDEX(CSINAPI!$D:$D,MATCH($C60,CSINAPI!$A:$A,0)),
IF(CONCATENATE($A60,$B60)="CCESAN",INDEX(CCESAN!$D:$D,MATCH($C60,CCESAN!$A:$A,0)),
IF(CONCATENATE($A60,$B60)="CSCORIO",INDEX(CSCORIO!$B:$B,MATCH($C60,CSCORIO!#REF!,0)),
IF(CONCATENATE($A60,$B60)="MERC",INDEX(MERCADO!$E:$E,MATCH($C60,MERCADO!$A:$A,0)),
IF(CONCATENATE($A60,$B60)="CCOMP",INDEX(COMPOSICAO!$H:$H,MATCH($C60,COMPOSICAO!$A:$A,0)),""
)))))))),""))</f>
        <v>10.130000000000001</v>
      </c>
      <c r="H60" s="119">
        <f t="shared" si="6"/>
        <v>30.39</v>
      </c>
    </row>
    <row r="61" spans="1:9" ht="63.75">
      <c r="A61" s="116" t="s">
        <v>9107</v>
      </c>
      <c r="B61" s="116" t="s">
        <v>12617</v>
      </c>
      <c r="C61" s="116">
        <v>190417</v>
      </c>
      <c r="D61" s="117" t="str">
        <f>PROPER(IFERROR(
IF(C61="","",
IF(CONCATENATE($A61,$B61)="IDER-ES",INDEX('IDER-ES'!$B:$B,MATCH($C61,'IDER-ES'!$A:$A,0)),
IF(CONCATENATE($A61,$B61)="CDER-ES",INDEX('CDER-ES'!$B:$B,MATCH($C61,'CDER-ES'!$A:$A,0)),
IF(CONCATENATE($A61,$B61)="ISINAPI",INDEX(ISINAPI!$B:$B,MATCH($C61,ISINAPI!$A:$A,0)),
IF(CONCATENATE($A61,$B61)="CSINAPI",INDEX(CSINAPI!$B:$B,MATCH($C61,CSINAPI!$A:$A,0)),
IF(CONCATENATE($A61,$B61)="CCESAN",INDEX(CCESAN!$B:$B,MATCH($C61,CCESAN!$A:$A,0)),
IF(CONCATENATE($A61,$B61)="CSCORIO",INDEX(CSCORIO!#REF!,MATCH($C61,CSCORIO!#REF!,0)),
IF(CONCATENATE($A61,$B61)="MERC",INDEX(MERCADO!$B:$B,MATCH($C61,MERCADO!$A:$A,0)),
IF(CONCATENATE($A61,$B61)="CCOMP",INDEX(COMPOSICAO!$B:$B,MATCH($C61,COMPOSICAO!$A:$A,0)),""
))))))))),"*Verificar código*"))</f>
        <v>Pintura Sobre Metal, Aplicação Manual, Com Duas Demãos De Tinta Esmalte Sintético, Referência Suvinil, Coral Ou Metalatex, Inclusive Uma Demão De Fundo Anticorrosivo</v>
      </c>
      <c r="E61" s="118" t="str">
        <f>LOWER(IFERROR(
IF(CONCATENATE($A61,$B61)="IDER-ES",INDEX('IDER-ES'!$C:$C,MATCH($C61,'IDER-ES'!$A:$A,0)),
IF(CONCATENATE($A61,$B61)="CDER-ES",INDEX('CDER-ES'!$C:$C,MATCH($C61,'CDER-ES'!$A:$A,0)),
IF(CONCATENATE($A61,$B61)="ISINAPI",INDEX(ISINAPI!$C:$C,MATCH($C61,ISINAPI!$A:$A,0)),
IF(CONCATENATE($A61,$B61)="CSINAPI",INDEX(CSINAPI!$C:$C,MATCH($C61,CSINAPI!$A:$A,0)),
IF(CONCATENATE($A61,$B61)="CCESAN",INDEX(CCESAN!$C:$C,MATCH($C61,CCESAN!$A:$A,0)),
IF(CONCATENATE($A61,$B61)="CSCORIO",INDEX(CSCORIO!$A:$A,MATCH($C61,CSCORIO!#REF!,0)),
IF(CONCATENATE($A61,$B61)="MERC",INDEX(MERCADO!$D:$D,MATCH($C61,MERCADO!$A:$A,0)),
IF(CONCATENATE($A61,$B61)="CCOMP",INDEX(COMPOSICAO!$H:$H,MATCH($C61,COMPOSICAO!$A:$A,0)),""
)))))))),""))</f>
        <v>m2</v>
      </c>
      <c r="F61" s="154">
        <f>F60</f>
        <v>3</v>
      </c>
      <c r="G61" s="119">
        <f>(IFERROR(
IF(CONCATENATE($A61,$B61)="IDER-ES",INDEX('IDER-ES'!$D:$D,MATCH($C61,'IDER-ES'!$A:$A,0)),
IF(CONCATENATE($A61,$B61)="CDER-ES",INDEX('CDER-ES'!$D:$D,MATCH($C61,'CDER-ES'!$A:$A,0)),
IF(CONCATENATE($A61,$B61)="ISINAPI",INDEX(ISINAPI!$E:$E,MATCH($C61,ISINAPI!$A:$A,0)),
IF(CONCATENATE($A61,$B61)="CSINAPI",INDEX(CSINAPI!$D:$D,MATCH($C61,CSINAPI!$A:$A,0)),
IF(CONCATENATE($A61,$B61)="CCESAN",INDEX(CCESAN!$D:$D,MATCH($C61,CCESAN!$A:$A,0)),
IF(CONCATENATE($A61,$B61)="CSCORIO",INDEX(CSCORIO!$B:$B,MATCH($C61,CSCORIO!#REF!,0)),
IF(CONCATENATE($A61,$B61)="MERC",INDEX(MERCADO!$E:$E,MATCH($C61,MERCADO!$A:$A,0)),
IF(CONCATENATE($A61,$B61)="CCOMP",INDEX(COMPOSICAO!$H:$H,MATCH($C61,COMPOSICAO!$A:$A,0)),""
)))))))),""))</f>
        <v>46.48</v>
      </c>
      <c r="H61" s="119">
        <f t="shared" si="6"/>
        <v>139.44</v>
      </c>
    </row>
    <row r="63" spans="1:9" s="110" customFormat="1" ht="20.100000000000001" customHeight="1">
      <c r="A63" s="158" t="s">
        <v>929</v>
      </c>
      <c r="B63" s="382" t="s">
        <v>931</v>
      </c>
      <c r="C63" s="383"/>
      <c r="D63" s="383"/>
      <c r="E63" s="383"/>
      <c r="F63" s="384"/>
      <c r="G63" s="108" t="s">
        <v>7264</v>
      </c>
      <c r="H63" s="109" t="s">
        <v>7250</v>
      </c>
      <c r="I63" s="208"/>
    </row>
    <row r="64" spans="1:9" ht="15" customHeight="1">
      <c r="A64" s="111">
        <v>7</v>
      </c>
      <c r="B64" s="385" t="s">
        <v>13889</v>
      </c>
      <c r="C64" s="386"/>
      <c r="D64" s="386"/>
      <c r="E64" s="386"/>
      <c r="F64" s="387"/>
      <c r="G64" s="112" t="s">
        <v>1855</v>
      </c>
      <c r="H64" s="182">
        <f>SUM(H66:H71)</f>
        <v>21.38</v>
      </c>
    </row>
    <row r="65" spans="1:9" ht="30" customHeight="1">
      <c r="A65" s="114" t="s">
        <v>935</v>
      </c>
      <c r="B65" s="114" t="s">
        <v>936</v>
      </c>
      <c r="C65" s="114" t="s">
        <v>28</v>
      </c>
      <c r="D65" s="114" t="s">
        <v>932</v>
      </c>
      <c r="E65" s="114" t="s">
        <v>29</v>
      </c>
      <c r="F65" s="155" t="s">
        <v>2098</v>
      </c>
      <c r="G65" s="115" t="s">
        <v>7248</v>
      </c>
      <c r="H65" s="115" t="s">
        <v>7249</v>
      </c>
    </row>
    <row r="66" spans="1:9" ht="25.5">
      <c r="A66" s="116"/>
      <c r="B66" s="116" t="s">
        <v>930</v>
      </c>
      <c r="C66" s="116">
        <v>3</v>
      </c>
      <c r="D66" s="117" t="str">
        <f>PROPER(IFERROR(
IF(C66="","",
IF(CONCATENATE($A66,$B66)="IDER-ES",INDEX('IDER-ES'!$B:$B,MATCH($C66,'IDER-ES'!$A:$A,0)),
IF(CONCATENATE($A66,$B66)="CDER-ES",INDEX('CDER-ES'!$B:$B,MATCH($C66,'CDER-ES'!$A:$A,0)),
IF(CONCATENATE($A66,$B66)="ISINAPI",INDEX(ISINAPI!$B:$B,MATCH($C66,ISINAPI!$A:$A,0)),
IF(CONCATENATE($A66,$B66)="CSINAPI",INDEX(CSINAPI!$B:$B,MATCH($C66,CSINAPI!$A:$A,0)),
IF(CONCATENATE($A66,$B66)="CCESAN",INDEX(CCESAN!$B:$B,MATCH($C66,CCESAN!$A:$A,0)),
IF(CONCATENATE($A66,$B66)="CSCORIO",INDEX(CSCORIO!#REF!,MATCH($C66,CSCORIO!#REF!,0)),
IF(CONCATENATE($A66,$B66)="MERC",INDEX(MERCADO!$B:$B,MATCH($C66,MERCADO!$A:$A,0)),
IF(CONCATENATE($A66,$B66)="CCOMP",INDEX(COMPOSICAO!$B:$B,MATCH($C66,COMPOSICAO!$A:$A,0)),""
))))))))),"*Verificar código*"))</f>
        <v>Tubo Vde Com Joelho 90° (Azul) Para Válvula De Descarga, Dn 38 Mm</v>
      </c>
      <c r="E66" s="118" t="str">
        <f>LOWER(IFERROR(
IF(CONCATENATE($A66,$B66)="IDER-ES",INDEX('IDER-ES'!$C:$C,MATCH($C66,'IDER-ES'!$A:$A,0)),
IF(CONCATENATE($A66,$B66)="CIOPES",INDEX('CDER-ES'!$C:$C,MATCH($C66,'CDER-ES'!$A:$A,0)),
IF(CONCATENATE($A66,$B66)="ISINAPI",INDEX(ISINAPI!$C:$C,MATCH($C66,ISINAPI!$A:$A,0)),
IF(CONCATENATE($A66,$B66)="CSINAPI",INDEX(CSINAPI!$C:$C,MATCH($C66,CSINAPI!$A:$A,0)),
IF(CONCATENATE($A66,$B66)="CCESAN",INDEX(CCESAN!$C:$C,MATCH($C66,CCESAN!$A:$A,0)),
IF(CONCATENATE($A66,$B66)="CSCORIO",INDEX(CSCORIO!$A:$A,MATCH($C66,CSCORIO!#REF!,0)),
IF(CONCATENATE($A66,$B66)="MERC",INDEX(MERCADO!$D:$D,MATCH($C66,MERCADO!$A:$A,0)),
IF(CONCATENATE($A66,$B66)="CCOMP",INDEX(COMPOSICAO!$H:$H,MATCH($C66,COMPOSICAO!$A:$A,0)),""
)))))))),""))</f>
        <v>und</v>
      </c>
      <c r="F66" s="154">
        <v>1</v>
      </c>
      <c r="G66" s="214">
        <f>(IFERROR(
IF(CONCATENATE($A66,$B66)="IDER-ES",INDEX('IDER-ES'!$D:$D,MATCH($C66,'IDER-ES'!$A:$A,0)),
IF(CONCATENATE($A66,$B66)="CIOPES",INDEX('CDER-ES'!$D:$D,MATCH($C66,'CDER-ES'!$A:$A,0)),
IF(CONCATENATE($A66,$B66)="ISINAPI",INDEX(ISINAPI!$E:$E,MATCH($C66,ISINAPI!$A:$A,0)),
IF(CONCATENATE($A66,$B66)="CSINAPI",INDEX(CSINAPI!$D:$D,MATCH($C66,CSINAPI!$A:$A,0)),
IF(CONCATENATE($A66,$B66)="CCESAN",INDEX(CCESAN!$D:$D,MATCH($C66,CCESAN!$A:$A,0)),
IF(CONCATENATE($A66,$B66)="CSCORIO",INDEX(CSCORIO!$B:$B,MATCH($C66,CSCORIO!#REF!,0)),
IF(CONCATENATE($A66,$B66)="MERC",INDEX(MERCADO!$E:$E,MATCH($C66,MERCADO!$A:$A,0)),
IF(CONCATENATE($A66,$B66)="CCOMP",INDEX(COMPOSICAO!$H:$H,MATCH($C66,COMPOSICAO!$A:$A,0)),""
)))))))),""))</f>
        <v>15.12</v>
      </c>
      <c r="H66" s="119">
        <f t="shared" ref="H66:H71" si="8">IF(B66="","",ROUND(G66*F66,2))</f>
        <v>15.12</v>
      </c>
    </row>
    <row r="67" spans="1:9" ht="25.5">
      <c r="A67" s="116" t="s">
        <v>12638</v>
      </c>
      <c r="B67" s="116" t="s">
        <v>928</v>
      </c>
      <c r="C67" s="116">
        <v>122</v>
      </c>
      <c r="D67" s="117" t="str">
        <f>PROPER(IFERROR(
IF(C67="","",
IF(CONCATENATE($A67,$B67)="IDER-ES",INDEX('IDER-ES'!$B:$B,MATCH($C67,'IDER-ES'!$A:$A,0)),
IF(CONCATENATE($A67,$B67)="CDER-ES",INDEX('CDER-ES'!$B:$B,MATCH($C67,'CDER-ES'!$A:$A,0)),
IF(CONCATENATE($A67,$B67)="ISINAPI",INDEX(ISINAPI!$B:$B,MATCH($C67,ISINAPI!$A:$A,0)),
IF(CONCATENATE($A67,$B67)="CSINAPI",INDEX(CSINAPI!$B:$B,MATCH($C67,CSINAPI!$A:$A,0)),
IF(CONCATENATE($A67,$B67)="CCESAN",INDEX(CCESAN!$B:$B,MATCH($C67,CCESAN!$A:$A,0)),
IF(CONCATENATE($A67,$B67)="CSCORIO",INDEX(CSCORIO!#REF!,MATCH($C67,CSCORIO!#REF!,0)),
IF(CONCATENATE($A67,$B67)="MERC",INDEX(MERCADO!$B:$B,MATCH($C67,MERCADO!$A:$A,0)),
IF(CONCATENATE($A67,$B67)="CCOMP",INDEX(COMPOSICAO!$B:$B,MATCH($C67,COMPOSICAO!$A:$A,0)),""
))))))))),"*Verificar código*"))</f>
        <v xml:space="preserve">Adesivo Plastico Para Pvc, Frasco Com *850* Gr                                                                                                                                                                                                                                                                                                                                                                                                                                                            </v>
      </c>
      <c r="E67" s="118" t="str">
        <f>LOWER(IFERROR(
IF(CONCATENATE($A67,$B67)="IDER-ES",INDEX('IDER-ES'!$C:$C,MATCH($C67,'IDER-ES'!$A:$A,0)),
IF(CONCATENATE($A67,$B67)="CIOPES",INDEX('CDER-ES'!$C:$C,MATCH($C67,'CDER-ES'!$A:$A,0)),
IF(CONCATENATE($A67,$B67)="ISINAPI",INDEX(ISINAPI!$C:$C,MATCH($C67,ISINAPI!$A:$A,0)),
IF(CONCATENATE($A67,$B67)="CSINAPI",INDEX(CSINAPI!$C:$C,MATCH($C67,CSINAPI!$A:$A,0)),
IF(CONCATENATE($A67,$B67)="CCESAN",INDEX(CCESAN!$C:$C,MATCH($C67,CCESAN!$A:$A,0)),
IF(CONCATENATE($A67,$B67)="CSCORIO",INDEX(CSCORIO!$A:$A,MATCH($C67,CSCORIO!#REF!,0)),
IF(CONCATENATE($A67,$B67)="MERC",INDEX(MERCADO!$D:$D,MATCH($C67,MERCADO!$A:$A,0)),
IF(CONCATENATE($A67,$B67)="CCOMP",INDEX(COMPOSICAO!$H:$H,MATCH($C67,COMPOSICAO!$A:$A,0)),""
)))))))),""))</f>
        <v xml:space="preserve">un    </v>
      </c>
      <c r="F67" s="154">
        <v>0.01</v>
      </c>
      <c r="G67" s="119">
        <f>(IFERROR(
IF(CONCATENATE($A67,$B67)="IDER-ES",INDEX('IDER-ES'!$D:$D,MATCH($C67,'IDER-ES'!$A:$A,0)),
IF(CONCATENATE($A67,$B67)="CIOPES",INDEX('CDER-ES'!$D:$D,MATCH($C67,'CDER-ES'!$A:$A,0)),
IF(CONCATENATE($A67,$B67)="ISINAPI",INDEX(ISINAPI!$E:$E,MATCH($C67,ISINAPI!$A:$A,0)),
IF(CONCATENATE($A67,$B67)="CSINAPI",INDEX(CSINAPI!$D:$D,MATCH($C67,CSINAPI!$A:$A,0)),
IF(CONCATENATE($A67,$B67)="CCESAN",INDEX(CCESAN!$D:$D,MATCH($C67,CCESAN!$A:$A,0)),
IF(CONCATENATE($A67,$B67)="CSCORIO",INDEX(CSCORIO!$B:$B,MATCH($C67,CSCORIO!#REF!,0)),
IF(CONCATENATE($A67,$B67)="MERC",INDEX(MERCADO!$E:$E,MATCH($C67,MERCADO!$A:$A,0)),
IF(CONCATENATE($A67,$B67)="CCOMP",INDEX(COMPOSICAO!$H:$H,MATCH($C67,COMPOSICAO!$A:$A,0)),""
)))))))),""))</f>
        <v>65.86</v>
      </c>
      <c r="H67" s="119">
        <f t="shared" si="8"/>
        <v>0.66</v>
      </c>
    </row>
    <row r="68" spans="1:9" ht="25.5">
      <c r="A68" s="116" t="s">
        <v>12638</v>
      </c>
      <c r="B68" s="116" t="s">
        <v>928</v>
      </c>
      <c r="C68" s="116">
        <v>20083</v>
      </c>
      <c r="D68" s="117" t="str">
        <f>PROPER(IFERROR(
IF(C68="","",
IF(CONCATENATE($A68,$B68)="IDER-ES",INDEX('IDER-ES'!$B:$B,MATCH($C68,'IDER-ES'!$A:$A,0)),
IF(CONCATENATE($A68,$B68)="CDER-ES",INDEX('CDER-ES'!$B:$B,MATCH($C68,'CDER-ES'!$A:$A,0)),
IF(CONCATENATE($A68,$B68)="ISINAPI",INDEX(ISINAPI!$B:$B,MATCH($C68,ISINAPI!$A:$A,0)),
IF(CONCATENATE($A68,$B68)="CSINAPI",INDEX(CSINAPI!$B:$B,MATCH($C68,CSINAPI!$A:$A,0)),
IF(CONCATENATE($A68,$B68)="CCESAN",INDEX(CCESAN!$B:$B,MATCH($C68,CCESAN!$A:$A,0)),
IF(CONCATENATE($A68,$B68)="CSCORIO",INDEX(CSCORIO!#REF!,MATCH($C68,CSCORIO!#REF!,0)),
IF(CONCATENATE($A68,$B68)="MERC",INDEX(MERCADO!$B:$B,MATCH($C68,MERCADO!$A:$A,0)),
IF(CONCATENATE($A68,$B68)="CCOMP",INDEX(COMPOSICAO!$B:$B,MATCH($C68,COMPOSICAO!$A:$A,0)),""
))))))))),"*Verificar código*"))</f>
        <v xml:space="preserve">Solucao Preparadora / Limpadora Para Pvc, Frasco Com 1000 Cm3                                                                                                                                                                                                                                                                                                                                                                                                                                             </v>
      </c>
      <c r="E68" s="118" t="str">
        <f>LOWER(IFERROR(
IF(CONCATENATE($A68,$B68)="IDER-ES",INDEX('IDER-ES'!$C:$C,MATCH($C68,'IDER-ES'!$A:$A,0)),
IF(CONCATENATE($A68,$B68)="CIOPES",INDEX('CDER-ES'!$C:$C,MATCH($C68,'CDER-ES'!$A:$A,0)),
IF(CONCATENATE($A68,$B68)="ISINAPI",INDEX(ISINAPI!$C:$C,MATCH($C68,ISINAPI!$A:$A,0)),
IF(CONCATENATE($A68,$B68)="CSINAPI",INDEX(CSINAPI!$C:$C,MATCH($C68,CSINAPI!$A:$A,0)),
IF(CONCATENATE($A68,$B68)="CCESAN",INDEX(CCESAN!$C:$C,MATCH($C68,CCESAN!$A:$A,0)),
IF(CONCATENATE($A68,$B68)="CSCORIO",INDEX(CSCORIO!$A:$A,MATCH($C68,CSCORIO!#REF!,0)),
IF(CONCATENATE($A68,$B68)="MERC",INDEX(MERCADO!$D:$D,MATCH($C68,MERCADO!$A:$A,0)),
IF(CONCATENATE($A68,$B68)="CCOMP",INDEX(COMPOSICAO!$H:$H,MATCH($C68,COMPOSICAO!$A:$A,0)),""
)))))))),""))</f>
        <v xml:space="preserve">un    </v>
      </c>
      <c r="F68" s="154">
        <v>1.4999999999999999E-2</v>
      </c>
      <c r="G68" s="119">
        <f>(IFERROR(
IF(CONCATENATE($A68,$B68)="IDER-ES",INDEX('IDER-ES'!$D:$D,MATCH($C68,'IDER-ES'!$A:$A,0)),
IF(CONCATENATE($A68,$B68)="CIOPES",INDEX('CDER-ES'!$D:$D,MATCH($C68,'CDER-ES'!$A:$A,0)),
IF(CONCATENATE($A68,$B68)="ISINAPI",INDEX(ISINAPI!$E:$E,MATCH($C68,ISINAPI!$A:$A,0)),
IF(CONCATENATE($A68,$B68)="CSINAPI",INDEX(CSINAPI!$D:$D,MATCH($C68,CSINAPI!$A:$A,0)),
IF(CONCATENATE($A68,$B68)="CCESAN",INDEX(CCESAN!$D:$D,MATCH($C68,CCESAN!$A:$A,0)),
IF(CONCATENATE($A68,$B68)="CSCORIO",INDEX(CSCORIO!$B:$B,MATCH($C68,CSCORIO!#REF!,0)),
IF(CONCATENATE($A68,$B68)="MERC",INDEX(MERCADO!$E:$E,MATCH($C68,MERCADO!$A:$A,0)),
IF(CONCATENATE($A68,$B68)="CCOMP",INDEX(COMPOSICAO!$H:$H,MATCH($C68,COMPOSICAO!$A:$A,0)),""
)))))))),""))</f>
        <v>74.62</v>
      </c>
      <c r="H68" s="119">
        <f t="shared" si="8"/>
        <v>1.1200000000000001</v>
      </c>
    </row>
    <row r="69" spans="1:9">
      <c r="A69" s="116" t="s">
        <v>12638</v>
      </c>
      <c r="B69" s="116" t="s">
        <v>928</v>
      </c>
      <c r="C69" s="116">
        <v>38383</v>
      </c>
      <c r="D69" s="117" t="str">
        <f>PROPER(IFERROR(
IF(C69="","",
IF(CONCATENATE($A69,$B69)="IDER-ES",INDEX('IDER-ES'!$B:$B,MATCH($C69,'IDER-ES'!$A:$A,0)),
IF(CONCATENATE($A69,$B69)="CDER-ES",INDEX('CDER-ES'!$B:$B,MATCH($C69,'CDER-ES'!$A:$A,0)),
IF(CONCATENATE($A69,$B69)="ISINAPI",INDEX(ISINAPI!$B:$B,MATCH($C69,ISINAPI!$A:$A,0)),
IF(CONCATENATE($A69,$B69)="CSINAPI",INDEX(CSINAPI!$B:$B,MATCH($C69,CSINAPI!$A:$A,0)),
IF(CONCATENATE($A69,$B69)="CCESAN",INDEX(CCESAN!$B:$B,MATCH($C69,CCESAN!$A:$A,0)),
IF(CONCATENATE($A69,$B69)="CSCORIO",INDEX(CSCORIO!#REF!,MATCH($C69,CSCORIO!#REF!,0)),
IF(CONCATENATE($A69,$B69)="MERC",INDEX(MERCADO!$B:$B,MATCH($C69,MERCADO!$A:$A,0)),
IF(CONCATENATE($A69,$B69)="CCOMP",INDEX(COMPOSICAO!$B:$B,MATCH($C69,COMPOSICAO!$A:$A,0)),""
))))))))),"*Verificar código*"))</f>
        <v xml:space="preserve">Lixa D'Agua Em Folha, Grao 100                                                                                                                                                                                                                                                                                                                                                                                                                                                                            </v>
      </c>
      <c r="E69" s="118" t="str">
        <f>LOWER(IFERROR(
IF(CONCATENATE($A69,$B69)="IDER-ES",INDEX('IDER-ES'!$C:$C,MATCH($C69,'IDER-ES'!$A:$A,0)),
IF(CONCATENATE($A69,$B69)="CIOPES",INDEX('CDER-ES'!$C:$C,MATCH($C69,'CDER-ES'!$A:$A,0)),
IF(CONCATENATE($A69,$B69)="ISINAPI",INDEX(ISINAPI!$C:$C,MATCH($C69,ISINAPI!$A:$A,0)),
IF(CONCATENATE($A69,$B69)="CSINAPI",INDEX(CSINAPI!$C:$C,MATCH($C69,CSINAPI!$A:$A,0)),
IF(CONCATENATE($A69,$B69)="CCESAN",INDEX(CCESAN!$C:$C,MATCH($C69,CCESAN!$A:$A,0)),
IF(CONCATENATE($A69,$B69)="CSCORIO",INDEX(CSCORIO!$A:$A,MATCH($C69,CSCORIO!#REF!,0)),
IF(CONCATENATE($A69,$B69)="MERC",INDEX(MERCADO!$D:$D,MATCH($C69,MERCADO!$A:$A,0)),
IF(CONCATENATE($A69,$B69)="CCOMP",INDEX(COMPOSICAO!$H:$H,MATCH($C69,COMPOSICAO!$A:$A,0)),""
)))))))),""))</f>
        <v xml:space="preserve">un    </v>
      </c>
      <c r="F69" s="154">
        <v>2.1000000000000001E-2</v>
      </c>
      <c r="G69" s="119">
        <f>(IFERROR(
IF(CONCATENATE($A69,$B69)="IDER-ES",INDEX('IDER-ES'!$D:$D,MATCH($C69,'IDER-ES'!$A:$A,0)),
IF(CONCATENATE($A69,$B69)="CIOPES",INDEX('CDER-ES'!$D:$D,MATCH($C69,'CDER-ES'!$A:$A,0)),
IF(CONCATENATE($A69,$B69)="ISINAPI",INDEX(ISINAPI!$E:$E,MATCH($C69,ISINAPI!$A:$A,0)),
IF(CONCATENATE($A69,$B69)="CSINAPI",INDEX(CSINAPI!$D:$D,MATCH($C69,CSINAPI!$A:$A,0)),
IF(CONCATENATE($A69,$B69)="CCESAN",INDEX(CCESAN!$D:$D,MATCH($C69,CCESAN!$A:$A,0)),
IF(CONCATENATE($A69,$B69)="CSCORIO",INDEX(CSCORIO!$B:$B,MATCH($C69,CSCORIO!#REF!,0)),
IF(CONCATENATE($A69,$B69)="MERC",INDEX(MERCADO!$E:$E,MATCH($C69,MERCADO!$A:$A,0)),
IF(CONCATENATE($A69,$B69)="CCOMP",INDEX(COMPOSICAO!$H:$H,MATCH($C69,COMPOSICAO!$A:$A,0)),""
)))))))),""))</f>
        <v>2.48</v>
      </c>
      <c r="H69" s="119">
        <f t="shared" si="8"/>
        <v>0.05</v>
      </c>
    </row>
    <row r="70" spans="1:9" ht="38.25">
      <c r="A70" s="116" t="s">
        <v>9107</v>
      </c>
      <c r="B70" s="116" t="s">
        <v>928</v>
      </c>
      <c r="C70" s="116">
        <v>88248</v>
      </c>
      <c r="D70" s="117" t="str">
        <f>PROPER(IFERROR(
IF(C70="","",
IF(CONCATENATE($A70,$B70)="IDER-ES",INDEX('IDER-ES'!$B:$B,MATCH($C70,'IDER-ES'!$A:$A,0)),
IF(CONCATENATE($A70,$B70)="CDER-ES",INDEX('CDER-ES'!$B:$B,MATCH($C70,'CDER-ES'!$A:$A,0)),
IF(CONCATENATE($A70,$B70)="ISINAPI",INDEX(ISINAPI!$B:$B,MATCH($C70,ISINAPI!$A:$A,0)),
IF(CONCATENATE($A70,$B70)="CSINAPI",INDEX(CSINAPI!$B:$B,MATCH($C70,CSINAPI!$A:$A,0)),
IF(CONCATENATE($A70,$B70)="CCESAN",INDEX(CCESAN!$B:$B,MATCH($C70,CCESAN!$A:$A,0)),
IF(CONCATENATE($A70,$B70)="CSCORIO",INDEX(CSCORIO!#REF!,MATCH($C70,CSCORIO!#REF!,0)),
IF(CONCATENATE($A70,$B70)="MERC",INDEX(MERCADO!$B:$B,MATCH($C70,MERCADO!$A:$A,0)),
IF(CONCATENATE($A70,$B70)="CCOMP",INDEX(COMPOSICAO!$B:$B,MATCH($C70,COMPOSICAO!$A:$A,0)),""
))))))))),"*Verificar código*"))</f>
        <v>Auxiliar De Encanador Ou Bombeiro Hidráulico Com Encargos Complementares</v>
      </c>
      <c r="E70" s="118" t="str">
        <f>LOWER(IFERROR(
IF(CONCATENATE($A70,$B70)="IDER-ES",INDEX('IDER-ES'!$C:$C,MATCH($C70,'IDER-ES'!$A:$A,0)),
IF(CONCATENATE($A70,$B70)="CIOPES",INDEX('CDER-ES'!$C:$C,MATCH($C70,'CDER-ES'!$A:$A,0)),
IF(CONCATENATE($A70,$B70)="ISINAPI",INDEX(ISINAPI!$C:$C,MATCH($C70,ISINAPI!$A:$A,0)),
IF(CONCATENATE($A70,$B70)="CSINAPI",INDEX(CSINAPI!$C:$C,MATCH($C70,CSINAPI!$A:$A,0)),
IF(CONCATENATE($A70,$B70)="CCESAN",INDEX(CCESAN!$C:$C,MATCH($C70,CCESAN!$A:$A,0)),
IF(CONCATENATE($A70,$B70)="CSCORIO",INDEX(CSCORIO!$A:$A,MATCH($C70,CSCORIO!#REF!,0)),
IF(CONCATENATE($A70,$B70)="MERC",INDEX(MERCADO!$D:$D,MATCH($C70,MERCADO!$A:$A,0)),
IF(CONCATENATE($A70,$B70)="CCOMP",INDEX(COMPOSICAO!$H:$H,MATCH($C70,COMPOSICAO!$A:$A,0)),""
)))))))),""))</f>
        <v>h</v>
      </c>
      <c r="F70" s="154">
        <v>0.1</v>
      </c>
      <c r="G70" s="119">
        <f>(IFERROR(
IF(CONCATENATE($A70,$B70)="IDER-ES",INDEX('IDER-ES'!$D:$D,MATCH($C70,'IDER-ES'!$A:$A,0)),
IF(CONCATENATE($A70,$B70)="CIOPES",INDEX('CDER-ES'!$D:$D,MATCH($C70,'CDER-ES'!$A:$A,0)),
IF(CONCATENATE($A70,$B70)="ISINAPI",INDEX(ISINAPI!$E:$E,MATCH($C70,ISINAPI!$A:$A,0)),
IF(CONCATENATE($A70,$B70)="CSINAPI",INDEX(CSINAPI!$D:$D,MATCH($C70,CSINAPI!$A:$A,0)),
IF(CONCATENATE($A70,$B70)="CCESAN",INDEX(CCESAN!$D:$D,MATCH($C70,CCESAN!$A:$A,0)),
IF(CONCATENATE($A70,$B70)="CSCORIO",INDEX(CSCORIO!$B:$B,MATCH($C70,CSCORIO!#REF!,0)),
IF(CONCATENATE($A70,$B70)="MERC",INDEX(MERCADO!$E:$E,MATCH($C70,MERCADO!$A:$A,0)),
IF(CONCATENATE($A70,$B70)="CCOMP",INDEX(COMPOSICAO!$H:$H,MATCH($C70,COMPOSICAO!$A:$A,0)),""
)))))))),""))</f>
        <v>20.62</v>
      </c>
      <c r="H70" s="119">
        <f t="shared" si="8"/>
        <v>2.06</v>
      </c>
    </row>
    <row r="71" spans="1:9" ht="25.5">
      <c r="A71" s="116" t="s">
        <v>9107</v>
      </c>
      <c r="B71" s="116" t="s">
        <v>928</v>
      </c>
      <c r="C71" s="116">
        <v>88267</v>
      </c>
      <c r="D71" s="117" t="str">
        <f>PROPER(IFERROR(
IF(C71="","",
IF(CONCATENATE($A71,$B71)="IDER-ES",INDEX('IDER-ES'!$B:$B,MATCH($C71,'IDER-ES'!$A:$A,0)),
IF(CONCATENATE($A71,$B71)="CDER-ES",INDEX('CDER-ES'!$B:$B,MATCH($C71,'CDER-ES'!$A:$A,0)),
IF(CONCATENATE($A71,$B71)="ISINAPI",INDEX(ISINAPI!$B:$B,MATCH($C71,ISINAPI!$A:$A,0)),
IF(CONCATENATE($A71,$B71)="CSINAPI",INDEX(CSINAPI!$B:$B,MATCH($C71,CSINAPI!$A:$A,0)),
IF(CONCATENATE($A71,$B71)="CCESAN",INDEX(CCESAN!$B:$B,MATCH($C71,CCESAN!$A:$A,0)),
IF(CONCATENATE($A71,$B71)="CSCORIO",INDEX(CSCORIO!#REF!,MATCH($C71,CSCORIO!#REF!,0)),
IF(CONCATENATE($A71,$B71)="MERC",INDEX(MERCADO!$B:$B,MATCH($C71,MERCADO!$A:$A,0)),
IF(CONCATENATE($A71,$B71)="CCOMP",INDEX(COMPOSICAO!$B:$B,MATCH($C71,COMPOSICAO!$A:$A,0)),""
))))))))),"*Verificar código*"))</f>
        <v>Encanador Ou Bombeiro Hidráulico Com Encargos Complementares</v>
      </c>
      <c r="E71" s="118" t="str">
        <f>LOWER(IFERROR(
IF(CONCATENATE($A71,$B71)="IDER-ES",INDEX('IDER-ES'!$C:$C,MATCH($C71,'IDER-ES'!$A:$A,0)),
IF(CONCATENATE($A71,$B71)="CIOPES",INDEX('CDER-ES'!$C:$C,MATCH($C71,'CDER-ES'!$A:$A,0)),
IF(CONCATENATE($A71,$B71)="ISINAPI",INDEX(ISINAPI!$C:$C,MATCH($C71,ISINAPI!$A:$A,0)),
IF(CONCATENATE($A71,$B71)="CSINAPI",INDEX(CSINAPI!$C:$C,MATCH($C71,CSINAPI!$A:$A,0)),
IF(CONCATENATE($A71,$B71)="CCESAN",INDEX(CCESAN!$C:$C,MATCH($C71,CCESAN!$A:$A,0)),
IF(CONCATENATE($A71,$B71)="CSCORIO",INDEX(CSCORIO!$A:$A,MATCH($C71,CSCORIO!#REF!,0)),
IF(CONCATENATE($A71,$B71)="MERC",INDEX(MERCADO!$D:$D,MATCH($C71,MERCADO!$A:$A,0)),
IF(CONCATENATE($A71,$B71)="CCOMP",INDEX(COMPOSICAO!$H:$H,MATCH($C71,COMPOSICAO!$A:$A,0)),""
)))))))),""))</f>
        <v>h</v>
      </c>
      <c r="F71" s="154">
        <v>0.1</v>
      </c>
      <c r="G71" s="119">
        <f>(IFERROR(
IF(CONCATENATE($A71,$B71)="IDER-ES",INDEX('IDER-ES'!$D:$D,MATCH($C71,'IDER-ES'!$A:$A,0)),
IF(CONCATENATE($A71,$B71)="CIOPES",INDEX('CDER-ES'!$D:$D,MATCH($C71,'CDER-ES'!$A:$A,0)),
IF(CONCATENATE($A71,$B71)="ISINAPI",INDEX(ISINAPI!$E:$E,MATCH($C71,ISINAPI!$A:$A,0)),
IF(CONCATENATE($A71,$B71)="CSINAPI",INDEX(CSINAPI!$D:$D,MATCH($C71,CSINAPI!$A:$A,0)),
IF(CONCATENATE($A71,$B71)="CCESAN",INDEX(CCESAN!$D:$D,MATCH($C71,CCESAN!$A:$A,0)),
IF(CONCATENATE($A71,$B71)="CSCORIO",INDEX(CSCORIO!$B:$B,MATCH($C71,CSCORIO!#REF!,0)),
IF(CONCATENATE($A71,$B71)="MERC",INDEX(MERCADO!$E:$E,MATCH($C71,MERCADO!$A:$A,0)),
IF(CONCATENATE($A71,$B71)="CCOMP",INDEX(COMPOSICAO!$H:$H,MATCH($C71,COMPOSICAO!$A:$A,0)),""
)))))))),""))</f>
        <v>23.69</v>
      </c>
      <c r="H71" s="119">
        <f t="shared" si="8"/>
        <v>2.37</v>
      </c>
    </row>
    <row r="73" spans="1:9" s="110" customFormat="1" ht="20.100000000000001" customHeight="1">
      <c r="A73" s="158" t="s">
        <v>929</v>
      </c>
      <c r="B73" s="382" t="s">
        <v>931</v>
      </c>
      <c r="C73" s="383"/>
      <c r="D73" s="383"/>
      <c r="E73" s="383"/>
      <c r="F73" s="384"/>
      <c r="G73" s="108" t="s">
        <v>7264</v>
      </c>
      <c r="H73" s="109" t="s">
        <v>7250</v>
      </c>
      <c r="I73" s="208"/>
    </row>
    <row r="74" spans="1:9" ht="30" customHeight="1">
      <c r="A74" s="111">
        <v>8</v>
      </c>
      <c r="B74" s="385" t="s">
        <v>13891</v>
      </c>
      <c r="C74" s="386"/>
      <c r="D74" s="386"/>
      <c r="E74" s="386"/>
      <c r="F74" s="387"/>
      <c r="G74" s="112" t="s">
        <v>7264</v>
      </c>
      <c r="H74" s="182">
        <f>SUM(H76:H81)</f>
        <v>40.240000000000009</v>
      </c>
    </row>
    <row r="75" spans="1:9" ht="30" customHeight="1">
      <c r="A75" s="114" t="s">
        <v>935</v>
      </c>
      <c r="B75" s="114" t="s">
        <v>936</v>
      </c>
      <c r="C75" s="114" t="s">
        <v>28</v>
      </c>
      <c r="D75" s="114" t="s">
        <v>932</v>
      </c>
      <c r="E75" s="114" t="s">
        <v>29</v>
      </c>
      <c r="F75" s="155" t="s">
        <v>2098</v>
      </c>
      <c r="G75" s="115" t="s">
        <v>7248</v>
      </c>
      <c r="H75" s="115" t="s">
        <v>7249</v>
      </c>
    </row>
    <row r="76" spans="1:9" ht="25.5">
      <c r="A76" s="116" t="s">
        <v>12638</v>
      </c>
      <c r="B76" s="116" t="s">
        <v>928</v>
      </c>
      <c r="C76" s="116">
        <v>20085</v>
      </c>
      <c r="D76" s="117" t="str">
        <f>PROPER(IFERROR(
IF(C76="","",
IF(CONCATENATE($A76,$B76)="IDER-ES",INDEX('IDER-ES'!$B:$B,MATCH($C76,'IDER-ES'!$A:$A,0)),
IF(CONCATENATE($A76,$B76)="CDER-ES",INDEX('CDER-ES'!$B:$B,MATCH($C76,'CDER-ES'!$A:$A,0)),
IF(CONCATENATE($A76,$B76)="ISINAPI",INDEX(ISINAPI!$B:$B,MATCH($C76,ISINAPI!$A:$A,0)),
IF(CONCATENATE($A76,$B76)="CSINAPI",INDEX(CSINAPI!$B:$B,MATCH($C76,CSINAPI!$A:$A,0)),
IF(CONCATENATE($A76,$B76)="CCESAN",INDEX(CCESAN!$B:$B,MATCH($C76,CCESAN!$A:$A,0)),
IF(CONCATENATE($A76,$B76)="CSCORIO",INDEX(CSCORIO!#REF!,MATCH($C76,CSCORIO!#REF!,0)),
IF(CONCATENATE($A76,$B76)="MERC",INDEX(MERCADO!$B:$B,MATCH($C76,MERCADO!$A:$A,0)),
IF(CONCATENATE($A76,$B76)="CCOMP",INDEX(COMPOSICAO!$B:$B,MATCH($C76,COMPOSICAO!$A:$A,0)),""
))))))))),"*Verificar código*"))</f>
        <v xml:space="preserve">Anel Borracha, Dn 50 Mm, Para Tubo Serie Reforcada Esgoto Predial                                                                                                                                                                                                                                                                                                                                                                                                                                         </v>
      </c>
      <c r="E76" s="118" t="str">
        <f>LOWER(IFERROR(
IF(CONCATENATE($A76,$B76)="IDER-ES",INDEX('IDER-ES'!$C:$C,MATCH($C76,'IDER-ES'!$A:$A,0)),
IF(CONCATENATE($A76,$B76)="CIOPES",INDEX('CDER-ES'!$C:$C,MATCH($C76,'CDER-ES'!$A:$A,0)),
IF(CONCATENATE($A76,$B76)="ISINAPI",INDEX(ISINAPI!$C:$C,MATCH($C76,ISINAPI!$A:$A,0)),
IF(CONCATENATE($A76,$B76)="CSINAPI",INDEX(CSINAPI!$C:$C,MATCH($C76,CSINAPI!$A:$A,0)),
IF(CONCATENATE($A76,$B76)="CCESAN",INDEX(CCESAN!$C:$C,MATCH($C76,CCESAN!$A:$A,0)),
IF(CONCATENATE($A76,$B76)="CSCORIO",INDEX(CSCORIO!$A:$A,MATCH($C76,CSCORIO!#REF!,0)),
IF(CONCATENATE($A76,$B76)="MERC",INDEX(MERCADO!$D:$D,MATCH($C76,MERCADO!$A:$A,0)),
IF(CONCATENATE($A76,$B76)="CCOMP",INDEX(COMPOSICAO!$H:$H,MATCH($C76,COMPOSICAO!$A:$A,0)),""
)))))))),""))</f>
        <v xml:space="preserve">un    </v>
      </c>
      <c r="F76" s="154">
        <v>1</v>
      </c>
      <c r="G76" s="214">
        <f>(IFERROR(
IF(CONCATENATE($A76,$B76)="IDER-ES",INDEX('IDER-ES'!$D:$D,MATCH($C76,'IDER-ES'!$A:$A,0)),
IF(CONCATENATE($A76,$B76)="CIOPES",INDEX('CDER-ES'!$D:$D,MATCH($C76,'CDER-ES'!$A:$A,0)),
IF(CONCATENATE($A76,$B76)="ISINAPI",INDEX(ISINAPI!$E:$E,MATCH($C76,ISINAPI!$A:$A,0)),
IF(CONCATENATE($A76,$B76)="CSINAPI",INDEX(CSINAPI!$D:$D,MATCH($C76,CSINAPI!$A:$A,0)),
IF(CONCATENATE($A76,$B76)="CCESAN",INDEX(CCESAN!$D:$D,MATCH($C76,CCESAN!$A:$A,0)),
IF(CONCATENATE($A76,$B76)="CSCORIO",INDEX(CSCORIO!$B:$B,MATCH($C76,CSCORIO!#REF!,0)),
IF(CONCATENATE($A76,$B76)="MERC",INDEX(MERCADO!$E:$E,MATCH($C76,MERCADO!$A:$A,0)),
IF(CONCATENATE($A76,$B76)="CCOMP",INDEX(COMPOSICAO!$H:$H,MATCH($C76,COMPOSICAO!$A:$A,0)),""
)))))))),""))</f>
        <v>2.5499999999999998</v>
      </c>
      <c r="H76" s="119">
        <f t="shared" ref="H76:H81" si="9">IF(B76="","",ROUND(G76*F76,2))</f>
        <v>2.5499999999999998</v>
      </c>
    </row>
    <row r="77" spans="1:9" ht="25.5">
      <c r="A77" s="116" t="s">
        <v>12638</v>
      </c>
      <c r="B77" s="116" t="s">
        <v>928</v>
      </c>
      <c r="C77" s="116">
        <v>299</v>
      </c>
      <c r="D77" s="117" t="str">
        <f>PROPER(IFERROR(
IF(C77="","",
IF(CONCATENATE($A77,$B77)="IDER-ES",INDEX('IDER-ES'!$B:$B,MATCH($C77,'IDER-ES'!$A:$A,0)),
IF(CONCATENATE($A77,$B77)="CDER-ES",INDEX('CDER-ES'!$B:$B,MATCH($C77,'CDER-ES'!$A:$A,0)),
IF(CONCATENATE($A77,$B77)="ISINAPI",INDEX(ISINAPI!$B:$B,MATCH($C77,ISINAPI!$A:$A,0)),
IF(CONCATENATE($A77,$B77)="CSINAPI",INDEX(CSINAPI!$B:$B,MATCH($C77,CSINAPI!$A:$A,0)),
IF(CONCATENATE($A77,$B77)="CCESAN",INDEX(CCESAN!$B:$B,MATCH($C77,CCESAN!$A:$A,0)),
IF(CONCATENATE($A77,$B77)="CSCORIO",INDEX(CSCORIO!#REF!,MATCH($C77,CSCORIO!#REF!,0)),
IF(CONCATENATE($A77,$B77)="MERC",INDEX(MERCADO!$B:$B,MATCH($C77,MERCADO!$A:$A,0)),
IF(CONCATENATE($A77,$B77)="CCOMP",INDEX(COMPOSICAO!$B:$B,MATCH($C77,COMPOSICAO!$A:$A,0)),""
))))))))),"*Verificar código*"))</f>
        <v xml:space="preserve">Anel Borracha, Dn 100 Mm, Para Tubo Serie Reforcada Esgoto Predial                                                                                                                                                                                                                                                                                                                                                                                                                                        </v>
      </c>
      <c r="E77" s="118" t="str">
        <f>LOWER(IFERROR(
IF(CONCATENATE($A77,$B77)="IDER-ES",INDEX('IDER-ES'!$C:$C,MATCH($C77,'IDER-ES'!$A:$A,0)),
IF(CONCATENATE($A77,$B77)="CIOPES",INDEX('CDER-ES'!$C:$C,MATCH($C77,'CDER-ES'!$A:$A,0)),
IF(CONCATENATE($A77,$B77)="ISINAPI",INDEX(ISINAPI!$C:$C,MATCH($C77,ISINAPI!$A:$A,0)),
IF(CONCATENATE($A77,$B77)="CSINAPI",INDEX(CSINAPI!$C:$C,MATCH($C77,CSINAPI!$A:$A,0)),
IF(CONCATENATE($A77,$B77)="CCESAN",INDEX(CCESAN!$C:$C,MATCH($C77,CCESAN!$A:$A,0)),
IF(CONCATENATE($A77,$B77)="CSCORIO",INDEX(CSCORIO!$A:$A,MATCH($C77,CSCORIO!#REF!,0)),
IF(CONCATENATE($A77,$B77)="MERC",INDEX(MERCADO!$D:$D,MATCH($C77,MERCADO!$A:$A,0)),
IF(CONCATENATE($A77,$B77)="CCOMP",INDEX(COMPOSICAO!$H:$H,MATCH($C77,COMPOSICAO!$A:$A,0)),""
)))))))),""))</f>
        <v xml:space="preserve">un    </v>
      </c>
      <c r="F77" s="154">
        <v>1</v>
      </c>
      <c r="G77" s="214">
        <f>(IFERROR(
IF(CONCATENATE($A77,$B77)="IDER-ES",INDEX('IDER-ES'!$D:$D,MATCH($C77,'IDER-ES'!$A:$A,0)),
IF(CONCATENATE($A77,$B77)="CIOPES",INDEX('CDER-ES'!$D:$D,MATCH($C77,'CDER-ES'!$A:$A,0)),
IF(CONCATENATE($A77,$B77)="ISINAPI",INDEX(ISINAPI!$E:$E,MATCH($C77,ISINAPI!$A:$A,0)),
IF(CONCATENATE($A77,$B77)="CSINAPI",INDEX(CSINAPI!$D:$D,MATCH($C77,CSINAPI!$A:$A,0)),
IF(CONCATENATE($A77,$B77)="CCESAN",INDEX(CCESAN!$D:$D,MATCH($C77,CCESAN!$A:$A,0)),
IF(CONCATENATE($A77,$B77)="CSCORIO",INDEX(CSCORIO!$B:$B,MATCH($C77,CSCORIO!#REF!,0)),
IF(CONCATENATE($A77,$B77)="MERC",INDEX(MERCADO!$E:$E,MATCH($C77,MERCADO!$A:$A,0)),
IF(CONCATENATE($A77,$B77)="CCOMP",INDEX(COMPOSICAO!$H:$H,MATCH($C77,COMPOSICAO!$A:$A,0)),""
)))))))),""))</f>
        <v>4.03</v>
      </c>
      <c r="H77" s="119">
        <f t="shared" si="9"/>
        <v>4.03</v>
      </c>
    </row>
    <row r="78" spans="1:9" ht="38.25">
      <c r="A78" s="116" t="s">
        <v>12638</v>
      </c>
      <c r="B78" s="116" t="s">
        <v>928</v>
      </c>
      <c r="C78" s="116">
        <v>3659</v>
      </c>
      <c r="D78" s="117" t="str">
        <f>PROPER(IFERROR(
IF(C78="","",
IF(CONCATENATE($A78,$B78)="IDER-ES",INDEX('IDER-ES'!$B:$B,MATCH($C78,'IDER-ES'!$A:$A,0)),
IF(CONCATENATE($A78,$B78)="CDER-ES",INDEX('CDER-ES'!$B:$B,MATCH($C78,'CDER-ES'!$A:$A,0)),
IF(CONCATENATE($A78,$B78)="ISINAPI",INDEX(ISINAPI!$B:$B,MATCH($C78,ISINAPI!$A:$A,0)),
IF(CONCATENATE($A78,$B78)="CSINAPI",INDEX(CSINAPI!$B:$B,MATCH($C78,CSINAPI!$A:$A,0)),
IF(CONCATENATE($A78,$B78)="CCESAN",INDEX(CCESAN!$B:$B,MATCH($C78,CCESAN!$A:$A,0)),
IF(CONCATENATE($A78,$B78)="CSCORIO",INDEX(CSCORIO!#REF!,MATCH($C78,CSCORIO!#REF!,0)),
IF(CONCATENATE($A78,$B78)="MERC",INDEX(MERCADO!$B:$B,MATCH($C78,MERCADO!$A:$A,0)),
IF(CONCATENATE($A78,$B78)="CCOMP",INDEX(COMPOSICAO!$B:$B,MATCH($C78,COMPOSICAO!$A:$A,0)),""
))))))))),"*Verificar código*"))</f>
        <v xml:space="preserve">Juncao Simples De Reducao, Pvc, Dn 100 X 50 Mm, Serie Normal Para Esgoto Predial                                                                                                                                                                                                                                                                                                                                                                                                                          </v>
      </c>
      <c r="E78" s="118" t="str">
        <f>LOWER(IFERROR(
IF(CONCATENATE($A78,$B78)="IDER-ES",INDEX('IDER-ES'!$C:$C,MATCH($C78,'IDER-ES'!$A:$A,0)),
IF(CONCATENATE($A78,$B78)="CIOPES",INDEX('CDER-ES'!$C:$C,MATCH($C78,'CDER-ES'!$A:$A,0)),
IF(CONCATENATE($A78,$B78)="ISINAPI",INDEX(ISINAPI!$C:$C,MATCH($C78,ISINAPI!$A:$A,0)),
IF(CONCATENATE($A78,$B78)="CSINAPI",INDEX(CSINAPI!$C:$C,MATCH($C78,CSINAPI!$A:$A,0)),
IF(CONCATENATE($A78,$B78)="CCESAN",INDEX(CCESAN!$C:$C,MATCH($C78,CCESAN!$A:$A,0)),
IF(CONCATENATE($A78,$B78)="CSCORIO",INDEX(CSCORIO!$A:$A,MATCH($C78,CSCORIO!#REF!,0)),
IF(CONCATENATE($A78,$B78)="MERC",INDEX(MERCADO!$D:$D,MATCH($C78,MERCADO!$A:$A,0)),
IF(CONCATENATE($A78,$B78)="CCOMP",INDEX(COMPOSICAO!$H:$H,MATCH($C78,COMPOSICAO!$A:$A,0)),""
)))))))),""))</f>
        <v xml:space="preserve">un    </v>
      </c>
      <c r="F78" s="154">
        <v>1</v>
      </c>
      <c r="G78" s="214">
        <f>(IFERROR(
IF(CONCATENATE($A78,$B78)="IDER-ES",INDEX('IDER-ES'!$D:$D,MATCH($C78,'IDER-ES'!$A:$A,0)),
IF(CONCATENATE($A78,$B78)="CIOPES",INDEX('CDER-ES'!$D:$D,MATCH($C78,'CDER-ES'!$A:$A,0)),
IF(CONCATENATE($A78,$B78)="ISINAPI",INDEX(ISINAPI!$E:$E,MATCH($C78,ISINAPI!$A:$A,0)),
IF(CONCATENATE($A78,$B78)="CSINAPI",INDEX(CSINAPI!$D:$D,MATCH($C78,CSINAPI!$A:$A,0)),
IF(CONCATENATE($A78,$B78)="CCESAN",INDEX(CCESAN!$D:$D,MATCH($C78,CCESAN!$A:$A,0)),
IF(CONCATENATE($A78,$B78)="CSCORIO",INDEX(CSCORIO!$B:$B,MATCH($C78,CSCORIO!#REF!,0)),
IF(CONCATENATE($A78,$B78)="MERC",INDEX(MERCADO!$E:$E,MATCH($C78,MERCADO!$A:$A,0)),
IF(CONCATENATE($A78,$B78)="CCOMP",INDEX(COMPOSICAO!$H:$H,MATCH($C78,COMPOSICAO!$A:$A,0)),""
)))))))),""))</f>
        <v>23.02</v>
      </c>
      <c r="H78" s="119">
        <f t="shared" si="9"/>
        <v>23.02</v>
      </c>
    </row>
    <row r="79" spans="1:9" ht="51">
      <c r="A79" s="116" t="s">
        <v>12638</v>
      </c>
      <c r="B79" s="116" t="s">
        <v>928</v>
      </c>
      <c r="C79" s="116">
        <v>20078</v>
      </c>
      <c r="D79" s="117" t="str">
        <f>PROPER(IFERROR(
IF(C79="","",
IF(CONCATENATE($A79,$B79)="IDER-ES",INDEX('IDER-ES'!$B:$B,MATCH($C79,'IDER-ES'!$A:$A,0)),
IF(CONCATENATE($A79,$B79)="CDER-ES",INDEX('CDER-ES'!$B:$B,MATCH($C79,'CDER-ES'!$A:$A,0)),
IF(CONCATENATE($A79,$B79)="ISINAPI",INDEX(ISINAPI!$B:$B,MATCH($C79,ISINAPI!$A:$A,0)),
IF(CONCATENATE($A79,$B79)="CSINAPI",INDEX(CSINAPI!$B:$B,MATCH($C79,CSINAPI!$A:$A,0)),
IF(CONCATENATE($A79,$B79)="CCESAN",INDEX(CCESAN!$B:$B,MATCH($C79,CCESAN!$A:$A,0)),
IF(CONCATENATE($A79,$B79)="CSCORIO",INDEX(CSCORIO!#REF!,MATCH($C79,CSCORIO!#REF!,0)),
IF(CONCATENATE($A79,$B79)="MERC",INDEX(MERCADO!$B:$B,MATCH($C79,MERCADO!$A:$A,0)),
IF(CONCATENATE($A79,$B79)="CCOMP",INDEX(COMPOSICAO!$B:$B,MATCH($C79,COMPOSICAO!$A:$A,0)),""
))))))))),"*Verificar código*"))</f>
        <v xml:space="preserve">Pasta Lubrificante Para Tubos E Conexoes Com Junta Elastica, Embalagem De *400* Gr (Uso Em Pvc, Aco, Polietileno E Outros)                                                                                                                                                                                                                                                                                                                                                                                </v>
      </c>
      <c r="E79" s="118" t="str">
        <f>LOWER(IFERROR(
IF(CONCATENATE($A79,$B79)="IDER-ES",INDEX('IDER-ES'!$C:$C,MATCH($C79,'IDER-ES'!$A:$A,0)),
IF(CONCATENATE($A79,$B79)="CIOPES",INDEX('CDER-ES'!$C:$C,MATCH($C79,'CDER-ES'!$A:$A,0)),
IF(CONCATENATE($A79,$B79)="ISINAPI",INDEX(ISINAPI!$C:$C,MATCH($C79,ISINAPI!$A:$A,0)),
IF(CONCATENATE($A79,$B79)="CSINAPI",INDEX(CSINAPI!$C:$C,MATCH($C79,CSINAPI!$A:$A,0)),
IF(CONCATENATE($A79,$B79)="CCESAN",INDEX(CCESAN!$C:$C,MATCH($C79,CCESAN!$A:$A,0)),
IF(CONCATENATE($A79,$B79)="CSCORIO",INDEX(CSCORIO!$A:$A,MATCH($C79,CSCORIO!#REF!,0)),
IF(CONCATENATE($A79,$B79)="MERC",INDEX(MERCADO!$D:$D,MATCH($C79,MERCADO!$A:$A,0)),
IF(CONCATENATE($A79,$B79)="CCOMP",INDEX(COMPOSICAO!$H:$H,MATCH($C79,COMPOSICAO!$A:$A,0)),""
)))))))),""))</f>
        <v xml:space="preserve">un    </v>
      </c>
      <c r="F79" s="154">
        <v>0.09</v>
      </c>
      <c r="G79" s="119">
        <f>(IFERROR(
IF(CONCATENATE($A79,$B79)="IDER-ES",INDEX('IDER-ES'!$D:$D,MATCH($C79,'IDER-ES'!$A:$A,0)),
IF(CONCATENATE($A79,$B79)="CIOPES",INDEX('CDER-ES'!$D:$D,MATCH($C79,'CDER-ES'!$A:$A,0)),
IF(CONCATENATE($A79,$B79)="ISINAPI",INDEX(ISINAPI!$E:$E,MATCH($C79,ISINAPI!$A:$A,0)),
IF(CONCATENATE($A79,$B79)="CSINAPI",INDEX(CSINAPI!$D:$D,MATCH($C79,CSINAPI!$A:$A,0)),
IF(CONCATENATE($A79,$B79)="CCESAN",INDEX(CCESAN!$D:$D,MATCH($C79,CCESAN!$A:$A,0)),
IF(CONCATENATE($A79,$B79)="CSCORIO",INDEX(CSCORIO!$B:$B,MATCH($C79,CSCORIO!#REF!,0)),
IF(CONCATENATE($A79,$B79)="MERC",INDEX(MERCADO!$E:$E,MATCH($C79,MERCADO!$A:$A,0)),
IF(CONCATENATE($A79,$B79)="CCOMP",INDEX(COMPOSICAO!$H:$H,MATCH($C79,COMPOSICAO!$A:$A,0)),""
)))))))),""))</f>
        <v>27.18</v>
      </c>
      <c r="H79" s="119">
        <f t="shared" si="9"/>
        <v>2.4500000000000002</v>
      </c>
    </row>
    <row r="80" spans="1:9" ht="38.25">
      <c r="A80" s="116" t="s">
        <v>9107</v>
      </c>
      <c r="B80" s="116" t="s">
        <v>928</v>
      </c>
      <c r="C80" s="116">
        <v>88248</v>
      </c>
      <c r="D80" s="117" t="str">
        <f>PROPER(IFERROR(
IF(C80="","",
IF(CONCATENATE($A80,$B80)="IDER-ES",INDEX('IDER-ES'!$B:$B,MATCH($C80,'IDER-ES'!$A:$A,0)),
IF(CONCATENATE($A80,$B80)="CDER-ES",INDEX('CDER-ES'!$B:$B,MATCH($C80,'CDER-ES'!$A:$A,0)),
IF(CONCATENATE($A80,$B80)="ISINAPI",INDEX(ISINAPI!$B:$B,MATCH($C80,ISINAPI!$A:$A,0)),
IF(CONCATENATE($A80,$B80)="CSINAPI",INDEX(CSINAPI!$B:$B,MATCH($C80,CSINAPI!$A:$A,0)),
IF(CONCATENATE($A80,$B80)="CCESAN",INDEX(CCESAN!$B:$B,MATCH($C80,CCESAN!$A:$A,0)),
IF(CONCATENATE($A80,$B80)="CSCORIO",INDEX(CSCORIO!#REF!,MATCH($C80,CSCORIO!#REF!,0)),
IF(CONCATENATE($A80,$B80)="MERC",INDEX(MERCADO!$B:$B,MATCH($C80,MERCADO!$A:$A,0)),
IF(CONCATENATE($A80,$B80)="CCOMP",INDEX(COMPOSICAO!$B:$B,MATCH($C80,COMPOSICAO!$A:$A,0)),""
))))))))),"*Verificar código*"))</f>
        <v>Auxiliar De Encanador Ou Bombeiro Hidráulico Com Encargos Complementares</v>
      </c>
      <c r="E80" s="118" t="str">
        <f>LOWER(IFERROR(
IF(CONCATENATE($A80,$B80)="IDER-ES",INDEX('IDER-ES'!$C:$C,MATCH($C80,'IDER-ES'!$A:$A,0)),
IF(CONCATENATE($A80,$B80)="CIOPES",INDEX('CDER-ES'!$C:$C,MATCH($C80,'CDER-ES'!$A:$A,0)),
IF(CONCATENATE($A80,$B80)="ISINAPI",INDEX(ISINAPI!$C:$C,MATCH($C80,ISINAPI!$A:$A,0)),
IF(CONCATENATE($A80,$B80)="CSINAPI",INDEX(CSINAPI!$C:$C,MATCH($C80,CSINAPI!$A:$A,0)),
IF(CONCATENATE($A80,$B80)="CCESAN",INDEX(CCESAN!$C:$C,MATCH($C80,CCESAN!$A:$A,0)),
IF(CONCATENATE($A80,$B80)="CSCORIO",INDEX(CSCORIO!$A:$A,MATCH($C80,CSCORIO!#REF!,0)),
IF(CONCATENATE($A80,$B80)="MERC",INDEX(MERCADO!$D:$D,MATCH($C80,MERCADO!$A:$A,0)),
IF(CONCATENATE($A80,$B80)="CCOMP",INDEX(COMPOSICAO!$H:$H,MATCH($C80,COMPOSICAO!$A:$A,0)),""
)))))))),""))</f>
        <v>h</v>
      </c>
      <c r="F80" s="154">
        <v>0.185</v>
      </c>
      <c r="G80" s="119">
        <f>(IFERROR(
IF(CONCATENATE($A80,$B80)="IDER-ES",INDEX('IDER-ES'!$D:$D,MATCH($C80,'IDER-ES'!$A:$A,0)),
IF(CONCATENATE($A80,$B80)="CIOPES",INDEX('CDER-ES'!$D:$D,MATCH($C80,'CDER-ES'!$A:$A,0)),
IF(CONCATENATE($A80,$B80)="ISINAPI",INDEX(ISINAPI!$E:$E,MATCH($C80,ISINAPI!$A:$A,0)),
IF(CONCATENATE($A80,$B80)="CSINAPI",INDEX(CSINAPI!$D:$D,MATCH($C80,CSINAPI!$A:$A,0)),
IF(CONCATENATE($A80,$B80)="CCESAN",INDEX(CCESAN!$D:$D,MATCH($C80,CCESAN!$A:$A,0)),
IF(CONCATENATE($A80,$B80)="CSCORIO",INDEX(CSCORIO!$B:$B,MATCH($C80,CSCORIO!#REF!,0)),
IF(CONCATENATE($A80,$B80)="MERC",INDEX(MERCADO!$E:$E,MATCH($C80,MERCADO!$A:$A,0)),
IF(CONCATENATE($A80,$B80)="CCOMP",INDEX(COMPOSICAO!$H:$H,MATCH($C80,COMPOSICAO!$A:$A,0)),""
)))))))),""))</f>
        <v>20.62</v>
      </c>
      <c r="H80" s="119">
        <f t="shared" si="9"/>
        <v>3.81</v>
      </c>
    </row>
    <row r="81" spans="1:9" ht="25.5">
      <c r="A81" s="116" t="s">
        <v>9107</v>
      </c>
      <c r="B81" s="116" t="s">
        <v>928</v>
      </c>
      <c r="C81" s="116">
        <v>88267</v>
      </c>
      <c r="D81" s="117" t="str">
        <f>PROPER(IFERROR(
IF(C81="","",
IF(CONCATENATE($A81,$B81)="IDER-ES",INDEX('IDER-ES'!$B:$B,MATCH($C81,'IDER-ES'!$A:$A,0)),
IF(CONCATENATE($A81,$B81)="CDER-ES",INDEX('CDER-ES'!$B:$B,MATCH($C81,'CDER-ES'!$A:$A,0)),
IF(CONCATENATE($A81,$B81)="ISINAPI",INDEX(ISINAPI!$B:$B,MATCH($C81,ISINAPI!$A:$A,0)),
IF(CONCATENATE($A81,$B81)="CSINAPI",INDEX(CSINAPI!$B:$B,MATCH($C81,CSINAPI!$A:$A,0)),
IF(CONCATENATE($A81,$B81)="CCESAN",INDEX(CCESAN!$B:$B,MATCH($C81,CCESAN!$A:$A,0)),
IF(CONCATENATE($A81,$B81)="CSCORIO",INDEX(CSCORIO!#REF!,MATCH($C81,CSCORIO!#REF!,0)),
IF(CONCATENATE($A81,$B81)="MERC",INDEX(MERCADO!$B:$B,MATCH($C81,MERCADO!$A:$A,0)),
IF(CONCATENATE($A81,$B81)="CCOMP",INDEX(COMPOSICAO!$B:$B,MATCH($C81,COMPOSICAO!$A:$A,0)),""
))))))))),"*Verificar código*"))</f>
        <v>Encanador Ou Bombeiro Hidráulico Com Encargos Complementares</v>
      </c>
      <c r="E81" s="118" t="str">
        <f>LOWER(IFERROR(
IF(CONCATENATE($A81,$B81)="IDER-ES",INDEX('IDER-ES'!$C:$C,MATCH($C81,'IDER-ES'!$A:$A,0)),
IF(CONCATENATE($A81,$B81)="CIOPES",INDEX('CDER-ES'!$C:$C,MATCH($C81,'CDER-ES'!$A:$A,0)),
IF(CONCATENATE($A81,$B81)="ISINAPI",INDEX(ISINAPI!$C:$C,MATCH($C81,ISINAPI!$A:$A,0)),
IF(CONCATENATE($A81,$B81)="CSINAPI",INDEX(CSINAPI!$C:$C,MATCH($C81,CSINAPI!$A:$A,0)),
IF(CONCATENATE($A81,$B81)="CCESAN",INDEX(CCESAN!$C:$C,MATCH($C81,CCESAN!$A:$A,0)),
IF(CONCATENATE($A81,$B81)="CSCORIO",INDEX(CSCORIO!$A:$A,MATCH($C81,CSCORIO!#REF!,0)),
IF(CONCATENATE($A81,$B81)="MERC",INDEX(MERCADO!$D:$D,MATCH($C81,MERCADO!$A:$A,0)),
IF(CONCATENATE($A81,$B81)="CCOMP",INDEX(COMPOSICAO!$H:$H,MATCH($C81,COMPOSICAO!$A:$A,0)),""
)))))))),""))</f>
        <v>h</v>
      </c>
      <c r="F81" s="154">
        <v>0.185</v>
      </c>
      <c r="G81" s="119">
        <f>(IFERROR(
IF(CONCATENATE($A81,$B81)="IDER-ES",INDEX('IDER-ES'!$D:$D,MATCH($C81,'IDER-ES'!$A:$A,0)),
IF(CONCATENATE($A81,$B81)="CIOPES",INDEX('CDER-ES'!$D:$D,MATCH($C81,'CDER-ES'!$A:$A,0)),
IF(CONCATENATE($A81,$B81)="ISINAPI",INDEX(ISINAPI!$E:$E,MATCH($C81,ISINAPI!$A:$A,0)),
IF(CONCATENATE($A81,$B81)="CSINAPI",INDEX(CSINAPI!$D:$D,MATCH($C81,CSINAPI!$A:$A,0)),
IF(CONCATENATE($A81,$B81)="CCESAN",INDEX(CCESAN!$D:$D,MATCH($C81,CCESAN!$A:$A,0)),
IF(CONCATENATE($A81,$B81)="CSCORIO",INDEX(CSCORIO!$B:$B,MATCH($C81,CSCORIO!#REF!,0)),
IF(CONCATENATE($A81,$B81)="MERC",INDEX(MERCADO!$E:$E,MATCH($C81,MERCADO!$A:$A,0)),
IF(CONCATENATE($A81,$B81)="CCOMP",INDEX(COMPOSICAO!$H:$H,MATCH($C81,COMPOSICAO!$A:$A,0)),""
)))))))),""))</f>
        <v>23.69</v>
      </c>
      <c r="H81" s="119">
        <f t="shared" si="9"/>
        <v>4.38</v>
      </c>
    </row>
    <row r="83" spans="1:9" s="110" customFormat="1" ht="20.100000000000001" customHeight="1">
      <c r="A83" s="158" t="s">
        <v>929</v>
      </c>
      <c r="B83" s="382" t="s">
        <v>931</v>
      </c>
      <c r="C83" s="383"/>
      <c r="D83" s="383"/>
      <c r="E83" s="383"/>
      <c r="F83" s="384"/>
      <c r="G83" s="108" t="s">
        <v>7264</v>
      </c>
      <c r="H83" s="109" t="s">
        <v>7250</v>
      </c>
      <c r="I83" s="208"/>
    </row>
    <row r="84" spans="1:9" ht="30" customHeight="1">
      <c r="A84" s="111">
        <v>9</v>
      </c>
      <c r="B84" s="385" t="s">
        <v>13890</v>
      </c>
      <c r="C84" s="386"/>
      <c r="D84" s="386"/>
      <c r="E84" s="386"/>
      <c r="F84" s="387"/>
      <c r="G84" s="112" t="s">
        <v>7264</v>
      </c>
      <c r="H84" s="182">
        <f>SUM(H86:H89)</f>
        <v>36.979999999999997</v>
      </c>
    </row>
    <row r="85" spans="1:9" ht="30" customHeight="1">
      <c r="A85" s="114" t="s">
        <v>935</v>
      </c>
      <c r="B85" s="114" t="s">
        <v>936</v>
      </c>
      <c r="C85" s="114" t="s">
        <v>28</v>
      </c>
      <c r="D85" s="114" t="s">
        <v>932</v>
      </c>
      <c r="E85" s="114" t="s">
        <v>29</v>
      </c>
      <c r="F85" s="155" t="s">
        <v>2098</v>
      </c>
      <c r="G85" s="115" t="s">
        <v>7248</v>
      </c>
      <c r="H85" s="115" t="s">
        <v>7249</v>
      </c>
    </row>
    <row r="86" spans="1:9" ht="25.5">
      <c r="A86" s="116" t="s">
        <v>12638</v>
      </c>
      <c r="B86" s="116" t="s">
        <v>928</v>
      </c>
      <c r="C86" s="116">
        <v>39321</v>
      </c>
      <c r="D86" s="117" t="str">
        <f>PROPER(IFERROR(
IF(C86="","",
IF(CONCATENATE($A86,$B86)="IDER-ES",INDEX('IDER-ES'!$B:$B,MATCH($C86,'IDER-ES'!$A:$A,0)),
IF(CONCATENATE($A86,$B86)="CDER-ES",INDEX('CDER-ES'!$B:$B,MATCH($C86,'CDER-ES'!$A:$A,0)),
IF(CONCATENATE($A86,$B86)="ISINAPI",INDEX(ISINAPI!$B:$B,MATCH($C86,ISINAPI!$A:$A,0)),
IF(CONCATENATE($A86,$B86)="CSINAPI",INDEX(CSINAPI!$B:$B,MATCH($C86,CSINAPI!$A:$A,0)),
IF(CONCATENATE($A86,$B86)="CCESAN",INDEX(CCESAN!$B:$B,MATCH($C86,CCESAN!$A:$A,0)),
IF(CONCATENATE($A86,$B86)="CSCORIO",INDEX(CSCORIO!#REF!,MATCH($C86,CSCORIO!#REF!,0)),
IF(CONCATENATE($A86,$B86)="MERC",INDEX(MERCADO!$B:$B,MATCH($C86,MERCADO!$A:$A,0)),
IF(CONCATENATE($A86,$B86)="CCOMP",INDEX(COMPOSICAO!$B:$B,MATCH($C86,COMPOSICAO!$A:$A,0)),""
))))))))),"*Verificar código*"))</f>
        <v xml:space="preserve">Terminal De Ventilacao, 100 Mm, Serie Normal, Esgoto Predial                                                                                                                                                                                                                                                                                                                                                                                                                                              </v>
      </c>
      <c r="E86" s="118" t="str">
        <f>LOWER(IFERROR(
IF(CONCATENATE($A86,$B86)="IDER-ES",INDEX('IDER-ES'!$C:$C,MATCH($C86,'IDER-ES'!$A:$A,0)),
IF(CONCATENATE($A86,$B86)="CIOPES",INDEX('CDER-ES'!$C:$C,MATCH($C86,'CDER-ES'!$A:$A,0)),
IF(CONCATENATE($A86,$B86)="ISINAPI",INDEX(ISINAPI!$C:$C,MATCH($C86,ISINAPI!$A:$A,0)),
IF(CONCATENATE($A86,$B86)="CSINAPI",INDEX(CSINAPI!$C:$C,MATCH($C86,CSINAPI!$A:$A,0)),
IF(CONCATENATE($A86,$B86)="CCESAN",INDEX(CCESAN!$C:$C,MATCH($C86,CCESAN!$A:$A,0)),
IF(CONCATENATE($A86,$B86)="CSCORIO",INDEX(CSCORIO!$A:$A,MATCH($C86,CSCORIO!#REF!,0)),
IF(CONCATENATE($A86,$B86)="MERC",INDEX(MERCADO!$D:$D,MATCH($C86,MERCADO!$A:$A,0)),
IF(CONCATENATE($A86,$B86)="CCOMP",INDEX(COMPOSICAO!$H:$H,MATCH($C86,COMPOSICAO!$A:$A,0)),""
)))))))),""))</f>
        <v xml:space="preserve">un    </v>
      </c>
      <c r="F86" s="154">
        <v>1</v>
      </c>
      <c r="G86" s="214">
        <f>(IFERROR(
IF(CONCATENATE($A86,$B86)="IDER-ES",INDEX('IDER-ES'!$D:$D,MATCH($C86,'IDER-ES'!$A:$A,0)),
IF(CONCATENATE($A86,$B86)="CIOPES",INDEX('CDER-ES'!$D:$D,MATCH($C86,'CDER-ES'!$A:$A,0)),
IF(CONCATENATE($A86,$B86)="ISINAPI",INDEX(ISINAPI!$E:$E,MATCH($C86,ISINAPI!$A:$A,0)),
IF(CONCATENATE($A86,$B86)="CSINAPI",INDEX(CSINAPI!$D:$D,MATCH($C86,CSINAPI!$A:$A,0)),
IF(CONCATENATE($A86,$B86)="CCESAN",INDEX(CCESAN!$D:$D,MATCH($C86,CCESAN!$A:$A,0)),
IF(CONCATENATE($A86,$B86)="CSCORIO",INDEX(CSCORIO!$B:$B,MATCH($C86,CSCORIO!#REF!,0)),
IF(CONCATENATE($A86,$B86)="MERC",INDEX(MERCADO!$E:$E,MATCH($C86,MERCADO!$A:$A,0)),
IF(CONCATENATE($A86,$B86)="CCOMP",INDEX(COMPOSICAO!$H:$H,MATCH($C86,COMPOSICAO!$A:$A,0)),""
)))))))),""))</f>
        <v>26.99</v>
      </c>
      <c r="H86" s="119">
        <f>IF(B86="","",ROUND(G86*F86,2))</f>
        <v>26.99</v>
      </c>
    </row>
    <row r="87" spans="1:9" ht="51">
      <c r="A87" s="116" t="s">
        <v>12638</v>
      </c>
      <c r="B87" s="116" t="s">
        <v>928</v>
      </c>
      <c r="C87" s="116">
        <v>20078</v>
      </c>
      <c r="D87" s="117" t="str">
        <f>PROPER(IFERROR(
IF(C87="","",
IF(CONCATENATE($A87,$B87)="IDER-ES",INDEX('IDER-ES'!$B:$B,MATCH($C87,'IDER-ES'!$A:$A,0)),
IF(CONCATENATE($A87,$B87)="CDER-ES",INDEX('CDER-ES'!$B:$B,MATCH($C87,'CDER-ES'!$A:$A,0)),
IF(CONCATENATE($A87,$B87)="ISINAPI",INDEX(ISINAPI!$B:$B,MATCH($C87,ISINAPI!$A:$A,0)),
IF(CONCATENATE($A87,$B87)="CSINAPI",INDEX(CSINAPI!$B:$B,MATCH($C87,CSINAPI!$A:$A,0)),
IF(CONCATENATE($A87,$B87)="CCESAN",INDEX(CCESAN!$B:$B,MATCH($C87,CCESAN!$A:$A,0)),
IF(CONCATENATE($A87,$B87)="CSCORIO",INDEX(CSCORIO!#REF!,MATCH($C87,CSCORIO!#REF!,0)),
IF(CONCATENATE($A87,$B87)="MERC",INDEX(MERCADO!$B:$B,MATCH($C87,MERCADO!$A:$A,0)),
IF(CONCATENATE($A87,$B87)="CCOMP",INDEX(COMPOSICAO!$B:$B,MATCH($C87,COMPOSICAO!$A:$A,0)),""
))))))))),"*Verificar código*"))</f>
        <v xml:space="preserve">Pasta Lubrificante Para Tubos E Conexoes Com Junta Elastica, Embalagem De *400* Gr (Uso Em Pvc, Aco, Polietileno E Outros)                                                                                                                                                                                                                                                                                                                                                                                </v>
      </c>
      <c r="E87" s="118" t="str">
        <f>LOWER(IFERROR(
IF(CONCATENATE($A87,$B87)="IDER-ES",INDEX('IDER-ES'!$C:$C,MATCH($C87,'IDER-ES'!$A:$A,0)),
IF(CONCATENATE($A87,$B87)="CIOPES",INDEX('CDER-ES'!$C:$C,MATCH($C87,'CDER-ES'!$A:$A,0)),
IF(CONCATENATE($A87,$B87)="ISINAPI",INDEX(ISINAPI!$C:$C,MATCH($C87,ISINAPI!$A:$A,0)),
IF(CONCATENATE($A87,$B87)="CSINAPI",INDEX(CSINAPI!$C:$C,MATCH($C87,CSINAPI!$A:$A,0)),
IF(CONCATENATE($A87,$B87)="CCESAN",INDEX(CCESAN!$C:$C,MATCH($C87,CCESAN!$A:$A,0)),
IF(CONCATENATE($A87,$B87)="CSCORIO",INDEX(CSCORIO!$A:$A,MATCH($C87,CSCORIO!#REF!,0)),
IF(CONCATENATE($A87,$B87)="MERC",INDEX(MERCADO!$D:$D,MATCH($C87,MERCADO!$A:$A,0)),
IF(CONCATENATE($A87,$B87)="CCOMP",INDEX(COMPOSICAO!$H:$H,MATCH($C87,COMPOSICAO!$A:$A,0)),""
)))))))),""))</f>
        <v xml:space="preserve">un    </v>
      </c>
      <c r="F87" s="154">
        <v>0.09</v>
      </c>
      <c r="G87" s="119">
        <f>(IFERROR(
IF(CONCATENATE($A87,$B87)="IDER-ES",INDEX('IDER-ES'!$D:$D,MATCH($C87,'IDER-ES'!$A:$A,0)),
IF(CONCATENATE($A87,$B87)="CIOPES",INDEX('CDER-ES'!$D:$D,MATCH($C87,'CDER-ES'!$A:$A,0)),
IF(CONCATENATE($A87,$B87)="ISINAPI",INDEX(ISINAPI!$E:$E,MATCH($C87,ISINAPI!$A:$A,0)),
IF(CONCATENATE($A87,$B87)="CSINAPI",INDEX(CSINAPI!$D:$D,MATCH($C87,CSINAPI!$A:$A,0)),
IF(CONCATENATE($A87,$B87)="CCESAN",INDEX(CCESAN!$D:$D,MATCH($C87,CCESAN!$A:$A,0)),
IF(CONCATENATE($A87,$B87)="CSCORIO",INDEX(CSCORIO!$B:$B,MATCH($C87,CSCORIO!#REF!,0)),
IF(CONCATENATE($A87,$B87)="MERC",INDEX(MERCADO!$E:$E,MATCH($C87,MERCADO!$A:$A,0)),
IF(CONCATENATE($A87,$B87)="CCOMP",INDEX(COMPOSICAO!$H:$H,MATCH($C87,COMPOSICAO!$A:$A,0)),""
)))))))),""))</f>
        <v>27.18</v>
      </c>
      <c r="H87" s="119">
        <f>IF(B87="","",ROUND(G87*F87,2))</f>
        <v>2.4500000000000002</v>
      </c>
    </row>
    <row r="88" spans="1:9" ht="38.25">
      <c r="A88" s="116" t="s">
        <v>9107</v>
      </c>
      <c r="B88" s="116" t="s">
        <v>928</v>
      </c>
      <c r="C88" s="116">
        <v>88248</v>
      </c>
      <c r="D88" s="117" t="str">
        <f>PROPER(IFERROR(
IF(C88="","",
IF(CONCATENATE($A88,$B88)="IDER-ES",INDEX('IDER-ES'!$B:$B,MATCH($C88,'IDER-ES'!$A:$A,0)),
IF(CONCATENATE($A88,$B88)="CDER-ES",INDEX('CDER-ES'!$B:$B,MATCH($C88,'CDER-ES'!$A:$A,0)),
IF(CONCATENATE($A88,$B88)="ISINAPI",INDEX(ISINAPI!$B:$B,MATCH($C88,ISINAPI!$A:$A,0)),
IF(CONCATENATE($A88,$B88)="CSINAPI",INDEX(CSINAPI!$B:$B,MATCH($C88,CSINAPI!$A:$A,0)),
IF(CONCATENATE($A88,$B88)="CCESAN",INDEX(CCESAN!$B:$B,MATCH($C88,CCESAN!$A:$A,0)),
IF(CONCATENATE($A88,$B88)="CSCORIO",INDEX(CSCORIO!#REF!,MATCH($C88,CSCORIO!#REF!,0)),
IF(CONCATENATE($A88,$B88)="MERC",INDEX(MERCADO!$B:$B,MATCH($C88,MERCADO!$A:$A,0)),
IF(CONCATENATE($A88,$B88)="CCOMP",INDEX(COMPOSICAO!$B:$B,MATCH($C88,COMPOSICAO!$A:$A,0)),""
))))))))),"*Verificar código*"))</f>
        <v>Auxiliar De Encanador Ou Bombeiro Hidráulico Com Encargos Complementares</v>
      </c>
      <c r="E88" s="118" t="str">
        <f>LOWER(IFERROR(
IF(CONCATENATE($A88,$B88)="IDER-ES",INDEX('IDER-ES'!$C:$C,MATCH($C88,'IDER-ES'!$A:$A,0)),
IF(CONCATENATE($A88,$B88)="CIOPES",INDEX('CDER-ES'!$C:$C,MATCH($C88,'CDER-ES'!$A:$A,0)),
IF(CONCATENATE($A88,$B88)="ISINAPI",INDEX(ISINAPI!$C:$C,MATCH($C88,ISINAPI!$A:$A,0)),
IF(CONCATENATE($A88,$B88)="CSINAPI",INDEX(CSINAPI!$C:$C,MATCH($C88,CSINAPI!$A:$A,0)),
IF(CONCATENATE($A88,$B88)="CCESAN",INDEX(CCESAN!$C:$C,MATCH($C88,CCESAN!$A:$A,0)),
IF(CONCATENATE($A88,$B88)="CSCORIO",INDEX(CSCORIO!$A:$A,MATCH($C88,CSCORIO!#REF!,0)),
IF(CONCATENATE($A88,$B88)="MERC",INDEX(MERCADO!$D:$D,MATCH($C88,MERCADO!$A:$A,0)),
IF(CONCATENATE($A88,$B88)="CCOMP",INDEX(COMPOSICAO!$H:$H,MATCH($C88,COMPOSICAO!$A:$A,0)),""
)))))))),""))</f>
        <v>h</v>
      </c>
      <c r="F88" s="154">
        <v>0.17</v>
      </c>
      <c r="G88" s="119">
        <f>(IFERROR(
IF(CONCATENATE($A88,$B88)="IDER-ES",INDEX('IDER-ES'!$D:$D,MATCH($C88,'IDER-ES'!$A:$A,0)),
IF(CONCATENATE($A88,$B88)="CIOPES",INDEX('CDER-ES'!$D:$D,MATCH($C88,'CDER-ES'!$A:$A,0)),
IF(CONCATENATE($A88,$B88)="ISINAPI",INDEX(ISINAPI!$E:$E,MATCH($C88,ISINAPI!$A:$A,0)),
IF(CONCATENATE($A88,$B88)="CSINAPI",INDEX(CSINAPI!$D:$D,MATCH($C88,CSINAPI!$A:$A,0)),
IF(CONCATENATE($A88,$B88)="CCESAN",INDEX(CCESAN!$D:$D,MATCH($C88,CCESAN!$A:$A,0)),
IF(CONCATENATE($A88,$B88)="CSCORIO",INDEX(CSCORIO!$B:$B,MATCH($C88,CSCORIO!#REF!,0)),
IF(CONCATENATE($A88,$B88)="MERC",INDEX(MERCADO!$E:$E,MATCH($C88,MERCADO!$A:$A,0)),
IF(CONCATENATE($A88,$B88)="CCOMP",INDEX(COMPOSICAO!$H:$H,MATCH($C88,COMPOSICAO!$A:$A,0)),""
)))))))),""))</f>
        <v>20.62</v>
      </c>
      <c r="H88" s="119">
        <f>IF(B88="","",ROUND(G88*F88,2))</f>
        <v>3.51</v>
      </c>
    </row>
    <row r="89" spans="1:9" ht="25.5">
      <c r="A89" s="116" t="s">
        <v>9107</v>
      </c>
      <c r="B89" s="116" t="s">
        <v>928</v>
      </c>
      <c r="C89" s="116">
        <v>88267</v>
      </c>
      <c r="D89" s="117" t="str">
        <f>PROPER(IFERROR(
IF(C89="","",
IF(CONCATENATE($A89,$B89)="IDER-ES",INDEX('IDER-ES'!$B:$B,MATCH($C89,'IDER-ES'!$A:$A,0)),
IF(CONCATENATE($A89,$B89)="CDER-ES",INDEX('CDER-ES'!$B:$B,MATCH($C89,'CDER-ES'!$A:$A,0)),
IF(CONCATENATE($A89,$B89)="ISINAPI",INDEX(ISINAPI!$B:$B,MATCH($C89,ISINAPI!$A:$A,0)),
IF(CONCATENATE($A89,$B89)="CSINAPI",INDEX(CSINAPI!$B:$B,MATCH($C89,CSINAPI!$A:$A,0)),
IF(CONCATENATE($A89,$B89)="CCESAN",INDEX(CCESAN!$B:$B,MATCH($C89,CCESAN!$A:$A,0)),
IF(CONCATENATE($A89,$B89)="CSCORIO",INDEX(CSCORIO!#REF!,MATCH($C89,CSCORIO!#REF!,0)),
IF(CONCATENATE($A89,$B89)="MERC",INDEX(MERCADO!$B:$B,MATCH($C89,MERCADO!$A:$A,0)),
IF(CONCATENATE($A89,$B89)="CCOMP",INDEX(COMPOSICAO!$B:$B,MATCH($C89,COMPOSICAO!$A:$A,0)),""
))))))))),"*Verificar código*"))</f>
        <v>Encanador Ou Bombeiro Hidráulico Com Encargos Complementares</v>
      </c>
      <c r="E89" s="118" t="str">
        <f>LOWER(IFERROR(
IF(CONCATENATE($A89,$B89)="IDER-ES",INDEX('IDER-ES'!$C:$C,MATCH($C89,'IDER-ES'!$A:$A,0)),
IF(CONCATENATE($A89,$B89)="CIOPES",INDEX('CDER-ES'!$C:$C,MATCH($C89,'CDER-ES'!$A:$A,0)),
IF(CONCATENATE($A89,$B89)="ISINAPI",INDEX(ISINAPI!$C:$C,MATCH($C89,ISINAPI!$A:$A,0)),
IF(CONCATENATE($A89,$B89)="CSINAPI",INDEX(CSINAPI!$C:$C,MATCH($C89,CSINAPI!$A:$A,0)),
IF(CONCATENATE($A89,$B89)="CCESAN",INDEX(CCESAN!$C:$C,MATCH($C89,CCESAN!$A:$A,0)),
IF(CONCATENATE($A89,$B89)="CSCORIO",INDEX(CSCORIO!$A:$A,MATCH($C89,CSCORIO!#REF!,0)),
IF(CONCATENATE($A89,$B89)="MERC",INDEX(MERCADO!$D:$D,MATCH($C89,MERCADO!$A:$A,0)),
IF(CONCATENATE($A89,$B89)="CCOMP",INDEX(COMPOSICAO!$H:$H,MATCH($C89,COMPOSICAO!$A:$A,0)),""
)))))))),""))</f>
        <v>h</v>
      </c>
      <c r="F89" s="154">
        <v>0.17</v>
      </c>
      <c r="G89" s="119">
        <f>(IFERROR(
IF(CONCATENATE($A89,$B89)="IDER-ES",INDEX('IDER-ES'!$D:$D,MATCH($C89,'IDER-ES'!$A:$A,0)),
IF(CONCATENATE($A89,$B89)="CIOPES",INDEX('CDER-ES'!$D:$D,MATCH($C89,'CDER-ES'!$A:$A,0)),
IF(CONCATENATE($A89,$B89)="ISINAPI",INDEX(ISINAPI!$E:$E,MATCH($C89,ISINAPI!$A:$A,0)),
IF(CONCATENATE($A89,$B89)="CSINAPI",INDEX(CSINAPI!$D:$D,MATCH($C89,CSINAPI!$A:$A,0)),
IF(CONCATENATE($A89,$B89)="CCESAN",INDEX(CCESAN!$D:$D,MATCH($C89,CCESAN!$A:$A,0)),
IF(CONCATENATE($A89,$B89)="CSCORIO",INDEX(CSCORIO!$B:$B,MATCH($C89,CSCORIO!#REF!,0)),
IF(CONCATENATE($A89,$B89)="MERC",INDEX(MERCADO!$E:$E,MATCH($C89,MERCADO!$A:$A,0)),
IF(CONCATENATE($A89,$B89)="CCOMP",INDEX(COMPOSICAO!$H:$H,MATCH($C89,COMPOSICAO!$A:$A,0)),""
)))))))),""))</f>
        <v>23.69</v>
      </c>
      <c r="H89" s="119">
        <f>IF(B89="","",ROUND(G89*F89,2))</f>
        <v>4.03</v>
      </c>
    </row>
    <row r="91" spans="1:9" s="110" customFormat="1" ht="20.100000000000001" customHeight="1">
      <c r="A91" s="158" t="s">
        <v>929</v>
      </c>
      <c r="B91" s="382" t="s">
        <v>931</v>
      </c>
      <c r="C91" s="383"/>
      <c r="D91" s="383"/>
      <c r="E91" s="383"/>
      <c r="F91" s="384"/>
      <c r="G91" s="108" t="s">
        <v>7264</v>
      </c>
      <c r="H91" s="109" t="s">
        <v>7250</v>
      </c>
      <c r="I91" s="208"/>
    </row>
    <row r="92" spans="1:9" ht="15" customHeight="1">
      <c r="A92" s="111">
        <v>10</v>
      </c>
      <c r="B92" s="385" t="s">
        <v>13886</v>
      </c>
      <c r="C92" s="386"/>
      <c r="D92" s="386"/>
      <c r="E92" s="386"/>
      <c r="F92" s="387"/>
      <c r="G92" s="112" t="s">
        <v>7264</v>
      </c>
      <c r="H92" s="182">
        <f>SUM(H94:H97)</f>
        <v>126.37</v>
      </c>
    </row>
    <row r="93" spans="1:9" ht="30" customHeight="1">
      <c r="A93" s="114" t="s">
        <v>935</v>
      </c>
      <c r="B93" s="114" t="s">
        <v>936</v>
      </c>
      <c r="C93" s="114" t="s">
        <v>28</v>
      </c>
      <c r="D93" s="114" t="s">
        <v>932</v>
      </c>
      <c r="E93" s="114" t="s">
        <v>29</v>
      </c>
      <c r="F93" s="155" t="s">
        <v>2098</v>
      </c>
      <c r="G93" s="115" t="s">
        <v>7248</v>
      </c>
      <c r="H93" s="115" t="s">
        <v>7249</v>
      </c>
    </row>
    <row r="94" spans="1:9" ht="25.5">
      <c r="A94" s="116" t="s">
        <v>12638</v>
      </c>
      <c r="B94" s="116" t="s">
        <v>928</v>
      </c>
      <c r="C94" s="116">
        <v>1370</v>
      </c>
      <c r="D94" s="117" t="str">
        <f>PROPER(IFERROR(
IF(C94="","",
IF(CONCATENATE($A94,$B94)="IDER-ES",INDEX('IDER-ES'!$B:$B,MATCH($C94,'IDER-ES'!$A:$A,0)),
IF(CONCATENATE($A94,$B94)="CDER-ES",INDEX('CDER-ES'!$B:$B,MATCH($C94,'CDER-ES'!$A:$A,0)),
IF(CONCATENATE($A94,$B94)="ISINAPI",INDEX(ISINAPI!$B:$B,MATCH($C94,ISINAPI!$A:$A,0)),
IF(CONCATENATE($A94,$B94)="CSINAPI",INDEX(CSINAPI!$B:$B,MATCH($C94,CSINAPI!$A:$A,0)),
IF(CONCATENATE($A94,$B94)="CCESAN",INDEX(CCESAN!$B:$B,MATCH($C94,CCESAN!$A:$A,0)),
IF(CONCATENATE($A94,$B94)="CSCORIO",INDEX(CSCORIO!#REF!,MATCH($C94,CSCORIO!#REF!,0)),
IF(CONCATENATE($A94,$B94)="MERC",INDEX(MERCADO!$B:$B,MATCH($C94,MERCADO!$A:$A,0)),
IF(CONCATENATE($A94,$B94)="CCOMP",INDEX(COMPOSICAO!$B:$B,MATCH($C94,COMPOSICAO!$A:$A,0)),""
))))))))),"*Verificar código*"))</f>
        <v xml:space="preserve">Ducha Higienica Plastica Com Registro Metalico 1/2 "                                                                                                                                                                                                                                                                                                                                                                                                                                                      </v>
      </c>
      <c r="E94" s="118" t="str">
        <f>LOWER(IFERROR(
IF(CONCATENATE($A94,$B94)="IDER-ES",INDEX('IDER-ES'!$C:$C,MATCH($C94,'IDER-ES'!$A:$A,0)),
IF(CONCATENATE($A94,$B94)="CIOPES",INDEX('CDER-ES'!$C:$C,MATCH($C94,'CDER-ES'!$A:$A,0)),
IF(CONCATENATE($A94,$B94)="ISINAPI",INDEX(ISINAPI!$C:$C,MATCH($C94,ISINAPI!$A:$A,0)),
IF(CONCATENATE($A94,$B94)="CSINAPI",INDEX(CSINAPI!$C:$C,MATCH($C94,CSINAPI!$A:$A,0)),
IF(CONCATENATE($A94,$B94)="CCESAN",INDEX(CCESAN!$C:$C,MATCH($C94,CCESAN!$A:$A,0)),
IF(CONCATENATE($A94,$B94)="CSCORIO",INDEX(CSCORIO!$A:$A,MATCH($C94,CSCORIO!#REF!,0)),
IF(CONCATENATE($A94,$B94)="MERC",INDEX(MERCADO!$D:$D,MATCH($C94,MERCADO!$A:$A,0)),
IF(CONCATENATE($A94,$B94)="CCOMP",INDEX(COMPOSICAO!$H:$H,MATCH($C94,COMPOSICAO!$A:$A,0)),""
)))))))),""))</f>
        <v xml:space="preserve">un    </v>
      </c>
      <c r="F94" s="154">
        <v>1</v>
      </c>
      <c r="G94" s="119">
        <f>(IFERROR(
IF(CONCATENATE($A94,$B94)="IDER-ES",INDEX('IDER-ES'!$D:$D,MATCH($C94,'IDER-ES'!$A:$A,0)),
IF(CONCATENATE($A94,$B94)="CIOPES",INDEX('CDER-ES'!$D:$D,MATCH($C94,'CDER-ES'!$A:$A,0)),
IF(CONCATENATE($A94,$B94)="ISINAPI",INDEX(ISINAPI!$E:$E,MATCH($C94,ISINAPI!$A:$A,0)),
IF(CONCATENATE($A94,$B94)="CSINAPI",INDEX(CSINAPI!$D:$D,MATCH($C94,CSINAPI!$A:$A,0)),
IF(CONCATENATE($A94,$B94)="CCESAN",INDEX(CCESAN!$D:$D,MATCH($C94,CCESAN!$A:$A,0)),
IF(CONCATENATE($A94,$B94)="CSCORIO",INDEX(CSCORIO!$B:$B,MATCH($C94,CSCORIO!#REF!,0)),
IF(CONCATENATE($A94,$B94)="MERC",INDEX(MERCADO!$E:$E,MATCH($C94,MERCADO!$A:$A,0)),
IF(CONCATENATE($A94,$B94)="CCOMP",INDEX(COMPOSICAO!$H:$H,MATCH($C94,COMPOSICAO!$A:$A,0)),""
)))))))),""))</f>
        <v>104.17</v>
      </c>
      <c r="H94" s="119">
        <f t="shared" ref="H94:H97" si="10">IF(B94="","",ROUND(G94*F94,2))</f>
        <v>104.17</v>
      </c>
    </row>
    <row r="95" spans="1:9">
      <c r="A95" s="116" t="s">
        <v>12638</v>
      </c>
      <c r="B95" s="116" t="s">
        <v>12617</v>
      </c>
      <c r="C95" s="116">
        <v>69512</v>
      </c>
      <c r="D95" s="117" t="str">
        <f>PROPER(IFERROR(
IF(C95="","",
IF(CONCATENATE($A95,$B95)="IDER-ES",INDEX('IDER-ES'!$B:$B,MATCH($C95,'IDER-ES'!$A:$A,0)),
IF(CONCATENATE($A95,$B95)="CDER-ES",INDEX('CDER-ES'!$B:$B,MATCH($C95,'CDER-ES'!$A:$A,0)),
IF(CONCATENATE($A95,$B95)="ISINAPI",INDEX(ISINAPI!$B:$B,MATCH($C95,ISINAPI!$A:$A,0)),
IF(CONCATENATE($A95,$B95)="CSINAPI",INDEX(CSINAPI!$B:$B,MATCH($C95,CSINAPI!$A:$A,0)),
IF(CONCATENATE($A95,$B95)="CCESAN",INDEX(CCESAN!$B:$B,MATCH($C95,CCESAN!$A:$A,0)),
IF(CONCATENATE($A95,$B95)="CSCORIO",INDEX(CSCORIO!#REF!,MATCH($C95,CSCORIO!#REF!,0)),
IF(CONCATENATE($A95,$B95)="MERC",INDEX(MERCADO!$B:$B,MATCH($C95,MERCADO!$A:$A,0)),
IF(CONCATENATE($A95,$B95)="CCOMP",INDEX(COMPOSICAO!$B:$B,MATCH($C95,COMPOSICAO!$A:$A,0)),""
))))))))),"*Verificar código*"))</f>
        <v>Fita De Vedacao 18Mm X 50M</v>
      </c>
      <c r="E95" s="118" t="str">
        <f>LOWER(IFERROR(
IF(CONCATENATE($A95,$B95)="IDER-ES",INDEX('IDER-ES'!$C:$C,MATCH($C95,'IDER-ES'!$A:$A,0)),
IF(CONCATENATE($A95,$B95)="CIOPES",INDEX('CDER-ES'!$C:$C,MATCH($C95,'CDER-ES'!$A:$A,0)),
IF(CONCATENATE($A95,$B95)="ISINAPI",INDEX(ISINAPI!$C:$C,MATCH($C95,ISINAPI!$A:$A,0)),
IF(CONCATENATE($A95,$B95)="CSINAPI",INDEX(CSINAPI!$C:$C,MATCH($C95,CSINAPI!$A:$A,0)),
IF(CONCATENATE($A95,$B95)="CCESAN",INDEX(CCESAN!$C:$C,MATCH($C95,CCESAN!$A:$A,0)),
IF(CONCATENATE($A95,$B95)="CSCORIO",INDEX(CSCORIO!$A:$A,MATCH($C95,CSCORIO!#REF!,0)),
IF(CONCATENATE($A95,$B95)="MERC",INDEX(MERCADO!$D:$D,MATCH($C95,MERCADO!$A:$A,0)),
IF(CONCATENATE($A95,$B95)="CCOMP",INDEX(COMPOSICAO!$H:$H,MATCH($C95,COMPOSICAO!$A:$A,0)),""
)))))))),""))</f>
        <v>m</v>
      </c>
      <c r="F95" s="154">
        <v>0.28000000000000003</v>
      </c>
      <c r="G95" s="119">
        <f>(IFERROR(
IF(CONCATENATE($A95,$B95)="IDER-ES",INDEX('IDER-ES'!$D:$D,MATCH($C95,'IDER-ES'!$A:$A,0)),
IF(CONCATENATE($A95,$B95)="CIOPES",INDEX('CDER-ES'!$D:$D,MATCH($C95,'CDER-ES'!$A:$A,0)),
IF(CONCATENATE($A95,$B95)="ISINAPI",INDEX(ISINAPI!$E:$E,MATCH($C95,ISINAPI!$A:$A,0)),
IF(CONCATENATE($A95,$B95)="CSINAPI",INDEX(CSINAPI!$D:$D,MATCH($C95,CSINAPI!$A:$A,0)),
IF(CONCATENATE($A95,$B95)="CCESAN",INDEX(CCESAN!$D:$D,MATCH($C95,CCESAN!$A:$A,0)),
IF(CONCATENATE($A95,$B95)="CSCORIO",INDEX(CSCORIO!$B:$B,MATCH($C95,CSCORIO!#REF!,0)),
IF(CONCATENATE($A95,$B95)="MERC",INDEX(MERCADO!$E:$E,MATCH($C95,MERCADO!$A:$A,0)),
IF(CONCATENATE($A95,$B95)="CCOMP",INDEX(COMPOSICAO!$H:$H,MATCH($C95,COMPOSICAO!$A:$A,0)),""
)))))))),""))</f>
        <v>0.15</v>
      </c>
      <c r="H95" s="119">
        <f t="shared" si="10"/>
        <v>0.04</v>
      </c>
    </row>
    <row r="96" spans="1:9" ht="38.25">
      <c r="A96" s="116" t="s">
        <v>9107</v>
      </c>
      <c r="B96" s="116" t="s">
        <v>928</v>
      </c>
      <c r="C96" s="116">
        <v>88248</v>
      </c>
      <c r="D96" s="117" t="str">
        <f>PROPER(IFERROR(
IF(C96="","",
IF(CONCATENATE($A96,$B96)="IDER-ES",INDEX('IDER-ES'!$B:$B,MATCH($C96,'IDER-ES'!$A:$A,0)),
IF(CONCATENATE($A96,$B96)="CDER-ES",INDEX('CDER-ES'!$B:$B,MATCH($C96,'CDER-ES'!$A:$A,0)),
IF(CONCATENATE($A96,$B96)="ISINAPI",INDEX(ISINAPI!$B:$B,MATCH($C96,ISINAPI!$A:$A,0)),
IF(CONCATENATE($A96,$B96)="CSINAPI",INDEX(CSINAPI!$B:$B,MATCH($C96,CSINAPI!$A:$A,0)),
IF(CONCATENATE($A96,$B96)="CCESAN",INDEX(CCESAN!$B:$B,MATCH($C96,CCESAN!$A:$A,0)),
IF(CONCATENATE($A96,$B96)="CSCORIO",INDEX(CSCORIO!#REF!,MATCH($C96,CSCORIO!#REF!,0)),
IF(CONCATENATE($A96,$B96)="MERC",INDEX(MERCADO!$B:$B,MATCH($C96,MERCADO!$A:$A,0)),
IF(CONCATENATE($A96,$B96)="CCOMP",INDEX(COMPOSICAO!$B:$B,MATCH($C96,COMPOSICAO!$A:$A,0)),""
))))))))),"*Verificar código*"))</f>
        <v>Auxiliar De Encanador Ou Bombeiro Hidráulico Com Encargos Complementares</v>
      </c>
      <c r="E96" s="118" t="str">
        <f>LOWER(IFERROR(
IF(CONCATENATE($A96,$B96)="IDER-ES",INDEX('IDER-ES'!$C:$C,MATCH($C96,'IDER-ES'!$A:$A,0)),
IF(CONCATENATE($A96,$B96)="CIOPES",INDEX('CDER-ES'!$C:$C,MATCH($C96,'CDER-ES'!$A:$A,0)),
IF(CONCATENATE($A96,$B96)="ISINAPI",INDEX(ISINAPI!$C:$C,MATCH($C96,ISINAPI!$A:$A,0)),
IF(CONCATENATE($A96,$B96)="CSINAPI",INDEX(CSINAPI!$C:$C,MATCH($C96,CSINAPI!$A:$A,0)),
IF(CONCATENATE($A96,$B96)="CCESAN",INDEX(CCESAN!$C:$C,MATCH($C96,CCESAN!$A:$A,0)),
IF(CONCATENATE($A96,$B96)="CSCORIO",INDEX(CSCORIO!$A:$A,MATCH($C96,CSCORIO!#REF!,0)),
IF(CONCATENATE($A96,$B96)="MERC",INDEX(MERCADO!$D:$D,MATCH($C96,MERCADO!$A:$A,0)),
IF(CONCATENATE($A96,$B96)="CCOMP",INDEX(COMPOSICAO!$H:$H,MATCH($C96,COMPOSICAO!$A:$A,0)),""
)))))))),""))</f>
        <v>h</v>
      </c>
      <c r="F96" s="154">
        <v>0.5</v>
      </c>
      <c r="G96" s="119">
        <f>(IFERROR(
IF(CONCATENATE($A96,$B96)="IDER-ES",INDEX('IDER-ES'!$D:$D,MATCH($C96,'IDER-ES'!$A:$A,0)),
IF(CONCATENATE($A96,$B96)="CIOPES",INDEX('CDER-ES'!$D:$D,MATCH($C96,'CDER-ES'!$A:$A,0)),
IF(CONCATENATE($A96,$B96)="ISINAPI",INDEX(ISINAPI!$E:$E,MATCH($C96,ISINAPI!$A:$A,0)),
IF(CONCATENATE($A96,$B96)="CSINAPI",INDEX(CSINAPI!$D:$D,MATCH($C96,CSINAPI!$A:$A,0)),
IF(CONCATENATE($A96,$B96)="CCESAN",INDEX(CCESAN!$D:$D,MATCH($C96,CCESAN!$A:$A,0)),
IF(CONCATENATE($A96,$B96)="CSCORIO",INDEX(CSCORIO!$B:$B,MATCH($C96,CSCORIO!#REF!,0)),
IF(CONCATENATE($A96,$B96)="MERC",INDEX(MERCADO!$E:$E,MATCH($C96,MERCADO!$A:$A,0)),
IF(CONCATENATE($A96,$B96)="CCOMP",INDEX(COMPOSICAO!$H:$H,MATCH($C96,COMPOSICAO!$A:$A,0)),""
)))))))),""))</f>
        <v>20.62</v>
      </c>
      <c r="H96" s="119">
        <f t="shared" si="10"/>
        <v>10.31</v>
      </c>
    </row>
    <row r="97" spans="1:8" ht="25.5">
      <c r="A97" s="116" t="s">
        <v>9107</v>
      </c>
      <c r="B97" s="116" t="s">
        <v>928</v>
      </c>
      <c r="C97" s="116">
        <v>88267</v>
      </c>
      <c r="D97" s="117" t="str">
        <f>PROPER(IFERROR(
IF(C97="","",
IF(CONCATENATE($A97,$B97)="IDER-ES",INDEX('IDER-ES'!$B:$B,MATCH($C97,'IDER-ES'!$A:$A,0)),
IF(CONCATENATE($A97,$B97)="CDER-ES",INDEX('CDER-ES'!$B:$B,MATCH($C97,'CDER-ES'!$A:$A,0)),
IF(CONCATENATE($A97,$B97)="ISINAPI",INDEX(ISINAPI!$B:$B,MATCH($C97,ISINAPI!$A:$A,0)),
IF(CONCATENATE($A97,$B97)="CSINAPI",INDEX(CSINAPI!$B:$B,MATCH($C97,CSINAPI!$A:$A,0)),
IF(CONCATENATE($A97,$B97)="CCESAN",INDEX(CCESAN!$B:$B,MATCH($C97,CCESAN!$A:$A,0)),
IF(CONCATENATE($A97,$B97)="CSCORIO",INDEX(CSCORIO!#REF!,MATCH($C97,CSCORIO!#REF!,0)),
IF(CONCATENATE($A97,$B97)="MERC",INDEX(MERCADO!$B:$B,MATCH($C97,MERCADO!$A:$A,0)),
IF(CONCATENATE($A97,$B97)="CCOMP",INDEX(COMPOSICAO!$B:$B,MATCH($C97,COMPOSICAO!$A:$A,0)),""
))))))))),"*Verificar código*"))</f>
        <v>Encanador Ou Bombeiro Hidráulico Com Encargos Complementares</v>
      </c>
      <c r="E97" s="118" t="str">
        <f>LOWER(IFERROR(
IF(CONCATENATE($A97,$B97)="IDER-ES",INDEX('IDER-ES'!$C:$C,MATCH($C97,'IDER-ES'!$A:$A,0)),
IF(CONCATENATE($A97,$B97)="CIOPES",INDEX('CDER-ES'!$C:$C,MATCH($C97,'CDER-ES'!$A:$A,0)),
IF(CONCATENATE($A97,$B97)="ISINAPI",INDEX(ISINAPI!$C:$C,MATCH($C97,ISINAPI!$A:$A,0)),
IF(CONCATENATE($A97,$B97)="CSINAPI",INDEX(CSINAPI!$C:$C,MATCH($C97,CSINAPI!$A:$A,0)),
IF(CONCATENATE($A97,$B97)="CCESAN",INDEX(CCESAN!$C:$C,MATCH($C97,CCESAN!$A:$A,0)),
IF(CONCATENATE($A97,$B97)="CSCORIO",INDEX(CSCORIO!$A:$A,MATCH($C97,CSCORIO!#REF!,0)),
IF(CONCATENATE($A97,$B97)="MERC",INDEX(MERCADO!$D:$D,MATCH($C97,MERCADO!$A:$A,0)),
IF(CONCATENATE($A97,$B97)="CCOMP",INDEX(COMPOSICAO!$H:$H,MATCH($C97,COMPOSICAO!$A:$A,0)),""
)))))))),""))</f>
        <v>h</v>
      </c>
      <c r="F97" s="154">
        <v>0.5</v>
      </c>
      <c r="G97" s="119">
        <f>(IFERROR(
IF(CONCATENATE($A97,$B97)="IDER-ES",INDEX('IDER-ES'!$D:$D,MATCH($C97,'IDER-ES'!$A:$A,0)),
IF(CONCATENATE($A97,$B97)="CIOPES",INDEX('CDER-ES'!$D:$D,MATCH($C97,'CDER-ES'!$A:$A,0)),
IF(CONCATENATE($A97,$B97)="ISINAPI",INDEX(ISINAPI!$E:$E,MATCH($C97,ISINAPI!$A:$A,0)),
IF(CONCATENATE($A97,$B97)="CSINAPI",INDEX(CSINAPI!$D:$D,MATCH($C97,CSINAPI!$A:$A,0)),
IF(CONCATENATE($A97,$B97)="CCESAN",INDEX(CCESAN!$D:$D,MATCH($C97,CCESAN!$A:$A,0)),
IF(CONCATENATE($A97,$B97)="CSCORIO",INDEX(CSCORIO!$B:$B,MATCH($C97,CSCORIO!#REF!,0)),
IF(CONCATENATE($A97,$B97)="MERC",INDEX(MERCADO!$E:$E,MATCH($C97,MERCADO!$A:$A,0)),
IF(CONCATENATE($A97,$B97)="CCOMP",INDEX(COMPOSICAO!$H:$H,MATCH($C97,COMPOSICAO!$A:$A,0)),""
)))))))),""))</f>
        <v>23.69</v>
      </c>
      <c r="H97" s="119">
        <f t="shared" si="10"/>
        <v>11.85</v>
      </c>
    </row>
    <row r="99" spans="1:8" ht="20.100000000000001" customHeight="1">
      <c r="A99" s="158"/>
      <c r="B99" s="382" t="s">
        <v>931</v>
      </c>
      <c r="C99" s="383"/>
      <c r="D99" s="383"/>
      <c r="E99" s="383"/>
      <c r="F99" s="384"/>
      <c r="G99" s="108" t="s">
        <v>7264</v>
      </c>
      <c r="H99" s="109" t="s">
        <v>7250</v>
      </c>
    </row>
    <row r="100" spans="1:8" ht="30" customHeight="1">
      <c r="A100" s="111">
        <v>11</v>
      </c>
      <c r="B100" s="385" t="s">
        <v>14221</v>
      </c>
      <c r="C100" s="386"/>
      <c r="D100" s="386"/>
      <c r="E100" s="386"/>
      <c r="F100" s="387"/>
      <c r="G100" s="112" t="s">
        <v>7264</v>
      </c>
      <c r="H100" s="182">
        <f>SUM(H102:H104)</f>
        <v>81.459999999999994</v>
      </c>
    </row>
    <row r="101" spans="1:8" ht="25.5">
      <c r="A101" s="114" t="s">
        <v>935</v>
      </c>
      <c r="B101" s="114" t="s">
        <v>936</v>
      </c>
      <c r="C101" s="114" t="s">
        <v>28</v>
      </c>
      <c r="D101" s="114" t="s">
        <v>932</v>
      </c>
      <c r="E101" s="114" t="s">
        <v>29</v>
      </c>
      <c r="F101" s="155" t="s">
        <v>2098</v>
      </c>
      <c r="G101" s="115" t="s">
        <v>7248</v>
      </c>
      <c r="H101" s="115" t="s">
        <v>7249</v>
      </c>
    </row>
    <row r="102" spans="1:8" ht="25.5">
      <c r="A102" s="116" t="s">
        <v>12638</v>
      </c>
      <c r="B102" s="116" t="s">
        <v>928</v>
      </c>
      <c r="C102" s="116">
        <v>37401</v>
      </c>
      <c r="D102" s="117" t="str">
        <f>PROPER(IFERROR(
IF(C102="","",
IF(CONCATENATE($A102,$B102)="IDER-ES",INDEX('IDER-ES'!$B:$B,MATCH($C102,'IDER-ES'!$A:$A,0)),
IF(CONCATENATE($A102,$B102)="CDER-ES",INDEX('CDER-ES'!$B:$B,MATCH($C102,'CDER-ES'!$A:$A,0)),
IF(CONCATENATE($A102,$B102)="ISINAPI",INDEX(ISINAPI!$B:$B,MATCH($C102,ISINAPI!$A:$A,0)),
IF(CONCATENATE($A102,$B102)="CSINAPI",INDEX(CSINAPI!$B:$B,MATCH($C102,CSINAPI!$A:$A,0)),
IF(CONCATENATE($A102,$B102)="CCESAN",INDEX(CCESAN!$B:$B,MATCH($C102,CCESAN!$A:$A,0)),
IF(CONCATENATE($A102,$B102)="CSCORIO",INDEX(CSCORIO!#REF!,MATCH($C102,CSCORIO!#REF!,0)),
IF(CONCATENATE($A102,$B102)="MERC",INDEX(MERCADO!$B:$B,MATCH($C102,MERCADO!$A:$A,0)),
IF(CONCATENATE($A102,$B102)="CCOMP",INDEX(COMPOSICAO!$B:$B,MATCH($C102,COMPOSICAO!$A:$A,0)),""
))))))))),"*Verificar código*"))</f>
        <v xml:space="preserve">Toalheiro Plastico Tipo Dispenser Para Papel Toalha Interfolhado                                                                                                                                                                                                                                                                                                                                                                                                                                          </v>
      </c>
      <c r="E102" s="118" t="str">
        <f>LOWER(IFERROR(
IF(CONCATENATE($A102,$B102)="IDER-ES",INDEX('IDER-ES'!$C:$C,MATCH($C102,'IDER-ES'!$A:$A,0)),
IF(CONCATENATE($A102,$B102)="CIOPES",INDEX('CDER-ES'!$C:$C,MATCH($C102,'CDER-ES'!$A:$A,0)),
IF(CONCATENATE($A102,$B102)="ISINAPI",INDEX(ISINAPI!$C:$C,MATCH($C102,ISINAPI!$A:$A,0)),
IF(CONCATENATE($A102,$B102)="CSINAPI",INDEX(CSINAPI!$C:$C,MATCH($C102,CSINAPI!$A:$A,0)),
IF(CONCATENATE($A102,$B102)="CCESAN",INDEX(CCESAN!$C:$C,MATCH($C102,CCESAN!$A:$A,0)),
IF(CONCATENATE($A102,$B102)="CSCORIO",INDEX(CSCORIO!$A:$A,MATCH($C102,CSCORIO!#REF!,0)),
IF(CONCATENATE($A102,$B102)="MERC",INDEX(MERCADO!$D:$D,MATCH($C102,MERCADO!$A:$A,0)),
IF(CONCATENATE($A102,$B102)="CCOMP",INDEX(COMPOSICAO!$H:$H,MATCH($C102,COMPOSICAO!$A:$A,0)),""
)))))))),""))</f>
        <v xml:space="preserve">un    </v>
      </c>
      <c r="F102" s="154">
        <v>1</v>
      </c>
      <c r="G102" s="119">
        <f>(IFERROR(
IF(CONCATENATE($A102,$B102)="IDER-ES",INDEX('IDER-ES'!$D:$D,MATCH($C102,'IDER-ES'!$A:$A,0)),
IF(CONCATENATE($A102,$B102)="CIOPES",INDEX('CDER-ES'!$D:$D,MATCH($C102,'CDER-ES'!$A:$A,0)),
IF(CONCATENATE($A102,$B102)="ISINAPI",INDEX(ISINAPI!$E:$E,MATCH($C102,ISINAPI!$A:$A,0)),
IF(CONCATENATE($A102,$B102)="CSINAPI",INDEX(CSINAPI!$D:$D,MATCH($C102,CSINAPI!$A:$A,0)),
IF(CONCATENATE($A102,$B102)="CCESAN",INDEX(CCESAN!$D:$D,MATCH($C102,CCESAN!$A:$A,0)),
IF(CONCATENATE($A102,$B102)="CSCORIO",INDEX(CSCORIO!$B:$B,MATCH($C102,CSCORIO!#REF!,0)),
IF(CONCATENATE($A102,$B102)="MERC",INDEX(MERCADO!$E:$E,MATCH($C102,MERCADO!$A:$A,0)),
IF(CONCATENATE($A102,$B102)="CCOMP",INDEX(COMPOSICAO!$H:$H,MATCH($C102,COMPOSICAO!$A:$A,0)),""
)))))))),""))</f>
        <v>71.819999999999993</v>
      </c>
      <c r="H102" s="119">
        <f t="shared" ref="H102:H104" si="11">IF(B102="","",ROUND(G102*F102,2))</f>
        <v>71.819999999999993</v>
      </c>
    </row>
    <row r="103" spans="1:8" ht="38.25">
      <c r="A103" s="116" t="s">
        <v>9107</v>
      </c>
      <c r="B103" s="116" t="s">
        <v>928</v>
      </c>
      <c r="C103" s="116">
        <v>88248</v>
      </c>
      <c r="D103" s="117" t="str">
        <f>PROPER(IFERROR(
IF(C103="","",
IF(CONCATENATE($A103,$B103)="IDER-ES",INDEX('IDER-ES'!$B:$B,MATCH($C103,'IDER-ES'!$A:$A,0)),
IF(CONCATENATE($A103,$B103)="CDER-ES",INDEX('CDER-ES'!$B:$B,MATCH($C103,'CDER-ES'!$A:$A,0)),
IF(CONCATENATE($A103,$B103)="ISINAPI",INDEX(ISINAPI!$B:$B,MATCH($C103,ISINAPI!$A:$A,0)),
IF(CONCATENATE($A103,$B103)="CSINAPI",INDEX(CSINAPI!$B:$B,MATCH($C103,CSINAPI!$A:$A,0)),
IF(CONCATENATE($A103,$B103)="CCESAN",INDEX(CCESAN!$B:$B,MATCH($C103,CCESAN!$A:$A,0)),
IF(CONCATENATE($A103,$B103)="CSCORIO",INDEX(CSCORIO!#REF!,MATCH($C103,CSCORIO!#REF!,0)),
IF(CONCATENATE($A103,$B103)="MERC",INDEX(MERCADO!$B:$B,MATCH($C103,MERCADO!$A:$A,0)),
IF(CONCATENATE($A103,$B103)="CCOMP",INDEX(COMPOSICAO!$B:$B,MATCH($C103,COMPOSICAO!$A:$A,0)),""
))))))))),"*Verificar código*"))</f>
        <v>Auxiliar De Encanador Ou Bombeiro Hidráulico Com Encargos Complementares</v>
      </c>
      <c r="E103" s="118" t="str">
        <f>LOWER(IFERROR(
IF(CONCATENATE($A103,$B103)="IDER-ES",INDEX('IDER-ES'!$C:$C,MATCH($C103,'IDER-ES'!$A:$A,0)),
IF(CONCATENATE($A103,$B103)="CIOPES",INDEX('CDER-ES'!$C:$C,MATCH($C103,'CDER-ES'!$A:$A,0)),
IF(CONCATENATE($A103,$B103)="ISINAPI",INDEX(ISINAPI!$C:$C,MATCH($C103,ISINAPI!$A:$A,0)),
IF(CONCATENATE($A103,$B103)="CSINAPI",INDEX(CSINAPI!$C:$C,MATCH($C103,CSINAPI!$A:$A,0)),
IF(CONCATENATE($A103,$B103)="CCESAN",INDEX(CCESAN!$C:$C,MATCH($C103,CCESAN!$A:$A,0)),
IF(CONCATENATE($A103,$B103)="CSCORIO",INDEX(CSCORIO!$A:$A,MATCH($C103,CSCORIO!#REF!,0)),
IF(CONCATENATE($A103,$B103)="MERC",INDEX(MERCADO!$D:$D,MATCH($C103,MERCADO!$A:$A,0)),
IF(CONCATENATE($A103,$B103)="CCOMP",INDEX(COMPOSICAO!$H:$H,MATCH($C103,COMPOSICAO!$A:$A,0)),""
)))))))),""))</f>
        <v>h</v>
      </c>
      <c r="F103" s="154">
        <v>0.1</v>
      </c>
      <c r="G103" s="119">
        <f>(IFERROR(
IF(CONCATENATE($A103,$B103)="IDER-ES",INDEX('IDER-ES'!$D:$D,MATCH($C103,'IDER-ES'!$A:$A,0)),
IF(CONCATENATE($A103,$B103)="CIOPES",INDEX('CDER-ES'!$D:$D,MATCH($C103,'CDER-ES'!$A:$A,0)),
IF(CONCATENATE($A103,$B103)="ISINAPI",INDEX(ISINAPI!$E:$E,MATCH($C103,ISINAPI!$A:$A,0)),
IF(CONCATENATE($A103,$B103)="CSINAPI",INDEX(CSINAPI!$D:$D,MATCH($C103,CSINAPI!$A:$A,0)),
IF(CONCATENATE($A103,$B103)="CCESAN",INDEX(CCESAN!$D:$D,MATCH($C103,CCESAN!$A:$A,0)),
IF(CONCATENATE($A103,$B103)="CSCORIO",INDEX(CSCORIO!$B:$B,MATCH($C103,CSCORIO!#REF!,0)),
IF(CONCATENATE($A103,$B103)="MERC",INDEX(MERCADO!$E:$E,MATCH($C103,MERCADO!$A:$A,0)),
IF(CONCATENATE($A103,$B103)="CCOMP",INDEX(COMPOSICAO!$H:$H,MATCH($C103,COMPOSICAO!$A:$A,0)),""
)))))))),""))</f>
        <v>20.62</v>
      </c>
      <c r="H103" s="119">
        <f t="shared" si="11"/>
        <v>2.06</v>
      </c>
    </row>
    <row r="104" spans="1:8" ht="25.5">
      <c r="A104" s="116" t="s">
        <v>9107</v>
      </c>
      <c r="B104" s="116" t="s">
        <v>928</v>
      </c>
      <c r="C104" s="116">
        <v>88267</v>
      </c>
      <c r="D104" s="117" t="str">
        <f>PROPER(IFERROR(
IF(C104="","",
IF(CONCATENATE($A104,$B104)="IDER-ES",INDEX('IDER-ES'!$B:$B,MATCH($C104,'IDER-ES'!$A:$A,0)),
IF(CONCATENATE($A104,$B104)="CDER-ES",INDEX('CDER-ES'!$B:$B,MATCH($C104,'CDER-ES'!$A:$A,0)),
IF(CONCATENATE($A104,$B104)="ISINAPI",INDEX(ISINAPI!$B:$B,MATCH($C104,ISINAPI!$A:$A,0)),
IF(CONCATENATE($A104,$B104)="CSINAPI",INDEX(CSINAPI!$B:$B,MATCH($C104,CSINAPI!$A:$A,0)),
IF(CONCATENATE($A104,$B104)="CCESAN",INDEX(CCESAN!$B:$B,MATCH($C104,CCESAN!$A:$A,0)),
IF(CONCATENATE($A104,$B104)="CSCORIO",INDEX(CSCORIO!#REF!,MATCH($C104,CSCORIO!#REF!,0)),
IF(CONCATENATE($A104,$B104)="MERC",INDEX(MERCADO!$B:$B,MATCH($C104,MERCADO!$A:$A,0)),
IF(CONCATENATE($A104,$B104)="CCOMP",INDEX(COMPOSICAO!$B:$B,MATCH($C104,COMPOSICAO!$A:$A,0)),""
))))))))),"*Verificar código*"))</f>
        <v>Encanador Ou Bombeiro Hidráulico Com Encargos Complementares</v>
      </c>
      <c r="E104" s="118" t="str">
        <f>LOWER(IFERROR(
IF(CONCATENATE($A104,$B104)="IDER-ES",INDEX('IDER-ES'!$C:$C,MATCH($C104,'IDER-ES'!$A:$A,0)),
IF(CONCATENATE($A104,$B104)="CIOPES",INDEX('CDER-ES'!$C:$C,MATCH($C104,'CDER-ES'!$A:$A,0)),
IF(CONCATENATE($A104,$B104)="ISINAPI",INDEX(ISINAPI!$C:$C,MATCH($C104,ISINAPI!$A:$A,0)),
IF(CONCATENATE($A104,$B104)="CSINAPI",INDEX(CSINAPI!$C:$C,MATCH($C104,CSINAPI!$A:$A,0)),
IF(CONCATENATE($A104,$B104)="CCESAN",INDEX(CCESAN!$C:$C,MATCH($C104,CCESAN!$A:$A,0)),
IF(CONCATENATE($A104,$B104)="CSCORIO",INDEX(CSCORIO!$A:$A,MATCH($C104,CSCORIO!#REF!,0)),
IF(CONCATENATE($A104,$B104)="MERC",INDEX(MERCADO!$D:$D,MATCH($C104,MERCADO!$A:$A,0)),
IF(CONCATENATE($A104,$B104)="CCOMP",INDEX(COMPOSICAO!$H:$H,MATCH($C104,COMPOSICAO!$A:$A,0)),""
)))))))),""))</f>
        <v>h</v>
      </c>
      <c r="F104" s="154">
        <v>0.32</v>
      </c>
      <c r="G104" s="119">
        <f>(IFERROR(
IF(CONCATENATE($A104,$B104)="IDER-ES",INDEX('IDER-ES'!$D:$D,MATCH($C104,'IDER-ES'!$A:$A,0)),
IF(CONCATENATE($A104,$B104)="CIOPES",INDEX('CDER-ES'!$D:$D,MATCH($C104,'CDER-ES'!$A:$A,0)),
IF(CONCATENATE($A104,$B104)="ISINAPI",INDEX(ISINAPI!$E:$E,MATCH($C104,ISINAPI!$A:$A,0)),
IF(CONCATENATE($A104,$B104)="CSINAPI",INDEX(CSINAPI!$D:$D,MATCH($C104,CSINAPI!$A:$A,0)),
IF(CONCATENATE($A104,$B104)="CCESAN",INDEX(CCESAN!$D:$D,MATCH($C104,CCESAN!$A:$A,0)),
IF(CONCATENATE($A104,$B104)="CSCORIO",INDEX(CSCORIO!$B:$B,MATCH($C104,CSCORIO!#REF!,0)),
IF(CONCATENATE($A104,$B104)="MERC",INDEX(MERCADO!$E:$E,MATCH($C104,MERCADO!$A:$A,0)),
IF(CONCATENATE($A104,$B104)="CCOMP",INDEX(COMPOSICAO!$H:$H,MATCH($C104,COMPOSICAO!$A:$A,0)),""
)))))))),""))</f>
        <v>23.69</v>
      </c>
      <c r="H104" s="119">
        <f t="shared" si="11"/>
        <v>7.58</v>
      </c>
    </row>
    <row r="105" spans="1:8" ht="15" customHeight="1">
      <c r="A105" s="223" t="s">
        <v>19113</v>
      </c>
    </row>
    <row r="106" spans="1:8" ht="30" customHeight="1">
      <c r="A106" s="395" t="s">
        <v>14220</v>
      </c>
      <c r="B106" s="395"/>
      <c r="C106" s="395"/>
      <c r="D106" s="395"/>
      <c r="E106" s="395"/>
      <c r="F106" s="395"/>
      <c r="G106" s="395"/>
      <c r="H106" s="395"/>
    </row>
    <row r="107" spans="1:8" ht="7.5" customHeight="1"/>
    <row r="108" spans="1:8">
      <c r="A108" s="158"/>
      <c r="B108" s="382" t="s">
        <v>931</v>
      </c>
      <c r="C108" s="383"/>
      <c r="D108" s="383"/>
      <c r="E108" s="383"/>
      <c r="F108" s="384"/>
      <c r="G108" s="108" t="s">
        <v>7264</v>
      </c>
      <c r="H108" s="109" t="s">
        <v>7250</v>
      </c>
    </row>
    <row r="109" spans="1:8" ht="30" customHeight="1">
      <c r="A109" s="111">
        <v>12</v>
      </c>
      <c r="B109" s="385" t="s">
        <v>14912</v>
      </c>
      <c r="C109" s="386"/>
      <c r="D109" s="386"/>
      <c r="E109" s="386"/>
      <c r="F109" s="387"/>
      <c r="G109" s="112" t="s">
        <v>7264</v>
      </c>
      <c r="H109" s="182">
        <f>SUM(H111:H114)</f>
        <v>3987.19</v>
      </c>
    </row>
    <row r="110" spans="1:8" ht="25.5">
      <c r="A110" s="114" t="s">
        <v>935</v>
      </c>
      <c r="B110" s="114" t="s">
        <v>936</v>
      </c>
      <c r="C110" s="114" t="s">
        <v>28</v>
      </c>
      <c r="D110" s="114" t="s">
        <v>932</v>
      </c>
      <c r="E110" s="114" t="s">
        <v>29</v>
      </c>
      <c r="F110" s="155" t="s">
        <v>2098</v>
      </c>
      <c r="G110" s="115" t="s">
        <v>7248</v>
      </c>
      <c r="H110" s="115" t="s">
        <v>7249</v>
      </c>
    </row>
    <row r="111" spans="1:8" ht="38.25">
      <c r="A111" s="116"/>
      <c r="B111" s="116" t="s">
        <v>930</v>
      </c>
      <c r="C111" s="116">
        <v>2</v>
      </c>
      <c r="D111" s="117" t="str">
        <f>PROPER(IFERROR(
IF(C111="","",
IF(CONCATENATE($A111,$B111)="IDER-ES",INDEX('IDER-ES'!$B:$B,MATCH($C111,'IDER-ES'!$A:$A,0)),
IF(CONCATENATE($A111,$B111)="CDER-ES",INDEX('CDER-ES'!$B:$B,MATCH($C111,'CDER-ES'!$A:$A,0)),
IF(CONCATENATE($A111,$B111)="ISINAPI",INDEX(ISINAPI!$B:$B,MATCH($C111,ISINAPI!$A:$A,0)),
IF(CONCATENATE($A111,$B111)="CSINAPI",INDEX(CSINAPI!$B:$B,MATCH($C111,CSINAPI!$A:$A,0)),
IF(CONCATENATE($A111,$B111)="CCESAN",INDEX(CCESAN!$B:$B,MATCH($C111,CCESAN!$A:$A,0)),
IF(CONCATENATE($A111,$B111)="CSCORIO",INDEX(CSCORIO!#REF!,MATCH($C111,CSCORIO!#REF!,0)),
IF(CONCATENATE($A111,$B111)="MERC",INDEX(MERCADO!$B:$B,MATCH($C111,MERCADO!$A:$A,0)),
IF(CONCATENATE($A111,$B111)="CCOMP",INDEX(COMPOSICAO!$B:$B,MATCH($C111,COMPOSICAO!$A:$A,0)),""
))))))))),"*Verificar código*"))</f>
        <v>Placa De Inauguração Em Inox Com Gravação Em Baixo Relevo, Dimensões 80 X 110 Cm</v>
      </c>
      <c r="E111" s="118" t="str">
        <f>LOWER(IFERROR(
IF(CONCATENATE($A111,$B111)="IDER-ES",INDEX('IDER-ES'!$C:$C,MATCH($C111,'IDER-ES'!$A:$A,0)),
IF(CONCATENATE($A111,$B111)="CIOPES",INDEX('CDER-ES'!$C:$C,MATCH($C111,'CDER-ES'!$A:$A,0)),
IF(CONCATENATE($A111,$B111)="ISINAPI",INDEX(ISINAPI!$C:$C,MATCH($C111,ISINAPI!$A:$A,0)),
IF(CONCATENATE($A111,$B111)="CSINAPI",INDEX(CSINAPI!$C:$C,MATCH($C111,CSINAPI!$A:$A,0)),
IF(CONCATENATE($A111,$B111)="CCESAN",INDEX(CCESAN!$C:$C,MATCH($C111,CCESAN!$A:$A,0)),
IF(CONCATENATE($A111,$B111)="CSCORIO",INDEX(CSCORIO!$A:$A,MATCH($C111,CSCORIO!#REF!,0)),
IF(CONCATENATE($A111,$B111)="MERC",INDEX(MERCADO!$D:$D,MATCH($C111,MERCADO!$A:$A,0)),
IF(CONCATENATE($A111,$B111)="CCOMP",INDEX(COMPOSICAO!$H:$H,MATCH($C111,COMPOSICAO!$A:$A,0)),""
)))))))),""))</f>
        <v>und</v>
      </c>
      <c r="F111" s="154">
        <v>1</v>
      </c>
      <c r="G111" s="214">
        <f>(IFERROR(
IF(CONCATENATE($A111,$B111)="IDER-ES",INDEX('IDER-ES'!$D:$D,MATCH($C111,'IDER-ES'!$A:$A,0)),
IF(CONCATENATE($A111,$B111)="CIOPES",INDEX('CDER-ES'!$D:$D,MATCH($C111,'CDER-ES'!$A:$A,0)),
IF(CONCATENATE($A111,$B111)="ISINAPI",INDEX(ISINAPI!$E:$E,MATCH($C111,ISINAPI!$A:$A,0)),
IF(CONCATENATE($A111,$B111)="CSINAPI",INDEX(CSINAPI!$D:$D,MATCH($C111,CSINAPI!$A:$A,0)),
IF(CONCATENATE($A111,$B111)="CCESAN",INDEX(CCESAN!$D:$D,MATCH($C111,CCESAN!$A:$A,0)),
IF(CONCATENATE($A111,$B111)="CSCORIO",INDEX(CSCORIO!$B:$B,MATCH($C111,CSCORIO!#REF!,0)),
IF(CONCATENATE($A111,$B111)="MERC",INDEX(MERCADO!$E:$E,MATCH($C111,MERCADO!$A:$A,0)),
IF(CONCATENATE($A111,$B111)="CCOMP",INDEX(COMPOSICAO!$H:$H,MATCH($C111,COMPOSICAO!$A:$A,0)),""
)))))))),""))</f>
        <v>3939.33</v>
      </c>
      <c r="H111" s="214">
        <f t="shared" ref="H111" si="12">IF(B111="","",ROUND(G111*F111,2))</f>
        <v>3939.33</v>
      </c>
    </row>
    <row r="112" spans="1:8" ht="25.5">
      <c r="A112" s="116" t="s">
        <v>12638</v>
      </c>
      <c r="B112" s="116" t="s">
        <v>12617</v>
      </c>
      <c r="C112" s="116">
        <v>37090</v>
      </c>
      <c r="D112" s="117" t="str">
        <f>PROPER(IFERROR(
IF(C112="","",
IF(CONCATENATE($A112,$B112)="IDER-ES",INDEX('IDER-ES'!$B:$B,MATCH($C112,'IDER-ES'!$A:$A,0)),
IF(CONCATENATE($A112,$B112)="CDER-ES",INDEX('CDER-ES'!$B:$B,MATCH($C112,'CDER-ES'!$A:$A,0)),
IF(CONCATENATE($A112,$B112)="ISINAPI",INDEX(ISINAPI!$B:$B,MATCH($C112,ISINAPI!$A:$A,0)),
IF(CONCATENATE($A112,$B112)="CSINAPI",INDEX(CSINAPI!$B:$B,MATCH($C112,CSINAPI!$A:$A,0)),
IF(CONCATENATE($A112,$B112)="CCESAN",INDEX(CCESAN!$B:$B,MATCH($C112,CCESAN!$A:$A,0)),
IF(CONCATENATE($A112,$B112)="CSCORIO",INDEX(CSCORIO!#REF!,MATCH($C112,CSCORIO!#REF!,0)),
IF(CONCATENATE($A112,$B112)="MERC",INDEX(MERCADO!$B:$B,MATCH($C112,MERCADO!$A:$A,0)),
IF(CONCATENATE($A112,$B112)="CCOMP",INDEX(COMPOSICAO!$B:$B,MATCH($C112,COMPOSICAO!$A:$A,0)),""
))))))))),"*Verificar código*"))</f>
        <v>Botao Frances P/Fixacao De Espelhos, Cromado</v>
      </c>
      <c r="E112" s="118" t="str">
        <f>LOWER(IFERROR(
IF(CONCATENATE($A112,$B112)="IDER-ES",INDEX('IDER-ES'!$C:$C,MATCH($C112,'IDER-ES'!$A:$A,0)),
IF(CONCATENATE($A112,$B112)="CIOPES",INDEX('CDER-ES'!$C:$C,MATCH($C112,'CDER-ES'!$A:$A,0)),
IF(CONCATENATE($A112,$B112)="ISINAPI",INDEX(ISINAPI!$C:$C,MATCH($C112,ISINAPI!$A:$A,0)),
IF(CONCATENATE($A112,$B112)="CSINAPI",INDEX(CSINAPI!$C:$C,MATCH($C112,CSINAPI!$A:$A,0)),
IF(CONCATENATE($A112,$B112)="CCESAN",INDEX(CCESAN!$C:$C,MATCH($C112,CCESAN!$A:$A,0)),
IF(CONCATENATE($A112,$B112)="CSCORIO",INDEX(CSCORIO!$A:$A,MATCH($C112,CSCORIO!#REF!,0)),
IF(CONCATENATE($A112,$B112)="MERC",INDEX(MERCADO!$D:$D,MATCH($C112,MERCADO!$A:$A,0)),
IF(CONCATENATE($A112,$B112)="CCOMP",INDEX(COMPOSICAO!$H:$H,MATCH($C112,COMPOSICAO!$A:$A,0)),""
)))))))),""))</f>
        <v>un</v>
      </c>
      <c r="F112" s="154">
        <v>1</v>
      </c>
      <c r="G112" s="119">
        <f>(IFERROR(
IF(CONCATENATE($A112,$B112)="IDER-ES",INDEX('IDER-ES'!$D:$D,MATCH($C112,'IDER-ES'!$A:$A,0)),
IF(CONCATENATE($A112,$B112)="CIOPES",INDEX('CDER-ES'!$D:$D,MATCH($C112,'CDER-ES'!$A:$A,0)),
IF(CONCATENATE($A112,$B112)="ISINAPI",INDEX(ISINAPI!$E:$E,MATCH($C112,ISINAPI!$A:$A,0)),
IF(CONCATENATE($A112,$B112)="CSINAPI",INDEX(CSINAPI!$D:$D,MATCH($C112,CSINAPI!$A:$A,0)),
IF(CONCATENATE($A112,$B112)="CCESAN",INDEX(CCESAN!$D:$D,MATCH($C112,CCESAN!$A:$A,0)),
IF(CONCATENATE($A112,$B112)="CSCORIO",INDEX(CSCORIO!$B:$B,MATCH($C112,CSCORIO!#REF!,0)),
IF(CONCATENATE($A112,$B112)="MERC",INDEX(MERCADO!$E:$E,MATCH($C112,MERCADO!$A:$A,0)),
IF(CONCATENATE($A112,$B112)="CCOMP",INDEX(COMPOSICAO!$H:$H,MATCH($C112,COMPOSICAO!$A:$A,0)),""
)))))))),""))</f>
        <v>3.1</v>
      </c>
      <c r="H112" s="119">
        <f t="shared" ref="H112:H114" si="13">IF(B112="","",ROUND(G112*F112,2))</f>
        <v>3.1</v>
      </c>
    </row>
    <row r="113" spans="1:12" ht="21" customHeight="1">
      <c r="A113" s="116" t="s">
        <v>9107</v>
      </c>
      <c r="B113" s="116" t="s">
        <v>928</v>
      </c>
      <c r="C113" s="116">
        <v>88309</v>
      </c>
      <c r="D113" s="117" t="str">
        <f>PROPER(IFERROR(
IF(C113="","",
IF(CONCATENATE($A113,$B113)="IDER-ES",INDEX('IDER-ES'!$B:$B,MATCH($C113,'IDER-ES'!$A:$A,0)),
IF(CONCATENATE($A113,$B113)="CDER-ES",INDEX('CDER-ES'!$B:$B,MATCH($C113,'CDER-ES'!$A:$A,0)),
IF(CONCATENATE($A113,$B113)="ISINAPI",INDEX(ISINAPI!$B:$B,MATCH($C113,ISINAPI!$A:$A,0)),
IF(CONCATENATE($A113,$B113)="CSINAPI",INDEX(CSINAPI!$B:$B,MATCH($C113,CSINAPI!$A:$A,0)),
IF(CONCATENATE($A113,$B113)="CCESAN",INDEX(CCESAN!$B:$B,MATCH($C113,CCESAN!$A:$A,0)),
IF(CONCATENATE($A113,$B113)="CSCORIO",INDEX(CSCORIO!#REF!,MATCH($C113,CSCORIO!#REF!,0)),
IF(CONCATENATE($A113,$B113)="MERC",INDEX(MERCADO!$B:$B,MATCH($C113,MERCADO!$A:$A,0)),
IF(CONCATENATE($A113,$B113)="CCOMP",INDEX(COMPOSICAO!$B:$B,MATCH($C113,COMPOSICAO!$A:$A,0)),""
))))))))),"*Verificar código*"))</f>
        <v>Pedreiro Com Encargos Complementares</v>
      </c>
      <c r="E113" s="118" t="str">
        <f>LOWER(IFERROR(
IF(CONCATENATE($A113,$B113)="IDER-ES",INDEX('IDER-ES'!$C:$C,MATCH($C113,'IDER-ES'!$A:$A,0)),
IF(CONCATENATE($A113,$B113)="CIOPES",INDEX('CDER-ES'!$C:$C,MATCH($C113,'CDER-ES'!$A:$A,0)),
IF(CONCATENATE($A113,$B113)="ISINAPI",INDEX(ISINAPI!$C:$C,MATCH($C113,ISINAPI!$A:$A,0)),
IF(CONCATENATE($A113,$B113)="CSINAPI",INDEX(CSINAPI!$C:$C,MATCH($C113,CSINAPI!$A:$A,0)),
IF(CONCATENATE($A113,$B113)="CCESAN",INDEX(CCESAN!$C:$C,MATCH($C113,CCESAN!$A:$A,0)),
IF(CONCATENATE($A113,$B113)="CSCORIO",INDEX(CSCORIO!$A:$A,MATCH($C113,CSCORIO!#REF!,0)),
IF(CONCATENATE($A113,$B113)="MERC",INDEX(MERCADO!$D:$D,MATCH($C113,MERCADO!$A:$A,0)),
IF(CONCATENATE($A113,$B113)="CCOMP",INDEX(COMPOSICAO!$H:$H,MATCH($C113,COMPOSICAO!$A:$A,0)),""
)))))))),""))</f>
        <v>h</v>
      </c>
      <c r="F113" s="154">
        <v>1</v>
      </c>
      <c r="G113" s="119">
        <f>(IFERROR(
IF(CONCATENATE($A113,$B113)="IDER-ES",INDEX('IDER-ES'!$D:$D,MATCH($C113,'IDER-ES'!$A:$A,0)),
IF(CONCATENATE($A113,$B113)="CIOPES",INDEX('CDER-ES'!$D:$D,MATCH($C113,'CDER-ES'!$A:$A,0)),
IF(CONCATENATE($A113,$B113)="ISINAPI",INDEX(ISINAPI!$E:$E,MATCH($C113,ISINAPI!$A:$A,0)),
IF(CONCATENATE($A113,$B113)="CSINAPI",INDEX(CSINAPI!$D:$D,MATCH($C113,CSINAPI!$A:$A,0)),
IF(CONCATENATE($A113,$B113)="CCESAN",INDEX(CCESAN!$D:$D,MATCH($C113,CCESAN!$A:$A,0)),
IF(CONCATENATE($A113,$B113)="CSCORIO",INDEX(CSCORIO!$B:$B,MATCH($C113,CSCORIO!#REF!,0)),
IF(CONCATENATE($A113,$B113)="MERC",INDEX(MERCADO!$E:$E,MATCH($C113,MERCADO!$A:$A,0)),
IF(CONCATENATE($A113,$B113)="CCOMP",INDEX(COMPOSICAO!$H:$H,MATCH($C113,COMPOSICAO!$A:$A,0)),""
)))))))),""))</f>
        <v>25.5</v>
      </c>
      <c r="H113" s="119">
        <f t="shared" si="13"/>
        <v>25.5</v>
      </c>
      <c r="J113" s="211"/>
    </row>
    <row r="114" spans="1:12" ht="25.5">
      <c r="A114" s="116" t="s">
        <v>9107</v>
      </c>
      <c r="B114" s="116" t="s">
        <v>928</v>
      </c>
      <c r="C114" s="116">
        <v>88316</v>
      </c>
      <c r="D114" s="117" t="str">
        <f>PROPER(IFERROR(
IF(C114="","",
IF(CONCATENATE($A114,$B114)="IDER-ES",INDEX('IDER-ES'!$B:$B,MATCH($C114,'IDER-ES'!$A:$A,0)),
IF(CONCATENATE($A114,$B114)="CDER-ES",INDEX('CDER-ES'!$B:$B,MATCH($C114,'CDER-ES'!$A:$A,0)),
IF(CONCATENATE($A114,$B114)="ISINAPI",INDEX(ISINAPI!$B:$B,MATCH($C114,ISINAPI!$A:$A,0)),
IF(CONCATENATE($A114,$B114)="CSINAPI",INDEX(CSINAPI!$B:$B,MATCH($C114,CSINAPI!$A:$A,0)),
IF(CONCATENATE($A114,$B114)="CCESAN",INDEX(CCESAN!$B:$B,MATCH($C114,CCESAN!$A:$A,0)),
IF(CONCATENATE($A114,$B114)="CSCORIO",INDEX(CSCORIO!#REF!,MATCH($C114,CSCORIO!#REF!,0)),
IF(CONCATENATE($A114,$B114)="MERC",INDEX(MERCADO!$B:$B,MATCH($C114,MERCADO!$A:$A,0)),
IF(CONCATENATE($A114,$B114)="CCOMP",INDEX(COMPOSICAO!$B:$B,MATCH($C114,COMPOSICAO!$A:$A,0)),""
))))))))),"*Verificar código*"))</f>
        <v>Servente Com Encargos Complementares</v>
      </c>
      <c r="E114" s="118" t="str">
        <f>LOWER(IFERROR(
IF(CONCATENATE($A114,$B114)="IDER-ES",INDEX('IDER-ES'!$C:$C,MATCH($C114,'IDER-ES'!$A:$A,0)),
IF(CONCATENATE($A114,$B114)="CIOPES",INDEX('CDER-ES'!$C:$C,MATCH($C114,'CDER-ES'!$A:$A,0)),
IF(CONCATENATE($A114,$B114)="ISINAPI",INDEX(ISINAPI!$C:$C,MATCH($C114,ISINAPI!$A:$A,0)),
IF(CONCATENATE($A114,$B114)="CSINAPI",INDEX(CSINAPI!$C:$C,MATCH($C114,CSINAPI!$A:$A,0)),
IF(CONCATENATE($A114,$B114)="CCESAN",INDEX(CCESAN!$C:$C,MATCH($C114,CCESAN!$A:$A,0)),
IF(CONCATENATE($A114,$B114)="CSCORIO",INDEX(CSCORIO!$A:$A,MATCH($C114,CSCORIO!#REF!,0)),
IF(CONCATENATE($A114,$B114)="MERC",INDEX(MERCADO!$D:$D,MATCH($C114,MERCADO!$A:$A,0)),
IF(CONCATENATE($A114,$B114)="CCOMP",INDEX(COMPOSICAO!$H:$H,MATCH($C114,COMPOSICAO!$A:$A,0)),""
)))))))),""))</f>
        <v>h</v>
      </c>
      <c r="F114" s="154">
        <v>1</v>
      </c>
      <c r="G114" s="119">
        <f>(IFERROR(
IF(CONCATENATE($A114,$B114)="IDER-ES",INDEX('IDER-ES'!$D:$D,MATCH($C114,'IDER-ES'!$A:$A,0)),
IF(CONCATENATE($A114,$B114)="CIOPES",INDEX('CDER-ES'!$D:$D,MATCH($C114,'CDER-ES'!$A:$A,0)),
IF(CONCATENATE($A114,$B114)="ISINAPI",INDEX(ISINAPI!$E:$E,MATCH($C114,ISINAPI!$A:$A,0)),
IF(CONCATENATE($A114,$B114)="CSINAPI",INDEX(CSINAPI!$D:$D,MATCH($C114,CSINAPI!$A:$A,0)),
IF(CONCATENATE($A114,$B114)="CCESAN",INDEX(CCESAN!$D:$D,MATCH($C114,CCESAN!$A:$A,0)),
IF(CONCATENATE($A114,$B114)="CSCORIO",INDEX(CSCORIO!$B:$B,MATCH($C114,CSCORIO!#REF!,0)),
IF(CONCATENATE($A114,$B114)="MERC",INDEX(MERCADO!$E:$E,MATCH($C114,MERCADO!$A:$A,0)),
IF(CONCATENATE($A114,$B114)="CCOMP",INDEX(COMPOSICAO!$H:$H,MATCH($C114,COMPOSICAO!$A:$A,0)),""
)))))))),""))</f>
        <v>19.260000000000002</v>
      </c>
      <c r="H114" s="119">
        <f t="shared" si="13"/>
        <v>19.260000000000002</v>
      </c>
      <c r="J114" s="211"/>
    </row>
    <row r="116" spans="1:12" s="64" customFormat="1" ht="22.5" customHeight="1" thickBot="1">
      <c r="A116" s="396" t="s">
        <v>16610</v>
      </c>
      <c r="B116" s="396"/>
      <c r="C116" s="397" t="s">
        <v>19125</v>
      </c>
      <c r="D116" s="397"/>
      <c r="E116" s="61"/>
      <c r="F116" s="61"/>
      <c r="G116" s="63"/>
      <c r="H116" s="63"/>
      <c r="I116" s="352"/>
      <c r="J116" s="352"/>
      <c r="K116" s="352"/>
      <c r="L116" s="352"/>
    </row>
    <row r="117" spans="1:12" s="64" customFormat="1">
      <c r="A117" s="316"/>
      <c r="B117" s="319"/>
      <c r="C117" s="61"/>
      <c r="D117" s="62"/>
      <c r="E117" s="354" t="s">
        <v>16611</v>
      </c>
      <c r="F117" s="354"/>
      <c r="G117" s="354"/>
      <c r="H117" s="354"/>
      <c r="I117" s="350"/>
      <c r="J117" s="350"/>
      <c r="K117" s="350"/>
      <c r="L117" s="350"/>
    </row>
    <row r="118" spans="1:12" s="64" customFormat="1">
      <c r="A118" s="60"/>
      <c r="B118" s="61"/>
      <c r="C118" s="61"/>
      <c r="D118" s="62"/>
      <c r="E118" s="350" t="s">
        <v>16612</v>
      </c>
      <c r="F118" s="350"/>
      <c r="G118" s="350"/>
      <c r="H118" s="350"/>
      <c r="I118" s="186"/>
      <c r="J118" s="157"/>
    </row>
  </sheetData>
  <mergeCells count="38">
    <mergeCell ref="E118:H118"/>
    <mergeCell ref="A116:B116"/>
    <mergeCell ref="C116:D116"/>
    <mergeCell ref="I116:L116"/>
    <mergeCell ref="E117:H117"/>
    <mergeCell ref="I117:L117"/>
    <mergeCell ref="B26:F26"/>
    <mergeCell ref="B27:F27"/>
    <mergeCell ref="A36:H36"/>
    <mergeCell ref="B108:F108"/>
    <mergeCell ref="B109:F109"/>
    <mergeCell ref="B92:F92"/>
    <mergeCell ref="A106:H106"/>
    <mergeCell ref="B99:F99"/>
    <mergeCell ref="B100:F100"/>
    <mergeCell ref="B49:F49"/>
    <mergeCell ref="B50:F50"/>
    <mergeCell ref="B37:F37"/>
    <mergeCell ref="B38:F38"/>
    <mergeCell ref="B54:F54"/>
    <mergeCell ref="B55:F55"/>
    <mergeCell ref="B84:F84"/>
    <mergeCell ref="A17:H17"/>
    <mergeCell ref="B19:F19"/>
    <mergeCell ref="B20:F20"/>
    <mergeCell ref="B4:F4"/>
    <mergeCell ref="B5:F5"/>
    <mergeCell ref="A1:H1"/>
    <mergeCell ref="C2:H2"/>
    <mergeCell ref="C3:H3"/>
    <mergeCell ref="A2:B2"/>
    <mergeCell ref="A3:B3"/>
    <mergeCell ref="B73:F73"/>
    <mergeCell ref="B74:F74"/>
    <mergeCell ref="B83:F83"/>
    <mergeCell ref="B91:F91"/>
    <mergeCell ref="B63:F63"/>
    <mergeCell ref="B64:F64"/>
  </mergeCells>
  <dataValidations disablePrompts="1" count="1">
    <dataValidation type="list" errorStyle="warning" allowBlank="1" showInputMessage="1" showErrorMessage="1" error="Selecionar Referencial compatível" sqref="XES1:XFD3" xr:uid="{00000000-0002-0000-0B00-000000000000}">
      <formula1>DADOS</formula1>
    </dataValidation>
  </dataValidations>
  <printOptions horizontalCentered="1"/>
  <pageMargins left="0.78740157480314965" right="0.39370078740157483" top="1.3779527559055118" bottom="0.78740157480314965" header="0" footer="0"/>
  <pageSetup paperSize="9" scale="94" fitToHeight="0" pageOrder="overThenDown" orientation="portrait" useFirstPageNumber="1" r:id="rId1"/>
  <headerFooter alignWithMargins="0">
    <oddHeader>&amp;C&amp;G</oddHeader>
    <oddFooter>&amp;R&amp;8Página &amp;P de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499984740745262"/>
    <pageSetUpPr fitToPage="1"/>
  </sheetPr>
  <dimension ref="A1:XEV60"/>
  <sheetViews>
    <sheetView view="pageBreakPreview" zoomScale="77" zoomScaleNormal="100" zoomScaleSheetLayoutView="77" workbookViewId="0">
      <selection activeCell="K70" sqref="K70"/>
    </sheetView>
  </sheetViews>
  <sheetFormatPr defaultRowHeight="12.75"/>
  <cols>
    <col min="1" max="1" width="5.625" style="52" customWidth="1"/>
    <col min="2" max="2" width="25.625" style="52" customWidth="1"/>
    <col min="3" max="3" width="20.5" style="52" bestFit="1" customWidth="1"/>
    <col min="4" max="6" width="10.625" style="52" customWidth="1"/>
    <col min="7" max="8" width="11.875" style="52" bestFit="1" customWidth="1"/>
    <col min="9" max="9" width="13.125" style="52" bestFit="1" customWidth="1"/>
    <col min="10" max="10" width="13.375" style="52" bestFit="1" customWidth="1"/>
    <col min="11" max="11" width="13.125" style="52" bestFit="1" customWidth="1"/>
    <col min="12" max="15" width="13.375" style="52" customWidth="1"/>
    <col min="16" max="16" width="16.25" style="52" customWidth="1"/>
    <col min="17" max="17" width="9" style="52"/>
    <col min="18" max="18" width="12.625" style="52" bestFit="1" customWidth="1"/>
    <col min="19" max="16384" width="9" style="52"/>
  </cols>
  <sheetData>
    <row r="1" spans="1:995 16376:16376" s="39" customFormat="1" ht="30" customHeight="1">
      <c r="A1" s="404" t="s">
        <v>7241</v>
      </c>
      <c r="B1" s="404"/>
      <c r="C1" s="404"/>
      <c r="D1" s="404"/>
      <c r="E1" s="404"/>
      <c r="F1" s="404"/>
      <c r="G1" s="404"/>
      <c r="H1" s="404"/>
      <c r="I1" s="404"/>
      <c r="J1" s="404"/>
      <c r="K1" s="404"/>
      <c r="L1" s="123"/>
      <c r="M1" s="123"/>
      <c r="N1" s="123"/>
      <c r="O1" s="123"/>
      <c r="P1" s="123"/>
      <c r="Q1" s="124"/>
      <c r="R1" s="41"/>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c r="IW1" s="40"/>
      <c r="IX1" s="40"/>
      <c r="IY1" s="40"/>
      <c r="IZ1" s="40"/>
      <c r="JA1" s="40"/>
      <c r="JB1" s="40"/>
      <c r="JC1" s="40"/>
      <c r="JD1" s="40"/>
      <c r="JE1" s="40"/>
      <c r="JF1" s="40"/>
      <c r="JG1" s="40"/>
      <c r="JH1" s="40"/>
      <c r="JI1" s="40"/>
      <c r="JJ1" s="40"/>
      <c r="JK1" s="40"/>
      <c r="JL1" s="40"/>
      <c r="JM1" s="40"/>
      <c r="JN1" s="40"/>
      <c r="JO1" s="40"/>
      <c r="JP1" s="40"/>
      <c r="JQ1" s="40"/>
      <c r="JR1" s="40"/>
      <c r="JS1" s="40"/>
      <c r="JT1" s="40"/>
      <c r="JU1" s="40"/>
      <c r="JV1" s="40"/>
      <c r="JW1" s="40"/>
      <c r="JX1" s="40"/>
      <c r="JY1" s="40"/>
      <c r="JZ1" s="40"/>
      <c r="KA1" s="40"/>
      <c r="KB1" s="40"/>
      <c r="KC1" s="40"/>
      <c r="KD1" s="40"/>
      <c r="KE1" s="40"/>
      <c r="KF1" s="40"/>
      <c r="KG1" s="40"/>
      <c r="KH1" s="40"/>
      <c r="KI1" s="40"/>
      <c r="KJ1" s="40"/>
      <c r="KK1" s="40"/>
      <c r="KL1" s="40"/>
      <c r="KM1" s="40"/>
      <c r="KN1" s="40"/>
      <c r="KO1" s="40"/>
      <c r="KP1" s="40"/>
      <c r="KQ1" s="40"/>
      <c r="KR1" s="40"/>
      <c r="KS1" s="40"/>
      <c r="KT1" s="40"/>
      <c r="KU1" s="40"/>
      <c r="KV1" s="40"/>
      <c r="KW1" s="40"/>
      <c r="KX1" s="40"/>
      <c r="KY1" s="40"/>
      <c r="KZ1" s="40"/>
      <c r="LA1" s="40"/>
      <c r="LB1" s="40"/>
      <c r="LC1" s="40"/>
      <c r="LD1" s="40"/>
      <c r="LE1" s="40"/>
      <c r="LF1" s="40"/>
      <c r="LG1" s="40"/>
      <c r="LH1" s="40"/>
      <c r="LI1" s="40"/>
      <c r="LJ1" s="40"/>
      <c r="LK1" s="40"/>
      <c r="LL1" s="40"/>
      <c r="LM1" s="40"/>
      <c r="LN1" s="40"/>
      <c r="LO1" s="40"/>
      <c r="LP1" s="40"/>
      <c r="LQ1" s="40"/>
      <c r="LR1" s="40"/>
      <c r="LS1" s="40"/>
      <c r="LT1" s="40"/>
      <c r="LU1" s="40"/>
      <c r="LV1" s="40"/>
      <c r="LW1" s="40"/>
      <c r="LX1" s="40"/>
      <c r="LY1" s="40"/>
      <c r="LZ1" s="40"/>
      <c r="MA1" s="40"/>
      <c r="MB1" s="40"/>
      <c r="MC1" s="40"/>
      <c r="MD1" s="40"/>
      <c r="ME1" s="40"/>
      <c r="MF1" s="40"/>
      <c r="MG1" s="40"/>
      <c r="MH1" s="40"/>
      <c r="MI1" s="40"/>
      <c r="MJ1" s="40"/>
      <c r="MK1" s="40"/>
      <c r="ML1" s="40"/>
      <c r="MM1" s="40"/>
      <c r="MN1" s="40"/>
      <c r="MO1" s="40"/>
      <c r="MP1" s="40"/>
      <c r="MQ1" s="40"/>
      <c r="MR1" s="40"/>
      <c r="MS1" s="40"/>
      <c r="MT1" s="40"/>
      <c r="MU1" s="40"/>
      <c r="MV1" s="40"/>
      <c r="MW1" s="40"/>
      <c r="MX1" s="40"/>
      <c r="MY1" s="40"/>
      <c r="MZ1" s="40"/>
      <c r="NA1" s="40"/>
      <c r="NB1" s="40"/>
      <c r="NC1" s="40"/>
      <c r="ND1" s="40"/>
      <c r="NE1" s="40"/>
      <c r="NF1" s="40"/>
      <c r="NG1" s="40"/>
      <c r="NH1" s="40"/>
      <c r="NI1" s="40"/>
      <c r="NJ1" s="40"/>
      <c r="NK1" s="40"/>
      <c r="NL1" s="40"/>
      <c r="NM1" s="40"/>
      <c r="NN1" s="40"/>
      <c r="NO1" s="40"/>
      <c r="NP1" s="40"/>
      <c r="NQ1" s="40"/>
      <c r="NR1" s="40"/>
      <c r="NS1" s="40"/>
      <c r="NT1" s="40"/>
      <c r="NU1" s="40"/>
      <c r="NV1" s="40"/>
      <c r="NW1" s="40"/>
      <c r="NX1" s="40"/>
      <c r="NY1" s="40"/>
      <c r="NZ1" s="40"/>
      <c r="OA1" s="40"/>
      <c r="OB1" s="40"/>
      <c r="OC1" s="40"/>
      <c r="OD1" s="40"/>
      <c r="OE1" s="40"/>
      <c r="OF1" s="40"/>
      <c r="OG1" s="40"/>
      <c r="OH1" s="40"/>
      <c r="OI1" s="40"/>
      <c r="OJ1" s="40"/>
      <c r="OK1" s="40"/>
      <c r="OL1" s="40"/>
      <c r="OM1" s="40"/>
      <c r="ON1" s="40"/>
      <c r="OO1" s="40"/>
      <c r="OP1" s="40"/>
      <c r="OQ1" s="40"/>
      <c r="OR1" s="40"/>
      <c r="OS1" s="40"/>
      <c r="OT1" s="40"/>
      <c r="OU1" s="40"/>
      <c r="OV1" s="40"/>
      <c r="OW1" s="40"/>
      <c r="OX1" s="40"/>
      <c r="OY1" s="40"/>
      <c r="OZ1" s="40"/>
      <c r="PA1" s="40"/>
      <c r="PB1" s="40"/>
      <c r="PC1" s="40"/>
      <c r="PD1" s="40"/>
      <c r="PE1" s="40"/>
      <c r="PF1" s="40"/>
      <c r="PG1" s="40"/>
      <c r="PH1" s="40"/>
      <c r="PI1" s="40"/>
      <c r="PJ1" s="40"/>
      <c r="PK1" s="40"/>
      <c r="PL1" s="40"/>
      <c r="PM1" s="40"/>
      <c r="PN1" s="40"/>
      <c r="PO1" s="40"/>
      <c r="PP1" s="40"/>
      <c r="PQ1" s="40"/>
      <c r="PR1" s="40"/>
      <c r="PS1" s="40"/>
      <c r="PT1" s="40"/>
      <c r="PU1" s="40"/>
      <c r="PV1" s="40"/>
      <c r="PW1" s="40"/>
      <c r="PX1" s="40"/>
      <c r="PY1" s="40"/>
      <c r="PZ1" s="40"/>
      <c r="QA1" s="40"/>
      <c r="QB1" s="40"/>
      <c r="QC1" s="40"/>
      <c r="QD1" s="40"/>
      <c r="QE1" s="40"/>
      <c r="QF1" s="40"/>
      <c r="QG1" s="40"/>
      <c r="QH1" s="40"/>
      <c r="QI1" s="40"/>
      <c r="QJ1" s="40"/>
      <c r="QK1" s="40"/>
      <c r="QL1" s="40"/>
      <c r="QM1" s="40"/>
      <c r="QN1" s="40"/>
      <c r="QO1" s="40"/>
      <c r="QP1" s="40"/>
      <c r="QQ1" s="40"/>
      <c r="QR1" s="40"/>
      <c r="QS1" s="40"/>
      <c r="QT1" s="40"/>
      <c r="QU1" s="40"/>
      <c r="QV1" s="40"/>
      <c r="QW1" s="40"/>
      <c r="QX1" s="40"/>
      <c r="QY1" s="40"/>
      <c r="QZ1" s="40"/>
      <c r="RA1" s="40"/>
      <c r="RB1" s="40"/>
      <c r="RC1" s="40"/>
      <c r="RD1" s="40"/>
      <c r="RE1" s="40"/>
      <c r="RF1" s="40"/>
      <c r="RG1" s="40"/>
      <c r="RH1" s="40"/>
      <c r="RI1" s="40"/>
      <c r="RJ1" s="40"/>
      <c r="RK1" s="40"/>
      <c r="RL1" s="40"/>
      <c r="RM1" s="40"/>
      <c r="RN1" s="40"/>
      <c r="RO1" s="40"/>
      <c r="RP1" s="40"/>
      <c r="RQ1" s="40"/>
      <c r="RR1" s="40"/>
      <c r="RS1" s="40"/>
      <c r="RT1" s="40"/>
      <c r="RU1" s="40"/>
      <c r="RV1" s="40"/>
      <c r="RW1" s="40"/>
      <c r="RX1" s="40"/>
      <c r="RY1" s="40"/>
      <c r="RZ1" s="40"/>
      <c r="SA1" s="40"/>
      <c r="SB1" s="40"/>
      <c r="SC1" s="40"/>
      <c r="SD1" s="40"/>
      <c r="SE1" s="40"/>
      <c r="SF1" s="40"/>
      <c r="SG1" s="40"/>
      <c r="SH1" s="40"/>
      <c r="SI1" s="40"/>
      <c r="SJ1" s="40"/>
      <c r="SK1" s="40"/>
      <c r="SL1" s="40"/>
      <c r="SM1" s="40"/>
      <c r="SN1" s="40"/>
      <c r="SO1" s="40"/>
      <c r="SP1" s="40"/>
      <c r="SQ1" s="40"/>
      <c r="SR1" s="40"/>
      <c r="SS1" s="40"/>
      <c r="ST1" s="40"/>
      <c r="SU1" s="40"/>
      <c r="SV1" s="40"/>
      <c r="SW1" s="40"/>
      <c r="SX1" s="40"/>
      <c r="SY1" s="40"/>
      <c r="SZ1" s="40"/>
      <c r="TA1" s="40"/>
      <c r="TB1" s="40"/>
      <c r="TC1" s="40"/>
      <c r="TD1" s="40"/>
      <c r="TE1" s="40"/>
      <c r="TF1" s="40"/>
      <c r="TG1" s="40"/>
      <c r="TH1" s="40"/>
      <c r="TI1" s="40"/>
      <c r="TJ1" s="40"/>
      <c r="TK1" s="40"/>
      <c r="TL1" s="40"/>
      <c r="TM1" s="40"/>
      <c r="TN1" s="40"/>
      <c r="TO1" s="40"/>
      <c r="TP1" s="40"/>
      <c r="TQ1" s="40"/>
      <c r="TR1" s="40"/>
      <c r="TS1" s="40"/>
      <c r="TT1" s="40"/>
      <c r="TU1" s="40"/>
      <c r="TV1" s="40"/>
      <c r="TW1" s="40"/>
      <c r="TX1" s="40"/>
      <c r="TY1" s="40"/>
      <c r="TZ1" s="40"/>
      <c r="UA1" s="40"/>
      <c r="UB1" s="40"/>
      <c r="UC1" s="40"/>
      <c r="UD1" s="40"/>
      <c r="UE1" s="40"/>
      <c r="UF1" s="40"/>
      <c r="UG1" s="40"/>
      <c r="UH1" s="40"/>
      <c r="UI1" s="40"/>
      <c r="UJ1" s="40"/>
      <c r="UK1" s="40"/>
      <c r="UL1" s="40"/>
      <c r="UM1" s="40"/>
      <c r="UN1" s="40"/>
      <c r="UO1" s="40"/>
      <c r="UP1" s="40"/>
      <c r="UQ1" s="40"/>
      <c r="UR1" s="40"/>
      <c r="US1" s="40"/>
      <c r="UT1" s="40"/>
      <c r="UU1" s="40"/>
      <c r="UV1" s="40"/>
      <c r="UW1" s="40"/>
      <c r="UX1" s="40"/>
      <c r="UY1" s="40"/>
      <c r="UZ1" s="40"/>
      <c r="VA1" s="40"/>
      <c r="VB1" s="40"/>
      <c r="VC1" s="40"/>
      <c r="VD1" s="40"/>
      <c r="VE1" s="40"/>
      <c r="VF1" s="40"/>
      <c r="VG1" s="40"/>
      <c r="VH1" s="40"/>
      <c r="VI1" s="40"/>
      <c r="VJ1" s="40"/>
      <c r="VK1" s="40"/>
      <c r="VL1" s="40"/>
      <c r="VM1" s="40"/>
      <c r="VN1" s="40"/>
      <c r="VO1" s="40"/>
      <c r="VP1" s="40"/>
      <c r="VQ1" s="40"/>
      <c r="VR1" s="40"/>
      <c r="VS1" s="40"/>
      <c r="VT1" s="40"/>
      <c r="VU1" s="40"/>
      <c r="VV1" s="40"/>
      <c r="VW1" s="40"/>
      <c r="VX1" s="40"/>
      <c r="VY1" s="40"/>
      <c r="VZ1" s="40"/>
      <c r="WA1" s="40"/>
      <c r="WB1" s="40"/>
      <c r="WC1" s="40"/>
      <c r="WD1" s="40"/>
      <c r="WE1" s="40"/>
      <c r="WF1" s="40"/>
      <c r="WG1" s="40"/>
      <c r="WH1" s="40"/>
      <c r="WI1" s="40"/>
      <c r="WJ1" s="40"/>
      <c r="WK1" s="40"/>
      <c r="WL1" s="40"/>
      <c r="WM1" s="40"/>
      <c r="WN1" s="40"/>
      <c r="WO1" s="40"/>
      <c r="WP1" s="40"/>
      <c r="WQ1" s="40"/>
      <c r="WR1" s="40"/>
      <c r="WS1" s="40"/>
      <c r="WT1" s="40"/>
      <c r="WU1" s="40"/>
      <c r="WV1" s="40"/>
      <c r="WW1" s="40"/>
      <c r="WX1" s="40"/>
      <c r="WY1" s="40"/>
      <c r="WZ1" s="40"/>
      <c r="XA1" s="40"/>
      <c r="XB1" s="40"/>
      <c r="XC1" s="40"/>
      <c r="XD1" s="40"/>
      <c r="XE1" s="40"/>
      <c r="XF1" s="40"/>
      <c r="XG1" s="40"/>
      <c r="XH1" s="40"/>
      <c r="XI1" s="40"/>
      <c r="XJ1" s="40"/>
      <c r="XK1" s="40"/>
      <c r="XL1" s="40"/>
      <c r="XM1" s="40"/>
      <c r="XN1" s="40"/>
      <c r="XO1" s="40"/>
      <c r="XP1" s="40"/>
      <c r="XQ1" s="40"/>
      <c r="XR1" s="40"/>
      <c r="XS1" s="40"/>
      <c r="XT1" s="40"/>
      <c r="XU1" s="40"/>
      <c r="XV1" s="40"/>
      <c r="XW1" s="40"/>
      <c r="XX1" s="40"/>
      <c r="XY1" s="40"/>
      <c r="XZ1" s="40"/>
      <c r="YA1" s="40"/>
      <c r="YB1" s="40"/>
      <c r="YC1" s="40"/>
      <c r="YD1" s="40"/>
      <c r="YE1" s="40"/>
      <c r="YF1" s="40"/>
      <c r="YG1" s="40"/>
      <c r="YH1" s="40"/>
      <c r="YI1" s="40"/>
      <c r="YJ1" s="40"/>
      <c r="YK1" s="40"/>
      <c r="YL1" s="40"/>
      <c r="YM1" s="40"/>
      <c r="YN1" s="40"/>
      <c r="YO1" s="40"/>
      <c r="YP1" s="40"/>
      <c r="YQ1" s="40"/>
      <c r="YR1" s="40"/>
      <c r="YS1" s="40"/>
      <c r="YT1" s="40"/>
      <c r="YU1" s="40"/>
      <c r="YV1" s="40"/>
      <c r="YW1" s="40"/>
      <c r="YX1" s="40"/>
      <c r="YY1" s="40"/>
      <c r="YZ1" s="40"/>
      <c r="ZA1" s="40"/>
      <c r="ZB1" s="40"/>
      <c r="ZC1" s="40"/>
      <c r="ZD1" s="40"/>
      <c r="ZE1" s="40"/>
      <c r="ZF1" s="40"/>
      <c r="ZG1" s="40"/>
      <c r="ZH1" s="40"/>
      <c r="ZI1" s="40"/>
      <c r="ZJ1" s="40"/>
      <c r="ZK1" s="40"/>
      <c r="ZL1" s="40"/>
      <c r="ZM1" s="40"/>
      <c r="ZN1" s="40"/>
      <c r="ZO1" s="40"/>
      <c r="ZP1" s="40"/>
      <c r="ZQ1" s="40"/>
      <c r="ZR1" s="40"/>
      <c r="ZS1" s="40"/>
      <c r="ZT1" s="40"/>
      <c r="ZU1" s="40"/>
      <c r="ZV1" s="40"/>
      <c r="ZW1" s="40"/>
      <c r="ZX1" s="40"/>
      <c r="ZY1" s="40"/>
      <c r="ZZ1" s="40"/>
      <c r="AAA1" s="40"/>
      <c r="AAB1" s="40"/>
      <c r="AAC1" s="40"/>
      <c r="AAD1" s="40"/>
      <c r="AAE1" s="40"/>
      <c r="AAF1" s="40"/>
      <c r="AAG1" s="40"/>
      <c r="AAH1" s="40"/>
      <c r="AAI1" s="40"/>
      <c r="AAJ1" s="40"/>
      <c r="AAK1" s="40"/>
      <c r="AAL1" s="40"/>
      <c r="AAM1" s="40"/>
      <c r="AAN1" s="40"/>
      <c r="AAO1" s="40"/>
      <c r="AAP1" s="40"/>
      <c r="AAQ1" s="40"/>
      <c r="AAR1" s="40"/>
      <c r="AAS1" s="40"/>
      <c r="AAT1" s="40"/>
      <c r="AAU1" s="40"/>
      <c r="AAV1" s="40"/>
      <c r="AAW1" s="40"/>
      <c r="AAX1" s="40"/>
      <c r="AAY1" s="40"/>
      <c r="AAZ1" s="40"/>
      <c r="ABA1" s="40"/>
      <c r="ABB1" s="40"/>
      <c r="ABC1" s="40"/>
      <c r="ABD1" s="40"/>
      <c r="ABE1" s="40"/>
      <c r="ABF1" s="40"/>
      <c r="ABG1" s="40"/>
      <c r="ABH1" s="40"/>
      <c r="ABI1" s="40"/>
      <c r="ABJ1" s="40"/>
      <c r="ABK1" s="40"/>
      <c r="ABL1" s="40"/>
      <c r="ABM1" s="40"/>
      <c r="ABN1" s="40"/>
      <c r="ABO1" s="40"/>
      <c r="ABP1" s="40"/>
      <c r="ABQ1" s="40"/>
      <c r="ABR1" s="40"/>
      <c r="ABS1" s="40"/>
      <c r="ABT1" s="40"/>
      <c r="ABU1" s="40"/>
      <c r="ABV1" s="40"/>
      <c r="ABW1" s="40"/>
      <c r="ABX1" s="40"/>
      <c r="ABY1" s="40"/>
      <c r="ABZ1" s="40"/>
      <c r="ACA1" s="40"/>
      <c r="ACB1" s="40"/>
      <c r="ACC1" s="40"/>
      <c r="ACD1" s="40"/>
      <c r="ACE1" s="40"/>
      <c r="ACF1" s="40"/>
      <c r="ACG1" s="40"/>
      <c r="ACH1" s="40"/>
      <c r="ACI1" s="40"/>
      <c r="ACJ1" s="40"/>
      <c r="ACK1" s="40"/>
      <c r="ACL1" s="40"/>
      <c r="ACM1" s="40"/>
      <c r="ACN1" s="40"/>
      <c r="ACO1" s="40"/>
      <c r="ACP1" s="40"/>
      <c r="ACQ1" s="40"/>
      <c r="ACR1" s="40"/>
      <c r="ACS1" s="40"/>
      <c r="ACT1" s="40"/>
      <c r="ACU1" s="40"/>
      <c r="ACV1" s="40"/>
      <c r="ACW1" s="40"/>
      <c r="ACX1" s="40"/>
      <c r="ACY1" s="40"/>
      <c r="ACZ1" s="40"/>
      <c r="ADA1" s="40"/>
      <c r="ADB1" s="40"/>
      <c r="ADC1" s="40"/>
      <c r="ADD1" s="40"/>
      <c r="ADE1" s="40"/>
      <c r="ADF1" s="40"/>
      <c r="ADG1" s="40"/>
      <c r="ADH1" s="40"/>
      <c r="ADI1" s="40"/>
      <c r="ADJ1" s="40"/>
      <c r="ADK1" s="40"/>
      <c r="ADL1" s="40"/>
      <c r="ADM1" s="40"/>
      <c r="ADN1" s="40"/>
      <c r="ADO1" s="40"/>
      <c r="ADP1" s="40"/>
      <c r="ADQ1" s="40"/>
      <c r="ADR1" s="40"/>
      <c r="ADS1" s="40"/>
      <c r="ADT1" s="40"/>
      <c r="ADU1" s="40"/>
      <c r="ADV1" s="40"/>
      <c r="ADW1" s="40"/>
      <c r="ADX1" s="40"/>
      <c r="ADY1" s="40"/>
      <c r="ADZ1" s="40"/>
      <c r="AEA1" s="40"/>
      <c r="AEB1" s="40"/>
      <c r="AEC1" s="40"/>
      <c r="AED1" s="40"/>
      <c r="AEE1" s="40"/>
      <c r="AEF1" s="40"/>
      <c r="AEG1" s="40"/>
      <c r="AEH1" s="40"/>
      <c r="AEI1" s="40"/>
      <c r="AEJ1" s="40"/>
      <c r="AEK1" s="40"/>
      <c r="AEL1" s="40"/>
      <c r="AEM1" s="40"/>
      <c r="AEN1" s="40"/>
      <c r="AEO1" s="40"/>
      <c r="AEP1" s="40"/>
      <c r="AEQ1" s="40"/>
      <c r="AER1" s="40"/>
      <c r="AES1" s="40"/>
      <c r="AET1" s="40"/>
      <c r="AEU1" s="40"/>
      <c r="AEV1" s="40"/>
      <c r="AEW1" s="40"/>
      <c r="AEX1" s="40"/>
      <c r="AEY1" s="40"/>
      <c r="AEZ1" s="40"/>
      <c r="AFA1" s="40"/>
      <c r="AFB1" s="40"/>
      <c r="AFC1" s="40"/>
      <c r="AFD1" s="40"/>
      <c r="AFE1" s="40"/>
      <c r="AFF1" s="40"/>
      <c r="AFG1" s="40"/>
      <c r="AFH1" s="40"/>
      <c r="AFI1" s="40"/>
      <c r="AFJ1" s="40"/>
      <c r="AFK1" s="40"/>
      <c r="AFL1" s="40"/>
      <c r="AFM1" s="40"/>
      <c r="AFN1" s="40"/>
      <c r="AFO1" s="40"/>
      <c r="AFP1" s="40"/>
      <c r="AFQ1" s="40"/>
      <c r="AFR1" s="40"/>
      <c r="AFS1" s="40"/>
      <c r="AFT1" s="40"/>
      <c r="AFU1" s="40"/>
      <c r="AFV1" s="40"/>
      <c r="AFW1" s="40"/>
      <c r="AFX1" s="40"/>
      <c r="AFY1" s="40"/>
      <c r="AFZ1" s="40"/>
      <c r="AGA1" s="40"/>
      <c r="AGB1" s="40"/>
      <c r="AGC1" s="40"/>
      <c r="AGD1" s="40"/>
      <c r="AGE1" s="40"/>
      <c r="AGF1" s="40"/>
      <c r="AGG1" s="40"/>
      <c r="AGH1" s="40"/>
      <c r="AGI1" s="40"/>
      <c r="AGJ1" s="40"/>
      <c r="AGK1" s="40"/>
      <c r="AGL1" s="40"/>
      <c r="AGM1" s="40"/>
      <c r="AGN1" s="40"/>
      <c r="AGO1" s="40"/>
      <c r="AGP1" s="40"/>
      <c r="AGQ1" s="40"/>
      <c r="AGR1" s="40"/>
      <c r="AGS1" s="40"/>
      <c r="AGT1" s="40"/>
      <c r="AGU1" s="40"/>
      <c r="AGV1" s="40"/>
      <c r="AGW1" s="40"/>
      <c r="AGX1" s="40"/>
      <c r="AGY1" s="40"/>
      <c r="AGZ1" s="40"/>
      <c r="AHA1" s="40"/>
      <c r="AHB1" s="40"/>
      <c r="AHC1" s="40"/>
      <c r="AHD1" s="40"/>
      <c r="AHE1" s="40"/>
      <c r="AHF1" s="40"/>
      <c r="AHG1" s="40"/>
      <c r="AHH1" s="40"/>
      <c r="AHI1" s="40"/>
      <c r="AHJ1" s="40"/>
      <c r="AHK1" s="40"/>
      <c r="AHL1" s="40"/>
      <c r="AHM1" s="40"/>
      <c r="AHN1" s="40"/>
      <c r="AHO1" s="40"/>
      <c r="AHP1" s="40"/>
      <c r="AHQ1" s="40"/>
      <c r="AHR1" s="40"/>
      <c r="AHS1" s="40"/>
      <c r="AHT1" s="40"/>
      <c r="AHU1" s="40"/>
      <c r="AHV1" s="40"/>
      <c r="AHW1" s="40"/>
      <c r="AHX1" s="40"/>
      <c r="AHY1" s="40"/>
      <c r="AHZ1" s="40"/>
      <c r="AIA1" s="40"/>
      <c r="AIB1" s="40"/>
      <c r="AIC1" s="40"/>
      <c r="AID1" s="40"/>
      <c r="AIE1" s="40"/>
      <c r="AIF1" s="40"/>
      <c r="AIG1" s="40"/>
      <c r="AIH1" s="40"/>
      <c r="AII1" s="40"/>
      <c r="AIJ1" s="40"/>
      <c r="AIK1" s="40"/>
      <c r="AIL1" s="40"/>
      <c r="AIM1" s="40"/>
      <c r="AIN1" s="40"/>
      <c r="AIO1" s="40"/>
      <c r="AIP1" s="40"/>
      <c r="AIQ1" s="40"/>
      <c r="AIR1" s="40"/>
      <c r="AIS1" s="40"/>
      <c r="AIT1" s="40"/>
      <c r="AIU1" s="40"/>
      <c r="AIV1" s="40"/>
      <c r="AIW1" s="40"/>
      <c r="AIX1" s="40"/>
      <c r="AIY1" s="40"/>
      <c r="AIZ1" s="40"/>
      <c r="AJA1" s="40"/>
      <c r="AJB1" s="40"/>
      <c r="AJC1" s="40"/>
      <c r="AJD1" s="40"/>
      <c r="AJE1" s="40"/>
      <c r="AJF1" s="40"/>
      <c r="AJG1" s="40"/>
      <c r="AJH1" s="40"/>
      <c r="AJI1" s="40"/>
      <c r="AJJ1" s="40"/>
      <c r="AJK1" s="40"/>
      <c r="AJL1" s="40"/>
      <c r="AJM1" s="40"/>
      <c r="AJN1" s="40"/>
      <c r="AJO1" s="40"/>
      <c r="AJP1" s="40"/>
      <c r="AJQ1" s="40"/>
      <c r="AJR1" s="40"/>
      <c r="AJS1" s="40"/>
      <c r="AJT1" s="40"/>
      <c r="AJU1" s="40"/>
      <c r="AJV1" s="40"/>
      <c r="AJW1" s="40"/>
      <c r="AJX1" s="40"/>
      <c r="AJY1" s="40"/>
      <c r="AJZ1" s="40"/>
      <c r="AKA1" s="40"/>
      <c r="AKB1" s="40"/>
      <c r="AKC1" s="40"/>
      <c r="AKD1" s="40"/>
      <c r="AKE1" s="40"/>
      <c r="AKF1" s="40"/>
      <c r="AKG1" s="40"/>
      <c r="AKH1" s="40"/>
      <c r="AKI1" s="40"/>
      <c r="AKJ1" s="40"/>
      <c r="AKK1" s="40"/>
      <c r="AKL1" s="40"/>
      <c r="AKM1" s="40"/>
      <c r="AKN1" s="40"/>
      <c r="AKO1" s="40"/>
      <c r="AKP1" s="40"/>
      <c r="AKQ1" s="40"/>
      <c r="AKR1" s="40"/>
      <c r="AKS1" s="40"/>
      <c r="AKT1" s="40"/>
      <c r="AKU1" s="40"/>
      <c r="AKV1" s="40"/>
      <c r="AKW1" s="40"/>
      <c r="AKX1" s="40"/>
      <c r="AKY1" s="40"/>
      <c r="AKZ1" s="40"/>
      <c r="ALA1" s="40"/>
      <c r="ALB1" s="40"/>
      <c r="ALC1" s="40"/>
      <c r="ALD1" s="40"/>
      <c r="ALE1" s="40"/>
      <c r="ALF1" s="40"/>
      <c r="ALG1" s="40"/>
      <c r="XEV1" s="39" t="s">
        <v>928</v>
      </c>
    </row>
    <row r="2" spans="1:995 16376:16376" s="39" customFormat="1" ht="19.5" customHeight="1">
      <c r="A2" s="403" t="s">
        <v>891</v>
      </c>
      <c r="B2" s="403"/>
      <c r="C2" s="407" t="str">
        <f>OBRA</f>
        <v>QUADRA POLIESPORTIVA DE MASCARENHAS</v>
      </c>
      <c r="D2" s="407"/>
      <c r="E2" s="407"/>
      <c r="F2" s="407"/>
      <c r="G2" s="407"/>
      <c r="H2" s="407"/>
      <c r="I2" s="407"/>
      <c r="J2" s="407"/>
      <c r="K2" s="407"/>
      <c r="L2" s="407"/>
      <c r="M2" s="407"/>
      <c r="N2" s="407"/>
      <c r="O2" s="215"/>
      <c r="P2" s="125"/>
      <c r="Q2" s="124"/>
      <c r="R2" s="41"/>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0"/>
      <c r="OY2" s="40"/>
      <c r="OZ2" s="40"/>
      <c r="PA2" s="40"/>
      <c r="PB2" s="40"/>
      <c r="PC2" s="40"/>
      <c r="PD2" s="40"/>
      <c r="PE2" s="40"/>
      <c r="PF2" s="40"/>
      <c r="PG2" s="40"/>
      <c r="PH2" s="40"/>
      <c r="PI2" s="40"/>
      <c r="PJ2" s="40"/>
      <c r="PK2" s="40"/>
      <c r="PL2" s="40"/>
      <c r="PM2" s="40"/>
      <c r="PN2" s="40"/>
      <c r="PO2" s="40"/>
      <c r="PP2" s="40"/>
      <c r="PQ2" s="40"/>
      <c r="PR2" s="40"/>
      <c r="PS2" s="40"/>
      <c r="PT2" s="40"/>
      <c r="PU2" s="40"/>
      <c r="PV2" s="40"/>
      <c r="PW2" s="40"/>
      <c r="PX2" s="40"/>
      <c r="PY2" s="40"/>
      <c r="PZ2" s="40"/>
      <c r="QA2" s="40"/>
      <c r="QB2" s="40"/>
      <c r="QC2" s="40"/>
      <c r="QD2" s="40"/>
      <c r="QE2" s="40"/>
      <c r="QF2" s="40"/>
      <c r="QG2" s="40"/>
      <c r="QH2" s="40"/>
      <c r="QI2" s="40"/>
      <c r="QJ2" s="40"/>
      <c r="QK2" s="40"/>
      <c r="QL2" s="40"/>
      <c r="QM2" s="40"/>
      <c r="QN2" s="40"/>
      <c r="QO2" s="40"/>
      <c r="QP2" s="40"/>
      <c r="QQ2" s="40"/>
      <c r="QR2" s="40"/>
      <c r="QS2" s="40"/>
      <c r="QT2" s="40"/>
      <c r="QU2" s="40"/>
      <c r="QV2" s="40"/>
      <c r="QW2" s="40"/>
      <c r="QX2" s="40"/>
      <c r="QY2" s="40"/>
      <c r="QZ2" s="40"/>
      <c r="RA2" s="40"/>
      <c r="RB2" s="40"/>
      <c r="RC2" s="40"/>
      <c r="RD2" s="40"/>
      <c r="RE2" s="40"/>
      <c r="RF2" s="40"/>
      <c r="RG2" s="40"/>
      <c r="RH2" s="40"/>
      <c r="RI2" s="40"/>
      <c r="RJ2" s="40"/>
      <c r="RK2" s="40"/>
      <c r="RL2" s="40"/>
      <c r="RM2" s="40"/>
      <c r="RN2" s="40"/>
      <c r="RO2" s="40"/>
      <c r="RP2" s="40"/>
      <c r="RQ2" s="40"/>
      <c r="RR2" s="40"/>
      <c r="RS2" s="40"/>
      <c r="RT2" s="40"/>
      <c r="RU2" s="40"/>
      <c r="RV2" s="40"/>
      <c r="RW2" s="40"/>
      <c r="RX2" s="40"/>
      <c r="RY2" s="40"/>
      <c r="RZ2" s="40"/>
      <c r="SA2" s="40"/>
      <c r="SB2" s="40"/>
      <c r="SC2" s="40"/>
      <c r="SD2" s="40"/>
      <c r="SE2" s="40"/>
      <c r="SF2" s="40"/>
      <c r="SG2" s="40"/>
      <c r="SH2" s="40"/>
      <c r="SI2" s="40"/>
      <c r="SJ2" s="40"/>
      <c r="SK2" s="40"/>
      <c r="SL2" s="40"/>
      <c r="SM2" s="40"/>
      <c r="SN2" s="40"/>
      <c r="SO2" s="40"/>
      <c r="SP2" s="40"/>
      <c r="SQ2" s="40"/>
      <c r="SR2" s="40"/>
      <c r="SS2" s="40"/>
      <c r="ST2" s="40"/>
      <c r="SU2" s="40"/>
      <c r="SV2" s="40"/>
      <c r="SW2" s="40"/>
      <c r="SX2" s="40"/>
      <c r="SY2" s="40"/>
      <c r="SZ2" s="40"/>
      <c r="TA2" s="40"/>
      <c r="TB2" s="40"/>
      <c r="TC2" s="40"/>
      <c r="TD2" s="40"/>
      <c r="TE2" s="40"/>
      <c r="TF2" s="40"/>
      <c r="TG2" s="40"/>
      <c r="TH2" s="40"/>
      <c r="TI2" s="40"/>
      <c r="TJ2" s="40"/>
      <c r="TK2" s="40"/>
      <c r="TL2" s="40"/>
      <c r="TM2" s="40"/>
      <c r="TN2" s="40"/>
      <c r="TO2" s="40"/>
      <c r="TP2" s="40"/>
      <c r="TQ2" s="40"/>
      <c r="TR2" s="40"/>
      <c r="TS2" s="40"/>
      <c r="TT2" s="40"/>
      <c r="TU2" s="40"/>
      <c r="TV2" s="40"/>
      <c r="TW2" s="40"/>
      <c r="TX2" s="40"/>
      <c r="TY2" s="40"/>
      <c r="TZ2" s="40"/>
      <c r="UA2" s="40"/>
      <c r="UB2" s="40"/>
      <c r="UC2" s="40"/>
      <c r="UD2" s="40"/>
      <c r="UE2" s="40"/>
      <c r="UF2" s="40"/>
      <c r="UG2" s="40"/>
      <c r="UH2" s="40"/>
      <c r="UI2" s="40"/>
      <c r="UJ2" s="40"/>
      <c r="UK2" s="40"/>
      <c r="UL2" s="40"/>
      <c r="UM2" s="40"/>
      <c r="UN2" s="40"/>
      <c r="UO2" s="40"/>
      <c r="UP2" s="40"/>
      <c r="UQ2" s="40"/>
      <c r="UR2" s="40"/>
      <c r="US2" s="40"/>
      <c r="UT2" s="40"/>
      <c r="UU2" s="40"/>
      <c r="UV2" s="40"/>
      <c r="UW2" s="40"/>
      <c r="UX2" s="40"/>
      <c r="UY2" s="40"/>
      <c r="UZ2" s="40"/>
      <c r="VA2" s="40"/>
      <c r="VB2" s="40"/>
      <c r="VC2" s="40"/>
      <c r="VD2" s="40"/>
      <c r="VE2" s="40"/>
      <c r="VF2" s="40"/>
      <c r="VG2" s="40"/>
      <c r="VH2" s="40"/>
      <c r="VI2" s="40"/>
      <c r="VJ2" s="40"/>
      <c r="VK2" s="40"/>
      <c r="VL2" s="40"/>
      <c r="VM2" s="40"/>
      <c r="VN2" s="40"/>
      <c r="VO2" s="40"/>
      <c r="VP2" s="40"/>
      <c r="VQ2" s="40"/>
      <c r="VR2" s="40"/>
      <c r="VS2" s="40"/>
      <c r="VT2" s="40"/>
      <c r="VU2" s="40"/>
      <c r="VV2" s="40"/>
      <c r="VW2" s="40"/>
      <c r="VX2" s="40"/>
      <c r="VY2" s="40"/>
      <c r="VZ2" s="40"/>
      <c r="WA2" s="40"/>
      <c r="WB2" s="40"/>
      <c r="WC2" s="40"/>
      <c r="WD2" s="40"/>
      <c r="WE2" s="40"/>
      <c r="WF2" s="40"/>
      <c r="WG2" s="40"/>
      <c r="WH2" s="40"/>
      <c r="WI2" s="40"/>
      <c r="WJ2" s="40"/>
      <c r="WK2" s="40"/>
      <c r="WL2" s="40"/>
      <c r="WM2" s="40"/>
      <c r="WN2" s="40"/>
      <c r="WO2" s="40"/>
      <c r="WP2" s="40"/>
      <c r="WQ2" s="40"/>
      <c r="WR2" s="40"/>
      <c r="WS2" s="40"/>
      <c r="WT2" s="40"/>
      <c r="WU2" s="40"/>
      <c r="WV2" s="40"/>
      <c r="WW2" s="40"/>
      <c r="WX2" s="40"/>
      <c r="WY2" s="40"/>
      <c r="WZ2" s="40"/>
      <c r="XA2" s="40"/>
      <c r="XB2" s="40"/>
      <c r="XC2" s="40"/>
      <c r="XD2" s="40"/>
      <c r="XE2" s="40"/>
      <c r="XF2" s="40"/>
      <c r="XG2" s="40"/>
      <c r="XH2" s="40"/>
      <c r="XI2" s="40"/>
      <c r="XJ2" s="40"/>
      <c r="XK2" s="40"/>
      <c r="XL2" s="40"/>
      <c r="XM2" s="40"/>
      <c r="XN2" s="40"/>
      <c r="XO2" s="40"/>
      <c r="XP2" s="40"/>
      <c r="XQ2" s="40"/>
      <c r="XR2" s="40"/>
      <c r="XS2" s="40"/>
      <c r="XT2" s="40"/>
      <c r="XU2" s="40"/>
      <c r="XV2" s="40"/>
      <c r="XW2" s="40"/>
      <c r="XX2" s="40"/>
      <c r="XY2" s="40"/>
      <c r="XZ2" s="40"/>
      <c r="YA2" s="40"/>
      <c r="YB2" s="40"/>
      <c r="YC2" s="40"/>
      <c r="YD2" s="40"/>
      <c r="YE2" s="40"/>
      <c r="YF2" s="40"/>
      <c r="YG2" s="40"/>
      <c r="YH2" s="40"/>
      <c r="YI2" s="40"/>
      <c r="YJ2" s="40"/>
      <c r="YK2" s="40"/>
      <c r="YL2" s="40"/>
      <c r="YM2" s="40"/>
      <c r="YN2" s="40"/>
      <c r="YO2" s="40"/>
      <c r="YP2" s="40"/>
      <c r="YQ2" s="40"/>
      <c r="YR2" s="40"/>
      <c r="YS2" s="40"/>
      <c r="YT2" s="40"/>
      <c r="YU2" s="40"/>
      <c r="YV2" s="40"/>
      <c r="YW2" s="40"/>
      <c r="YX2" s="40"/>
      <c r="YY2" s="40"/>
      <c r="YZ2" s="40"/>
      <c r="ZA2" s="40"/>
      <c r="ZB2" s="40"/>
      <c r="ZC2" s="40"/>
      <c r="ZD2" s="40"/>
      <c r="ZE2" s="40"/>
      <c r="ZF2" s="40"/>
      <c r="ZG2" s="40"/>
      <c r="ZH2" s="40"/>
      <c r="ZI2" s="40"/>
      <c r="ZJ2" s="40"/>
      <c r="ZK2" s="40"/>
      <c r="ZL2" s="40"/>
      <c r="ZM2" s="40"/>
      <c r="ZN2" s="40"/>
      <c r="ZO2" s="40"/>
      <c r="ZP2" s="40"/>
      <c r="ZQ2" s="40"/>
      <c r="ZR2" s="40"/>
      <c r="ZS2" s="40"/>
      <c r="ZT2" s="40"/>
      <c r="ZU2" s="40"/>
      <c r="ZV2" s="40"/>
      <c r="ZW2" s="40"/>
      <c r="ZX2" s="40"/>
      <c r="ZY2" s="40"/>
      <c r="ZZ2" s="40"/>
      <c r="AAA2" s="40"/>
      <c r="AAB2" s="40"/>
      <c r="AAC2" s="40"/>
      <c r="AAD2" s="40"/>
      <c r="AAE2" s="40"/>
      <c r="AAF2" s="40"/>
      <c r="AAG2" s="40"/>
      <c r="AAH2" s="40"/>
      <c r="AAI2" s="40"/>
      <c r="AAJ2" s="40"/>
      <c r="AAK2" s="40"/>
      <c r="AAL2" s="40"/>
      <c r="AAM2" s="40"/>
      <c r="AAN2" s="40"/>
      <c r="AAO2" s="40"/>
      <c r="AAP2" s="40"/>
      <c r="AAQ2" s="40"/>
      <c r="AAR2" s="40"/>
      <c r="AAS2" s="40"/>
      <c r="AAT2" s="40"/>
      <c r="AAU2" s="40"/>
      <c r="AAV2" s="40"/>
      <c r="AAW2" s="40"/>
      <c r="AAX2" s="40"/>
      <c r="AAY2" s="40"/>
      <c r="AAZ2" s="40"/>
      <c r="ABA2" s="40"/>
      <c r="ABB2" s="40"/>
      <c r="ABC2" s="40"/>
      <c r="ABD2" s="40"/>
      <c r="ABE2" s="40"/>
      <c r="ABF2" s="40"/>
      <c r="ABG2" s="40"/>
      <c r="ABH2" s="40"/>
      <c r="ABI2" s="40"/>
      <c r="ABJ2" s="40"/>
      <c r="ABK2" s="40"/>
      <c r="ABL2" s="40"/>
      <c r="ABM2" s="40"/>
      <c r="ABN2" s="40"/>
      <c r="ABO2" s="40"/>
      <c r="ABP2" s="40"/>
      <c r="ABQ2" s="40"/>
      <c r="ABR2" s="40"/>
      <c r="ABS2" s="40"/>
      <c r="ABT2" s="40"/>
      <c r="ABU2" s="40"/>
      <c r="ABV2" s="40"/>
      <c r="ABW2" s="40"/>
      <c r="ABX2" s="40"/>
      <c r="ABY2" s="40"/>
      <c r="ABZ2" s="40"/>
      <c r="ACA2" s="40"/>
      <c r="ACB2" s="40"/>
      <c r="ACC2" s="40"/>
      <c r="ACD2" s="40"/>
      <c r="ACE2" s="40"/>
      <c r="ACF2" s="40"/>
      <c r="ACG2" s="40"/>
      <c r="ACH2" s="40"/>
      <c r="ACI2" s="40"/>
      <c r="ACJ2" s="40"/>
      <c r="ACK2" s="40"/>
      <c r="ACL2" s="40"/>
      <c r="ACM2" s="40"/>
      <c r="ACN2" s="40"/>
      <c r="ACO2" s="40"/>
      <c r="ACP2" s="40"/>
      <c r="ACQ2" s="40"/>
      <c r="ACR2" s="40"/>
      <c r="ACS2" s="40"/>
      <c r="ACT2" s="40"/>
      <c r="ACU2" s="40"/>
      <c r="ACV2" s="40"/>
      <c r="ACW2" s="40"/>
      <c r="ACX2" s="40"/>
      <c r="ACY2" s="40"/>
      <c r="ACZ2" s="40"/>
      <c r="ADA2" s="40"/>
      <c r="ADB2" s="40"/>
      <c r="ADC2" s="40"/>
      <c r="ADD2" s="40"/>
      <c r="ADE2" s="40"/>
      <c r="ADF2" s="40"/>
      <c r="ADG2" s="40"/>
      <c r="ADH2" s="40"/>
      <c r="ADI2" s="40"/>
      <c r="ADJ2" s="40"/>
      <c r="ADK2" s="40"/>
      <c r="ADL2" s="40"/>
      <c r="ADM2" s="40"/>
      <c r="ADN2" s="40"/>
      <c r="ADO2" s="40"/>
      <c r="ADP2" s="40"/>
      <c r="ADQ2" s="40"/>
      <c r="ADR2" s="40"/>
      <c r="ADS2" s="40"/>
      <c r="ADT2" s="40"/>
      <c r="ADU2" s="40"/>
      <c r="ADV2" s="40"/>
      <c r="ADW2" s="40"/>
      <c r="ADX2" s="40"/>
      <c r="ADY2" s="40"/>
      <c r="ADZ2" s="40"/>
      <c r="AEA2" s="40"/>
      <c r="AEB2" s="40"/>
      <c r="AEC2" s="40"/>
      <c r="AED2" s="40"/>
      <c r="AEE2" s="40"/>
      <c r="AEF2" s="40"/>
      <c r="AEG2" s="40"/>
      <c r="AEH2" s="40"/>
      <c r="AEI2" s="40"/>
      <c r="AEJ2" s="40"/>
      <c r="AEK2" s="40"/>
      <c r="AEL2" s="40"/>
      <c r="AEM2" s="40"/>
      <c r="AEN2" s="40"/>
      <c r="AEO2" s="40"/>
      <c r="AEP2" s="40"/>
      <c r="AEQ2" s="40"/>
      <c r="AER2" s="40"/>
      <c r="AES2" s="40"/>
      <c r="AET2" s="40"/>
      <c r="AEU2" s="40"/>
      <c r="AEV2" s="40"/>
      <c r="AEW2" s="40"/>
      <c r="AEX2" s="40"/>
      <c r="AEY2" s="40"/>
      <c r="AEZ2" s="40"/>
      <c r="AFA2" s="40"/>
      <c r="AFB2" s="40"/>
      <c r="AFC2" s="40"/>
      <c r="AFD2" s="40"/>
      <c r="AFE2" s="40"/>
      <c r="AFF2" s="40"/>
      <c r="AFG2" s="40"/>
      <c r="AFH2" s="40"/>
      <c r="AFI2" s="40"/>
      <c r="AFJ2" s="40"/>
      <c r="AFK2" s="40"/>
      <c r="AFL2" s="40"/>
      <c r="AFM2" s="40"/>
      <c r="AFN2" s="40"/>
      <c r="AFO2" s="40"/>
      <c r="AFP2" s="40"/>
      <c r="AFQ2" s="40"/>
      <c r="AFR2" s="40"/>
      <c r="AFS2" s="40"/>
      <c r="AFT2" s="40"/>
      <c r="AFU2" s="40"/>
      <c r="AFV2" s="40"/>
      <c r="AFW2" s="40"/>
      <c r="AFX2" s="40"/>
      <c r="AFY2" s="40"/>
      <c r="AFZ2" s="40"/>
      <c r="AGA2" s="40"/>
      <c r="AGB2" s="40"/>
      <c r="AGC2" s="40"/>
      <c r="AGD2" s="40"/>
      <c r="AGE2" s="40"/>
      <c r="AGF2" s="40"/>
      <c r="AGG2" s="40"/>
      <c r="AGH2" s="40"/>
      <c r="AGI2" s="40"/>
      <c r="AGJ2" s="40"/>
      <c r="AGK2" s="40"/>
      <c r="AGL2" s="40"/>
      <c r="AGM2" s="40"/>
      <c r="AGN2" s="40"/>
      <c r="AGO2" s="40"/>
      <c r="AGP2" s="40"/>
      <c r="AGQ2" s="40"/>
      <c r="AGR2" s="40"/>
      <c r="AGS2" s="40"/>
      <c r="AGT2" s="40"/>
      <c r="AGU2" s="40"/>
      <c r="AGV2" s="40"/>
      <c r="AGW2" s="40"/>
      <c r="AGX2" s="40"/>
      <c r="AGY2" s="40"/>
      <c r="AGZ2" s="40"/>
      <c r="AHA2" s="40"/>
      <c r="AHB2" s="40"/>
      <c r="AHC2" s="40"/>
      <c r="AHD2" s="40"/>
      <c r="AHE2" s="40"/>
      <c r="AHF2" s="40"/>
      <c r="AHG2" s="40"/>
      <c r="AHH2" s="40"/>
      <c r="AHI2" s="40"/>
      <c r="AHJ2" s="40"/>
      <c r="AHK2" s="40"/>
      <c r="AHL2" s="40"/>
      <c r="AHM2" s="40"/>
      <c r="AHN2" s="40"/>
      <c r="AHO2" s="40"/>
      <c r="AHP2" s="40"/>
      <c r="AHQ2" s="40"/>
      <c r="AHR2" s="40"/>
      <c r="AHS2" s="40"/>
      <c r="AHT2" s="40"/>
      <c r="AHU2" s="40"/>
      <c r="AHV2" s="40"/>
      <c r="AHW2" s="40"/>
      <c r="AHX2" s="40"/>
      <c r="AHY2" s="40"/>
      <c r="AHZ2" s="40"/>
      <c r="AIA2" s="40"/>
      <c r="AIB2" s="40"/>
      <c r="AIC2" s="40"/>
      <c r="AID2" s="40"/>
      <c r="AIE2" s="40"/>
      <c r="AIF2" s="40"/>
      <c r="AIG2" s="40"/>
      <c r="AIH2" s="40"/>
      <c r="AII2" s="40"/>
      <c r="AIJ2" s="40"/>
      <c r="AIK2" s="40"/>
      <c r="AIL2" s="40"/>
      <c r="AIM2" s="40"/>
      <c r="AIN2" s="40"/>
      <c r="AIO2" s="40"/>
      <c r="AIP2" s="40"/>
      <c r="AIQ2" s="40"/>
      <c r="AIR2" s="40"/>
      <c r="AIS2" s="40"/>
      <c r="AIT2" s="40"/>
      <c r="AIU2" s="40"/>
      <c r="AIV2" s="40"/>
      <c r="AIW2" s="40"/>
      <c r="AIX2" s="40"/>
      <c r="AIY2" s="40"/>
      <c r="AIZ2" s="40"/>
      <c r="AJA2" s="40"/>
      <c r="AJB2" s="40"/>
      <c r="AJC2" s="40"/>
      <c r="AJD2" s="40"/>
      <c r="AJE2" s="40"/>
      <c r="AJF2" s="40"/>
      <c r="AJG2" s="40"/>
      <c r="AJH2" s="40"/>
      <c r="AJI2" s="40"/>
      <c r="AJJ2" s="40"/>
      <c r="AJK2" s="40"/>
      <c r="AJL2" s="40"/>
      <c r="AJM2" s="40"/>
      <c r="AJN2" s="40"/>
      <c r="AJO2" s="40"/>
      <c r="AJP2" s="40"/>
      <c r="AJQ2" s="40"/>
      <c r="AJR2" s="40"/>
      <c r="AJS2" s="40"/>
      <c r="AJT2" s="40"/>
      <c r="AJU2" s="40"/>
      <c r="AJV2" s="40"/>
      <c r="AJW2" s="40"/>
      <c r="AJX2" s="40"/>
      <c r="AJY2" s="40"/>
      <c r="AJZ2" s="40"/>
      <c r="AKA2" s="40"/>
      <c r="AKB2" s="40"/>
      <c r="AKC2" s="40"/>
      <c r="AKD2" s="40"/>
      <c r="AKE2" s="40"/>
      <c r="AKF2" s="40"/>
      <c r="AKG2" s="40"/>
      <c r="AKH2" s="40"/>
      <c r="AKI2" s="40"/>
      <c r="AKJ2" s="40"/>
      <c r="AKK2" s="40"/>
      <c r="AKL2" s="40"/>
      <c r="AKM2" s="40"/>
      <c r="AKN2" s="40"/>
      <c r="AKO2" s="40"/>
      <c r="AKP2" s="40"/>
      <c r="AKQ2" s="40"/>
      <c r="AKR2" s="40"/>
      <c r="AKS2" s="40"/>
      <c r="AKT2" s="40"/>
      <c r="AKU2" s="40"/>
      <c r="AKV2" s="40"/>
      <c r="AKW2" s="40"/>
      <c r="AKX2" s="40"/>
      <c r="AKY2" s="40"/>
      <c r="AKZ2" s="40"/>
      <c r="ALA2" s="40"/>
      <c r="ALB2" s="40"/>
      <c r="ALC2" s="40"/>
      <c r="ALD2" s="40"/>
      <c r="ALE2" s="40"/>
      <c r="ALF2" s="40"/>
      <c r="ALG2" s="40"/>
      <c r="XEV2" s="39" t="s">
        <v>32</v>
      </c>
    </row>
    <row r="3" spans="1:995 16376:16376" s="39" customFormat="1" ht="20.100000000000001" customHeight="1">
      <c r="A3" s="403" t="s">
        <v>7242</v>
      </c>
      <c r="B3" s="403"/>
      <c r="C3" s="408" t="str">
        <f>CONTRATO</f>
        <v>Distrito de Macarenhas - Baixo Guandu/ ES</v>
      </c>
      <c r="D3" s="409"/>
      <c r="E3" s="409"/>
      <c r="F3" s="409"/>
      <c r="G3" s="409"/>
      <c r="H3" s="409"/>
      <c r="I3" s="409"/>
      <c r="J3" s="409"/>
      <c r="K3" s="409"/>
      <c r="L3" s="409"/>
      <c r="M3" s="409"/>
      <c r="N3" s="410"/>
      <c r="O3" s="126"/>
      <c r="P3" s="126"/>
      <c r="Q3" s="124"/>
      <c r="R3" s="41"/>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c r="IZ3" s="40"/>
      <c r="JA3" s="40"/>
      <c r="JB3" s="40"/>
      <c r="JC3" s="40"/>
      <c r="JD3" s="40"/>
      <c r="JE3" s="40"/>
      <c r="JF3" s="40"/>
      <c r="JG3" s="40"/>
      <c r="JH3" s="40"/>
      <c r="JI3" s="40"/>
      <c r="JJ3" s="40"/>
      <c r="JK3" s="40"/>
      <c r="JL3" s="40"/>
      <c r="JM3" s="40"/>
      <c r="JN3" s="40"/>
      <c r="JO3" s="40"/>
      <c r="JP3" s="40"/>
      <c r="JQ3" s="40"/>
      <c r="JR3" s="40"/>
      <c r="JS3" s="40"/>
      <c r="JT3" s="40"/>
      <c r="JU3" s="40"/>
      <c r="JV3" s="40"/>
      <c r="JW3" s="40"/>
      <c r="JX3" s="40"/>
      <c r="JY3" s="40"/>
      <c r="JZ3" s="40"/>
      <c r="KA3" s="40"/>
      <c r="KB3" s="40"/>
      <c r="KC3" s="40"/>
      <c r="KD3" s="40"/>
      <c r="KE3" s="40"/>
      <c r="KF3" s="40"/>
      <c r="KG3" s="40"/>
      <c r="KH3" s="40"/>
      <c r="KI3" s="40"/>
      <c r="KJ3" s="40"/>
      <c r="KK3" s="40"/>
      <c r="KL3" s="40"/>
      <c r="KM3" s="40"/>
      <c r="KN3" s="40"/>
      <c r="KO3" s="40"/>
      <c r="KP3" s="40"/>
      <c r="KQ3" s="40"/>
      <c r="KR3" s="40"/>
      <c r="KS3" s="40"/>
      <c r="KT3" s="40"/>
      <c r="KU3" s="40"/>
      <c r="KV3" s="40"/>
      <c r="KW3" s="40"/>
      <c r="KX3" s="40"/>
      <c r="KY3" s="40"/>
      <c r="KZ3" s="40"/>
      <c r="LA3" s="40"/>
      <c r="LB3" s="40"/>
      <c r="LC3" s="40"/>
      <c r="LD3" s="40"/>
      <c r="LE3" s="40"/>
      <c r="LF3" s="40"/>
      <c r="LG3" s="40"/>
      <c r="LH3" s="40"/>
      <c r="LI3" s="40"/>
      <c r="LJ3" s="40"/>
      <c r="LK3" s="40"/>
      <c r="LL3" s="40"/>
      <c r="LM3" s="40"/>
      <c r="LN3" s="40"/>
      <c r="LO3" s="40"/>
      <c r="LP3" s="40"/>
      <c r="LQ3" s="40"/>
      <c r="LR3" s="40"/>
      <c r="LS3" s="40"/>
      <c r="LT3" s="40"/>
      <c r="LU3" s="40"/>
      <c r="LV3" s="40"/>
      <c r="LW3" s="40"/>
      <c r="LX3" s="40"/>
      <c r="LY3" s="40"/>
      <c r="LZ3" s="40"/>
      <c r="MA3" s="40"/>
      <c r="MB3" s="40"/>
      <c r="MC3" s="40"/>
      <c r="MD3" s="40"/>
      <c r="ME3" s="40"/>
      <c r="MF3" s="40"/>
      <c r="MG3" s="40"/>
      <c r="MH3" s="40"/>
      <c r="MI3" s="40"/>
      <c r="MJ3" s="40"/>
      <c r="MK3" s="40"/>
      <c r="ML3" s="40"/>
      <c r="MM3" s="40"/>
      <c r="MN3" s="40"/>
      <c r="MO3" s="40"/>
      <c r="MP3" s="40"/>
      <c r="MQ3" s="40"/>
      <c r="MR3" s="40"/>
      <c r="MS3" s="40"/>
      <c r="MT3" s="40"/>
      <c r="MU3" s="40"/>
      <c r="MV3" s="40"/>
      <c r="MW3" s="40"/>
      <c r="MX3" s="40"/>
      <c r="MY3" s="40"/>
      <c r="MZ3" s="40"/>
      <c r="NA3" s="40"/>
      <c r="NB3" s="40"/>
      <c r="NC3" s="40"/>
      <c r="ND3" s="40"/>
      <c r="NE3" s="40"/>
      <c r="NF3" s="40"/>
      <c r="NG3" s="40"/>
      <c r="NH3" s="40"/>
      <c r="NI3" s="40"/>
      <c r="NJ3" s="40"/>
      <c r="NK3" s="40"/>
      <c r="NL3" s="40"/>
      <c r="NM3" s="40"/>
      <c r="NN3" s="40"/>
      <c r="NO3" s="40"/>
      <c r="NP3" s="40"/>
      <c r="NQ3" s="40"/>
      <c r="NR3" s="40"/>
      <c r="NS3" s="40"/>
      <c r="NT3" s="40"/>
      <c r="NU3" s="40"/>
      <c r="NV3" s="40"/>
      <c r="NW3" s="40"/>
      <c r="NX3" s="40"/>
      <c r="NY3" s="40"/>
      <c r="NZ3" s="40"/>
      <c r="OA3" s="40"/>
      <c r="OB3" s="40"/>
      <c r="OC3" s="40"/>
      <c r="OD3" s="40"/>
      <c r="OE3" s="40"/>
      <c r="OF3" s="40"/>
      <c r="OG3" s="40"/>
      <c r="OH3" s="40"/>
      <c r="OI3" s="40"/>
      <c r="OJ3" s="40"/>
      <c r="OK3" s="40"/>
      <c r="OL3" s="40"/>
      <c r="OM3" s="40"/>
      <c r="ON3" s="40"/>
      <c r="OO3" s="40"/>
      <c r="OP3" s="40"/>
      <c r="OQ3" s="40"/>
      <c r="OR3" s="40"/>
      <c r="OS3" s="40"/>
      <c r="OT3" s="40"/>
      <c r="OU3" s="40"/>
      <c r="OV3" s="40"/>
      <c r="OW3" s="40"/>
      <c r="OX3" s="40"/>
      <c r="OY3" s="40"/>
      <c r="OZ3" s="40"/>
      <c r="PA3" s="40"/>
      <c r="PB3" s="40"/>
      <c r="PC3" s="40"/>
      <c r="PD3" s="40"/>
      <c r="PE3" s="40"/>
      <c r="PF3" s="40"/>
      <c r="PG3" s="40"/>
      <c r="PH3" s="40"/>
      <c r="PI3" s="40"/>
      <c r="PJ3" s="40"/>
      <c r="PK3" s="40"/>
      <c r="PL3" s="40"/>
      <c r="PM3" s="40"/>
      <c r="PN3" s="40"/>
      <c r="PO3" s="40"/>
      <c r="PP3" s="40"/>
      <c r="PQ3" s="40"/>
      <c r="PR3" s="40"/>
      <c r="PS3" s="40"/>
      <c r="PT3" s="40"/>
      <c r="PU3" s="40"/>
      <c r="PV3" s="40"/>
      <c r="PW3" s="40"/>
      <c r="PX3" s="40"/>
      <c r="PY3" s="40"/>
      <c r="PZ3" s="40"/>
      <c r="QA3" s="40"/>
      <c r="QB3" s="40"/>
      <c r="QC3" s="40"/>
      <c r="QD3" s="40"/>
      <c r="QE3" s="40"/>
      <c r="QF3" s="40"/>
      <c r="QG3" s="40"/>
      <c r="QH3" s="40"/>
      <c r="QI3" s="40"/>
      <c r="QJ3" s="40"/>
      <c r="QK3" s="40"/>
      <c r="QL3" s="40"/>
      <c r="QM3" s="40"/>
      <c r="QN3" s="40"/>
      <c r="QO3" s="40"/>
      <c r="QP3" s="40"/>
      <c r="QQ3" s="40"/>
      <c r="QR3" s="40"/>
      <c r="QS3" s="40"/>
      <c r="QT3" s="40"/>
      <c r="QU3" s="40"/>
      <c r="QV3" s="40"/>
      <c r="QW3" s="40"/>
      <c r="QX3" s="40"/>
      <c r="QY3" s="40"/>
      <c r="QZ3" s="40"/>
      <c r="RA3" s="40"/>
      <c r="RB3" s="40"/>
      <c r="RC3" s="40"/>
      <c r="RD3" s="40"/>
      <c r="RE3" s="40"/>
      <c r="RF3" s="40"/>
      <c r="RG3" s="40"/>
      <c r="RH3" s="40"/>
      <c r="RI3" s="40"/>
      <c r="RJ3" s="40"/>
      <c r="RK3" s="40"/>
      <c r="RL3" s="40"/>
      <c r="RM3" s="40"/>
      <c r="RN3" s="40"/>
      <c r="RO3" s="40"/>
      <c r="RP3" s="40"/>
      <c r="RQ3" s="40"/>
      <c r="RR3" s="40"/>
      <c r="RS3" s="40"/>
      <c r="RT3" s="40"/>
      <c r="RU3" s="40"/>
      <c r="RV3" s="40"/>
      <c r="RW3" s="40"/>
      <c r="RX3" s="40"/>
      <c r="RY3" s="40"/>
      <c r="RZ3" s="40"/>
      <c r="SA3" s="40"/>
      <c r="SB3" s="40"/>
      <c r="SC3" s="40"/>
      <c r="SD3" s="40"/>
      <c r="SE3" s="40"/>
      <c r="SF3" s="40"/>
      <c r="SG3" s="40"/>
      <c r="SH3" s="40"/>
      <c r="SI3" s="40"/>
      <c r="SJ3" s="40"/>
      <c r="SK3" s="40"/>
      <c r="SL3" s="40"/>
      <c r="SM3" s="40"/>
      <c r="SN3" s="40"/>
      <c r="SO3" s="40"/>
      <c r="SP3" s="40"/>
      <c r="SQ3" s="40"/>
      <c r="SR3" s="40"/>
      <c r="SS3" s="40"/>
      <c r="ST3" s="40"/>
      <c r="SU3" s="40"/>
      <c r="SV3" s="40"/>
      <c r="SW3" s="40"/>
      <c r="SX3" s="40"/>
      <c r="SY3" s="40"/>
      <c r="SZ3" s="40"/>
      <c r="TA3" s="40"/>
      <c r="TB3" s="40"/>
      <c r="TC3" s="40"/>
      <c r="TD3" s="40"/>
      <c r="TE3" s="40"/>
      <c r="TF3" s="40"/>
      <c r="TG3" s="40"/>
      <c r="TH3" s="40"/>
      <c r="TI3" s="40"/>
      <c r="TJ3" s="40"/>
      <c r="TK3" s="40"/>
      <c r="TL3" s="40"/>
      <c r="TM3" s="40"/>
      <c r="TN3" s="40"/>
      <c r="TO3" s="40"/>
      <c r="TP3" s="40"/>
      <c r="TQ3" s="40"/>
      <c r="TR3" s="40"/>
      <c r="TS3" s="40"/>
      <c r="TT3" s="40"/>
      <c r="TU3" s="40"/>
      <c r="TV3" s="40"/>
      <c r="TW3" s="40"/>
      <c r="TX3" s="40"/>
      <c r="TY3" s="40"/>
      <c r="TZ3" s="40"/>
      <c r="UA3" s="40"/>
      <c r="UB3" s="40"/>
      <c r="UC3" s="40"/>
      <c r="UD3" s="40"/>
      <c r="UE3" s="40"/>
      <c r="UF3" s="40"/>
      <c r="UG3" s="40"/>
      <c r="UH3" s="40"/>
      <c r="UI3" s="40"/>
      <c r="UJ3" s="40"/>
      <c r="UK3" s="40"/>
      <c r="UL3" s="40"/>
      <c r="UM3" s="40"/>
      <c r="UN3" s="40"/>
      <c r="UO3" s="40"/>
      <c r="UP3" s="40"/>
      <c r="UQ3" s="40"/>
      <c r="UR3" s="40"/>
      <c r="US3" s="40"/>
      <c r="UT3" s="40"/>
      <c r="UU3" s="40"/>
      <c r="UV3" s="40"/>
      <c r="UW3" s="40"/>
      <c r="UX3" s="40"/>
      <c r="UY3" s="40"/>
      <c r="UZ3" s="40"/>
      <c r="VA3" s="40"/>
      <c r="VB3" s="40"/>
      <c r="VC3" s="40"/>
      <c r="VD3" s="40"/>
      <c r="VE3" s="40"/>
      <c r="VF3" s="40"/>
      <c r="VG3" s="40"/>
      <c r="VH3" s="40"/>
      <c r="VI3" s="40"/>
      <c r="VJ3" s="40"/>
      <c r="VK3" s="40"/>
      <c r="VL3" s="40"/>
      <c r="VM3" s="40"/>
      <c r="VN3" s="40"/>
      <c r="VO3" s="40"/>
      <c r="VP3" s="40"/>
      <c r="VQ3" s="40"/>
      <c r="VR3" s="40"/>
      <c r="VS3" s="40"/>
      <c r="VT3" s="40"/>
      <c r="VU3" s="40"/>
      <c r="VV3" s="40"/>
      <c r="VW3" s="40"/>
      <c r="VX3" s="40"/>
      <c r="VY3" s="40"/>
      <c r="VZ3" s="40"/>
      <c r="WA3" s="40"/>
      <c r="WB3" s="40"/>
      <c r="WC3" s="40"/>
      <c r="WD3" s="40"/>
      <c r="WE3" s="40"/>
      <c r="WF3" s="40"/>
      <c r="WG3" s="40"/>
      <c r="WH3" s="40"/>
      <c r="WI3" s="40"/>
      <c r="WJ3" s="40"/>
      <c r="WK3" s="40"/>
      <c r="WL3" s="40"/>
      <c r="WM3" s="40"/>
      <c r="WN3" s="40"/>
      <c r="WO3" s="40"/>
      <c r="WP3" s="40"/>
      <c r="WQ3" s="40"/>
      <c r="WR3" s="40"/>
      <c r="WS3" s="40"/>
      <c r="WT3" s="40"/>
      <c r="WU3" s="40"/>
      <c r="WV3" s="40"/>
      <c r="WW3" s="40"/>
      <c r="WX3" s="40"/>
      <c r="WY3" s="40"/>
      <c r="WZ3" s="40"/>
      <c r="XA3" s="40"/>
      <c r="XB3" s="40"/>
      <c r="XC3" s="40"/>
      <c r="XD3" s="40"/>
      <c r="XE3" s="40"/>
      <c r="XF3" s="40"/>
      <c r="XG3" s="40"/>
      <c r="XH3" s="40"/>
      <c r="XI3" s="40"/>
      <c r="XJ3" s="40"/>
      <c r="XK3" s="40"/>
      <c r="XL3" s="40"/>
      <c r="XM3" s="40"/>
      <c r="XN3" s="40"/>
      <c r="XO3" s="40"/>
      <c r="XP3" s="40"/>
      <c r="XQ3" s="40"/>
      <c r="XR3" s="40"/>
      <c r="XS3" s="40"/>
      <c r="XT3" s="40"/>
      <c r="XU3" s="40"/>
      <c r="XV3" s="40"/>
      <c r="XW3" s="40"/>
      <c r="XX3" s="40"/>
      <c r="XY3" s="40"/>
      <c r="XZ3" s="40"/>
      <c r="YA3" s="40"/>
      <c r="YB3" s="40"/>
      <c r="YC3" s="40"/>
      <c r="YD3" s="40"/>
      <c r="YE3" s="40"/>
      <c r="YF3" s="40"/>
      <c r="YG3" s="40"/>
      <c r="YH3" s="40"/>
      <c r="YI3" s="40"/>
      <c r="YJ3" s="40"/>
      <c r="YK3" s="40"/>
      <c r="YL3" s="40"/>
      <c r="YM3" s="40"/>
      <c r="YN3" s="40"/>
      <c r="YO3" s="40"/>
      <c r="YP3" s="40"/>
      <c r="YQ3" s="40"/>
      <c r="YR3" s="40"/>
      <c r="YS3" s="40"/>
      <c r="YT3" s="40"/>
      <c r="YU3" s="40"/>
      <c r="YV3" s="40"/>
      <c r="YW3" s="40"/>
      <c r="YX3" s="40"/>
      <c r="YY3" s="40"/>
      <c r="YZ3" s="40"/>
      <c r="ZA3" s="40"/>
      <c r="ZB3" s="40"/>
      <c r="ZC3" s="40"/>
      <c r="ZD3" s="40"/>
      <c r="ZE3" s="40"/>
      <c r="ZF3" s="40"/>
      <c r="ZG3" s="40"/>
      <c r="ZH3" s="40"/>
      <c r="ZI3" s="40"/>
      <c r="ZJ3" s="40"/>
      <c r="ZK3" s="40"/>
      <c r="ZL3" s="40"/>
      <c r="ZM3" s="40"/>
      <c r="ZN3" s="40"/>
      <c r="ZO3" s="40"/>
      <c r="ZP3" s="40"/>
      <c r="ZQ3" s="40"/>
      <c r="ZR3" s="40"/>
      <c r="ZS3" s="40"/>
      <c r="ZT3" s="40"/>
      <c r="ZU3" s="40"/>
      <c r="ZV3" s="40"/>
      <c r="ZW3" s="40"/>
      <c r="ZX3" s="40"/>
      <c r="ZY3" s="40"/>
      <c r="ZZ3" s="40"/>
      <c r="AAA3" s="40"/>
      <c r="AAB3" s="40"/>
      <c r="AAC3" s="40"/>
      <c r="AAD3" s="40"/>
      <c r="AAE3" s="40"/>
      <c r="AAF3" s="40"/>
      <c r="AAG3" s="40"/>
      <c r="AAH3" s="40"/>
      <c r="AAI3" s="40"/>
      <c r="AAJ3" s="40"/>
      <c r="AAK3" s="40"/>
      <c r="AAL3" s="40"/>
      <c r="AAM3" s="40"/>
      <c r="AAN3" s="40"/>
      <c r="AAO3" s="40"/>
      <c r="AAP3" s="40"/>
      <c r="AAQ3" s="40"/>
      <c r="AAR3" s="40"/>
      <c r="AAS3" s="40"/>
      <c r="AAT3" s="40"/>
      <c r="AAU3" s="40"/>
      <c r="AAV3" s="40"/>
      <c r="AAW3" s="40"/>
      <c r="AAX3" s="40"/>
      <c r="AAY3" s="40"/>
      <c r="AAZ3" s="40"/>
      <c r="ABA3" s="40"/>
      <c r="ABB3" s="40"/>
      <c r="ABC3" s="40"/>
      <c r="ABD3" s="40"/>
      <c r="ABE3" s="40"/>
      <c r="ABF3" s="40"/>
      <c r="ABG3" s="40"/>
      <c r="ABH3" s="40"/>
      <c r="ABI3" s="40"/>
      <c r="ABJ3" s="40"/>
      <c r="ABK3" s="40"/>
      <c r="ABL3" s="40"/>
      <c r="ABM3" s="40"/>
      <c r="ABN3" s="40"/>
      <c r="ABO3" s="40"/>
      <c r="ABP3" s="40"/>
      <c r="ABQ3" s="40"/>
      <c r="ABR3" s="40"/>
      <c r="ABS3" s="40"/>
      <c r="ABT3" s="40"/>
      <c r="ABU3" s="40"/>
      <c r="ABV3" s="40"/>
      <c r="ABW3" s="40"/>
      <c r="ABX3" s="40"/>
      <c r="ABY3" s="40"/>
      <c r="ABZ3" s="40"/>
      <c r="ACA3" s="40"/>
      <c r="ACB3" s="40"/>
      <c r="ACC3" s="40"/>
      <c r="ACD3" s="40"/>
      <c r="ACE3" s="40"/>
      <c r="ACF3" s="40"/>
      <c r="ACG3" s="40"/>
      <c r="ACH3" s="40"/>
      <c r="ACI3" s="40"/>
      <c r="ACJ3" s="40"/>
      <c r="ACK3" s="40"/>
      <c r="ACL3" s="40"/>
      <c r="ACM3" s="40"/>
      <c r="ACN3" s="40"/>
      <c r="ACO3" s="40"/>
      <c r="ACP3" s="40"/>
      <c r="ACQ3" s="40"/>
      <c r="ACR3" s="40"/>
      <c r="ACS3" s="40"/>
      <c r="ACT3" s="40"/>
      <c r="ACU3" s="40"/>
      <c r="ACV3" s="40"/>
      <c r="ACW3" s="40"/>
      <c r="ACX3" s="40"/>
      <c r="ACY3" s="40"/>
      <c r="ACZ3" s="40"/>
      <c r="ADA3" s="40"/>
      <c r="ADB3" s="40"/>
      <c r="ADC3" s="40"/>
      <c r="ADD3" s="40"/>
      <c r="ADE3" s="40"/>
      <c r="ADF3" s="40"/>
      <c r="ADG3" s="40"/>
      <c r="ADH3" s="40"/>
      <c r="ADI3" s="40"/>
      <c r="ADJ3" s="40"/>
      <c r="ADK3" s="40"/>
      <c r="ADL3" s="40"/>
      <c r="ADM3" s="40"/>
      <c r="ADN3" s="40"/>
      <c r="ADO3" s="40"/>
      <c r="ADP3" s="40"/>
      <c r="ADQ3" s="40"/>
      <c r="ADR3" s="40"/>
      <c r="ADS3" s="40"/>
      <c r="ADT3" s="40"/>
      <c r="ADU3" s="40"/>
      <c r="ADV3" s="40"/>
      <c r="ADW3" s="40"/>
      <c r="ADX3" s="40"/>
      <c r="ADY3" s="40"/>
      <c r="ADZ3" s="40"/>
      <c r="AEA3" s="40"/>
      <c r="AEB3" s="40"/>
      <c r="AEC3" s="40"/>
      <c r="AED3" s="40"/>
      <c r="AEE3" s="40"/>
      <c r="AEF3" s="40"/>
      <c r="AEG3" s="40"/>
      <c r="AEH3" s="40"/>
      <c r="AEI3" s="40"/>
      <c r="AEJ3" s="40"/>
      <c r="AEK3" s="40"/>
      <c r="AEL3" s="40"/>
      <c r="AEM3" s="40"/>
      <c r="AEN3" s="40"/>
      <c r="AEO3" s="40"/>
      <c r="AEP3" s="40"/>
      <c r="AEQ3" s="40"/>
      <c r="AER3" s="40"/>
      <c r="AES3" s="40"/>
      <c r="AET3" s="40"/>
      <c r="AEU3" s="40"/>
      <c r="AEV3" s="40"/>
      <c r="AEW3" s="40"/>
      <c r="AEX3" s="40"/>
      <c r="AEY3" s="40"/>
      <c r="AEZ3" s="40"/>
      <c r="AFA3" s="40"/>
      <c r="AFB3" s="40"/>
      <c r="AFC3" s="40"/>
      <c r="AFD3" s="40"/>
      <c r="AFE3" s="40"/>
      <c r="AFF3" s="40"/>
      <c r="AFG3" s="40"/>
      <c r="AFH3" s="40"/>
      <c r="AFI3" s="40"/>
      <c r="AFJ3" s="40"/>
      <c r="AFK3" s="40"/>
      <c r="AFL3" s="40"/>
      <c r="AFM3" s="40"/>
      <c r="AFN3" s="40"/>
      <c r="AFO3" s="40"/>
      <c r="AFP3" s="40"/>
      <c r="AFQ3" s="40"/>
      <c r="AFR3" s="40"/>
      <c r="AFS3" s="40"/>
      <c r="AFT3" s="40"/>
      <c r="AFU3" s="40"/>
      <c r="AFV3" s="40"/>
      <c r="AFW3" s="40"/>
      <c r="AFX3" s="40"/>
      <c r="AFY3" s="40"/>
      <c r="AFZ3" s="40"/>
      <c r="AGA3" s="40"/>
      <c r="AGB3" s="40"/>
      <c r="AGC3" s="40"/>
      <c r="AGD3" s="40"/>
      <c r="AGE3" s="40"/>
      <c r="AGF3" s="40"/>
      <c r="AGG3" s="40"/>
      <c r="AGH3" s="40"/>
      <c r="AGI3" s="40"/>
      <c r="AGJ3" s="40"/>
      <c r="AGK3" s="40"/>
      <c r="AGL3" s="40"/>
      <c r="AGM3" s="40"/>
      <c r="AGN3" s="40"/>
      <c r="AGO3" s="40"/>
      <c r="AGP3" s="40"/>
      <c r="AGQ3" s="40"/>
      <c r="AGR3" s="40"/>
      <c r="AGS3" s="40"/>
      <c r="AGT3" s="40"/>
      <c r="AGU3" s="40"/>
      <c r="AGV3" s="40"/>
      <c r="AGW3" s="40"/>
      <c r="AGX3" s="40"/>
      <c r="AGY3" s="40"/>
      <c r="AGZ3" s="40"/>
      <c r="AHA3" s="40"/>
      <c r="AHB3" s="40"/>
      <c r="AHC3" s="40"/>
      <c r="AHD3" s="40"/>
      <c r="AHE3" s="40"/>
      <c r="AHF3" s="40"/>
      <c r="AHG3" s="40"/>
      <c r="AHH3" s="40"/>
      <c r="AHI3" s="40"/>
      <c r="AHJ3" s="40"/>
      <c r="AHK3" s="40"/>
      <c r="AHL3" s="40"/>
      <c r="AHM3" s="40"/>
      <c r="AHN3" s="40"/>
      <c r="AHO3" s="40"/>
      <c r="AHP3" s="40"/>
      <c r="AHQ3" s="40"/>
      <c r="AHR3" s="40"/>
      <c r="AHS3" s="40"/>
      <c r="AHT3" s="40"/>
      <c r="AHU3" s="40"/>
      <c r="AHV3" s="40"/>
      <c r="AHW3" s="40"/>
      <c r="AHX3" s="40"/>
      <c r="AHY3" s="40"/>
      <c r="AHZ3" s="40"/>
      <c r="AIA3" s="40"/>
      <c r="AIB3" s="40"/>
      <c r="AIC3" s="40"/>
      <c r="AID3" s="40"/>
      <c r="AIE3" s="40"/>
      <c r="AIF3" s="40"/>
      <c r="AIG3" s="40"/>
      <c r="AIH3" s="40"/>
      <c r="AII3" s="40"/>
      <c r="AIJ3" s="40"/>
      <c r="AIK3" s="40"/>
      <c r="AIL3" s="40"/>
      <c r="AIM3" s="40"/>
      <c r="AIN3" s="40"/>
      <c r="AIO3" s="40"/>
      <c r="AIP3" s="40"/>
      <c r="AIQ3" s="40"/>
      <c r="AIR3" s="40"/>
      <c r="AIS3" s="40"/>
      <c r="AIT3" s="40"/>
      <c r="AIU3" s="40"/>
      <c r="AIV3" s="40"/>
      <c r="AIW3" s="40"/>
      <c r="AIX3" s="40"/>
      <c r="AIY3" s="40"/>
      <c r="AIZ3" s="40"/>
      <c r="AJA3" s="40"/>
      <c r="AJB3" s="40"/>
      <c r="AJC3" s="40"/>
      <c r="AJD3" s="40"/>
      <c r="AJE3" s="40"/>
      <c r="AJF3" s="40"/>
      <c r="AJG3" s="40"/>
      <c r="AJH3" s="40"/>
      <c r="AJI3" s="40"/>
      <c r="AJJ3" s="40"/>
      <c r="AJK3" s="40"/>
      <c r="AJL3" s="40"/>
      <c r="AJM3" s="40"/>
      <c r="AJN3" s="40"/>
      <c r="AJO3" s="40"/>
      <c r="AJP3" s="40"/>
      <c r="AJQ3" s="40"/>
      <c r="AJR3" s="40"/>
      <c r="AJS3" s="40"/>
      <c r="AJT3" s="40"/>
      <c r="AJU3" s="40"/>
      <c r="AJV3" s="40"/>
      <c r="AJW3" s="40"/>
      <c r="AJX3" s="40"/>
      <c r="AJY3" s="40"/>
      <c r="AJZ3" s="40"/>
      <c r="AKA3" s="40"/>
      <c r="AKB3" s="40"/>
      <c r="AKC3" s="40"/>
      <c r="AKD3" s="40"/>
      <c r="AKE3" s="40"/>
      <c r="AKF3" s="40"/>
      <c r="AKG3" s="40"/>
      <c r="AKH3" s="40"/>
      <c r="AKI3" s="40"/>
      <c r="AKJ3" s="40"/>
      <c r="AKK3" s="40"/>
      <c r="AKL3" s="40"/>
      <c r="AKM3" s="40"/>
      <c r="AKN3" s="40"/>
      <c r="AKO3" s="40"/>
      <c r="AKP3" s="40"/>
      <c r="AKQ3" s="40"/>
      <c r="AKR3" s="40"/>
      <c r="AKS3" s="40"/>
      <c r="AKT3" s="40"/>
      <c r="AKU3" s="40"/>
      <c r="AKV3" s="40"/>
      <c r="AKW3" s="40"/>
      <c r="AKX3" s="40"/>
      <c r="AKY3" s="40"/>
      <c r="AKZ3" s="40"/>
      <c r="ALA3" s="40"/>
      <c r="ALB3" s="40"/>
      <c r="ALC3" s="40"/>
      <c r="ALD3" s="40"/>
      <c r="ALE3" s="40"/>
      <c r="ALF3" s="40"/>
      <c r="ALG3" s="40"/>
      <c r="XEV3" s="39" t="s">
        <v>1943</v>
      </c>
    </row>
    <row r="5" spans="1:995 16376:16376" s="132" customFormat="1" ht="25.5">
      <c r="A5" s="127" t="s">
        <v>922</v>
      </c>
      <c r="B5" s="127" t="s">
        <v>934</v>
      </c>
      <c r="C5" s="128" t="s">
        <v>7252</v>
      </c>
      <c r="D5" s="129">
        <v>1</v>
      </c>
      <c r="E5" s="129">
        <f>D5+1</f>
        <v>2</v>
      </c>
      <c r="F5" s="129">
        <f t="shared" ref="F5:P5" si="0">E5+1</f>
        <v>3</v>
      </c>
      <c r="G5" s="129">
        <f t="shared" si="0"/>
        <v>4</v>
      </c>
      <c r="H5" s="129">
        <f t="shared" si="0"/>
        <v>5</v>
      </c>
      <c r="I5" s="129">
        <f t="shared" si="0"/>
        <v>6</v>
      </c>
      <c r="J5" s="129">
        <f t="shared" si="0"/>
        <v>7</v>
      </c>
      <c r="K5" s="129">
        <f t="shared" si="0"/>
        <v>8</v>
      </c>
      <c r="L5" s="130">
        <f t="shared" si="0"/>
        <v>9</v>
      </c>
      <c r="M5" s="131">
        <f t="shared" si="0"/>
        <v>10</v>
      </c>
      <c r="N5" s="131">
        <f t="shared" si="0"/>
        <v>11</v>
      </c>
      <c r="O5" s="131">
        <f t="shared" si="0"/>
        <v>12</v>
      </c>
      <c r="P5" s="131">
        <f t="shared" si="0"/>
        <v>13</v>
      </c>
    </row>
    <row r="6" spans="1:995 16376:16376" s="39" customFormat="1" ht="20.100000000000001" customHeight="1">
      <c r="A6" s="399" t="s">
        <v>7229</v>
      </c>
      <c r="B6" s="401" t="str">
        <f>VLOOKUP($A6,SERVICOS,4,0)</f>
        <v>SERVIÇOS PRELIMINARES</v>
      </c>
      <c r="C6" s="133">
        <f>C7/$C$50</f>
        <v>4.0995090598077766E-2</v>
      </c>
      <c r="D6" s="405" t="s">
        <v>16613</v>
      </c>
      <c r="E6" s="405" t="s">
        <v>16613</v>
      </c>
      <c r="F6" s="405" t="s">
        <v>16614</v>
      </c>
      <c r="G6" s="134">
        <v>0.68</v>
      </c>
      <c r="H6" s="134">
        <v>0.04</v>
      </c>
      <c r="I6" s="134">
        <v>0.04</v>
      </c>
      <c r="J6" s="134">
        <v>0.04</v>
      </c>
      <c r="K6" s="134">
        <v>0.04</v>
      </c>
      <c r="L6" s="134">
        <v>0.04</v>
      </c>
      <c r="M6" s="134">
        <v>0.04</v>
      </c>
      <c r="N6" s="134">
        <v>0.08</v>
      </c>
      <c r="O6" s="135"/>
      <c r="P6" s="135"/>
      <c r="Q6" s="216">
        <f>SUM(G6:N6)</f>
        <v>1.0000000000000002</v>
      </c>
      <c r="R6" s="39" t="b">
        <f>IF(SUM(G6:P6)=1,TRUE)</f>
        <v>1</v>
      </c>
    </row>
    <row r="7" spans="1:995 16376:16376" s="39" customFormat="1" ht="20.100000000000001" customHeight="1">
      <c r="A7" s="400"/>
      <c r="B7" s="402"/>
      <c r="C7" s="136">
        <f>VLOOKUP($A6,SERVICOS,9,0)</f>
        <v>132023.78</v>
      </c>
      <c r="D7" s="406"/>
      <c r="E7" s="406"/>
      <c r="F7" s="406"/>
      <c r="G7" s="136">
        <f t="shared" ref="G7:N7" si="1">G6*$C7</f>
        <v>89776.170400000003</v>
      </c>
      <c r="H7" s="136">
        <f t="shared" si="1"/>
        <v>5280.9512000000004</v>
      </c>
      <c r="I7" s="136">
        <f t="shared" si="1"/>
        <v>5280.9512000000004</v>
      </c>
      <c r="J7" s="136">
        <f t="shared" si="1"/>
        <v>5280.9512000000004</v>
      </c>
      <c r="K7" s="136">
        <f t="shared" si="1"/>
        <v>5280.9512000000004</v>
      </c>
      <c r="L7" s="136">
        <f t="shared" si="1"/>
        <v>5280.9512000000004</v>
      </c>
      <c r="M7" s="136">
        <f t="shared" si="1"/>
        <v>5280.9512000000004</v>
      </c>
      <c r="N7" s="136">
        <f t="shared" si="1"/>
        <v>10561.902400000001</v>
      </c>
      <c r="O7" s="137">
        <f t="shared" ref="O7:P7" si="2">O6*$C7</f>
        <v>0</v>
      </c>
      <c r="P7" s="137">
        <f t="shared" si="2"/>
        <v>0</v>
      </c>
    </row>
    <row r="8" spans="1:995 16376:16376" s="39" customFormat="1" ht="20.100000000000001" customHeight="1">
      <c r="A8" s="399" t="s">
        <v>7232</v>
      </c>
      <c r="B8" s="401" t="str">
        <f>VLOOKUP($A8,SERVICOS,4,0)</f>
        <v>DEMOLIÇÕES E RETIRADAS</v>
      </c>
      <c r="C8" s="133">
        <f>C9/$C$50</f>
        <v>2.5403205540474733E-2</v>
      </c>
      <c r="D8" s="406"/>
      <c r="E8" s="406"/>
      <c r="F8" s="406"/>
      <c r="G8" s="134">
        <v>1</v>
      </c>
      <c r="H8" s="134"/>
      <c r="I8" s="134"/>
      <c r="J8" s="134"/>
      <c r="K8" s="134"/>
      <c r="L8" s="134"/>
      <c r="M8" s="134"/>
      <c r="N8" s="134"/>
      <c r="O8" s="135"/>
      <c r="P8" s="135"/>
      <c r="Q8" s="216">
        <f>SUM(G8:N8)</f>
        <v>1</v>
      </c>
      <c r="R8" s="39" t="b">
        <f>IF(SUM(G8:P8)=1,TRUE)</f>
        <v>1</v>
      </c>
    </row>
    <row r="9" spans="1:995 16376:16376" s="39" customFormat="1" ht="20.100000000000001" customHeight="1">
      <c r="A9" s="400"/>
      <c r="B9" s="402"/>
      <c r="C9" s="136">
        <f>VLOOKUP($A8,SERVICOS,9,0)</f>
        <v>81810.459999999992</v>
      </c>
      <c r="D9" s="406"/>
      <c r="E9" s="406"/>
      <c r="F9" s="406"/>
      <c r="G9" s="136">
        <f t="shared" ref="G9:N9" si="3">G8*$C9</f>
        <v>81810.459999999992</v>
      </c>
      <c r="H9" s="136">
        <f t="shared" si="3"/>
        <v>0</v>
      </c>
      <c r="I9" s="136">
        <f t="shared" si="3"/>
        <v>0</v>
      </c>
      <c r="J9" s="136">
        <f t="shared" si="3"/>
        <v>0</v>
      </c>
      <c r="K9" s="136">
        <f t="shared" si="3"/>
        <v>0</v>
      </c>
      <c r="L9" s="136">
        <f t="shared" si="3"/>
        <v>0</v>
      </c>
      <c r="M9" s="136">
        <f t="shared" si="3"/>
        <v>0</v>
      </c>
      <c r="N9" s="136">
        <f t="shared" si="3"/>
        <v>0</v>
      </c>
      <c r="O9" s="137">
        <f t="shared" ref="O9:P9" si="4">O8*$C9</f>
        <v>0</v>
      </c>
      <c r="P9" s="137">
        <f t="shared" si="4"/>
        <v>0</v>
      </c>
    </row>
    <row r="10" spans="1:995 16376:16376" s="39" customFormat="1" ht="20.100000000000001" customHeight="1">
      <c r="A10" s="399" t="s">
        <v>7233</v>
      </c>
      <c r="B10" s="401" t="str">
        <f>VLOOKUP($A10,SERVICOS,4,0)</f>
        <v>MOVIMENTAÇÃO DE TERRA PARA FUNDAÇÕES</v>
      </c>
      <c r="C10" s="133">
        <f>C11/$C$50</f>
        <v>2.4790103972832201E-2</v>
      </c>
      <c r="D10" s="406"/>
      <c r="E10" s="406"/>
      <c r="F10" s="406"/>
      <c r="G10" s="134">
        <v>1</v>
      </c>
      <c r="H10" s="134"/>
      <c r="I10" s="134"/>
      <c r="J10" s="134"/>
      <c r="K10" s="134"/>
      <c r="L10" s="134"/>
      <c r="M10" s="134"/>
      <c r="N10" s="134"/>
      <c r="O10" s="135"/>
      <c r="P10" s="135"/>
      <c r="Q10" s="216">
        <f>SUM(G10:N10)</f>
        <v>1</v>
      </c>
      <c r="R10" s="39" t="b">
        <f>IF(SUM(G10:P10)=1,TRUE)</f>
        <v>1</v>
      </c>
    </row>
    <row r="11" spans="1:995 16376:16376" s="39" customFormat="1" ht="20.100000000000001" customHeight="1">
      <c r="A11" s="400"/>
      <c r="B11" s="402"/>
      <c r="C11" s="136">
        <f>VLOOKUP($A10,SERVICOS,9,0)</f>
        <v>79835.98</v>
      </c>
      <c r="D11" s="406"/>
      <c r="E11" s="406"/>
      <c r="F11" s="406"/>
      <c r="G11" s="136">
        <f t="shared" ref="G11:N11" si="5">G10*$C11</f>
        <v>79835.98</v>
      </c>
      <c r="H11" s="136">
        <f t="shared" si="5"/>
        <v>0</v>
      </c>
      <c r="I11" s="136">
        <f t="shared" si="5"/>
        <v>0</v>
      </c>
      <c r="J11" s="136">
        <f t="shared" si="5"/>
        <v>0</v>
      </c>
      <c r="K11" s="136">
        <f t="shared" si="5"/>
        <v>0</v>
      </c>
      <c r="L11" s="136">
        <f t="shared" si="5"/>
        <v>0</v>
      </c>
      <c r="M11" s="136">
        <f t="shared" si="5"/>
        <v>0</v>
      </c>
      <c r="N11" s="136">
        <f t="shared" si="5"/>
        <v>0</v>
      </c>
      <c r="O11" s="137">
        <f t="shared" ref="O11:P11" si="6">O10*$C11</f>
        <v>0</v>
      </c>
      <c r="P11" s="137">
        <f t="shared" si="6"/>
        <v>0</v>
      </c>
    </row>
    <row r="12" spans="1:995 16376:16376" s="39" customFormat="1" ht="20.100000000000001" customHeight="1">
      <c r="A12" s="399" t="s">
        <v>7234</v>
      </c>
      <c r="B12" s="401" t="str">
        <f>VLOOKUP($A12,SERVICOS,4,0)</f>
        <v>FUNDAÇÕES E CONTENÇÕES</v>
      </c>
      <c r="C12" s="133">
        <f>C13/$C$50</f>
        <v>5.3186464733981621E-2</v>
      </c>
      <c r="D12" s="406"/>
      <c r="E12" s="406"/>
      <c r="F12" s="406"/>
      <c r="G12" s="134">
        <v>0.7</v>
      </c>
      <c r="H12" s="134">
        <v>0.2</v>
      </c>
      <c r="I12" s="134">
        <v>0.1</v>
      </c>
      <c r="J12" s="134"/>
      <c r="K12" s="134"/>
      <c r="L12" s="134"/>
      <c r="M12" s="134"/>
      <c r="N12" s="134"/>
      <c r="O12" s="135"/>
      <c r="P12" s="135"/>
      <c r="Q12" s="216">
        <f>SUM(G12:N12)</f>
        <v>0.99999999999999989</v>
      </c>
      <c r="R12" s="39" t="b">
        <f>IF(SUM(G12:P12)=1,TRUE)</f>
        <v>1</v>
      </c>
    </row>
    <row r="13" spans="1:995 16376:16376" s="39" customFormat="1" ht="20.100000000000001" customHeight="1">
      <c r="A13" s="400"/>
      <c r="B13" s="402"/>
      <c r="C13" s="136">
        <f>VLOOKUP($A12,SERVICOS,9,0)</f>
        <v>171285.83000000002</v>
      </c>
      <c r="D13" s="406"/>
      <c r="E13" s="406"/>
      <c r="F13" s="406"/>
      <c r="G13" s="136">
        <f t="shared" ref="G13:N13" si="7">G12*$C13</f>
        <v>119900.08100000001</v>
      </c>
      <c r="H13" s="136">
        <f t="shared" si="7"/>
        <v>34257.166000000005</v>
      </c>
      <c r="I13" s="136">
        <f t="shared" si="7"/>
        <v>17128.583000000002</v>
      </c>
      <c r="J13" s="136">
        <f t="shared" si="7"/>
        <v>0</v>
      </c>
      <c r="K13" s="136">
        <f t="shared" si="7"/>
        <v>0</v>
      </c>
      <c r="L13" s="136">
        <f t="shared" si="7"/>
        <v>0</v>
      </c>
      <c r="M13" s="136">
        <f t="shared" si="7"/>
        <v>0</v>
      </c>
      <c r="N13" s="136">
        <f t="shared" si="7"/>
        <v>0</v>
      </c>
      <c r="O13" s="137">
        <f t="shared" ref="O13:P13" si="8">O12*$C13</f>
        <v>0</v>
      </c>
      <c r="P13" s="137">
        <f t="shared" si="8"/>
        <v>0</v>
      </c>
    </row>
    <row r="14" spans="1:995 16376:16376" s="39" customFormat="1" ht="20.100000000000001" customHeight="1">
      <c r="A14" s="399" t="s">
        <v>7235</v>
      </c>
      <c r="B14" s="401" t="str">
        <f>VLOOKUP($A14,SERVICOS,4,0)</f>
        <v>SUPRAESTRUTURA</v>
      </c>
      <c r="C14" s="133">
        <f>C15/$C$50</f>
        <v>0.12369693327060392</v>
      </c>
      <c r="D14" s="406"/>
      <c r="E14" s="406"/>
      <c r="F14" s="406"/>
      <c r="G14" s="134"/>
      <c r="H14" s="134">
        <v>0.3</v>
      </c>
      <c r="I14" s="134">
        <v>0.3</v>
      </c>
      <c r="J14" s="134">
        <v>0.4</v>
      </c>
      <c r="K14" s="134"/>
      <c r="L14" s="134"/>
      <c r="M14" s="134"/>
      <c r="N14" s="134"/>
      <c r="O14" s="135"/>
      <c r="P14" s="135"/>
      <c r="Q14" s="216">
        <f>SUM(G14:N14)</f>
        <v>1</v>
      </c>
      <c r="R14" s="39" t="b">
        <f>IF(SUM(G14:P14)=1,TRUE)</f>
        <v>1</v>
      </c>
    </row>
    <row r="15" spans="1:995 16376:16376" s="39" customFormat="1" ht="20.100000000000001" customHeight="1">
      <c r="A15" s="400"/>
      <c r="B15" s="402"/>
      <c r="C15" s="136">
        <f>VLOOKUP($A14,SERVICOS,9,0)</f>
        <v>398363.23000000004</v>
      </c>
      <c r="D15" s="406"/>
      <c r="E15" s="406"/>
      <c r="F15" s="406"/>
      <c r="G15" s="136">
        <f t="shared" ref="G15:N15" si="9">G14*$C15</f>
        <v>0</v>
      </c>
      <c r="H15" s="136">
        <f t="shared" si="9"/>
        <v>119508.96900000001</v>
      </c>
      <c r="I15" s="136">
        <f t="shared" si="9"/>
        <v>119508.96900000001</v>
      </c>
      <c r="J15" s="136">
        <f t="shared" si="9"/>
        <v>159345.29200000002</v>
      </c>
      <c r="K15" s="136">
        <f t="shared" si="9"/>
        <v>0</v>
      </c>
      <c r="L15" s="136">
        <f t="shared" si="9"/>
        <v>0</v>
      </c>
      <c r="M15" s="136">
        <f t="shared" si="9"/>
        <v>0</v>
      </c>
      <c r="N15" s="136">
        <f t="shared" si="9"/>
        <v>0</v>
      </c>
      <c r="O15" s="137">
        <f t="shared" ref="O15:P15" si="10">O14*$C15</f>
        <v>0</v>
      </c>
      <c r="P15" s="137">
        <f t="shared" si="10"/>
        <v>0</v>
      </c>
    </row>
    <row r="16" spans="1:995 16376:16376" s="39" customFormat="1" ht="20.100000000000001" customHeight="1">
      <c r="A16" s="399" t="s">
        <v>12594</v>
      </c>
      <c r="B16" s="401" t="str">
        <f>VLOOKUP($A16,SERVICOS,4,0)</f>
        <v>PAREDES</v>
      </c>
      <c r="C16" s="133">
        <f>C17/$C$50</f>
        <v>6.608430546495736E-2</v>
      </c>
      <c r="D16" s="406"/>
      <c r="E16" s="406"/>
      <c r="F16" s="406"/>
      <c r="G16" s="134"/>
      <c r="H16" s="134"/>
      <c r="I16" s="134"/>
      <c r="J16" s="134">
        <v>0.2</v>
      </c>
      <c r="K16" s="134">
        <v>0.2</v>
      </c>
      <c r="L16" s="134">
        <v>0.15</v>
      </c>
      <c r="M16" s="134"/>
      <c r="N16" s="134">
        <v>0.45</v>
      </c>
      <c r="O16" s="135"/>
      <c r="P16" s="135"/>
      <c r="Q16" s="216">
        <f>SUM(G16:N16)</f>
        <v>1</v>
      </c>
      <c r="R16" s="39" t="b">
        <f>IF(SUM(G16:P16)=1,TRUE)</f>
        <v>1</v>
      </c>
    </row>
    <row r="17" spans="1:18" s="39" customFormat="1" ht="20.100000000000001" customHeight="1">
      <c r="A17" s="400"/>
      <c r="B17" s="402"/>
      <c r="C17" s="136">
        <f>VLOOKUP($A16,SERVICOS,9,0)</f>
        <v>212823.03999999998</v>
      </c>
      <c r="D17" s="406"/>
      <c r="E17" s="406"/>
      <c r="F17" s="406"/>
      <c r="G17" s="136">
        <f t="shared" ref="G17:N17" si="11">G16*$C17</f>
        <v>0</v>
      </c>
      <c r="H17" s="136">
        <f t="shared" si="11"/>
        <v>0</v>
      </c>
      <c r="I17" s="136">
        <f t="shared" si="11"/>
        <v>0</v>
      </c>
      <c r="J17" s="136">
        <f t="shared" si="11"/>
        <v>42564.608</v>
      </c>
      <c r="K17" s="136">
        <f t="shared" si="11"/>
        <v>42564.608</v>
      </c>
      <c r="L17" s="136">
        <f t="shared" si="11"/>
        <v>31923.455999999995</v>
      </c>
      <c r="M17" s="136">
        <f t="shared" si="11"/>
        <v>0</v>
      </c>
      <c r="N17" s="136">
        <f t="shared" si="11"/>
        <v>95770.367999999988</v>
      </c>
      <c r="O17" s="137">
        <f t="shared" ref="O17:P17" si="12">O16*$C17</f>
        <v>0</v>
      </c>
      <c r="P17" s="137">
        <f t="shared" si="12"/>
        <v>0</v>
      </c>
    </row>
    <row r="18" spans="1:18" s="39" customFormat="1" ht="20.100000000000001" customHeight="1">
      <c r="A18" s="399" t="s">
        <v>12598</v>
      </c>
      <c r="B18" s="401" t="str">
        <f>VLOOKUP($A18,SERVICOS,4,0)</f>
        <v>ESQUADRIAS</v>
      </c>
      <c r="C18" s="133">
        <f>C19/$C$50</f>
        <v>1.7929491593269224E-2</v>
      </c>
      <c r="D18" s="406"/>
      <c r="E18" s="406"/>
      <c r="F18" s="406"/>
      <c r="G18" s="134"/>
      <c r="H18" s="134"/>
      <c r="I18" s="134"/>
      <c r="J18" s="134"/>
      <c r="K18" s="134"/>
      <c r="L18" s="134"/>
      <c r="M18" s="134">
        <v>0.1</v>
      </c>
      <c r="N18" s="134">
        <v>0.9</v>
      </c>
      <c r="O18" s="135"/>
      <c r="P18" s="135"/>
      <c r="Q18" s="216">
        <f>SUM(G18:N18)</f>
        <v>1</v>
      </c>
      <c r="R18" s="39" t="b">
        <f>IF(SUM(G18:P18)=1,TRUE)</f>
        <v>1</v>
      </c>
    </row>
    <row r="19" spans="1:18" s="39" customFormat="1" ht="20.100000000000001" customHeight="1">
      <c r="A19" s="400"/>
      <c r="B19" s="402"/>
      <c r="C19" s="136">
        <f>VLOOKUP($A18,SERVICOS,9,0)</f>
        <v>57741.53</v>
      </c>
      <c r="D19" s="406"/>
      <c r="E19" s="406"/>
      <c r="F19" s="406"/>
      <c r="G19" s="136">
        <f t="shared" ref="G19:N19" si="13">G18*$C19</f>
        <v>0</v>
      </c>
      <c r="H19" s="136">
        <f t="shared" si="13"/>
        <v>0</v>
      </c>
      <c r="I19" s="136">
        <f t="shared" si="13"/>
        <v>0</v>
      </c>
      <c r="J19" s="136">
        <f t="shared" si="13"/>
        <v>0</v>
      </c>
      <c r="K19" s="136">
        <f t="shared" si="13"/>
        <v>0</v>
      </c>
      <c r="L19" s="136">
        <f t="shared" si="13"/>
        <v>0</v>
      </c>
      <c r="M19" s="136">
        <f t="shared" si="13"/>
        <v>5774.1530000000002</v>
      </c>
      <c r="N19" s="136">
        <f t="shared" si="13"/>
        <v>51967.377</v>
      </c>
      <c r="O19" s="137">
        <f t="shared" ref="O19:P19" si="14">O18*$C19</f>
        <v>0</v>
      </c>
      <c r="P19" s="137">
        <f t="shared" si="14"/>
        <v>0</v>
      </c>
    </row>
    <row r="20" spans="1:18" s="39" customFormat="1" ht="20.100000000000001" customHeight="1">
      <c r="A20" s="399" t="s">
        <v>12601</v>
      </c>
      <c r="B20" s="401" t="str">
        <f>VLOOKUP($A20,SERVICOS,4,0)</f>
        <v>SISTEMAS DE COBERTURA</v>
      </c>
      <c r="C20" s="133">
        <f>C21/$C$50</f>
        <v>0.34569795298264155</v>
      </c>
      <c r="D20" s="406"/>
      <c r="E20" s="406"/>
      <c r="F20" s="406"/>
      <c r="G20" s="134"/>
      <c r="H20" s="134"/>
      <c r="I20" s="134">
        <v>0.8</v>
      </c>
      <c r="J20" s="134">
        <v>0.2</v>
      </c>
      <c r="K20" s="134"/>
      <c r="L20" s="134"/>
      <c r="M20" s="134"/>
      <c r="N20" s="134"/>
      <c r="O20" s="135"/>
      <c r="P20" s="135"/>
      <c r="Q20" s="216">
        <f>SUM(G20:N20)</f>
        <v>1</v>
      </c>
      <c r="R20" s="39" t="b">
        <f>IF(SUM(G20:P20)=1,TRUE)</f>
        <v>1</v>
      </c>
    </row>
    <row r="21" spans="1:18" s="39" customFormat="1" ht="20.100000000000001" customHeight="1">
      <c r="A21" s="400"/>
      <c r="B21" s="402"/>
      <c r="C21" s="136">
        <f>VLOOKUP($A20,SERVICOS,9,0)</f>
        <v>1113312.5900000001</v>
      </c>
      <c r="D21" s="406"/>
      <c r="E21" s="406"/>
      <c r="F21" s="406"/>
      <c r="G21" s="136">
        <f t="shared" ref="G21:N21" si="15">G20*$C21</f>
        <v>0</v>
      </c>
      <c r="H21" s="136">
        <f t="shared" si="15"/>
        <v>0</v>
      </c>
      <c r="I21" s="136">
        <f t="shared" si="15"/>
        <v>890650.07200000016</v>
      </c>
      <c r="J21" s="136">
        <f t="shared" si="15"/>
        <v>222662.51800000004</v>
      </c>
      <c r="K21" s="136">
        <f t="shared" si="15"/>
        <v>0</v>
      </c>
      <c r="L21" s="136">
        <f t="shared" si="15"/>
        <v>0</v>
      </c>
      <c r="M21" s="136">
        <f t="shared" si="15"/>
        <v>0</v>
      </c>
      <c r="N21" s="136">
        <f t="shared" si="15"/>
        <v>0</v>
      </c>
      <c r="O21" s="137">
        <f t="shared" ref="O21:P21" si="16">O20*$C21</f>
        <v>0</v>
      </c>
      <c r="P21" s="137">
        <f t="shared" si="16"/>
        <v>0</v>
      </c>
    </row>
    <row r="22" spans="1:18" s="39" customFormat="1" ht="20.100000000000001" customHeight="1">
      <c r="A22" s="399" t="s">
        <v>12603</v>
      </c>
      <c r="B22" s="401" t="str">
        <f>VLOOKUP($A22,SERVICOS,4,0)</f>
        <v>IMPERMEABILIZAÇÃO</v>
      </c>
      <c r="C22" s="133">
        <f>C23/$C$50</f>
        <v>9.4220055830100385E-3</v>
      </c>
      <c r="D22" s="406"/>
      <c r="E22" s="406"/>
      <c r="F22" s="406"/>
      <c r="G22" s="134"/>
      <c r="H22" s="134"/>
      <c r="I22" s="134"/>
      <c r="J22" s="134">
        <v>0.5</v>
      </c>
      <c r="K22" s="134">
        <v>0.5</v>
      </c>
      <c r="L22" s="134"/>
      <c r="M22" s="134"/>
      <c r="N22" s="134"/>
      <c r="O22" s="135"/>
      <c r="P22" s="135"/>
      <c r="Q22" s="216">
        <f>SUM(G22:N22)</f>
        <v>1</v>
      </c>
      <c r="R22" s="39" t="b">
        <f>IF(SUM(G22:P22)=1,TRUE)</f>
        <v>1</v>
      </c>
    </row>
    <row r="23" spans="1:18" s="39" customFormat="1" ht="20.100000000000001" customHeight="1">
      <c r="A23" s="400"/>
      <c r="B23" s="402"/>
      <c r="C23" s="136">
        <f>VLOOKUP($A22,SERVICOS,9,0)</f>
        <v>30343.360000000001</v>
      </c>
      <c r="D23" s="406"/>
      <c r="E23" s="406"/>
      <c r="F23" s="406"/>
      <c r="G23" s="136">
        <f t="shared" ref="G23:N23" si="17">G22*$C23</f>
        <v>0</v>
      </c>
      <c r="H23" s="136">
        <f t="shared" si="17"/>
        <v>0</v>
      </c>
      <c r="I23" s="136">
        <f t="shared" si="17"/>
        <v>0</v>
      </c>
      <c r="J23" s="136">
        <f t="shared" si="17"/>
        <v>15171.68</v>
      </c>
      <c r="K23" s="136">
        <f t="shared" si="17"/>
        <v>15171.68</v>
      </c>
      <c r="L23" s="136">
        <f t="shared" si="17"/>
        <v>0</v>
      </c>
      <c r="M23" s="136">
        <f t="shared" si="17"/>
        <v>0</v>
      </c>
      <c r="N23" s="136">
        <f t="shared" si="17"/>
        <v>0</v>
      </c>
      <c r="O23" s="137">
        <f t="shared" ref="O23:P23" si="18">O22*$C23</f>
        <v>0</v>
      </c>
      <c r="P23" s="137">
        <f t="shared" si="18"/>
        <v>0</v>
      </c>
    </row>
    <row r="24" spans="1:18" s="39" customFormat="1" ht="20.100000000000001" customHeight="1">
      <c r="A24" s="399" t="s">
        <v>12605</v>
      </c>
      <c r="B24" s="401" t="str">
        <f>VLOOKUP($A24,SERVICOS,4,0)</f>
        <v>REVESTIMENTOS INTERNO E EXTERNO</v>
      </c>
      <c r="C24" s="133">
        <f>C25/$C$50</f>
        <v>3.6416912816993094E-2</v>
      </c>
      <c r="D24" s="406"/>
      <c r="E24" s="406"/>
      <c r="F24" s="406"/>
      <c r="G24" s="134"/>
      <c r="H24" s="134"/>
      <c r="I24" s="134"/>
      <c r="J24" s="134"/>
      <c r="K24" s="134">
        <v>0.4</v>
      </c>
      <c r="L24" s="134">
        <v>0.6</v>
      </c>
      <c r="M24" s="134"/>
      <c r="N24" s="134"/>
      <c r="O24" s="135"/>
      <c r="P24" s="135"/>
      <c r="Q24" s="216">
        <f>SUM(G24:N24)</f>
        <v>1</v>
      </c>
      <c r="R24" s="39" t="b">
        <f>IF(SUM(G24:P24)=1,TRUE)</f>
        <v>1</v>
      </c>
    </row>
    <row r="25" spans="1:18" s="39" customFormat="1" ht="20.100000000000001" customHeight="1">
      <c r="A25" s="400"/>
      <c r="B25" s="402"/>
      <c r="C25" s="136">
        <f>VLOOKUP($A24,SERVICOS,9,0)</f>
        <v>117279.85999999999</v>
      </c>
      <c r="D25" s="406"/>
      <c r="E25" s="406"/>
      <c r="F25" s="406"/>
      <c r="G25" s="136">
        <f t="shared" ref="G25:N25" si="19">G24*$C25</f>
        <v>0</v>
      </c>
      <c r="H25" s="136">
        <f t="shared" si="19"/>
        <v>0</v>
      </c>
      <c r="I25" s="136">
        <f t="shared" si="19"/>
        <v>0</v>
      </c>
      <c r="J25" s="136">
        <f t="shared" si="19"/>
        <v>0</v>
      </c>
      <c r="K25" s="136">
        <f t="shared" si="19"/>
        <v>46911.943999999996</v>
      </c>
      <c r="L25" s="136">
        <f t="shared" si="19"/>
        <v>70367.915999999983</v>
      </c>
      <c r="M25" s="136">
        <f t="shared" si="19"/>
        <v>0</v>
      </c>
      <c r="N25" s="136">
        <f t="shared" si="19"/>
        <v>0</v>
      </c>
      <c r="O25" s="137">
        <f t="shared" ref="O25:P25" si="20">O24*$C25</f>
        <v>0</v>
      </c>
      <c r="P25" s="137">
        <f t="shared" si="20"/>
        <v>0</v>
      </c>
    </row>
    <row r="26" spans="1:18" s="39" customFormat="1" ht="20.100000000000001" customHeight="1">
      <c r="A26" s="399" t="s">
        <v>12608</v>
      </c>
      <c r="B26" s="401" t="str">
        <f>VLOOKUP($A26,SERVICOS,4,0)</f>
        <v>SISTEMAS DE PISOS</v>
      </c>
      <c r="C26" s="133">
        <f>C27/$C$50</f>
        <v>7.8862490038822883E-2</v>
      </c>
      <c r="D26" s="406"/>
      <c r="E26" s="406"/>
      <c r="F26" s="406"/>
      <c r="G26" s="134"/>
      <c r="H26" s="134"/>
      <c r="I26" s="134"/>
      <c r="J26" s="134">
        <v>0.5</v>
      </c>
      <c r="K26" s="134">
        <v>0.4</v>
      </c>
      <c r="L26" s="134"/>
      <c r="M26" s="134"/>
      <c r="N26" s="134">
        <v>0.1</v>
      </c>
      <c r="O26" s="135"/>
      <c r="P26" s="135"/>
      <c r="Q26" s="216">
        <f>SUM(G26:N26)</f>
        <v>1</v>
      </c>
      <c r="R26" s="39" t="b">
        <f>IF(SUM(G26:P26)=1,TRUE)</f>
        <v>1</v>
      </c>
    </row>
    <row r="27" spans="1:18" s="39" customFormat="1" ht="20.100000000000001" customHeight="1">
      <c r="A27" s="400"/>
      <c r="B27" s="402"/>
      <c r="C27" s="136">
        <f>VLOOKUP($A26,SERVICOS,9,0)</f>
        <v>253974.90000000005</v>
      </c>
      <c r="D27" s="406"/>
      <c r="E27" s="406"/>
      <c r="F27" s="406"/>
      <c r="G27" s="136">
        <f t="shared" ref="G27:N27" si="21">G26*$C27</f>
        <v>0</v>
      </c>
      <c r="H27" s="136">
        <f t="shared" si="21"/>
        <v>0</v>
      </c>
      <c r="I27" s="136">
        <f t="shared" si="21"/>
        <v>0</v>
      </c>
      <c r="J27" s="136">
        <f t="shared" si="21"/>
        <v>126987.45000000003</v>
      </c>
      <c r="K27" s="136">
        <f t="shared" si="21"/>
        <v>101589.96000000002</v>
      </c>
      <c r="L27" s="136">
        <f t="shared" si="21"/>
        <v>0</v>
      </c>
      <c r="M27" s="136">
        <f t="shared" si="21"/>
        <v>0</v>
      </c>
      <c r="N27" s="136">
        <f t="shared" si="21"/>
        <v>25397.490000000005</v>
      </c>
      <c r="O27" s="137">
        <f t="shared" ref="O27:P27" si="22">O26*$C27</f>
        <v>0</v>
      </c>
      <c r="P27" s="137">
        <f t="shared" si="22"/>
        <v>0</v>
      </c>
    </row>
    <row r="28" spans="1:18" s="39" customFormat="1" ht="20.100000000000001" customHeight="1">
      <c r="A28" s="399" t="s">
        <v>12611</v>
      </c>
      <c r="B28" s="401" t="str">
        <f>VLOOKUP($A28,SERVICOS,4,0)</f>
        <v>PINTURA</v>
      </c>
      <c r="C28" s="133">
        <f>C29/$C$50</f>
        <v>4.2760282075161131E-2</v>
      </c>
      <c r="D28" s="406"/>
      <c r="E28" s="406"/>
      <c r="F28" s="406"/>
      <c r="G28" s="134"/>
      <c r="H28" s="134"/>
      <c r="I28" s="134"/>
      <c r="J28" s="134"/>
      <c r="K28" s="134"/>
      <c r="L28" s="134"/>
      <c r="M28" s="134">
        <v>0.5</v>
      </c>
      <c r="N28" s="134">
        <v>0.5</v>
      </c>
      <c r="O28" s="135"/>
      <c r="P28" s="135"/>
      <c r="Q28" s="216">
        <f>SUM(G28:N28)</f>
        <v>1</v>
      </c>
      <c r="R28" s="39" t="b">
        <f>IF(SUM(G28:P28)=1,TRUE)</f>
        <v>1</v>
      </c>
    </row>
    <row r="29" spans="1:18" s="39" customFormat="1" ht="20.100000000000001" customHeight="1">
      <c r="A29" s="400"/>
      <c r="B29" s="402"/>
      <c r="C29" s="136">
        <f>VLOOKUP($A28,SERVICOS,9,0)</f>
        <v>137708.54</v>
      </c>
      <c r="D29" s="406"/>
      <c r="E29" s="406"/>
      <c r="F29" s="406"/>
      <c r="G29" s="136">
        <f t="shared" ref="G29:N29" si="23">G28*$C29</f>
        <v>0</v>
      </c>
      <c r="H29" s="136">
        <f t="shared" si="23"/>
        <v>0</v>
      </c>
      <c r="I29" s="136">
        <f t="shared" si="23"/>
        <v>0</v>
      </c>
      <c r="J29" s="136">
        <f t="shared" si="23"/>
        <v>0</v>
      </c>
      <c r="K29" s="136">
        <f t="shared" si="23"/>
        <v>0</v>
      </c>
      <c r="L29" s="136">
        <f t="shared" si="23"/>
        <v>0</v>
      </c>
      <c r="M29" s="136">
        <f t="shared" si="23"/>
        <v>68854.27</v>
      </c>
      <c r="N29" s="136">
        <f t="shared" si="23"/>
        <v>68854.27</v>
      </c>
      <c r="O29" s="137">
        <f t="shared" ref="O29:P29" si="24">O28*$C29</f>
        <v>0</v>
      </c>
      <c r="P29" s="137">
        <f t="shared" si="24"/>
        <v>0</v>
      </c>
    </row>
    <row r="30" spans="1:18" s="39" customFormat="1" ht="20.100000000000001" customHeight="1">
      <c r="A30" s="399" t="s">
        <v>12618</v>
      </c>
      <c r="B30" s="401" t="str">
        <f>VLOOKUP($A30,SERVICOS,4,0)</f>
        <v>INSTALAÇÕES HIDRÁULICAS</v>
      </c>
      <c r="C30" s="133">
        <f>C31/$C$50</f>
        <v>7.2260084685197437E-3</v>
      </c>
      <c r="D30" s="406"/>
      <c r="E30" s="406"/>
      <c r="F30" s="406"/>
      <c r="G30" s="134"/>
      <c r="H30" s="134"/>
      <c r="I30" s="134"/>
      <c r="J30" s="134"/>
      <c r="K30" s="134">
        <v>0.65</v>
      </c>
      <c r="L30" s="134">
        <v>0.35</v>
      </c>
      <c r="M30" s="134"/>
      <c r="N30" s="134"/>
      <c r="O30" s="135"/>
      <c r="P30" s="135"/>
      <c r="Q30" s="216">
        <f>SUM(G30:N30)</f>
        <v>1</v>
      </c>
      <c r="R30" s="39" t="b">
        <f>IF(SUM(G30:P30)=1,TRUE)</f>
        <v>1</v>
      </c>
    </row>
    <row r="31" spans="1:18" s="39" customFormat="1" ht="20.100000000000001" customHeight="1">
      <c r="A31" s="400"/>
      <c r="B31" s="402"/>
      <c r="C31" s="136">
        <f>VLOOKUP($A30,SERVICOS,9,0)</f>
        <v>23271.200000000004</v>
      </c>
      <c r="D31" s="406"/>
      <c r="E31" s="406"/>
      <c r="F31" s="406"/>
      <c r="G31" s="136">
        <f t="shared" ref="G31:N31" si="25">G30*$C31</f>
        <v>0</v>
      </c>
      <c r="H31" s="136">
        <f t="shared" si="25"/>
        <v>0</v>
      </c>
      <c r="I31" s="136">
        <f t="shared" si="25"/>
        <v>0</v>
      </c>
      <c r="J31" s="136">
        <f t="shared" si="25"/>
        <v>0</v>
      </c>
      <c r="K31" s="136">
        <f t="shared" si="25"/>
        <v>15126.280000000002</v>
      </c>
      <c r="L31" s="136">
        <f t="shared" si="25"/>
        <v>8144.920000000001</v>
      </c>
      <c r="M31" s="136">
        <f t="shared" si="25"/>
        <v>0</v>
      </c>
      <c r="N31" s="136">
        <f t="shared" si="25"/>
        <v>0</v>
      </c>
      <c r="O31" s="137">
        <f t="shared" ref="O31:P31" si="26">O30*$C31</f>
        <v>0</v>
      </c>
      <c r="P31" s="137">
        <f t="shared" si="26"/>
        <v>0</v>
      </c>
    </row>
    <row r="32" spans="1:18" s="39" customFormat="1" ht="20.100000000000001" customHeight="1">
      <c r="A32" s="399" t="s">
        <v>12621</v>
      </c>
      <c r="B32" s="401" t="str">
        <f>VLOOKUP($A32,SERVICOS,4,0)</f>
        <v>DRENAGEM DE ÁGUAS PLUVIAIS</v>
      </c>
      <c r="C32" s="133">
        <f>C33/$C$50</f>
        <v>1.2829794927760128E-2</v>
      </c>
      <c r="D32" s="406"/>
      <c r="E32" s="406"/>
      <c r="F32" s="406"/>
      <c r="G32" s="134"/>
      <c r="H32" s="134"/>
      <c r="I32" s="134"/>
      <c r="J32" s="134">
        <v>0.2</v>
      </c>
      <c r="K32" s="134">
        <v>0.8</v>
      </c>
      <c r="L32" s="134"/>
      <c r="M32" s="134"/>
      <c r="N32" s="134"/>
      <c r="O32" s="135"/>
      <c r="P32" s="135"/>
      <c r="Q32" s="216">
        <f>SUM(G32:N32)</f>
        <v>1</v>
      </c>
      <c r="R32" s="39" t="b">
        <f>IF(SUM(G32:P32)=1,TRUE)</f>
        <v>1</v>
      </c>
    </row>
    <row r="33" spans="1:18" s="39" customFormat="1" ht="20.100000000000001" customHeight="1">
      <c r="A33" s="400"/>
      <c r="B33" s="402"/>
      <c r="C33" s="136">
        <f>VLOOKUP($A32,SERVICOS,9,0)</f>
        <v>41318.07</v>
      </c>
      <c r="D33" s="406"/>
      <c r="E33" s="406"/>
      <c r="F33" s="406"/>
      <c r="G33" s="136">
        <f t="shared" ref="G33:N33" si="27">G32*$C33</f>
        <v>0</v>
      </c>
      <c r="H33" s="136">
        <f t="shared" si="27"/>
        <v>0</v>
      </c>
      <c r="I33" s="136">
        <f t="shared" si="27"/>
        <v>0</v>
      </c>
      <c r="J33" s="136">
        <f t="shared" si="27"/>
        <v>8263.6139999999996</v>
      </c>
      <c r="K33" s="136">
        <f t="shared" si="27"/>
        <v>33054.455999999998</v>
      </c>
      <c r="L33" s="136">
        <f t="shared" si="27"/>
        <v>0</v>
      </c>
      <c r="M33" s="136">
        <f t="shared" si="27"/>
        <v>0</v>
      </c>
      <c r="N33" s="136">
        <f t="shared" si="27"/>
        <v>0</v>
      </c>
      <c r="O33" s="137">
        <f t="shared" ref="O33:P33" si="28">O32*$C33</f>
        <v>0</v>
      </c>
      <c r="P33" s="137">
        <f t="shared" si="28"/>
        <v>0</v>
      </c>
    </row>
    <row r="34" spans="1:18" s="39" customFormat="1" ht="20.100000000000001" customHeight="1">
      <c r="A34" s="399" t="s">
        <v>12624</v>
      </c>
      <c r="B34" s="401" t="str">
        <f>VLOOKUP($A34,SERVICOS,4,0)</f>
        <v>INSTALAÇÕES SANITÁRIAS</v>
      </c>
      <c r="C34" s="133">
        <f>C35/$C$50</f>
        <v>6.1895659942784514E-3</v>
      </c>
      <c r="D34" s="406"/>
      <c r="E34" s="406"/>
      <c r="F34" s="406"/>
      <c r="G34" s="134"/>
      <c r="H34" s="134"/>
      <c r="I34" s="134"/>
      <c r="J34" s="134">
        <v>0.2</v>
      </c>
      <c r="K34" s="134">
        <v>0.8</v>
      </c>
      <c r="L34" s="134"/>
      <c r="M34" s="134"/>
      <c r="N34" s="134"/>
      <c r="O34" s="135"/>
      <c r="P34" s="135"/>
      <c r="Q34" s="216">
        <f>SUM(G34:N34)</f>
        <v>1</v>
      </c>
      <c r="R34" s="39" t="b">
        <f>IF(SUM(G34:P34)=1,TRUE)</f>
        <v>1</v>
      </c>
    </row>
    <row r="35" spans="1:18" s="39" customFormat="1" ht="20.100000000000001" customHeight="1">
      <c r="A35" s="400"/>
      <c r="B35" s="402"/>
      <c r="C35" s="136">
        <f>VLOOKUP($A34,SERVICOS,9,0)</f>
        <v>19933.36</v>
      </c>
      <c r="D35" s="406"/>
      <c r="E35" s="406"/>
      <c r="F35" s="406"/>
      <c r="G35" s="136">
        <f t="shared" ref="G35:N35" si="29">G34*$C35</f>
        <v>0</v>
      </c>
      <c r="H35" s="136">
        <f t="shared" si="29"/>
        <v>0</v>
      </c>
      <c r="I35" s="136">
        <f t="shared" si="29"/>
        <v>0</v>
      </c>
      <c r="J35" s="136">
        <f t="shared" si="29"/>
        <v>3986.6720000000005</v>
      </c>
      <c r="K35" s="136">
        <f t="shared" si="29"/>
        <v>15946.688000000002</v>
      </c>
      <c r="L35" s="136">
        <f t="shared" si="29"/>
        <v>0</v>
      </c>
      <c r="M35" s="136">
        <f t="shared" si="29"/>
        <v>0</v>
      </c>
      <c r="N35" s="136">
        <f t="shared" si="29"/>
        <v>0</v>
      </c>
      <c r="O35" s="137">
        <f t="shared" ref="O35:P35" si="30">O34*$C35</f>
        <v>0</v>
      </c>
      <c r="P35" s="137">
        <f t="shared" si="30"/>
        <v>0</v>
      </c>
    </row>
    <row r="36" spans="1:18" s="39" customFormat="1" ht="20.100000000000001" customHeight="1">
      <c r="A36" s="399" t="s">
        <v>12627</v>
      </c>
      <c r="B36" s="401" t="str">
        <f>VLOOKUP($A36,SERVICOS,4,0)</f>
        <v>BANCADAS, LOUÇAS, ACESSÓRIOS E METAIS</v>
      </c>
      <c r="C36" s="133">
        <f>C37/$C$50</f>
        <v>1.3678731064820681E-2</v>
      </c>
      <c r="D36" s="406"/>
      <c r="E36" s="406"/>
      <c r="F36" s="406"/>
      <c r="G36" s="134"/>
      <c r="H36" s="134"/>
      <c r="I36" s="134"/>
      <c r="J36" s="134"/>
      <c r="K36" s="134"/>
      <c r="L36" s="134">
        <v>0.45</v>
      </c>
      <c r="M36" s="134">
        <v>0.55000000000000004</v>
      </c>
      <c r="N36" s="134"/>
      <c r="O36" s="135"/>
      <c r="P36" s="135"/>
      <c r="Q36" s="216">
        <f>SUM(G36:N36)</f>
        <v>1</v>
      </c>
      <c r="R36" s="39" t="b">
        <f>IF(SUM(G36:P36)=1,TRUE)</f>
        <v>1</v>
      </c>
    </row>
    <row r="37" spans="1:18" s="39" customFormat="1" ht="20.100000000000001" customHeight="1">
      <c r="A37" s="400"/>
      <c r="B37" s="402"/>
      <c r="C37" s="136">
        <f>VLOOKUP($A36,SERVICOS,9,0)</f>
        <v>44052.049999999988</v>
      </c>
      <c r="D37" s="406"/>
      <c r="E37" s="406"/>
      <c r="F37" s="406"/>
      <c r="G37" s="136">
        <f t="shared" ref="G37:N37" si="31">G36*$C37</f>
        <v>0</v>
      </c>
      <c r="H37" s="136">
        <f t="shared" si="31"/>
        <v>0</v>
      </c>
      <c r="I37" s="136">
        <f t="shared" si="31"/>
        <v>0</v>
      </c>
      <c r="J37" s="136">
        <f t="shared" si="31"/>
        <v>0</v>
      </c>
      <c r="K37" s="136">
        <f t="shared" si="31"/>
        <v>0</v>
      </c>
      <c r="L37" s="136">
        <f t="shared" si="31"/>
        <v>19823.422499999997</v>
      </c>
      <c r="M37" s="136">
        <f t="shared" si="31"/>
        <v>24228.627499999995</v>
      </c>
      <c r="N37" s="136">
        <f t="shared" si="31"/>
        <v>0</v>
      </c>
      <c r="O37" s="137">
        <f t="shared" ref="O37:P37" si="32">O36*$C37</f>
        <v>0</v>
      </c>
      <c r="P37" s="137">
        <f t="shared" si="32"/>
        <v>0</v>
      </c>
    </row>
    <row r="38" spans="1:18" s="39" customFormat="1" ht="20.100000000000001" customHeight="1">
      <c r="A38" s="399" t="s">
        <v>12629</v>
      </c>
      <c r="B38" s="401" t="str">
        <f>VLOOKUP($A38,SERVICOS,4,0)</f>
        <v>SISTEMA DE PROTEÇÃO CONTRA INCÊNDIO</v>
      </c>
      <c r="C38" s="133">
        <f>C39/$C$50</f>
        <v>3.050314440606829E-3</v>
      </c>
      <c r="D38" s="406"/>
      <c r="E38" s="406"/>
      <c r="F38" s="406"/>
      <c r="G38" s="134"/>
      <c r="H38" s="134"/>
      <c r="I38" s="134"/>
      <c r="J38" s="134"/>
      <c r="K38" s="134"/>
      <c r="L38" s="134">
        <v>0.5</v>
      </c>
      <c r="M38" s="134">
        <v>0.5</v>
      </c>
      <c r="N38" s="134"/>
      <c r="O38" s="135"/>
      <c r="P38" s="135"/>
      <c r="Q38" s="216">
        <f>SUM(G38:N38)</f>
        <v>1</v>
      </c>
      <c r="R38" s="39" t="b">
        <f>IF(SUM(G38:P38)=1,TRUE)</f>
        <v>1</v>
      </c>
    </row>
    <row r="39" spans="1:18" s="39" customFormat="1" ht="20.100000000000001" customHeight="1">
      <c r="A39" s="400"/>
      <c r="B39" s="402"/>
      <c r="C39" s="136">
        <f>VLOOKUP($A38,SERVICOS,9,0)</f>
        <v>9823.4700000000012</v>
      </c>
      <c r="D39" s="406"/>
      <c r="E39" s="406"/>
      <c r="F39" s="406"/>
      <c r="G39" s="136">
        <f t="shared" ref="G39:N39" si="33">G38*$C39</f>
        <v>0</v>
      </c>
      <c r="H39" s="136">
        <f t="shared" si="33"/>
        <v>0</v>
      </c>
      <c r="I39" s="136">
        <f t="shared" si="33"/>
        <v>0</v>
      </c>
      <c r="J39" s="136">
        <f t="shared" si="33"/>
        <v>0</v>
      </c>
      <c r="K39" s="136">
        <f t="shared" si="33"/>
        <v>0</v>
      </c>
      <c r="L39" s="136">
        <f t="shared" si="33"/>
        <v>4911.7350000000006</v>
      </c>
      <c r="M39" s="136">
        <f t="shared" si="33"/>
        <v>4911.7350000000006</v>
      </c>
      <c r="N39" s="136">
        <f t="shared" si="33"/>
        <v>0</v>
      </c>
      <c r="O39" s="137">
        <f t="shared" ref="O39:P39" si="34">O38*$C39</f>
        <v>0</v>
      </c>
      <c r="P39" s="137">
        <f t="shared" si="34"/>
        <v>0</v>
      </c>
    </row>
    <row r="40" spans="1:18" s="39" customFormat="1" ht="20.100000000000001" customHeight="1">
      <c r="A40" s="399" t="s">
        <v>12632</v>
      </c>
      <c r="B40" s="401" t="str">
        <f>VLOOKUP($A40,SERVICOS,4,0)</f>
        <v>INSTALAÇÃO ELÉTRICA - 220 V</v>
      </c>
      <c r="C40" s="133">
        <f>C41/$C$50</f>
        <v>4.270024129524979E-2</v>
      </c>
      <c r="D40" s="406"/>
      <c r="E40" s="406"/>
      <c r="F40" s="406"/>
      <c r="G40" s="134"/>
      <c r="H40" s="134"/>
      <c r="I40" s="134"/>
      <c r="J40" s="134"/>
      <c r="K40" s="134">
        <v>0.1</v>
      </c>
      <c r="L40" s="134">
        <v>0.4</v>
      </c>
      <c r="M40" s="134">
        <v>0.3</v>
      </c>
      <c r="N40" s="134">
        <v>0.2</v>
      </c>
      <c r="O40" s="135"/>
      <c r="P40" s="135"/>
      <c r="Q40" s="216">
        <f>SUM(G40:N40)</f>
        <v>1</v>
      </c>
      <c r="R40" s="39" t="b">
        <f>IF(SUM(G40:P40)=1,TRUE)</f>
        <v>1</v>
      </c>
    </row>
    <row r="41" spans="1:18" s="39" customFormat="1" ht="20.100000000000001" customHeight="1">
      <c r="A41" s="400"/>
      <c r="B41" s="402"/>
      <c r="C41" s="136">
        <f>VLOOKUP($A40,SERVICOS,9,0)</f>
        <v>137515.18000000002</v>
      </c>
      <c r="D41" s="406"/>
      <c r="E41" s="406"/>
      <c r="F41" s="406"/>
      <c r="G41" s="136">
        <f t="shared" ref="G41:N41" si="35">G40*$C41</f>
        <v>0</v>
      </c>
      <c r="H41" s="136">
        <f t="shared" si="35"/>
        <v>0</v>
      </c>
      <c r="I41" s="136">
        <f t="shared" si="35"/>
        <v>0</v>
      </c>
      <c r="J41" s="136">
        <f t="shared" si="35"/>
        <v>0</v>
      </c>
      <c r="K41" s="136">
        <f t="shared" si="35"/>
        <v>13751.518000000004</v>
      </c>
      <c r="L41" s="136">
        <f t="shared" si="35"/>
        <v>55006.072000000015</v>
      </c>
      <c r="M41" s="136">
        <f t="shared" si="35"/>
        <v>41254.554000000004</v>
      </c>
      <c r="N41" s="136">
        <f t="shared" si="35"/>
        <v>27503.036000000007</v>
      </c>
      <c r="O41" s="137">
        <f t="shared" ref="O41:P41" si="36">O40*$C41</f>
        <v>0</v>
      </c>
      <c r="P41" s="137">
        <f t="shared" si="36"/>
        <v>0</v>
      </c>
    </row>
    <row r="42" spans="1:18" s="39" customFormat="1" ht="20.100000000000001" customHeight="1">
      <c r="A42" s="399" t="s">
        <v>12633</v>
      </c>
      <c r="B42" s="401" t="str">
        <f>VLOOKUP($A42,SERVICOS,4,0)</f>
        <v>SISTEMA DE PROTEÇÃO CONTRA DESCARGAS ATMOSFÉRICAS (SPDA)</v>
      </c>
      <c r="C42" s="133">
        <f>C43/$C$50</f>
        <v>2.2922719585753887E-2</v>
      </c>
      <c r="D42" s="406"/>
      <c r="E42" s="406"/>
      <c r="F42" s="406"/>
      <c r="G42" s="134"/>
      <c r="H42" s="134"/>
      <c r="I42" s="134"/>
      <c r="J42" s="134"/>
      <c r="K42" s="134">
        <v>0.3</v>
      </c>
      <c r="L42" s="134">
        <v>0.7</v>
      </c>
      <c r="M42" s="134"/>
      <c r="N42" s="134"/>
      <c r="O42" s="135"/>
      <c r="P42" s="135"/>
      <c r="Q42" s="216">
        <f>SUM(G42:N42)</f>
        <v>1</v>
      </c>
      <c r="R42" s="39" t="b">
        <f>IF(SUM(G42:P42)=1,TRUE)</f>
        <v>1</v>
      </c>
    </row>
    <row r="43" spans="1:18" s="39" customFormat="1" ht="20.100000000000001" customHeight="1">
      <c r="A43" s="400"/>
      <c r="B43" s="402"/>
      <c r="C43" s="136">
        <f>VLOOKUP($A42,SERVICOS,9,0)</f>
        <v>73822.109999999986</v>
      </c>
      <c r="D43" s="406"/>
      <c r="E43" s="406"/>
      <c r="F43" s="406"/>
      <c r="G43" s="136">
        <f t="shared" ref="G43:N43" si="37">G42*$C43</f>
        <v>0</v>
      </c>
      <c r="H43" s="136">
        <f t="shared" si="37"/>
        <v>0</v>
      </c>
      <c r="I43" s="136">
        <f t="shared" si="37"/>
        <v>0</v>
      </c>
      <c r="J43" s="136">
        <f t="shared" si="37"/>
        <v>0</v>
      </c>
      <c r="K43" s="136">
        <f t="shared" si="37"/>
        <v>22146.632999999994</v>
      </c>
      <c r="L43" s="136">
        <f t="shared" si="37"/>
        <v>51675.476999999984</v>
      </c>
      <c r="M43" s="136">
        <f t="shared" si="37"/>
        <v>0</v>
      </c>
      <c r="N43" s="136">
        <f t="shared" si="37"/>
        <v>0</v>
      </c>
      <c r="O43" s="137">
        <f t="shared" ref="O43:P43" si="38">O42*$C43</f>
        <v>0</v>
      </c>
      <c r="P43" s="137">
        <f t="shared" si="38"/>
        <v>0</v>
      </c>
    </row>
    <row r="44" spans="1:18" s="39" customFormat="1" ht="20.100000000000001" customHeight="1">
      <c r="A44" s="399" t="s">
        <v>12636</v>
      </c>
      <c r="B44" s="401" t="str">
        <f>VLOOKUP($A44,SERVICOS,4,0)</f>
        <v>EQUIPAMENTOS ESPORTIVOS</v>
      </c>
      <c r="C44" s="133">
        <f>C45/$C$50</f>
        <v>1.0589723608157003E-2</v>
      </c>
      <c r="D44" s="406"/>
      <c r="E44" s="406"/>
      <c r="F44" s="406"/>
      <c r="G44" s="134"/>
      <c r="H44" s="134"/>
      <c r="I44" s="134"/>
      <c r="J44" s="134">
        <v>0.5</v>
      </c>
      <c r="K44" s="134">
        <v>0.2</v>
      </c>
      <c r="L44" s="134"/>
      <c r="M44" s="134"/>
      <c r="N44" s="134">
        <v>0.3</v>
      </c>
      <c r="O44" s="135"/>
      <c r="P44" s="135"/>
      <c r="Q44" s="216">
        <f>SUM(G44:N44)</f>
        <v>1</v>
      </c>
      <c r="R44" s="39" t="b">
        <f>IF(SUM(G44:P44)=1,TRUE)</f>
        <v>1</v>
      </c>
    </row>
    <row r="45" spans="1:18" s="39" customFormat="1" ht="20.100000000000001" customHeight="1">
      <c r="A45" s="400"/>
      <c r="B45" s="402"/>
      <c r="C45" s="136">
        <f>VLOOKUP($A44,SERVICOS,9,0)</f>
        <v>34103.97</v>
      </c>
      <c r="D45" s="406"/>
      <c r="E45" s="406"/>
      <c r="F45" s="406"/>
      <c r="G45" s="136">
        <f t="shared" ref="G45:N45" si="39">G44*$C45</f>
        <v>0</v>
      </c>
      <c r="H45" s="136">
        <f t="shared" si="39"/>
        <v>0</v>
      </c>
      <c r="I45" s="136">
        <f t="shared" si="39"/>
        <v>0</v>
      </c>
      <c r="J45" s="136">
        <f t="shared" si="39"/>
        <v>17051.985000000001</v>
      </c>
      <c r="K45" s="136">
        <f t="shared" si="39"/>
        <v>6820.7940000000008</v>
      </c>
      <c r="L45" s="136">
        <f t="shared" si="39"/>
        <v>0</v>
      </c>
      <c r="M45" s="136">
        <f t="shared" si="39"/>
        <v>0</v>
      </c>
      <c r="N45" s="136">
        <f t="shared" si="39"/>
        <v>10231.191000000001</v>
      </c>
      <c r="O45" s="137">
        <f t="shared" ref="O45:P45" si="40">O44*$C45</f>
        <v>0</v>
      </c>
      <c r="P45" s="137">
        <f t="shared" si="40"/>
        <v>0</v>
      </c>
    </row>
    <row r="46" spans="1:18" s="39" customFormat="1" ht="20.100000000000001" customHeight="1">
      <c r="A46" s="399" t="s">
        <v>12645</v>
      </c>
      <c r="B46" s="401" t="str">
        <f>VLOOKUP($A46,SERVICOS,4,0)</f>
        <v>SERVIÇOS COMPLEMENTARES</v>
      </c>
      <c r="C46" s="133">
        <f>C47/$C$50</f>
        <v>1.161597504807532E-2</v>
      </c>
      <c r="D46" s="406"/>
      <c r="E46" s="406"/>
      <c r="F46" s="406"/>
      <c r="G46" s="134"/>
      <c r="H46" s="134"/>
      <c r="I46" s="134"/>
      <c r="J46" s="134"/>
      <c r="K46" s="134"/>
      <c r="L46" s="134"/>
      <c r="M46" s="134">
        <v>0.6</v>
      </c>
      <c r="N46" s="134">
        <v>0.4</v>
      </c>
      <c r="O46" s="135"/>
      <c r="P46" s="135"/>
      <c r="Q46" s="216">
        <f>SUM(G46:N46)</f>
        <v>1</v>
      </c>
      <c r="R46" s="39" t="b">
        <f>IF(SUM(G46:P46)=1,TRUE)</f>
        <v>1</v>
      </c>
    </row>
    <row r="47" spans="1:18" s="39" customFormat="1" ht="20.100000000000001" customHeight="1">
      <c r="A47" s="400"/>
      <c r="B47" s="402"/>
      <c r="C47" s="136">
        <f>VLOOKUP($A46,SERVICOS,9,0)</f>
        <v>37408.990000000005</v>
      </c>
      <c r="D47" s="406"/>
      <c r="E47" s="406"/>
      <c r="F47" s="406"/>
      <c r="G47" s="136">
        <f t="shared" ref="G47:N47" si="41">G46*$C47</f>
        <v>0</v>
      </c>
      <c r="H47" s="136">
        <f t="shared" si="41"/>
        <v>0</v>
      </c>
      <c r="I47" s="136">
        <f t="shared" si="41"/>
        <v>0</v>
      </c>
      <c r="J47" s="136">
        <f t="shared" si="41"/>
        <v>0</v>
      </c>
      <c r="K47" s="136">
        <f t="shared" si="41"/>
        <v>0</v>
      </c>
      <c r="L47" s="136">
        <f t="shared" si="41"/>
        <v>0</v>
      </c>
      <c r="M47" s="136">
        <f t="shared" si="41"/>
        <v>22445.394000000004</v>
      </c>
      <c r="N47" s="136">
        <f t="shared" si="41"/>
        <v>14963.596000000003</v>
      </c>
      <c r="O47" s="137">
        <f t="shared" ref="O47:P47" si="42">O46*$C47</f>
        <v>0</v>
      </c>
      <c r="P47" s="137">
        <f t="shared" si="42"/>
        <v>0</v>
      </c>
    </row>
    <row r="48" spans="1:18" s="39" customFormat="1" ht="20.100000000000001" customHeight="1">
      <c r="A48" s="399" t="s">
        <v>14470</v>
      </c>
      <c r="B48" s="401" t="str">
        <f>VLOOKUP($A48,SERVICOS,4,0)</f>
        <v>SERVIÇOS FINAIS</v>
      </c>
      <c r="C48" s="133">
        <f>C49/$C$50</f>
        <v>3.9516868959526006E-3</v>
      </c>
      <c r="D48" s="406"/>
      <c r="E48" s="406"/>
      <c r="F48" s="406"/>
      <c r="G48" s="134"/>
      <c r="H48" s="134"/>
      <c r="I48" s="134"/>
      <c r="J48" s="134"/>
      <c r="K48" s="134"/>
      <c r="L48" s="134"/>
      <c r="M48" s="134"/>
      <c r="N48" s="134">
        <v>1</v>
      </c>
      <c r="O48" s="135"/>
      <c r="P48" s="135"/>
      <c r="Q48" s="216">
        <f>SUM(G48:N48)</f>
        <v>1</v>
      </c>
      <c r="R48" s="39" t="b">
        <f>IF(SUM(G48:P48)=1,TRUE)</f>
        <v>1</v>
      </c>
    </row>
    <row r="49" spans="1:17" s="39" customFormat="1" ht="20.100000000000001" customHeight="1">
      <c r="A49" s="400"/>
      <c r="B49" s="402"/>
      <c r="C49" s="136">
        <f>VLOOKUP($A48,SERVICOS,9,0)</f>
        <v>12726.32</v>
      </c>
      <c r="D49" s="406"/>
      <c r="E49" s="406"/>
      <c r="F49" s="406"/>
      <c r="G49" s="136">
        <f t="shared" ref="G49:N49" si="43">G48*$C49</f>
        <v>0</v>
      </c>
      <c r="H49" s="136">
        <f t="shared" si="43"/>
        <v>0</v>
      </c>
      <c r="I49" s="136">
        <f t="shared" si="43"/>
        <v>0</v>
      </c>
      <c r="J49" s="136">
        <f t="shared" si="43"/>
        <v>0</v>
      </c>
      <c r="K49" s="136">
        <f t="shared" si="43"/>
        <v>0</v>
      </c>
      <c r="L49" s="136">
        <f t="shared" si="43"/>
        <v>0</v>
      </c>
      <c r="M49" s="136">
        <f t="shared" si="43"/>
        <v>0</v>
      </c>
      <c r="N49" s="136">
        <f t="shared" si="43"/>
        <v>12726.32</v>
      </c>
      <c r="O49" s="137">
        <f t="shared" ref="O49:P49" si="44">O48*$C49</f>
        <v>0</v>
      </c>
      <c r="P49" s="137">
        <f t="shared" si="44"/>
        <v>0</v>
      </c>
    </row>
    <row r="50" spans="1:17" s="39" customFormat="1" ht="20.100000000000001" customHeight="1">
      <c r="A50" s="398" t="s">
        <v>7253</v>
      </c>
      <c r="B50" s="398"/>
      <c r="C50" s="138">
        <f>C7+C9+C11+C13+C15+C17+C19+C21+C23+C25+C27+C29+C31+C33+C35+C37+C39+C41+C43+C45+C47+C49</f>
        <v>3220477.8200000003</v>
      </c>
      <c r="D50" s="321"/>
      <c r="E50" s="321"/>
      <c r="F50" s="321"/>
      <c r="G50" s="138">
        <f t="shared" ref="G50:N50" si="45">G7+G9+G11+G13+G15+G17+G19+G21+G23+G25+G27+G29+G31+G33+G35+G37+G39+G41+G43+G45+G47+G49</f>
        <v>371322.69140000001</v>
      </c>
      <c r="H50" s="138">
        <f t="shared" si="45"/>
        <v>159047.08620000002</v>
      </c>
      <c r="I50" s="138">
        <f t="shared" si="45"/>
        <v>1032568.5752000002</v>
      </c>
      <c r="J50" s="138">
        <f t="shared" si="45"/>
        <v>601314.77020000003</v>
      </c>
      <c r="K50" s="138">
        <f t="shared" si="45"/>
        <v>318365.5122</v>
      </c>
      <c r="L50" s="138">
        <f t="shared" si="45"/>
        <v>247133.9497</v>
      </c>
      <c r="M50" s="138">
        <f t="shared" si="45"/>
        <v>172749.68470000001</v>
      </c>
      <c r="N50" s="138">
        <f t="shared" si="45"/>
        <v>317975.55040000007</v>
      </c>
      <c r="O50" s="138">
        <f t="shared" ref="O50:P50" si="46">O7+O9+O11+O13+O15+O17+O19+O21+O23+O25+O27+O29+O31+O33+O35+O37+O39+O41+O43+O45+O47+O49</f>
        <v>0</v>
      </c>
      <c r="P50" s="138">
        <f t="shared" si="46"/>
        <v>0</v>
      </c>
      <c r="Q50" s="216"/>
    </row>
    <row r="51" spans="1:17" s="39" customFormat="1" ht="20.100000000000001" customHeight="1">
      <c r="A51" s="398" t="s">
        <v>7256</v>
      </c>
      <c r="B51" s="398"/>
      <c r="C51" s="139">
        <f>C6+C8+C10+C12+C14+C16+C18+C20+C22+C24+C26+C28+C30+C32+C34+C36+C38+C40+C42+C44+C46+C48</f>
        <v>0.99999999999999989</v>
      </c>
      <c r="D51" s="139">
        <f t="shared" ref="D51:F51" si="47">D50/$C50</f>
        <v>0</v>
      </c>
      <c r="E51" s="139">
        <f t="shared" si="47"/>
        <v>0</v>
      </c>
      <c r="F51" s="139">
        <f t="shared" si="47"/>
        <v>0</v>
      </c>
      <c r="G51" s="139">
        <f t="shared" ref="G51:N51" si="48">G50/$C50</f>
        <v>0.11530049643378695</v>
      </c>
      <c r="H51" s="139">
        <f t="shared" si="48"/>
        <v>4.9386176551900612E-2</v>
      </c>
      <c r="I51" s="139">
        <f t="shared" si="48"/>
        <v>0.32062589246461576</v>
      </c>
      <c r="J51" s="139">
        <f t="shared" si="48"/>
        <v>0.18671601042108713</v>
      </c>
      <c r="K51" s="139">
        <f t="shared" si="48"/>
        <v>9.8856607619797227E-2</v>
      </c>
      <c r="L51" s="139">
        <f t="shared" si="48"/>
        <v>7.6738286525444843E-2</v>
      </c>
      <c r="M51" s="139">
        <f t="shared" si="48"/>
        <v>5.3641010544205517E-2</v>
      </c>
      <c r="N51" s="139">
        <f t="shared" si="48"/>
        <v>9.8735519439161992E-2</v>
      </c>
      <c r="O51" s="139">
        <f t="shared" ref="O51:P51" si="49">O50/$C50</f>
        <v>0</v>
      </c>
      <c r="P51" s="139">
        <f t="shared" si="49"/>
        <v>0</v>
      </c>
    </row>
    <row r="52" spans="1:17" s="39" customFormat="1" ht="20.100000000000001" customHeight="1">
      <c r="A52" s="398" t="s">
        <v>7254</v>
      </c>
      <c r="B52" s="398"/>
      <c r="C52" s="140" t="s">
        <v>7251</v>
      </c>
      <c r="D52" s="321"/>
      <c r="E52" s="321"/>
      <c r="F52" s="321"/>
      <c r="G52" s="138">
        <f>G50</f>
        <v>371322.69140000001</v>
      </c>
      <c r="H52" s="138">
        <f t="shared" ref="H52:J52" si="50">H50+G52</f>
        <v>530369.77760000003</v>
      </c>
      <c r="I52" s="138">
        <f t="shared" si="50"/>
        <v>1562938.3528000002</v>
      </c>
      <c r="J52" s="138">
        <f t="shared" si="50"/>
        <v>2164253.1230000001</v>
      </c>
      <c r="K52" s="138">
        <f t="shared" ref="K52:K53" si="51">K50+J52</f>
        <v>2482618.6352000004</v>
      </c>
      <c r="L52" s="138">
        <f t="shared" ref="L52:L53" si="52">L50+K52</f>
        <v>2729752.5849000001</v>
      </c>
      <c r="M52" s="138">
        <f t="shared" ref="M52:M53" si="53">M50+L52</f>
        <v>2902502.2696000002</v>
      </c>
      <c r="N52" s="138">
        <f t="shared" ref="N52:N53" si="54">N50+M52</f>
        <v>3220477.8200000003</v>
      </c>
      <c r="O52" s="138" t="e">
        <f>O50+#REF!</f>
        <v>#REF!</v>
      </c>
      <c r="P52" s="138" t="e">
        <f t="shared" ref="P52" si="55">P50+O52</f>
        <v>#REF!</v>
      </c>
      <c r="Q52" s="216"/>
    </row>
    <row r="53" spans="1:17" s="39" customFormat="1" ht="20.100000000000001" customHeight="1">
      <c r="A53" s="398" t="s">
        <v>7255</v>
      </c>
      <c r="B53" s="398"/>
      <c r="C53" s="140" t="s">
        <v>7251</v>
      </c>
      <c r="D53" s="141">
        <f t="shared" ref="D53:F53" si="56">D51</f>
        <v>0</v>
      </c>
      <c r="E53" s="141">
        <f t="shared" si="56"/>
        <v>0</v>
      </c>
      <c r="F53" s="141">
        <f t="shared" si="56"/>
        <v>0</v>
      </c>
      <c r="G53" s="141">
        <f>G51</f>
        <v>0.11530049643378695</v>
      </c>
      <c r="H53" s="141">
        <f>H51+G53</f>
        <v>0.16468667298568757</v>
      </c>
      <c r="I53" s="141">
        <f>I51+H53</f>
        <v>0.48531256545030332</v>
      </c>
      <c r="J53" s="141">
        <f>J51+I53</f>
        <v>0.67202857587139042</v>
      </c>
      <c r="K53" s="141">
        <f t="shared" si="51"/>
        <v>0.77088518349118762</v>
      </c>
      <c r="L53" s="141">
        <f t="shared" si="52"/>
        <v>0.84762347001663252</v>
      </c>
      <c r="M53" s="141">
        <f t="shared" si="53"/>
        <v>0.90126448056083808</v>
      </c>
      <c r="N53" s="141">
        <f t="shared" si="54"/>
        <v>1</v>
      </c>
      <c r="O53" s="142" t="e">
        <f>O51+#REF!</f>
        <v>#REF!</v>
      </c>
      <c r="P53" s="143" t="e">
        <f>P51+O53</f>
        <v>#REF!</v>
      </c>
    </row>
    <row r="54" spans="1:17">
      <c r="Q54" s="216"/>
    </row>
    <row r="56" spans="1:17" s="64" customFormat="1" ht="22.5" customHeight="1">
      <c r="A56" s="396" t="s">
        <v>16610</v>
      </c>
      <c r="B56" s="396"/>
      <c r="C56" s="397" t="s">
        <v>19125</v>
      </c>
      <c r="D56" s="397"/>
      <c r="E56" s="61"/>
      <c r="F56" s="61"/>
      <c r="G56" s="63"/>
      <c r="H56" s="63"/>
      <c r="I56" s="352"/>
      <c r="J56" s="352"/>
      <c r="K56" s="352"/>
      <c r="L56" s="352"/>
    </row>
    <row r="57" spans="1:17" s="64" customFormat="1" ht="13.5" thickBot="1">
      <c r="A57" s="316"/>
      <c r="B57" s="317"/>
      <c r="C57" s="61"/>
      <c r="D57" s="62"/>
      <c r="E57" s="353"/>
      <c r="F57" s="353"/>
      <c r="G57" s="353"/>
      <c r="H57" s="353"/>
      <c r="I57" s="350"/>
      <c r="J57" s="350"/>
      <c r="K57" s="350"/>
      <c r="L57" s="350"/>
    </row>
    <row r="58" spans="1:17" s="64" customFormat="1">
      <c r="A58" s="316"/>
      <c r="B58" s="319"/>
      <c r="C58" s="61"/>
      <c r="D58" s="62"/>
      <c r="E58" s="354" t="s">
        <v>16611</v>
      </c>
      <c r="F58" s="354"/>
      <c r="G58" s="354"/>
      <c r="H58" s="354"/>
      <c r="I58" s="350"/>
      <c r="J58" s="350"/>
      <c r="K58" s="350"/>
      <c r="L58" s="350"/>
    </row>
    <row r="59" spans="1:17" s="64" customFormat="1">
      <c r="A59" s="60"/>
      <c r="B59" s="61"/>
      <c r="C59" s="61"/>
      <c r="D59" s="62"/>
      <c r="E59" s="350" t="s">
        <v>16612</v>
      </c>
      <c r="F59" s="350"/>
      <c r="G59" s="350"/>
      <c r="H59" s="350"/>
      <c r="I59" s="186"/>
      <c r="J59" s="157"/>
    </row>
    <row r="60" spans="1:17" s="113" customFormat="1">
      <c r="A60" s="120"/>
      <c r="B60" s="121"/>
      <c r="C60" s="121"/>
      <c r="D60" s="121"/>
      <c r="E60" s="120"/>
      <c r="F60" s="156"/>
      <c r="G60" s="122"/>
      <c r="H60" s="122"/>
      <c r="I60" s="209"/>
    </row>
  </sheetData>
  <mergeCells count="64">
    <mergeCell ref="E58:H58"/>
    <mergeCell ref="I58:L58"/>
    <mergeCell ref="E59:H59"/>
    <mergeCell ref="A56:B56"/>
    <mergeCell ref="C56:D56"/>
    <mergeCell ref="I56:L56"/>
    <mergeCell ref="E57:H57"/>
    <mergeCell ref="I57:L57"/>
    <mergeCell ref="A40:A41"/>
    <mergeCell ref="B38:B39"/>
    <mergeCell ref="A20:A21"/>
    <mergeCell ref="B20:B21"/>
    <mergeCell ref="A22:A23"/>
    <mergeCell ref="B22:B23"/>
    <mergeCell ref="B28:B29"/>
    <mergeCell ref="A36:A37"/>
    <mergeCell ref="B36:B37"/>
    <mergeCell ref="A38:A39"/>
    <mergeCell ref="A34:A35"/>
    <mergeCell ref="B34:B35"/>
    <mergeCell ref="A28:A29"/>
    <mergeCell ref="A2:B2"/>
    <mergeCell ref="A3:B3"/>
    <mergeCell ref="A1:K1"/>
    <mergeCell ref="B8:B9"/>
    <mergeCell ref="B10:B11"/>
    <mergeCell ref="D6:D49"/>
    <mergeCell ref="E6:E49"/>
    <mergeCell ref="F6:F49"/>
    <mergeCell ref="C2:N2"/>
    <mergeCell ref="C3:N3"/>
    <mergeCell ref="B12:B13"/>
    <mergeCell ref="B40:B41"/>
    <mergeCell ref="A6:A7"/>
    <mergeCell ref="B6:B7"/>
    <mergeCell ref="A8:A9"/>
    <mergeCell ref="A10:A11"/>
    <mergeCell ref="A12:A13"/>
    <mergeCell ref="A24:A25"/>
    <mergeCell ref="B24:B25"/>
    <mergeCell ref="A26:A27"/>
    <mergeCell ref="B26:B27"/>
    <mergeCell ref="A18:A19"/>
    <mergeCell ref="B18:B19"/>
    <mergeCell ref="A14:A15"/>
    <mergeCell ref="B14:B15"/>
    <mergeCell ref="A16:A17"/>
    <mergeCell ref="B16:B17"/>
    <mergeCell ref="A53:B53"/>
    <mergeCell ref="A50:B50"/>
    <mergeCell ref="A30:A31"/>
    <mergeCell ref="B30:B31"/>
    <mergeCell ref="A32:A33"/>
    <mergeCell ref="B32:B33"/>
    <mergeCell ref="A48:A49"/>
    <mergeCell ref="B48:B49"/>
    <mergeCell ref="A52:B52"/>
    <mergeCell ref="A42:A43"/>
    <mergeCell ref="B42:B43"/>
    <mergeCell ref="A44:A45"/>
    <mergeCell ref="B44:B45"/>
    <mergeCell ref="A51:B51"/>
    <mergeCell ref="A46:A47"/>
    <mergeCell ref="B46:B47"/>
  </mergeCells>
  <conditionalFormatting sqref="P53">
    <cfRule type="cellIs" dxfId="1284" priority="2" operator="greaterThan">
      <formula>1</formula>
    </cfRule>
    <cfRule type="cellIs" dxfId="1283" priority="3" operator="lessThan">
      <formula>1</formula>
    </cfRule>
  </conditionalFormatting>
  <dataValidations disablePrompts="1" count="1">
    <dataValidation type="list" errorStyle="warning" allowBlank="1" showInputMessage="1" showErrorMessage="1" error="Selecionar Referencial compatível" sqref="XEV1:XFD3" xr:uid="{00000000-0002-0000-0C00-000000000000}">
      <formula1>DADOS</formula1>
    </dataValidation>
  </dataValidations>
  <printOptions horizontalCentered="1"/>
  <pageMargins left="0.39370078740157483" right="0.39370078740157483" top="1.3779527559055118" bottom="0.78740157480314965" header="0" footer="0"/>
  <pageSetup paperSize="9" scale="68" fitToHeight="0" orientation="landscape" r:id="rId1"/>
  <headerFooter scaleWithDoc="0" alignWithMargins="0">
    <oddHeader>&amp;C&amp;G</oddHeader>
    <oddFooter>&amp;R&amp;"Arial,Normal"&amp;8Página &amp;P de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499984740745262"/>
  </sheetPr>
  <dimension ref="A1:XEJ40"/>
  <sheetViews>
    <sheetView view="pageBreakPreview" zoomScaleNormal="100" zoomScaleSheetLayoutView="100" workbookViewId="0">
      <selection activeCell="E10" sqref="E10"/>
    </sheetView>
  </sheetViews>
  <sheetFormatPr defaultRowHeight="12.75"/>
  <cols>
    <col min="1" max="1" width="20.625" style="39" customWidth="1"/>
    <col min="2" max="2" width="40.625" style="39" customWidth="1"/>
    <col min="3" max="3" width="15.625" style="39" customWidth="1"/>
    <col min="4" max="4" width="7.625" style="39" customWidth="1"/>
    <col min="5" max="5" width="8.625" style="147" customWidth="1"/>
    <col min="6" max="16384" width="9" style="39"/>
  </cols>
  <sheetData>
    <row r="1" spans="1:983 16364:16364" ht="30" customHeight="1">
      <c r="A1" s="404" t="s">
        <v>7318</v>
      </c>
      <c r="B1" s="404"/>
      <c r="C1" s="404"/>
      <c r="D1" s="404"/>
      <c r="E1" s="404"/>
      <c r="F1" s="41"/>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c r="IW1" s="40"/>
      <c r="IX1" s="40"/>
      <c r="IY1" s="40"/>
      <c r="IZ1" s="40"/>
      <c r="JA1" s="40"/>
      <c r="JB1" s="40"/>
      <c r="JC1" s="40"/>
      <c r="JD1" s="40"/>
      <c r="JE1" s="40"/>
      <c r="JF1" s="40"/>
      <c r="JG1" s="40"/>
      <c r="JH1" s="40"/>
      <c r="JI1" s="40"/>
      <c r="JJ1" s="40"/>
      <c r="JK1" s="40"/>
      <c r="JL1" s="40"/>
      <c r="JM1" s="40"/>
      <c r="JN1" s="40"/>
      <c r="JO1" s="40"/>
      <c r="JP1" s="40"/>
      <c r="JQ1" s="40"/>
      <c r="JR1" s="40"/>
      <c r="JS1" s="40"/>
      <c r="JT1" s="40"/>
      <c r="JU1" s="40"/>
      <c r="JV1" s="40"/>
      <c r="JW1" s="40"/>
      <c r="JX1" s="40"/>
      <c r="JY1" s="40"/>
      <c r="JZ1" s="40"/>
      <c r="KA1" s="40"/>
      <c r="KB1" s="40"/>
      <c r="KC1" s="40"/>
      <c r="KD1" s="40"/>
      <c r="KE1" s="40"/>
      <c r="KF1" s="40"/>
      <c r="KG1" s="40"/>
      <c r="KH1" s="40"/>
      <c r="KI1" s="40"/>
      <c r="KJ1" s="40"/>
      <c r="KK1" s="40"/>
      <c r="KL1" s="40"/>
      <c r="KM1" s="40"/>
      <c r="KN1" s="40"/>
      <c r="KO1" s="40"/>
      <c r="KP1" s="40"/>
      <c r="KQ1" s="40"/>
      <c r="KR1" s="40"/>
      <c r="KS1" s="40"/>
      <c r="KT1" s="40"/>
      <c r="KU1" s="40"/>
      <c r="KV1" s="40"/>
      <c r="KW1" s="40"/>
      <c r="KX1" s="40"/>
      <c r="KY1" s="40"/>
      <c r="KZ1" s="40"/>
      <c r="LA1" s="40"/>
      <c r="LB1" s="40"/>
      <c r="LC1" s="40"/>
      <c r="LD1" s="40"/>
      <c r="LE1" s="40"/>
      <c r="LF1" s="40"/>
      <c r="LG1" s="40"/>
      <c r="LH1" s="40"/>
      <c r="LI1" s="40"/>
      <c r="LJ1" s="40"/>
      <c r="LK1" s="40"/>
      <c r="LL1" s="40"/>
      <c r="LM1" s="40"/>
      <c r="LN1" s="40"/>
      <c r="LO1" s="40"/>
      <c r="LP1" s="40"/>
      <c r="LQ1" s="40"/>
      <c r="LR1" s="40"/>
      <c r="LS1" s="40"/>
      <c r="LT1" s="40"/>
      <c r="LU1" s="40"/>
      <c r="LV1" s="40"/>
      <c r="LW1" s="40"/>
      <c r="LX1" s="40"/>
      <c r="LY1" s="40"/>
      <c r="LZ1" s="40"/>
      <c r="MA1" s="40"/>
      <c r="MB1" s="40"/>
      <c r="MC1" s="40"/>
      <c r="MD1" s="40"/>
      <c r="ME1" s="40"/>
      <c r="MF1" s="40"/>
      <c r="MG1" s="40"/>
      <c r="MH1" s="40"/>
      <c r="MI1" s="40"/>
      <c r="MJ1" s="40"/>
      <c r="MK1" s="40"/>
      <c r="ML1" s="40"/>
      <c r="MM1" s="40"/>
      <c r="MN1" s="40"/>
      <c r="MO1" s="40"/>
      <c r="MP1" s="40"/>
      <c r="MQ1" s="40"/>
      <c r="MR1" s="40"/>
      <c r="MS1" s="40"/>
      <c r="MT1" s="40"/>
      <c r="MU1" s="40"/>
      <c r="MV1" s="40"/>
      <c r="MW1" s="40"/>
      <c r="MX1" s="40"/>
      <c r="MY1" s="40"/>
      <c r="MZ1" s="40"/>
      <c r="NA1" s="40"/>
      <c r="NB1" s="40"/>
      <c r="NC1" s="40"/>
      <c r="ND1" s="40"/>
      <c r="NE1" s="40"/>
      <c r="NF1" s="40"/>
      <c r="NG1" s="40"/>
      <c r="NH1" s="40"/>
      <c r="NI1" s="40"/>
      <c r="NJ1" s="40"/>
      <c r="NK1" s="40"/>
      <c r="NL1" s="40"/>
      <c r="NM1" s="40"/>
      <c r="NN1" s="40"/>
      <c r="NO1" s="40"/>
      <c r="NP1" s="40"/>
      <c r="NQ1" s="40"/>
      <c r="NR1" s="40"/>
      <c r="NS1" s="40"/>
      <c r="NT1" s="40"/>
      <c r="NU1" s="40"/>
      <c r="NV1" s="40"/>
      <c r="NW1" s="40"/>
      <c r="NX1" s="40"/>
      <c r="NY1" s="40"/>
      <c r="NZ1" s="40"/>
      <c r="OA1" s="40"/>
      <c r="OB1" s="40"/>
      <c r="OC1" s="40"/>
      <c r="OD1" s="40"/>
      <c r="OE1" s="40"/>
      <c r="OF1" s="40"/>
      <c r="OG1" s="40"/>
      <c r="OH1" s="40"/>
      <c r="OI1" s="40"/>
      <c r="OJ1" s="40"/>
      <c r="OK1" s="40"/>
      <c r="OL1" s="40"/>
      <c r="OM1" s="40"/>
      <c r="ON1" s="40"/>
      <c r="OO1" s="40"/>
      <c r="OP1" s="40"/>
      <c r="OQ1" s="40"/>
      <c r="OR1" s="40"/>
      <c r="OS1" s="40"/>
      <c r="OT1" s="40"/>
      <c r="OU1" s="40"/>
      <c r="OV1" s="40"/>
      <c r="OW1" s="40"/>
      <c r="OX1" s="40"/>
      <c r="OY1" s="40"/>
      <c r="OZ1" s="40"/>
      <c r="PA1" s="40"/>
      <c r="PB1" s="40"/>
      <c r="PC1" s="40"/>
      <c r="PD1" s="40"/>
      <c r="PE1" s="40"/>
      <c r="PF1" s="40"/>
      <c r="PG1" s="40"/>
      <c r="PH1" s="40"/>
      <c r="PI1" s="40"/>
      <c r="PJ1" s="40"/>
      <c r="PK1" s="40"/>
      <c r="PL1" s="40"/>
      <c r="PM1" s="40"/>
      <c r="PN1" s="40"/>
      <c r="PO1" s="40"/>
      <c r="PP1" s="40"/>
      <c r="PQ1" s="40"/>
      <c r="PR1" s="40"/>
      <c r="PS1" s="40"/>
      <c r="PT1" s="40"/>
      <c r="PU1" s="40"/>
      <c r="PV1" s="40"/>
      <c r="PW1" s="40"/>
      <c r="PX1" s="40"/>
      <c r="PY1" s="40"/>
      <c r="PZ1" s="40"/>
      <c r="QA1" s="40"/>
      <c r="QB1" s="40"/>
      <c r="QC1" s="40"/>
      <c r="QD1" s="40"/>
      <c r="QE1" s="40"/>
      <c r="QF1" s="40"/>
      <c r="QG1" s="40"/>
      <c r="QH1" s="40"/>
      <c r="QI1" s="40"/>
      <c r="QJ1" s="40"/>
      <c r="QK1" s="40"/>
      <c r="QL1" s="40"/>
      <c r="QM1" s="40"/>
      <c r="QN1" s="40"/>
      <c r="QO1" s="40"/>
      <c r="QP1" s="40"/>
      <c r="QQ1" s="40"/>
      <c r="QR1" s="40"/>
      <c r="QS1" s="40"/>
      <c r="QT1" s="40"/>
      <c r="QU1" s="40"/>
      <c r="QV1" s="40"/>
      <c r="QW1" s="40"/>
      <c r="QX1" s="40"/>
      <c r="QY1" s="40"/>
      <c r="QZ1" s="40"/>
      <c r="RA1" s="40"/>
      <c r="RB1" s="40"/>
      <c r="RC1" s="40"/>
      <c r="RD1" s="40"/>
      <c r="RE1" s="40"/>
      <c r="RF1" s="40"/>
      <c r="RG1" s="40"/>
      <c r="RH1" s="40"/>
      <c r="RI1" s="40"/>
      <c r="RJ1" s="40"/>
      <c r="RK1" s="40"/>
      <c r="RL1" s="40"/>
      <c r="RM1" s="40"/>
      <c r="RN1" s="40"/>
      <c r="RO1" s="40"/>
      <c r="RP1" s="40"/>
      <c r="RQ1" s="40"/>
      <c r="RR1" s="40"/>
      <c r="RS1" s="40"/>
      <c r="RT1" s="40"/>
      <c r="RU1" s="40"/>
      <c r="RV1" s="40"/>
      <c r="RW1" s="40"/>
      <c r="RX1" s="40"/>
      <c r="RY1" s="40"/>
      <c r="RZ1" s="40"/>
      <c r="SA1" s="40"/>
      <c r="SB1" s="40"/>
      <c r="SC1" s="40"/>
      <c r="SD1" s="40"/>
      <c r="SE1" s="40"/>
      <c r="SF1" s="40"/>
      <c r="SG1" s="40"/>
      <c r="SH1" s="40"/>
      <c r="SI1" s="40"/>
      <c r="SJ1" s="40"/>
      <c r="SK1" s="40"/>
      <c r="SL1" s="40"/>
      <c r="SM1" s="40"/>
      <c r="SN1" s="40"/>
      <c r="SO1" s="40"/>
      <c r="SP1" s="40"/>
      <c r="SQ1" s="40"/>
      <c r="SR1" s="40"/>
      <c r="SS1" s="40"/>
      <c r="ST1" s="40"/>
      <c r="SU1" s="40"/>
      <c r="SV1" s="40"/>
      <c r="SW1" s="40"/>
      <c r="SX1" s="40"/>
      <c r="SY1" s="40"/>
      <c r="SZ1" s="40"/>
      <c r="TA1" s="40"/>
      <c r="TB1" s="40"/>
      <c r="TC1" s="40"/>
      <c r="TD1" s="40"/>
      <c r="TE1" s="40"/>
      <c r="TF1" s="40"/>
      <c r="TG1" s="40"/>
      <c r="TH1" s="40"/>
      <c r="TI1" s="40"/>
      <c r="TJ1" s="40"/>
      <c r="TK1" s="40"/>
      <c r="TL1" s="40"/>
      <c r="TM1" s="40"/>
      <c r="TN1" s="40"/>
      <c r="TO1" s="40"/>
      <c r="TP1" s="40"/>
      <c r="TQ1" s="40"/>
      <c r="TR1" s="40"/>
      <c r="TS1" s="40"/>
      <c r="TT1" s="40"/>
      <c r="TU1" s="40"/>
      <c r="TV1" s="40"/>
      <c r="TW1" s="40"/>
      <c r="TX1" s="40"/>
      <c r="TY1" s="40"/>
      <c r="TZ1" s="40"/>
      <c r="UA1" s="40"/>
      <c r="UB1" s="40"/>
      <c r="UC1" s="40"/>
      <c r="UD1" s="40"/>
      <c r="UE1" s="40"/>
      <c r="UF1" s="40"/>
      <c r="UG1" s="40"/>
      <c r="UH1" s="40"/>
      <c r="UI1" s="40"/>
      <c r="UJ1" s="40"/>
      <c r="UK1" s="40"/>
      <c r="UL1" s="40"/>
      <c r="UM1" s="40"/>
      <c r="UN1" s="40"/>
      <c r="UO1" s="40"/>
      <c r="UP1" s="40"/>
      <c r="UQ1" s="40"/>
      <c r="UR1" s="40"/>
      <c r="US1" s="40"/>
      <c r="UT1" s="40"/>
      <c r="UU1" s="40"/>
      <c r="UV1" s="40"/>
      <c r="UW1" s="40"/>
      <c r="UX1" s="40"/>
      <c r="UY1" s="40"/>
      <c r="UZ1" s="40"/>
      <c r="VA1" s="40"/>
      <c r="VB1" s="40"/>
      <c r="VC1" s="40"/>
      <c r="VD1" s="40"/>
      <c r="VE1" s="40"/>
      <c r="VF1" s="40"/>
      <c r="VG1" s="40"/>
      <c r="VH1" s="40"/>
      <c r="VI1" s="40"/>
      <c r="VJ1" s="40"/>
      <c r="VK1" s="40"/>
      <c r="VL1" s="40"/>
      <c r="VM1" s="40"/>
      <c r="VN1" s="40"/>
      <c r="VO1" s="40"/>
      <c r="VP1" s="40"/>
      <c r="VQ1" s="40"/>
      <c r="VR1" s="40"/>
      <c r="VS1" s="40"/>
      <c r="VT1" s="40"/>
      <c r="VU1" s="40"/>
      <c r="VV1" s="40"/>
      <c r="VW1" s="40"/>
      <c r="VX1" s="40"/>
      <c r="VY1" s="40"/>
      <c r="VZ1" s="40"/>
      <c r="WA1" s="40"/>
      <c r="WB1" s="40"/>
      <c r="WC1" s="40"/>
      <c r="WD1" s="40"/>
      <c r="WE1" s="40"/>
      <c r="WF1" s="40"/>
      <c r="WG1" s="40"/>
      <c r="WH1" s="40"/>
      <c r="WI1" s="40"/>
      <c r="WJ1" s="40"/>
      <c r="WK1" s="40"/>
      <c r="WL1" s="40"/>
      <c r="WM1" s="40"/>
      <c r="WN1" s="40"/>
      <c r="WO1" s="40"/>
      <c r="WP1" s="40"/>
      <c r="WQ1" s="40"/>
      <c r="WR1" s="40"/>
      <c r="WS1" s="40"/>
      <c r="WT1" s="40"/>
      <c r="WU1" s="40"/>
      <c r="WV1" s="40"/>
      <c r="WW1" s="40"/>
      <c r="WX1" s="40"/>
      <c r="WY1" s="40"/>
      <c r="WZ1" s="40"/>
      <c r="XA1" s="40"/>
      <c r="XB1" s="40"/>
      <c r="XC1" s="40"/>
      <c r="XD1" s="40"/>
      <c r="XE1" s="40"/>
      <c r="XF1" s="40"/>
      <c r="XG1" s="40"/>
      <c r="XH1" s="40"/>
      <c r="XI1" s="40"/>
      <c r="XJ1" s="40"/>
      <c r="XK1" s="40"/>
      <c r="XL1" s="40"/>
      <c r="XM1" s="40"/>
      <c r="XN1" s="40"/>
      <c r="XO1" s="40"/>
      <c r="XP1" s="40"/>
      <c r="XQ1" s="40"/>
      <c r="XR1" s="40"/>
      <c r="XS1" s="40"/>
      <c r="XT1" s="40"/>
      <c r="XU1" s="40"/>
      <c r="XV1" s="40"/>
      <c r="XW1" s="40"/>
      <c r="XX1" s="40"/>
      <c r="XY1" s="40"/>
      <c r="XZ1" s="40"/>
      <c r="YA1" s="40"/>
      <c r="YB1" s="40"/>
      <c r="YC1" s="40"/>
      <c r="YD1" s="40"/>
      <c r="YE1" s="40"/>
      <c r="YF1" s="40"/>
      <c r="YG1" s="40"/>
      <c r="YH1" s="40"/>
      <c r="YI1" s="40"/>
      <c r="YJ1" s="40"/>
      <c r="YK1" s="40"/>
      <c r="YL1" s="40"/>
      <c r="YM1" s="40"/>
      <c r="YN1" s="40"/>
      <c r="YO1" s="40"/>
      <c r="YP1" s="40"/>
      <c r="YQ1" s="40"/>
      <c r="YR1" s="40"/>
      <c r="YS1" s="40"/>
      <c r="YT1" s="40"/>
      <c r="YU1" s="40"/>
      <c r="YV1" s="40"/>
      <c r="YW1" s="40"/>
      <c r="YX1" s="40"/>
      <c r="YY1" s="40"/>
      <c r="YZ1" s="40"/>
      <c r="ZA1" s="40"/>
      <c r="ZB1" s="40"/>
      <c r="ZC1" s="40"/>
      <c r="ZD1" s="40"/>
      <c r="ZE1" s="40"/>
      <c r="ZF1" s="40"/>
      <c r="ZG1" s="40"/>
      <c r="ZH1" s="40"/>
      <c r="ZI1" s="40"/>
      <c r="ZJ1" s="40"/>
      <c r="ZK1" s="40"/>
      <c r="ZL1" s="40"/>
      <c r="ZM1" s="40"/>
      <c r="ZN1" s="40"/>
      <c r="ZO1" s="40"/>
      <c r="ZP1" s="40"/>
      <c r="ZQ1" s="40"/>
      <c r="ZR1" s="40"/>
      <c r="ZS1" s="40"/>
      <c r="ZT1" s="40"/>
      <c r="ZU1" s="40"/>
      <c r="ZV1" s="40"/>
      <c r="ZW1" s="40"/>
      <c r="ZX1" s="40"/>
      <c r="ZY1" s="40"/>
      <c r="ZZ1" s="40"/>
      <c r="AAA1" s="40"/>
      <c r="AAB1" s="40"/>
      <c r="AAC1" s="40"/>
      <c r="AAD1" s="40"/>
      <c r="AAE1" s="40"/>
      <c r="AAF1" s="40"/>
      <c r="AAG1" s="40"/>
      <c r="AAH1" s="40"/>
      <c r="AAI1" s="40"/>
      <c r="AAJ1" s="40"/>
      <c r="AAK1" s="40"/>
      <c r="AAL1" s="40"/>
      <c r="AAM1" s="40"/>
      <c r="AAN1" s="40"/>
      <c r="AAO1" s="40"/>
      <c r="AAP1" s="40"/>
      <c r="AAQ1" s="40"/>
      <c r="AAR1" s="40"/>
      <c r="AAS1" s="40"/>
      <c r="AAT1" s="40"/>
      <c r="AAU1" s="40"/>
      <c r="AAV1" s="40"/>
      <c r="AAW1" s="40"/>
      <c r="AAX1" s="40"/>
      <c r="AAY1" s="40"/>
      <c r="AAZ1" s="40"/>
      <c r="ABA1" s="40"/>
      <c r="ABB1" s="40"/>
      <c r="ABC1" s="40"/>
      <c r="ABD1" s="40"/>
      <c r="ABE1" s="40"/>
      <c r="ABF1" s="40"/>
      <c r="ABG1" s="40"/>
      <c r="ABH1" s="40"/>
      <c r="ABI1" s="40"/>
      <c r="ABJ1" s="40"/>
      <c r="ABK1" s="40"/>
      <c r="ABL1" s="40"/>
      <c r="ABM1" s="40"/>
      <c r="ABN1" s="40"/>
      <c r="ABO1" s="40"/>
      <c r="ABP1" s="40"/>
      <c r="ABQ1" s="40"/>
      <c r="ABR1" s="40"/>
      <c r="ABS1" s="40"/>
      <c r="ABT1" s="40"/>
      <c r="ABU1" s="40"/>
      <c r="ABV1" s="40"/>
      <c r="ABW1" s="40"/>
      <c r="ABX1" s="40"/>
      <c r="ABY1" s="40"/>
      <c r="ABZ1" s="40"/>
      <c r="ACA1" s="40"/>
      <c r="ACB1" s="40"/>
      <c r="ACC1" s="40"/>
      <c r="ACD1" s="40"/>
      <c r="ACE1" s="40"/>
      <c r="ACF1" s="40"/>
      <c r="ACG1" s="40"/>
      <c r="ACH1" s="40"/>
      <c r="ACI1" s="40"/>
      <c r="ACJ1" s="40"/>
      <c r="ACK1" s="40"/>
      <c r="ACL1" s="40"/>
      <c r="ACM1" s="40"/>
      <c r="ACN1" s="40"/>
      <c r="ACO1" s="40"/>
      <c r="ACP1" s="40"/>
      <c r="ACQ1" s="40"/>
      <c r="ACR1" s="40"/>
      <c r="ACS1" s="40"/>
      <c r="ACT1" s="40"/>
      <c r="ACU1" s="40"/>
      <c r="ACV1" s="40"/>
      <c r="ACW1" s="40"/>
      <c r="ACX1" s="40"/>
      <c r="ACY1" s="40"/>
      <c r="ACZ1" s="40"/>
      <c r="ADA1" s="40"/>
      <c r="ADB1" s="40"/>
      <c r="ADC1" s="40"/>
      <c r="ADD1" s="40"/>
      <c r="ADE1" s="40"/>
      <c r="ADF1" s="40"/>
      <c r="ADG1" s="40"/>
      <c r="ADH1" s="40"/>
      <c r="ADI1" s="40"/>
      <c r="ADJ1" s="40"/>
      <c r="ADK1" s="40"/>
      <c r="ADL1" s="40"/>
      <c r="ADM1" s="40"/>
      <c r="ADN1" s="40"/>
      <c r="ADO1" s="40"/>
      <c r="ADP1" s="40"/>
      <c r="ADQ1" s="40"/>
      <c r="ADR1" s="40"/>
      <c r="ADS1" s="40"/>
      <c r="ADT1" s="40"/>
      <c r="ADU1" s="40"/>
      <c r="ADV1" s="40"/>
      <c r="ADW1" s="40"/>
      <c r="ADX1" s="40"/>
      <c r="ADY1" s="40"/>
      <c r="ADZ1" s="40"/>
      <c r="AEA1" s="40"/>
      <c r="AEB1" s="40"/>
      <c r="AEC1" s="40"/>
      <c r="AED1" s="40"/>
      <c r="AEE1" s="40"/>
      <c r="AEF1" s="40"/>
      <c r="AEG1" s="40"/>
      <c r="AEH1" s="40"/>
      <c r="AEI1" s="40"/>
      <c r="AEJ1" s="40"/>
      <c r="AEK1" s="40"/>
      <c r="AEL1" s="40"/>
      <c r="AEM1" s="40"/>
      <c r="AEN1" s="40"/>
      <c r="AEO1" s="40"/>
      <c r="AEP1" s="40"/>
      <c r="AEQ1" s="40"/>
      <c r="AER1" s="40"/>
      <c r="AES1" s="40"/>
      <c r="AET1" s="40"/>
      <c r="AEU1" s="40"/>
      <c r="AEV1" s="40"/>
      <c r="AEW1" s="40"/>
      <c r="AEX1" s="40"/>
      <c r="AEY1" s="40"/>
      <c r="AEZ1" s="40"/>
      <c r="AFA1" s="40"/>
      <c r="AFB1" s="40"/>
      <c r="AFC1" s="40"/>
      <c r="AFD1" s="40"/>
      <c r="AFE1" s="40"/>
      <c r="AFF1" s="40"/>
      <c r="AFG1" s="40"/>
      <c r="AFH1" s="40"/>
      <c r="AFI1" s="40"/>
      <c r="AFJ1" s="40"/>
      <c r="AFK1" s="40"/>
      <c r="AFL1" s="40"/>
      <c r="AFM1" s="40"/>
      <c r="AFN1" s="40"/>
      <c r="AFO1" s="40"/>
      <c r="AFP1" s="40"/>
      <c r="AFQ1" s="40"/>
      <c r="AFR1" s="40"/>
      <c r="AFS1" s="40"/>
      <c r="AFT1" s="40"/>
      <c r="AFU1" s="40"/>
      <c r="AFV1" s="40"/>
      <c r="AFW1" s="40"/>
      <c r="AFX1" s="40"/>
      <c r="AFY1" s="40"/>
      <c r="AFZ1" s="40"/>
      <c r="AGA1" s="40"/>
      <c r="AGB1" s="40"/>
      <c r="AGC1" s="40"/>
      <c r="AGD1" s="40"/>
      <c r="AGE1" s="40"/>
      <c r="AGF1" s="40"/>
      <c r="AGG1" s="40"/>
      <c r="AGH1" s="40"/>
      <c r="AGI1" s="40"/>
      <c r="AGJ1" s="40"/>
      <c r="AGK1" s="40"/>
      <c r="AGL1" s="40"/>
      <c r="AGM1" s="40"/>
      <c r="AGN1" s="40"/>
      <c r="AGO1" s="40"/>
      <c r="AGP1" s="40"/>
      <c r="AGQ1" s="40"/>
      <c r="AGR1" s="40"/>
      <c r="AGS1" s="40"/>
      <c r="AGT1" s="40"/>
      <c r="AGU1" s="40"/>
      <c r="AGV1" s="40"/>
      <c r="AGW1" s="40"/>
      <c r="AGX1" s="40"/>
      <c r="AGY1" s="40"/>
      <c r="AGZ1" s="40"/>
      <c r="AHA1" s="40"/>
      <c r="AHB1" s="40"/>
      <c r="AHC1" s="40"/>
      <c r="AHD1" s="40"/>
      <c r="AHE1" s="40"/>
      <c r="AHF1" s="40"/>
      <c r="AHG1" s="40"/>
      <c r="AHH1" s="40"/>
      <c r="AHI1" s="40"/>
      <c r="AHJ1" s="40"/>
      <c r="AHK1" s="40"/>
      <c r="AHL1" s="40"/>
      <c r="AHM1" s="40"/>
      <c r="AHN1" s="40"/>
      <c r="AHO1" s="40"/>
      <c r="AHP1" s="40"/>
      <c r="AHQ1" s="40"/>
      <c r="AHR1" s="40"/>
      <c r="AHS1" s="40"/>
      <c r="AHT1" s="40"/>
      <c r="AHU1" s="40"/>
      <c r="AHV1" s="40"/>
      <c r="AHW1" s="40"/>
      <c r="AHX1" s="40"/>
      <c r="AHY1" s="40"/>
      <c r="AHZ1" s="40"/>
      <c r="AIA1" s="40"/>
      <c r="AIB1" s="40"/>
      <c r="AIC1" s="40"/>
      <c r="AID1" s="40"/>
      <c r="AIE1" s="40"/>
      <c r="AIF1" s="40"/>
      <c r="AIG1" s="40"/>
      <c r="AIH1" s="40"/>
      <c r="AII1" s="40"/>
      <c r="AIJ1" s="40"/>
      <c r="AIK1" s="40"/>
      <c r="AIL1" s="40"/>
      <c r="AIM1" s="40"/>
      <c r="AIN1" s="40"/>
      <c r="AIO1" s="40"/>
      <c r="AIP1" s="40"/>
      <c r="AIQ1" s="40"/>
      <c r="AIR1" s="40"/>
      <c r="AIS1" s="40"/>
      <c r="AIT1" s="40"/>
      <c r="AIU1" s="40"/>
      <c r="AIV1" s="40"/>
      <c r="AIW1" s="40"/>
      <c r="AIX1" s="40"/>
      <c r="AIY1" s="40"/>
      <c r="AIZ1" s="40"/>
      <c r="AJA1" s="40"/>
      <c r="AJB1" s="40"/>
      <c r="AJC1" s="40"/>
      <c r="AJD1" s="40"/>
      <c r="AJE1" s="40"/>
      <c r="AJF1" s="40"/>
      <c r="AJG1" s="40"/>
      <c r="AJH1" s="40"/>
      <c r="AJI1" s="40"/>
      <c r="AJJ1" s="40"/>
      <c r="AJK1" s="40"/>
      <c r="AJL1" s="40"/>
      <c r="AJM1" s="40"/>
      <c r="AJN1" s="40"/>
      <c r="AJO1" s="40"/>
      <c r="AJP1" s="40"/>
      <c r="AJQ1" s="40"/>
      <c r="AJR1" s="40"/>
      <c r="AJS1" s="40"/>
      <c r="AJT1" s="40"/>
      <c r="AJU1" s="40"/>
      <c r="AJV1" s="40"/>
      <c r="AJW1" s="40"/>
      <c r="AJX1" s="40"/>
      <c r="AJY1" s="40"/>
      <c r="AJZ1" s="40"/>
      <c r="AKA1" s="40"/>
      <c r="AKB1" s="40"/>
      <c r="AKC1" s="40"/>
      <c r="AKD1" s="40"/>
      <c r="AKE1" s="40"/>
      <c r="AKF1" s="40"/>
      <c r="AKG1" s="40"/>
      <c r="AKH1" s="40"/>
      <c r="AKI1" s="40"/>
      <c r="AKJ1" s="40"/>
      <c r="AKK1" s="40"/>
      <c r="AKL1" s="40"/>
      <c r="AKM1" s="40"/>
      <c r="AKN1" s="40"/>
      <c r="AKO1" s="40"/>
      <c r="AKP1" s="40"/>
      <c r="AKQ1" s="40"/>
      <c r="AKR1" s="40"/>
      <c r="AKS1" s="40"/>
      <c r="AKT1" s="40"/>
      <c r="AKU1" s="40"/>
      <c r="XEJ1" s="39" t="s">
        <v>928</v>
      </c>
    </row>
    <row r="2" spans="1:983 16364:16364" ht="19.5" customHeight="1">
      <c r="A2" s="55" t="s">
        <v>891</v>
      </c>
      <c r="B2" s="407" t="str">
        <f>OBRA</f>
        <v>QUADRA POLIESPORTIVA DE MASCARENHAS</v>
      </c>
      <c r="C2" s="407"/>
      <c r="D2" s="407"/>
      <c r="E2" s="407"/>
      <c r="F2" s="41"/>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0"/>
      <c r="OY2" s="40"/>
      <c r="OZ2" s="40"/>
      <c r="PA2" s="40"/>
      <c r="PB2" s="40"/>
      <c r="PC2" s="40"/>
      <c r="PD2" s="40"/>
      <c r="PE2" s="40"/>
      <c r="PF2" s="40"/>
      <c r="PG2" s="40"/>
      <c r="PH2" s="40"/>
      <c r="PI2" s="40"/>
      <c r="PJ2" s="40"/>
      <c r="PK2" s="40"/>
      <c r="PL2" s="40"/>
      <c r="PM2" s="40"/>
      <c r="PN2" s="40"/>
      <c r="PO2" s="40"/>
      <c r="PP2" s="40"/>
      <c r="PQ2" s="40"/>
      <c r="PR2" s="40"/>
      <c r="PS2" s="40"/>
      <c r="PT2" s="40"/>
      <c r="PU2" s="40"/>
      <c r="PV2" s="40"/>
      <c r="PW2" s="40"/>
      <c r="PX2" s="40"/>
      <c r="PY2" s="40"/>
      <c r="PZ2" s="40"/>
      <c r="QA2" s="40"/>
      <c r="QB2" s="40"/>
      <c r="QC2" s="40"/>
      <c r="QD2" s="40"/>
      <c r="QE2" s="40"/>
      <c r="QF2" s="40"/>
      <c r="QG2" s="40"/>
      <c r="QH2" s="40"/>
      <c r="QI2" s="40"/>
      <c r="QJ2" s="40"/>
      <c r="QK2" s="40"/>
      <c r="QL2" s="40"/>
      <c r="QM2" s="40"/>
      <c r="QN2" s="40"/>
      <c r="QO2" s="40"/>
      <c r="QP2" s="40"/>
      <c r="QQ2" s="40"/>
      <c r="QR2" s="40"/>
      <c r="QS2" s="40"/>
      <c r="QT2" s="40"/>
      <c r="QU2" s="40"/>
      <c r="QV2" s="40"/>
      <c r="QW2" s="40"/>
      <c r="QX2" s="40"/>
      <c r="QY2" s="40"/>
      <c r="QZ2" s="40"/>
      <c r="RA2" s="40"/>
      <c r="RB2" s="40"/>
      <c r="RC2" s="40"/>
      <c r="RD2" s="40"/>
      <c r="RE2" s="40"/>
      <c r="RF2" s="40"/>
      <c r="RG2" s="40"/>
      <c r="RH2" s="40"/>
      <c r="RI2" s="40"/>
      <c r="RJ2" s="40"/>
      <c r="RK2" s="40"/>
      <c r="RL2" s="40"/>
      <c r="RM2" s="40"/>
      <c r="RN2" s="40"/>
      <c r="RO2" s="40"/>
      <c r="RP2" s="40"/>
      <c r="RQ2" s="40"/>
      <c r="RR2" s="40"/>
      <c r="RS2" s="40"/>
      <c r="RT2" s="40"/>
      <c r="RU2" s="40"/>
      <c r="RV2" s="40"/>
      <c r="RW2" s="40"/>
      <c r="RX2" s="40"/>
      <c r="RY2" s="40"/>
      <c r="RZ2" s="40"/>
      <c r="SA2" s="40"/>
      <c r="SB2" s="40"/>
      <c r="SC2" s="40"/>
      <c r="SD2" s="40"/>
      <c r="SE2" s="40"/>
      <c r="SF2" s="40"/>
      <c r="SG2" s="40"/>
      <c r="SH2" s="40"/>
      <c r="SI2" s="40"/>
      <c r="SJ2" s="40"/>
      <c r="SK2" s="40"/>
      <c r="SL2" s="40"/>
      <c r="SM2" s="40"/>
      <c r="SN2" s="40"/>
      <c r="SO2" s="40"/>
      <c r="SP2" s="40"/>
      <c r="SQ2" s="40"/>
      <c r="SR2" s="40"/>
      <c r="SS2" s="40"/>
      <c r="ST2" s="40"/>
      <c r="SU2" s="40"/>
      <c r="SV2" s="40"/>
      <c r="SW2" s="40"/>
      <c r="SX2" s="40"/>
      <c r="SY2" s="40"/>
      <c r="SZ2" s="40"/>
      <c r="TA2" s="40"/>
      <c r="TB2" s="40"/>
      <c r="TC2" s="40"/>
      <c r="TD2" s="40"/>
      <c r="TE2" s="40"/>
      <c r="TF2" s="40"/>
      <c r="TG2" s="40"/>
      <c r="TH2" s="40"/>
      <c r="TI2" s="40"/>
      <c r="TJ2" s="40"/>
      <c r="TK2" s="40"/>
      <c r="TL2" s="40"/>
      <c r="TM2" s="40"/>
      <c r="TN2" s="40"/>
      <c r="TO2" s="40"/>
      <c r="TP2" s="40"/>
      <c r="TQ2" s="40"/>
      <c r="TR2" s="40"/>
      <c r="TS2" s="40"/>
      <c r="TT2" s="40"/>
      <c r="TU2" s="40"/>
      <c r="TV2" s="40"/>
      <c r="TW2" s="40"/>
      <c r="TX2" s="40"/>
      <c r="TY2" s="40"/>
      <c r="TZ2" s="40"/>
      <c r="UA2" s="40"/>
      <c r="UB2" s="40"/>
      <c r="UC2" s="40"/>
      <c r="UD2" s="40"/>
      <c r="UE2" s="40"/>
      <c r="UF2" s="40"/>
      <c r="UG2" s="40"/>
      <c r="UH2" s="40"/>
      <c r="UI2" s="40"/>
      <c r="UJ2" s="40"/>
      <c r="UK2" s="40"/>
      <c r="UL2" s="40"/>
      <c r="UM2" s="40"/>
      <c r="UN2" s="40"/>
      <c r="UO2" s="40"/>
      <c r="UP2" s="40"/>
      <c r="UQ2" s="40"/>
      <c r="UR2" s="40"/>
      <c r="US2" s="40"/>
      <c r="UT2" s="40"/>
      <c r="UU2" s="40"/>
      <c r="UV2" s="40"/>
      <c r="UW2" s="40"/>
      <c r="UX2" s="40"/>
      <c r="UY2" s="40"/>
      <c r="UZ2" s="40"/>
      <c r="VA2" s="40"/>
      <c r="VB2" s="40"/>
      <c r="VC2" s="40"/>
      <c r="VD2" s="40"/>
      <c r="VE2" s="40"/>
      <c r="VF2" s="40"/>
      <c r="VG2" s="40"/>
      <c r="VH2" s="40"/>
      <c r="VI2" s="40"/>
      <c r="VJ2" s="40"/>
      <c r="VK2" s="40"/>
      <c r="VL2" s="40"/>
      <c r="VM2" s="40"/>
      <c r="VN2" s="40"/>
      <c r="VO2" s="40"/>
      <c r="VP2" s="40"/>
      <c r="VQ2" s="40"/>
      <c r="VR2" s="40"/>
      <c r="VS2" s="40"/>
      <c r="VT2" s="40"/>
      <c r="VU2" s="40"/>
      <c r="VV2" s="40"/>
      <c r="VW2" s="40"/>
      <c r="VX2" s="40"/>
      <c r="VY2" s="40"/>
      <c r="VZ2" s="40"/>
      <c r="WA2" s="40"/>
      <c r="WB2" s="40"/>
      <c r="WC2" s="40"/>
      <c r="WD2" s="40"/>
      <c r="WE2" s="40"/>
      <c r="WF2" s="40"/>
      <c r="WG2" s="40"/>
      <c r="WH2" s="40"/>
      <c r="WI2" s="40"/>
      <c r="WJ2" s="40"/>
      <c r="WK2" s="40"/>
      <c r="WL2" s="40"/>
      <c r="WM2" s="40"/>
      <c r="WN2" s="40"/>
      <c r="WO2" s="40"/>
      <c r="WP2" s="40"/>
      <c r="WQ2" s="40"/>
      <c r="WR2" s="40"/>
      <c r="WS2" s="40"/>
      <c r="WT2" s="40"/>
      <c r="WU2" s="40"/>
      <c r="WV2" s="40"/>
      <c r="WW2" s="40"/>
      <c r="WX2" s="40"/>
      <c r="WY2" s="40"/>
      <c r="WZ2" s="40"/>
      <c r="XA2" s="40"/>
      <c r="XB2" s="40"/>
      <c r="XC2" s="40"/>
      <c r="XD2" s="40"/>
      <c r="XE2" s="40"/>
      <c r="XF2" s="40"/>
      <c r="XG2" s="40"/>
      <c r="XH2" s="40"/>
      <c r="XI2" s="40"/>
      <c r="XJ2" s="40"/>
      <c r="XK2" s="40"/>
      <c r="XL2" s="40"/>
      <c r="XM2" s="40"/>
      <c r="XN2" s="40"/>
      <c r="XO2" s="40"/>
      <c r="XP2" s="40"/>
      <c r="XQ2" s="40"/>
      <c r="XR2" s="40"/>
      <c r="XS2" s="40"/>
      <c r="XT2" s="40"/>
      <c r="XU2" s="40"/>
      <c r="XV2" s="40"/>
      <c r="XW2" s="40"/>
      <c r="XX2" s="40"/>
      <c r="XY2" s="40"/>
      <c r="XZ2" s="40"/>
      <c r="YA2" s="40"/>
      <c r="YB2" s="40"/>
      <c r="YC2" s="40"/>
      <c r="YD2" s="40"/>
      <c r="YE2" s="40"/>
      <c r="YF2" s="40"/>
      <c r="YG2" s="40"/>
      <c r="YH2" s="40"/>
      <c r="YI2" s="40"/>
      <c r="YJ2" s="40"/>
      <c r="YK2" s="40"/>
      <c r="YL2" s="40"/>
      <c r="YM2" s="40"/>
      <c r="YN2" s="40"/>
      <c r="YO2" s="40"/>
      <c r="YP2" s="40"/>
      <c r="YQ2" s="40"/>
      <c r="YR2" s="40"/>
      <c r="YS2" s="40"/>
      <c r="YT2" s="40"/>
      <c r="YU2" s="40"/>
      <c r="YV2" s="40"/>
      <c r="YW2" s="40"/>
      <c r="YX2" s="40"/>
      <c r="YY2" s="40"/>
      <c r="YZ2" s="40"/>
      <c r="ZA2" s="40"/>
      <c r="ZB2" s="40"/>
      <c r="ZC2" s="40"/>
      <c r="ZD2" s="40"/>
      <c r="ZE2" s="40"/>
      <c r="ZF2" s="40"/>
      <c r="ZG2" s="40"/>
      <c r="ZH2" s="40"/>
      <c r="ZI2" s="40"/>
      <c r="ZJ2" s="40"/>
      <c r="ZK2" s="40"/>
      <c r="ZL2" s="40"/>
      <c r="ZM2" s="40"/>
      <c r="ZN2" s="40"/>
      <c r="ZO2" s="40"/>
      <c r="ZP2" s="40"/>
      <c r="ZQ2" s="40"/>
      <c r="ZR2" s="40"/>
      <c r="ZS2" s="40"/>
      <c r="ZT2" s="40"/>
      <c r="ZU2" s="40"/>
      <c r="ZV2" s="40"/>
      <c r="ZW2" s="40"/>
      <c r="ZX2" s="40"/>
      <c r="ZY2" s="40"/>
      <c r="ZZ2" s="40"/>
      <c r="AAA2" s="40"/>
      <c r="AAB2" s="40"/>
      <c r="AAC2" s="40"/>
      <c r="AAD2" s="40"/>
      <c r="AAE2" s="40"/>
      <c r="AAF2" s="40"/>
      <c r="AAG2" s="40"/>
      <c r="AAH2" s="40"/>
      <c r="AAI2" s="40"/>
      <c r="AAJ2" s="40"/>
      <c r="AAK2" s="40"/>
      <c r="AAL2" s="40"/>
      <c r="AAM2" s="40"/>
      <c r="AAN2" s="40"/>
      <c r="AAO2" s="40"/>
      <c r="AAP2" s="40"/>
      <c r="AAQ2" s="40"/>
      <c r="AAR2" s="40"/>
      <c r="AAS2" s="40"/>
      <c r="AAT2" s="40"/>
      <c r="AAU2" s="40"/>
      <c r="AAV2" s="40"/>
      <c r="AAW2" s="40"/>
      <c r="AAX2" s="40"/>
      <c r="AAY2" s="40"/>
      <c r="AAZ2" s="40"/>
      <c r="ABA2" s="40"/>
      <c r="ABB2" s="40"/>
      <c r="ABC2" s="40"/>
      <c r="ABD2" s="40"/>
      <c r="ABE2" s="40"/>
      <c r="ABF2" s="40"/>
      <c r="ABG2" s="40"/>
      <c r="ABH2" s="40"/>
      <c r="ABI2" s="40"/>
      <c r="ABJ2" s="40"/>
      <c r="ABK2" s="40"/>
      <c r="ABL2" s="40"/>
      <c r="ABM2" s="40"/>
      <c r="ABN2" s="40"/>
      <c r="ABO2" s="40"/>
      <c r="ABP2" s="40"/>
      <c r="ABQ2" s="40"/>
      <c r="ABR2" s="40"/>
      <c r="ABS2" s="40"/>
      <c r="ABT2" s="40"/>
      <c r="ABU2" s="40"/>
      <c r="ABV2" s="40"/>
      <c r="ABW2" s="40"/>
      <c r="ABX2" s="40"/>
      <c r="ABY2" s="40"/>
      <c r="ABZ2" s="40"/>
      <c r="ACA2" s="40"/>
      <c r="ACB2" s="40"/>
      <c r="ACC2" s="40"/>
      <c r="ACD2" s="40"/>
      <c r="ACE2" s="40"/>
      <c r="ACF2" s="40"/>
      <c r="ACG2" s="40"/>
      <c r="ACH2" s="40"/>
      <c r="ACI2" s="40"/>
      <c r="ACJ2" s="40"/>
      <c r="ACK2" s="40"/>
      <c r="ACL2" s="40"/>
      <c r="ACM2" s="40"/>
      <c r="ACN2" s="40"/>
      <c r="ACO2" s="40"/>
      <c r="ACP2" s="40"/>
      <c r="ACQ2" s="40"/>
      <c r="ACR2" s="40"/>
      <c r="ACS2" s="40"/>
      <c r="ACT2" s="40"/>
      <c r="ACU2" s="40"/>
      <c r="ACV2" s="40"/>
      <c r="ACW2" s="40"/>
      <c r="ACX2" s="40"/>
      <c r="ACY2" s="40"/>
      <c r="ACZ2" s="40"/>
      <c r="ADA2" s="40"/>
      <c r="ADB2" s="40"/>
      <c r="ADC2" s="40"/>
      <c r="ADD2" s="40"/>
      <c r="ADE2" s="40"/>
      <c r="ADF2" s="40"/>
      <c r="ADG2" s="40"/>
      <c r="ADH2" s="40"/>
      <c r="ADI2" s="40"/>
      <c r="ADJ2" s="40"/>
      <c r="ADK2" s="40"/>
      <c r="ADL2" s="40"/>
      <c r="ADM2" s="40"/>
      <c r="ADN2" s="40"/>
      <c r="ADO2" s="40"/>
      <c r="ADP2" s="40"/>
      <c r="ADQ2" s="40"/>
      <c r="ADR2" s="40"/>
      <c r="ADS2" s="40"/>
      <c r="ADT2" s="40"/>
      <c r="ADU2" s="40"/>
      <c r="ADV2" s="40"/>
      <c r="ADW2" s="40"/>
      <c r="ADX2" s="40"/>
      <c r="ADY2" s="40"/>
      <c r="ADZ2" s="40"/>
      <c r="AEA2" s="40"/>
      <c r="AEB2" s="40"/>
      <c r="AEC2" s="40"/>
      <c r="AED2" s="40"/>
      <c r="AEE2" s="40"/>
      <c r="AEF2" s="40"/>
      <c r="AEG2" s="40"/>
      <c r="AEH2" s="40"/>
      <c r="AEI2" s="40"/>
      <c r="AEJ2" s="40"/>
      <c r="AEK2" s="40"/>
      <c r="AEL2" s="40"/>
      <c r="AEM2" s="40"/>
      <c r="AEN2" s="40"/>
      <c r="AEO2" s="40"/>
      <c r="AEP2" s="40"/>
      <c r="AEQ2" s="40"/>
      <c r="AER2" s="40"/>
      <c r="AES2" s="40"/>
      <c r="AET2" s="40"/>
      <c r="AEU2" s="40"/>
      <c r="AEV2" s="40"/>
      <c r="AEW2" s="40"/>
      <c r="AEX2" s="40"/>
      <c r="AEY2" s="40"/>
      <c r="AEZ2" s="40"/>
      <c r="AFA2" s="40"/>
      <c r="AFB2" s="40"/>
      <c r="AFC2" s="40"/>
      <c r="AFD2" s="40"/>
      <c r="AFE2" s="40"/>
      <c r="AFF2" s="40"/>
      <c r="AFG2" s="40"/>
      <c r="AFH2" s="40"/>
      <c r="AFI2" s="40"/>
      <c r="AFJ2" s="40"/>
      <c r="AFK2" s="40"/>
      <c r="AFL2" s="40"/>
      <c r="AFM2" s="40"/>
      <c r="AFN2" s="40"/>
      <c r="AFO2" s="40"/>
      <c r="AFP2" s="40"/>
      <c r="AFQ2" s="40"/>
      <c r="AFR2" s="40"/>
      <c r="AFS2" s="40"/>
      <c r="AFT2" s="40"/>
      <c r="AFU2" s="40"/>
      <c r="AFV2" s="40"/>
      <c r="AFW2" s="40"/>
      <c r="AFX2" s="40"/>
      <c r="AFY2" s="40"/>
      <c r="AFZ2" s="40"/>
      <c r="AGA2" s="40"/>
      <c r="AGB2" s="40"/>
      <c r="AGC2" s="40"/>
      <c r="AGD2" s="40"/>
      <c r="AGE2" s="40"/>
      <c r="AGF2" s="40"/>
      <c r="AGG2" s="40"/>
      <c r="AGH2" s="40"/>
      <c r="AGI2" s="40"/>
      <c r="AGJ2" s="40"/>
      <c r="AGK2" s="40"/>
      <c r="AGL2" s="40"/>
      <c r="AGM2" s="40"/>
      <c r="AGN2" s="40"/>
      <c r="AGO2" s="40"/>
      <c r="AGP2" s="40"/>
      <c r="AGQ2" s="40"/>
      <c r="AGR2" s="40"/>
      <c r="AGS2" s="40"/>
      <c r="AGT2" s="40"/>
      <c r="AGU2" s="40"/>
      <c r="AGV2" s="40"/>
      <c r="AGW2" s="40"/>
      <c r="AGX2" s="40"/>
      <c r="AGY2" s="40"/>
      <c r="AGZ2" s="40"/>
      <c r="AHA2" s="40"/>
      <c r="AHB2" s="40"/>
      <c r="AHC2" s="40"/>
      <c r="AHD2" s="40"/>
      <c r="AHE2" s="40"/>
      <c r="AHF2" s="40"/>
      <c r="AHG2" s="40"/>
      <c r="AHH2" s="40"/>
      <c r="AHI2" s="40"/>
      <c r="AHJ2" s="40"/>
      <c r="AHK2" s="40"/>
      <c r="AHL2" s="40"/>
      <c r="AHM2" s="40"/>
      <c r="AHN2" s="40"/>
      <c r="AHO2" s="40"/>
      <c r="AHP2" s="40"/>
      <c r="AHQ2" s="40"/>
      <c r="AHR2" s="40"/>
      <c r="AHS2" s="40"/>
      <c r="AHT2" s="40"/>
      <c r="AHU2" s="40"/>
      <c r="AHV2" s="40"/>
      <c r="AHW2" s="40"/>
      <c r="AHX2" s="40"/>
      <c r="AHY2" s="40"/>
      <c r="AHZ2" s="40"/>
      <c r="AIA2" s="40"/>
      <c r="AIB2" s="40"/>
      <c r="AIC2" s="40"/>
      <c r="AID2" s="40"/>
      <c r="AIE2" s="40"/>
      <c r="AIF2" s="40"/>
      <c r="AIG2" s="40"/>
      <c r="AIH2" s="40"/>
      <c r="AII2" s="40"/>
      <c r="AIJ2" s="40"/>
      <c r="AIK2" s="40"/>
      <c r="AIL2" s="40"/>
      <c r="AIM2" s="40"/>
      <c r="AIN2" s="40"/>
      <c r="AIO2" s="40"/>
      <c r="AIP2" s="40"/>
      <c r="AIQ2" s="40"/>
      <c r="AIR2" s="40"/>
      <c r="AIS2" s="40"/>
      <c r="AIT2" s="40"/>
      <c r="AIU2" s="40"/>
      <c r="AIV2" s="40"/>
      <c r="AIW2" s="40"/>
      <c r="AIX2" s="40"/>
      <c r="AIY2" s="40"/>
      <c r="AIZ2" s="40"/>
      <c r="AJA2" s="40"/>
      <c r="AJB2" s="40"/>
      <c r="AJC2" s="40"/>
      <c r="AJD2" s="40"/>
      <c r="AJE2" s="40"/>
      <c r="AJF2" s="40"/>
      <c r="AJG2" s="40"/>
      <c r="AJH2" s="40"/>
      <c r="AJI2" s="40"/>
      <c r="AJJ2" s="40"/>
      <c r="AJK2" s="40"/>
      <c r="AJL2" s="40"/>
      <c r="AJM2" s="40"/>
      <c r="AJN2" s="40"/>
      <c r="AJO2" s="40"/>
      <c r="AJP2" s="40"/>
      <c r="AJQ2" s="40"/>
      <c r="AJR2" s="40"/>
      <c r="AJS2" s="40"/>
      <c r="AJT2" s="40"/>
      <c r="AJU2" s="40"/>
      <c r="AJV2" s="40"/>
      <c r="AJW2" s="40"/>
      <c r="AJX2" s="40"/>
      <c r="AJY2" s="40"/>
      <c r="AJZ2" s="40"/>
      <c r="AKA2" s="40"/>
      <c r="AKB2" s="40"/>
      <c r="AKC2" s="40"/>
      <c r="AKD2" s="40"/>
      <c r="AKE2" s="40"/>
      <c r="AKF2" s="40"/>
      <c r="AKG2" s="40"/>
      <c r="AKH2" s="40"/>
      <c r="AKI2" s="40"/>
      <c r="AKJ2" s="40"/>
      <c r="AKK2" s="40"/>
      <c r="AKL2" s="40"/>
      <c r="AKM2" s="40"/>
      <c r="AKN2" s="40"/>
      <c r="AKO2" s="40"/>
      <c r="AKP2" s="40"/>
      <c r="AKQ2" s="40"/>
      <c r="AKR2" s="40"/>
      <c r="AKS2" s="40"/>
      <c r="AKT2" s="40"/>
      <c r="AKU2" s="40"/>
      <c r="XEJ2" s="39" t="s">
        <v>32</v>
      </c>
    </row>
    <row r="3" spans="1:983 16364:16364" ht="20.100000000000001" customHeight="1">
      <c r="A3" s="55" t="s">
        <v>7242</v>
      </c>
      <c r="B3" s="411" t="str">
        <f>CONTRATO</f>
        <v>Distrito de Macarenhas - Baixo Guandu/ ES</v>
      </c>
      <c r="C3" s="412"/>
      <c r="D3" s="412"/>
      <c r="E3" s="413"/>
      <c r="F3" s="41"/>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c r="IZ3" s="40"/>
      <c r="JA3" s="40"/>
      <c r="JB3" s="40"/>
      <c r="JC3" s="40"/>
      <c r="JD3" s="40"/>
      <c r="JE3" s="40"/>
      <c r="JF3" s="40"/>
      <c r="JG3" s="40"/>
      <c r="JH3" s="40"/>
      <c r="JI3" s="40"/>
      <c r="JJ3" s="40"/>
      <c r="JK3" s="40"/>
      <c r="JL3" s="40"/>
      <c r="JM3" s="40"/>
      <c r="JN3" s="40"/>
      <c r="JO3" s="40"/>
      <c r="JP3" s="40"/>
      <c r="JQ3" s="40"/>
      <c r="JR3" s="40"/>
      <c r="JS3" s="40"/>
      <c r="JT3" s="40"/>
      <c r="JU3" s="40"/>
      <c r="JV3" s="40"/>
      <c r="JW3" s="40"/>
      <c r="JX3" s="40"/>
      <c r="JY3" s="40"/>
      <c r="JZ3" s="40"/>
      <c r="KA3" s="40"/>
      <c r="KB3" s="40"/>
      <c r="KC3" s="40"/>
      <c r="KD3" s="40"/>
      <c r="KE3" s="40"/>
      <c r="KF3" s="40"/>
      <c r="KG3" s="40"/>
      <c r="KH3" s="40"/>
      <c r="KI3" s="40"/>
      <c r="KJ3" s="40"/>
      <c r="KK3" s="40"/>
      <c r="KL3" s="40"/>
      <c r="KM3" s="40"/>
      <c r="KN3" s="40"/>
      <c r="KO3" s="40"/>
      <c r="KP3" s="40"/>
      <c r="KQ3" s="40"/>
      <c r="KR3" s="40"/>
      <c r="KS3" s="40"/>
      <c r="KT3" s="40"/>
      <c r="KU3" s="40"/>
      <c r="KV3" s="40"/>
      <c r="KW3" s="40"/>
      <c r="KX3" s="40"/>
      <c r="KY3" s="40"/>
      <c r="KZ3" s="40"/>
      <c r="LA3" s="40"/>
      <c r="LB3" s="40"/>
      <c r="LC3" s="40"/>
      <c r="LD3" s="40"/>
      <c r="LE3" s="40"/>
      <c r="LF3" s="40"/>
      <c r="LG3" s="40"/>
      <c r="LH3" s="40"/>
      <c r="LI3" s="40"/>
      <c r="LJ3" s="40"/>
      <c r="LK3" s="40"/>
      <c r="LL3" s="40"/>
      <c r="LM3" s="40"/>
      <c r="LN3" s="40"/>
      <c r="LO3" s="40"/>
      <c r="LP3" s="40"/>
      <c r="LQ3" s="40"/>
      <c r="LR3" s="40"/>
      <c r="LS3" s="40"/>
      <c r="LT3" s="40"/>
      <c r="LU3" s="40"/>
      <c r="LV3" s="40"/>
      <c r="LW3" s="40"/>
      <c r="LX3" s="40"/>
      <c r="LY3" s="40"/>
      <c r="LZ3" s="40"/>
      <c r="MA3" s="40"/>
      <c r="MB3" s="40"/>
      <c r="MC3" s="40"/>
      <c r="MD3" s="40"/>
      <c r="ME3" s="40"/>
      <c r="MF3" s="40"/>
      <c r="MG3" s="40"/>
      <c r="MH3" s="40"/>
      <c r="MI3" s="40"/>
      <c r="MJ3" s="40"/>
      <c r="MK3" s="40"/>
      <c r="ML3" s="40"/>
      <c r="MM3" s="40"/>
      <c r="MN3" s="40"/>
      <c r="MO3" s="40"/>
      <c r="MP3" s="40"/>
      <c r="MQ3" s="40"/>
      <c r="MR3" s="40"/>
      <c r="MS3" s="40"/>
      <c r="MT3" s="40"/>
      <c r="MU3" s="40"/>
      <c r="MV3" s="40"/>
      <c r="MW3" s="40"/>
      <c r="MX3" s="40"/>
      <c r="MY3" s="40"/>
      <c r="MZ3" s="40"/>
      <c r="NA3" s="40"/>
      <c r="NB3" s="40"/>
      <c r="NC3" s="40"/>
      <c r="ND3" s="40"/>
      <c r="NE3" s="40"/>
      <c r="NF3" s="40"/>
      <c r="NG3" s="40"/>
      <c r="NH3" s="40"/>
      <c r="NI3" s="40"/>
      <c r="NJ3" s="40"/>
      <c r="NK3" s="40"/>
      <c r="NL3" s="40"/>
      <c r="NM3" s="40"/>
      <c r="NN3" s="40"/>
      <c r="NO3" s="40"/>
      <c r="NP3" s="40"/>
      <c r="NQ3" s="40"/>
      <c r="NR3" s="40"/>
      <c r="NS3" s="40"/>
      <c r="NT3" s="40"/>
      <c r="NU3" s="40"/>
      <c r="NV3" s="40"/>
      <c r="NW3" s="40"/>
      <c r="NX3" s="40"/>
      <c r="NY3" s="40"/>
      <c r="NZ3" s="40"/>
      <c r="OA3" s="40"/>
      <c r="OB3" s="40"/>
      <c r="OC3" s="40"/>
      <c r="OD3" s="40"/>
      <c r="OE3" s="40"/>
      <c r="OF3" s="40"/>
      <c r="OG3" s="40"/>
      <c r="OH3" s="40"/>
      <c r="OI3" s="40"/>
      <c r="OJ3" s="40"/>
      <c r="OK3" s="40"/>
      <c r="OL3" s="40"/>
      <c r="OM3" s="40"/>
      <c r="ON3" s="40"/>
      <c r="OO3" s="40"/>
      <c r="OP3" s="40"/>
      <c r="OQ3" s="40"/>
      <c r="OR3" s="40"/>
      <c r="OS3" s="40"/>
      <c r="OT3" s="40"/>
      <c r="OU3" s="40"/>
      <c r="OV3" s="40"/>
      <c r="OW3" s="40"/>
      <c r="OX3" s="40"/>
      <c r="OY3" s="40"/>
      <c r="OZ3" s="40"/>
      <c r="PA3" s="40"/>
      <c r="PB3" s="40"/>
      <c r="PC3" s="40"/>
      <c r="PD3" s="40"/>
      <c r="PE3" s="40"/>
      <c r="PF3" s="40"/>
      <c r="PG3" s="40"/>
      <c r="PH3" s="40"/>
      <c r="PI3" s="40"/>
      <c r="PJ3" s="40"/>
      <c r="PK3" s="40"/>
      <c r="PL3" s="40"/>
      <c r="PM3" s="40"/>
      <c r="PN3" s="40"/>
      <c r="PO3" s="40"/>
      <c r="PP3" s="40"/>
      <c r="PQ3" s="40"/>
      <c r="PR3" s="40"/>
      <c r="PS3" s="40"/>
      <c r="PT3" s="40"/>
      <c r="PU3" s="40"/>
      <c r="PV3" s="40"/>
      <c r="PW3" s="40"/>
      <c r="PX3" s="40"/>
      <c r="PY3" s="40"/>
      <c r="PZ3" s="40"/>
      <c r="QA3" s="40"/>
      <c r="QB3" s="40"/>
      <c r="QC3" s="40"/>
      <c r="QD3" s="40"/>
      <c r="QE3" s="40"/>
      <c r="QF3" s="40"/>
      <c r="QG3" s="40"/>
      <c r="QH3" s="40"/>
      <c r="QI3" s="40"/>
      <c r="QJ3" s="40"/>
      <c r="QK3" s="40"/>
      <c r="QL3" s="40"/>
      <c r="QM3" s="40"/>
      <c r="QN3" s="40"/>
      <c r="QO3" s="40"/>
      <c r="QP3" s="40"/>
      <c r="QQ3" s="40"/>
      <c r="QR3" s="40"/>
      <c r="QS3" s="40"/>
      <c r="QT3" s="40"/>
      <c r="QU3" s="40"/>
      <c r="QV3" s="40"/>
      <c r="QW3" s="40"/>
      <c r="QX3" s="40"/>
      <c r="QY3" s="40"/>
      <c r="QZ3" s="40"/>
      <c r="RA3" s="40"/>
      <c r="RB3" s="40"/>
      <c r="RC3" s="40"/>
      <c r="RD3" s="40"/>
      <c r="RE3" s="40"/>
      <c r="RF3" s="40"/>
      <c r="RG3" s="40"/>
      <c r="RH3" s="40"/>
      <c r="RI3" s="40"/>
      <c r="RJ3" s="40"/>
      <c r="RK3" s="40"/>
      <c r="RL3" s="40"/>
      <c r="RM3" s="40"/>
      <c r="RN3" s="40"/>
      <c r="RO3" s="40"/>
      <c r="RP3" s="40"/>
      <c r="RQ3" s="40"/>
      <c r="RR3" s="40"/>
      <c r="RS3" s="40"/>
      <c r="RT3" s="40"/>
      <c r="RU3" s="40"/>
      <c r="RV3" s="40"/>
      <c r="RW3" s="40"/>
      <c r="RX3" s="40"/>
      <c r="RY3" s="40"/>
      <c r="RZ3" s="40"/>
      <c r="SA3" s="40"/>
      <c r="SB3" s="40"/>
      <c r="SC3" s="40"/>
      <c r="SD3" s="40"/>
      <c r="SE3" s="40"/>
      <c r="SF3" s="40"/>
      <c r="SG3" s="40"/>
      <c r="SH3" s="40"/>
      <c r="SI3" s="40"/>
      <c r="SJ3" s="40"/>
      <c r="SK3" s="40"/>
      <c r="SL3" s="40"/>
      <c r="SM3" s="40"/>
      <c r="SN3" s="40"/>
      <c r="SO3" s="40"/>
      <c r="SP3" s="40"/>
      <c r="SQ3" s="40"/>
      <c r="SR3" s="40"/>
      <c r="SS3" s="40"/>
      <c r="ST3" s="40"/>
      <c r="SU3" s="40"/>
      <c r="SV3" s="40"/>
      <c r="SW3" s="40"/>
      <c r="SX3" s="40"/>
      <c r="SY3" s="40"/>
      <c r="SZ3" s="40"/>
      <c r="TA3" s="40"/>
      <c r="TB3" s="40"/>
      <c r="TC3" s="40"/>
      <c r="TD3" s="40"/>
      <c r="TE3" s="40"/>
      <c r="TF3" s="40"/>
      <c r="TG3" s="40"/>
      <c r="TH3" s="40"/>
      <c r="TI3" s="40"/>
      <c r="TJ3" s="40"/>
      <c r="TK3" s="40"/>
      <c r="TL3" s="40"/>
      <c r="TM3" s="40"/>
      <c r="TN3" s="40"/>
      <c r="TO3" s="40"/>
      <c r="TP3" s="40"/>
      <c r="TQ3" s="40"/>
      <c r="TR3" s="40"/>
      <c r="TS3" s="40"/>
      <c r="TT3" s="40"/>
      <c r="TU3" s="40"/>
      <c r="TV3" s="40"/>
      <c r="TW3" s="40"/>
      <c r="TX3" s="40"/>
      <c r="TY3" s="40"/>
      <c r="TZ3" s="40"/>
      <c r="UA3" s="40"/>
      <c r="UB3" s="40"/>
      <c r="UC3" s="40"/>
      <c r="UD3" s="40"/>
      <c r="UE3" s="40"/>
      <c r="UF3" s="40"/>
      <c r="UG3" s="40"/>
      <c r="UH3" s="40"/>
      <c r="UI3" s="40"/>
      <c r="UJ3" s="40"/>
      <c r="UK3" s="40"/>
      <c r="UL3" s="40"/>
      <c r="UM3" s="40"/>
      <c r="UN3" s="40"/>
      <c r="UO3" s="40"/>
      <c r="UP3" s="40"/>
      <c r="UQ3" s="40"/>
      <c r="UR3" s="40"/>
      <c r="US3" s="40"/>
      <c r="UT3" s="40"/>
      <c r="UU3" s="40"/>
      <c r="UV3" s="40"/>
      <c r="UW3" s="40"/>
      <c r="UX3" s="40"/>
      <c r="UY3" s="40"/>
      <c r="UZ3" s="40"/>
      <c r="VA3" s="40"/>
      <c r="VB3" s="40"/>
      <c r="VC3" s="40"/>
      <c r="VD3" s="40"/>
      <c r="VE3" s="40"/>
      <c r="VF3" s="40"/>
      <c r="VG3" s="40"/>
      <c r="VH3" s="40"/>
      <c r="VI3" s="40"/>
      <c r="VJ3" s="40"/>
      <c r="VK3" s="40"/>
      <c r="VL3" s="40"/>
      <c r="VM3" s="40"/>
      <c r="VN3" s="40"/>
      <c r="VO3" s="40"/>
      <c r="VP3" s="40"/>
      <c r="VQ3" s="40"/>
      <c r="VR3" s="40"/>
      <c r="VS3" s="40"/>
      <c r="VT3" s="40"/>
      <c r="VU3" s="40"/>
      <c r="VV3" s="40"/>
      <c r="VW3" s="40"/>
      <c r="VX3" s="40"/>
      <c r="VY3" s="40"/>
      <c r="VZ3" s="40"/>
      <c r="WA3" s="40"/>
      <c r="WB3" s="40"/>
      <c r="WC3" s="40"/>
      <c r="WD3" s="40"/>
      <c r="WE3" s="40"/>
      <c r="WF3" s="40"/>
      <c r="WG3" s="40"/>
      <c r="WH3" s="40"/>
      <c r="WI3" s="40"/>
      <c r="WJ3" s="40"/>
      <c r="WK3" s="40"/>
      <c r="WL3" s="40"/>
      <c r="WM3" s="40"/>
      <c r="WN3" s="40"/>
      <c r="WO3" s="40"/>
      <c r="WP3" s="40"/>
      <c r="WQ3" s="40"/>
      <c r="WR3" s="40"/>
      <c r="WS3" s="40"/>
      <c r="WT3" s="40"/>
      <c r="WU3" s="40"/>
      <c r="WV3" s="40"/>
      <c r="WW3" s="40"/>
      <c r="WX3" s="40"/>
      <c r="WY3" s="40"/>
      <c r="WZ3" s="40"/>
      <c r="XA3" s="40"/>
      <c r="XB3" s="40"/>
      <c r="XC3" s="40"/>
      <c r="XD3" s="40"/>
      <c r="XE3" s="40"/>
      <c r="XF3" s="40"/>
      <c r="XG3" s="40"/>
      <c r="XH3" s="40"/>
      <c r="XI3" s="40"/>
      <c r="XJ3" s="40"/>
      <c r="XK3" s="40"/>
      <c r="XL3" s="40"/>
      <c r="XM3" s="40"/>
      <c r="XN3" s="40"/>
      <c r="XO3" s="40"/>
      <c r="XP3" s="40"/>
      <c r="XQ3" s="40"/>
      <c r="XR3" s="40"/>
      <c r="XS3" s="40"/>
      <c r="XT3" s="40"/>
      <c r="XU3" s="40"/>
      <c r="XV3" s="40"/>
      <c r="XW3" s="40"/>
      <c r="XX3" s="40"/>
      <c r="XY3" s="40"/>
      <c r="XZ3" s="40"/>
      <c r="YA3" s="40"/>
      <c r="YB3" s="40"/>
      <c r="YC3" s="40"/>
      <c r="YD3" s="40"/>
      <c r="YE3" s="40"/>
      <c r="YF3" s="40"/>
      <c r="YG3" s="40"/>
      <c r="YH3" s="40"/>
      <c r="YI3" s="40"/>
      <c r="YJ3" s="40"/>
      <c r="YK3" s="40"/>
      <c r="YL3" s="40"/>
      <c r="YM3" s="40"/>
      <c r="YN3" s="40"/>
      <c r="YO3" s="40"/>
      <c r="YP3" s="40"/>
      <c r="YQ3" s="40"/>
      <c r="YR3" s="40"/>
      <c r="YS3" s="40"/>
      <c r="YT3" s="40"/>
      <c r="YU3" s="40"/>
      <c r="YV3" s="40"/>
      <c r="YW3" s="40"/>
      <c r="YX3" s="40"/>
      <c r="YY3" s="40"/>
      <c r="YZ3" s="40"/>
      <c r="ZA3" s="40"/>
      <c r="ZB3" s="40"/>
      <c r="ZC3" s="40"/>
      <c r="ZD3" s="40"/>
      <c r="ZE3" s="40"/>
      <c r="ZF3" s="40"/>
      <c r="ZG3" s="40"/>
      <c r="ZH3" s="40"/>
      <c r="ZI3" s="40"/>
      <c r="ZJ3" s="40"/>
      <c r="ZK3" s="40"/>
      <c r="ZL3" s="40"/>
      <c r="ZM3" s="40"/>
      <c r="ZN3" s="40"/>
      <c r="ZO3" s="40"/>
      <c r="ZP3" s="40"/>
      <c r="ZQ3" s="40"/>
      <c r="ZR3" s="40"/>
      <c r="ZS3" s="40"/>
      <c r="ZT3" s="40"/>
      <c r="ZU3" s="40"/>
      <c r="ZV3" s="40"/>
      <c r="ZW3" s="40"/>
      <c r="ZX3" s="40"/>
      <c r="ZY3" s="40"/>
      <c r="ZZ3" s="40"/>
      <c r="AAA3" s="40"/>
      <c r="AAB3" s="40"/>
      <c r="AAC3" s="40"/>
      <c r="AAD3" s="40"/>
      <c r="AAE3" s="40"/>
      <c r="AAF3" s="40"/>
      <c r="AAG3" s="40"/>
      <c r="AAH3" s="40"/>
      <c r="AAI3" s="40"/>
      <c r="AAJ3" s="40"/>
      <c r="AAK3" s="40"/>
      <c r="AAL3" s="40"/>
      <c r="AAM3" s="40"/>
      <c r="AAN3" s="40"/>
      <c r="AAO3" s="40"/>
      <c r="AAP3" s="40"/>
      <c r="AAQ3" s="40"/>
      <c r="AAR3" s="40"/>
      <c r="AAS3" s="40"/>
      <c r="AAT3" s="40"/>
      <c r="AAU3" s="40"/>
      <c r="AAV3" s="40"/>
      <c r="AAW3" s="40"/>
      <c r="AAX3" s="40"/>
      <c r="AAY3" s="40"/>
      <c r="AAZ3" s="40"/>
      <c r="ABA3" s="40"/>
      <c r="ABB3" s="40"/>
      <c r="ABC3" s="40"/>
      <c r="ABD3" s="40"/>
      <c r="ABE3" s="40"/>
      <c r="ABF3" s="40"/>
      <c r="ABG3" s="40"/>
      <c r="ABH3" s="40"/>
      <c r="ABI3" s="40"/>
      <c r="ABJ3" s="40"/>
      <c r="ABK3" s="40"/>
      <c r="ABL3" s="40"/>
      <c r="ABM3" s="40"/>
      <c r="ABN3" s="40"/>
      <c r="ABO3" s="40"/>
      <c r="ABP3" s="40"/>
      <c r="ABQ3" s="40"/>
      <c r="ABR3" s="40"/>
      <c r="ABS3" s="40"/>
      <c r="ABT3" s="40"/>
      <c r="ABU3" s="40"/>
      <c r="ABV3" s="40"/>
      <c r="ABW3" s="40"/>
      <c r="ABX3" s="40"/>
      <c r="ABY3" s="40"/>
      <c r="ABZ3" s="40"/>
      <c r="ACA3" s="40"/>
      <c r="ACB3" s="40"/>
      <c r="ACC3" s="40"/>
      <c r="ACD3" s="40"/>
      <c r="ACE3" s="40"/>
      <c r="ACF3" s="40"/>
      <c r="ACG3" s="40"/>
      <c r="ACH3" s="40"/>
      <c r="ACI3" s="40"/>
      <c r="ACJ3" s="40"/>
      <c r="ACK3" s="40"/>
      <c r="ACL3" s="40"/>
      <c r="ACM3" s="40"/>
      <c r="ACN3" s="40"/>
      <c r="ACO3" s="40"/>
      <c r="ACP3" s="40"/>
      <c r="ACQ3" s="40"/>
      <c r="ACR3" s="40"/>
      <c r="ACS3" s="40"/>
      <c r="ACT3" s="40"/>
      <c r="ACU3" s="40"/>
      <c r="ACV3" s="40"/>
      <c r="ACW3" s="40"/>
      <c r="ACX3" s="40"/>
      <c r="ACY3" s="40"/>
      <c r="ACZ3" s="40"/>
      <c r="ADA3" s="40"/>
      <c r="ADB3" s="40"/>
      <c r="ADC3" s="40"/>
      <c r="ADD3" s="40"/>
      <c r="ADE3" s="40"/>
      <c r="ADF3" s="40"/>
      <c r="ADG3" s="40"/>
      <c r="ADH3" s="40"/>
      <c r="ADI3" s="40"/>
      <c r="ADJ3" s="40"/>
      <c r="ADK3" s="40"/>
      <c r="ADL3" s="40"/>
      <c r="ADM3" s="40"/>
      <c r="ADN3" s="40"/>
      <c r="ADO3" s="40"/>
      <c r="ADP3" s="40"/>
      <c r="ADQ3" s="40"/>
      <c r="ADR3" s="40"/>
      <c r="ADS3" s="40"/>
      <c r="ADT3" s="40"/>
      <c r="ADU3" s="40"/>
      <c r="ADV3" s="40"/>
      <c r="ADW3" s="40"/>
      <c r="ADX3" s="40"/>
      <c r="ADY3" s="40"/>
      <c r="ADZ3" s="40"/>
      <c r="AEA3" s="40"/>
      <c r="AEB3" s="40"/>
      <c r="AEC3" s="40"/>
      <c r="AED3" s="40"/>
      <c r="AEE3" s="40"/>
      <c r="AEF3" s="40"/>
      <c r="AEG3" s="40"/>
      <c r="AEH3" s="40"/>
      <c r="AEI3" s="40"/>
      <c r="AEJ3" s="40"/>
      <c r="AEK3" s="40"/>
      <c r="AEL3" s="40"/>
      <c r="AEM3" s="40"/>
      <c r="AEN3" s="40"/>
      <c r="AEO3" s="40"/>
      <c r="AEP3" s="40"/>
      <c r="AEQ3" s="40"/>
      <c r="AER3" s="40"/>
      <c r="AES3" s="40"/>
      <c r="AET3" s="40"/>
      <c r="AEU3" s="40"/>
      <c r="AEV3" s="40"/>
      <c r="AEW3" s="40"/>
      <c r="AEX3" s="40"/>
      <c r="AEY3" s="40"/>
      <c r="AEZ3" s="40"/>
      <c r="AFA3" s="40"/>
      <c r="AFB3" s="40"/>
      <c r="AFC3" s="40"/>
      <c r="AFD3" s="40"/>
      <c r="AFE3" s="40"/>
      <c r="AFF3" s="40"/>
      <c r="AFG3" s="40"/>
      <c r="AFH3" s="40"/>
      <c r="AFI3" s="40"/>
      <c r="AFJ3" s="40"/>
      <c r="AFK3" s="40"/>
      <c r="AFL3" s="40"/>
      <c r="AFM3" s="40"/>
      <c r="AFN3" s="40"/>
      <c r="AFO3" s="40"/>
      <c r="AFP3" s="40"/>
      <c r="AFQ3" s="40"/>
      <c r="AFR3" s="40"/>
      <c r="AFS3" s="40"/>
      <c r="AFT3" s="40"/>
      <c r="AFU3" s="40"/>
      <c r="AFV3" s="40"/>
      <c r="AFW3" s="40"/>
      <c r="AFX3" s="40"/>
      <c r="AFY3" s="40"/>
      <c r="AFZ3" s="40"/>
      <c r="AGA3" s="40"/>
      <c r="AGB3" s="40"/>
      <c r="AGC3" s="40"/>
      <c r="AGD3" s="40"/>
      <c r="AGE3" s="40"/>
      <c r="AGF3" s="40"/>
      <c r="AGG3" s="40"/>
      <c r="AGH3" s="40"/>
      <c r="AGI3" s="40"/>
      <c r="AGJ3" s="40"/>
      <c r="AGK3" s="40"/>
      <c r="AGL3" s="40"/>
      <c r="AGM3" s="40"/>
      <c r="AGN3" s="40"/>
      <c r="AGO3" s="40"/>
      <c r="AGP3" s="40"/>
      <c r="AGQ3" s="40"/>
      <c r="AGR3" s="40"/>
      <c r="AGS3" s="40"/>
      <c r="AGT3" s="40"/>
      <c r="AGU3" s="40"/>
      <c r="AGV3" s="40"/>
      <c r="AGW3" s="40"/>
      <c r="AGX3" s="40"/>
      <c r="AGY3" s="40"/>
      <c r="AGZ3" s="40"/>
      <c r="AHA3" s="40"/>
      <c r="AHB3" s="40"/>
      <c r="AHC3" s="40"/>
      <c r="AHD3" s="40"/>
      <c r="AHE3" s="40"/>
      <c r="AHF3" s="40"/>
      <c r="AHG3" s="40"/>
      <c r="AHH3" s="40"/>
      <c r="AHI3" s="40"/>
      <c r="AHJ3" s="40"/>
      <c r="AHK3" s="40"/>
      <c r="AHL3" s="40"/>
      <c r="AHM3" s="40"/>
      <c r="AHN3" s="40"/>
      <c r="AHO3" s="40"/>
      <c r="AHP3" s="40"/>
      <c r="AHQ3" s="40"/>
      <c r="AHR3" s="40"/>
      <c r="AHS3" s="40"/>
      <c r="AHT3" s="40"/>
      <c r="AHU3" s="40"/>
      <c r="AHV3" s="40"/>
      <c r="AHW3" s="40"/>
      <c r="AHX3" s="40"/>
      <c r="AHY3" s="40"/>
      <c r="AHZ3" s="40"/>
      <c r="AIA3" s="40"/>
      <c r="AIB3" s="40"/>
      <c r="AIC3" s="40"/>
      <c r="AID3" s="40"/>
      <c r="AIE3" s="40"/>
      <c r="AIF3" s="40"/>
      <c r="AIG3" s="40"/>
      <c r="AIH3" s="40"/>
      <c r="AII3" s="40"/>
      <c r="AIJ3" s="40"/>
      <c r="AIK3" s="40"/>
      <c r="AIL3" s="40"/>
      <c r="AIM3" s="40"/>
      <c r="AIN3" s="40"/>
      <c r="AIO3" s="40"/>
      <c r="AIP3" s="40"/>
      <c r="AIQ3" s="40"/>
      <c r="AIR3" s="40"/>
      <c r="AIS3" s="40"/>
      <c r="AIT3" s="40"/>
      <c r="AIU3" s="40"/>
      <c r="AIV3" s="40"/>
      <c r="AIW3" s="40"/>
      <c r="AIX3" s="40"/>
      <c r="AIY3" s="40"/>
      <c r="AIZ3" s="40"/>
      <c r="AJA3" s="40"/>
      <c r="AJB3" s="40"/>
      <c r="AJC3" s="40"/>
      <c r="AJD3" s="40"/>
      <c r="AJE3" s="40"/>
      <c r="AJF3" s="40"/>
      <c r="AJG3" s="40"/>
      <c r="AJH3" s="40"/>
      <c r="AJI3" s="40"/>
      <c r="AJJ3" s="40"/>
      <c r="AJK3" s="40"/>
      <c r="AJL3" s="40"/>
      <c r="AJM3" s="40"/>
      <c r="AJN3" s="40"/>
      <c r="AJO3" s="40"/>
      <c r="AJP3" s="40"/>
      <c r="AJQ3" s="40"/>
      <c r="AJR3" s="40"/>
      <c r="AJS3" s="40"/>
      <c r="AJT3" s="40"/>
      <c r="AJU3" s="40"/>
      <c r="AJV3" s="40"/>
      <c r="AJW3" s="40"/>
      <c r="AJX3" s="40"/>
      <c r="AJY3" s="40"/>
      <c r="AJZ3" s="40"/>
      <c r="AKA3" s="40"/>
      <c r="AKB3" s="40"/>
      <c r="AKC3" s="40"/>
      <c r="AKD3" s="40"/>
      <c r="AKE3" s="40"/>
      <c r="AKF3" s="40"/>
      <c r="AKG3" s="40"/>
      <c r="AKH3" s="40"/>
      <c r="AKI3" s="40"/>
      <c r="AKJ3" s="40"/>
      <c r="AKK3" s="40"/>
      <c r="AKL3" s="40"/>
      <c r="AKM3" s="40"/>
      <c r="AKN3" s="40"/>
      <c r="AKO3" s="40"/>
      <c r="AKP3" s="40"/>
      <c r="AKQ3" s="40"/>
      <c r="AKR3" s="40"/>
      <c r="AKS3" s="40"/>
      <c r="AKT3" s="40"/>
      <c r="AKU3" s="40"/>
      <c r="XEJ3" s="39" t="s">
        <v>1943</v>
      </c>
    </row>
    <row r="4" spans="1:983 16364:16364" s="144" customFormat="1">
      <c r="C4" s="144">
        <v>1</v>
      </c>
      <c r="D4" s="144">
        <v>3</v>
      </c>
      <c r="E4" s="145"/>
      <c r="F4" s="144">
        <v>4</v>
      </c>
    </row>
    <row r="5" spans="1:983 16364:16364">
      <c r="A5" s="56" t="s">
        <v>930</v>
      </c>
      <c r="B5" s="56" t="s">
        <v>934</v>
      </c>
      <c r="C5" s="56"/>
      <c r="D5" s="57" t="s">
        <v>29</v>
      </c>
      <c r="E5" s="57" t="s">
        <v>933</v>
      </c>
    </row>
    <row r="6" spans="1:983 16364:16364" ht="30" customHeight="1">
      <c r="A6" s="58">
        <f>COUNTIF($A$5:$A5,$A$5)</f>
        <v>1</v>
      </c>
      <c r="B6" s="414" t="s">
        <v>14694</v>
      </c>
      <c r="C6" s="414"/>
      <c r="D6" s="59" t="s">
        <v>33</v>
      </c>
      <c r="E6" s="146">
        <f>LARGE(E11:E12,1)</f>
        <v>81625.33</v>
      </c>
    </row>
    <row r="7" spans="1:983 16364:16364">
      <c r="A7" s="187" t="s">
        <v>7236</v>
      </c>
      <c r="B7" s="187" t="s">
        <v>7237</v>
      </c>
      <c r="C7" s="187" t="s">
        <v>7238</v>
      </c>
      <c r="D7" s="187" t="s">
        <v>5</v>
      </c>
      <c r="E7" s="188" t="s">
        <v>933</v>
      </c>
    </row>
    <row r="8" spans="1:983 16364:16364">
      <c r="A8" s="189" t="s">
        <v>14688</v>
      </c>
      <c r="B8" s="189" t="s">
        <v>14689</v>
      </c>
      <c r="C8" s="189" t="s">
        <v>14690</v>
      </c>
      <c r="D8" s="190" t="s">
        <v>33</v>
      </c>
      <c r="E8" s="191">
        <v>75376</v>
      </c>
    </row>
    <row r="9" spans="1:983 16364:16364">
      <c r="A9" s="189" t="s">
        <v>14691</v>
      </c>
      <c r="B9" s="189" t="s">
        <v>14692</v>
      </c>
      <c r="C9" s="189" t="s">
        <v>14693</v>
      </c>
      <c r="D9" s="190" t="s">
        <v>33</v>
      </c>
      <c r="E9" s="191">
        <v>98000</v>
      </c>
    </row>
    <row r="10" spans="1:983 16364:16364" s="218" customFormat="1">
      <c r="A10" s="189" t="s">
        <v>19126</v>
      </c>
      <c r="B10" s="189" t="s">
        <v>19127</v>
      </c>
      <c r="C10" s="189" t="s">
        <v>19128</v>
      </c>
      <c r="D10" s="190" t="s">
        <v>33</v>
      </c>
      <c r="E10" s="191">
        <v>71500</v>
      </c>
    </row>
    <row r="11" spans="1:983 16364:16364">
      <c r="D11" s="148" t="s">
        <v>7239</v>
      </c>
      <c r="E11" s="149">
        <f>ROUND(AVERAGE(E8:E10),2)</f>
        <v>81625.33</v>
      </c>
    </row>
    <row r="12" spans="1:983 16364:16364">
      <c r="D12" s="148" t="s">
        <v>7240</v>
      </c>
      <c r="E12" s="149">
        <f>ROUND(MEDIAN(E8:E10),2)</f>
        <v>75376</v>
      </c>
    </row>
    <row r="14" spans="1:983 16364:16364">
      <c r="A14" s="56" t="s">
        <v>930</v>
      </c>
      <c r="B14" s="56" t="s">
        <v>934</v>
      </c>
      <c r="C14" s="56"/>
      <c r="D14" s="57" t="s">
        <v>29</v>
      </c>
      <c r="E14" s="57" t="s">
        <v>933</v>
      </c>
    </row>
    <row r="15" spans="1:983 16364:16364" ht="30" customHeight="1">
      <c r="A15" s="58">
        <f>COUNTIF($A$5:$A14,$A$5)</f>
        <v>2</v>
      </c>
      <c r="B15" s="414" t="s">
        <v>14905</v>
      </c>
      <c r="C15" s="414"/>
      <c r="D15" s="59" t="s">
        <v>33</v>
      </c>
      <c r="E15" s="146">
        <f>LARGE(E20:E21,1)</f>
        <v>3939.33</v>
      </c>
    </row>
    <row r="16" spans="1:983 16364:16364">
      <c r="A16" s="187" t="s">
        <v>7236</v>
      </c>
      <c r="B16" s="187" t="s">
        <v>7237</v>
      </c>
      <c r="C16" s="187" t="s">
        <v>7238</v>
      </c>
      <c r="D16" s="187" t="s">
        <v>5</v>
      </c>
      <c r="E16" s="188" t="s">
        <v>933</v>
      </c>
    </row>
    <row r="17" spans="1:5">
      <c r="A17" s="189" t="s">
        <v>14688</v>
      </c>
      <c r="B17" s="189" t="s">
        <v>14689</v>
      </c>
      <c r="C17" s="189" t="s">
        <v>14690</v>
      </c>
      <c r="D17" s="190" t="s">
        <v>29</v>
      </c>
      <c r="E17" s="191">
        <v>3370</v>
      </c>
    </row>
    <row r="18" spans="1:5">
      <c r="A18" s="189" t="s">
        <v>14906</v>
      </c>
      <c r="B18" s="189" t="s">
        <v>14907</v>
      </c>
      <c r="C18" s="189" t="s">
        <v>14908</v>
      </c>
      <c r="D18" s="190" t="s">
        <v>29</v>
      </c>
      <c r="E18" s="191">
        <v>3872</v>
      </c>
    </row>
    <row r="19" spans="1:5">
      <c r="A19" s="189" t="s">
        <v>14909</v>
      </c>
      <c r="B19" s="189" t="s">
        <v>14910</v>
      </c>
      <c r="C19" s="189" t="s">
        <v>14911</v>
      </c>
      <c r="D19" s="190" t="s">
        <v>29</v>
      </c>
      <c r="E19" s="191">
        <v>4576</v>
      </c>
    </row>
    <row r="20" spans="1:5">
      <c r="D20" s="148" t="s">
        <v>7239</v>
      </c>
      <c r="E20" s="149">
        <f>ROUND(AVERAGE(E17:E19),2)</f>
        <v>3939.33</v>
      </c>
    </row>
    <row r="21" spans="1:5">
      <c r="D21" s="148" t="s">
        <v>7240</v>
      </c>
      <c r="E21" s="149">
        <f>ROUND(MEDIAN(E17:E19),2)</f>
        <v>3872</v>
      </c>
    </row>
    <row r="23" spans="1:5">
      <c r="A23" s="56" t="s">
        <v>930</v>
      </c>
      <c r="B23" s="56" t="s">
        <v>934</v>
      </c>
      <c r="C23" s="56"/>
      <c r="D23" s="57" t="s">
        <v>29</v>
      </c>
      <c r="E23" s="57" t="s">
        <v>933</v>
      </c>
    </row>
    <row r="24" spans="1:5" ht="30" customHeight="1">
      <c r="A24" s="58">
        <f>COUNTIF($A$5:$A23,$A$5)</f>
        <v>3</v>
      </c>
      <c r="B24" s="414" t="s">
        <v>13889</v>
      </c>
      <c r="C24" s="414"/>
      <c r="D24" s="59" t="s">
        <v>33</v>
      </c>
      <c r="E24" s="146">
        <f>LARGE(E29:E30,1)</f>
        <v>15.12</v>
      </c>
    </row>
    <row r="25" spans="1:5">
      <c r="A25" s="187" t="s">
        <v>7236</v>
      </c>
      <c r="B25" s="187" t="s">
        <v>7237</v>
      </c>
      <c r="C25" s="187" t="s">
        <v>7238</v>
      </c>
      <c r="D25" s="187" t="s">
        <v>5</v>
      </c>
      <c r="E25" s="188" t="s">
        <v>933</v>
      </c>
    </row>
    <row r="26" spans="1:5">
      <c r="A26" s="189" t="s">
        <v>19116</v>
      </c>
      <c r="B26" s="189" t="s">
        <v>19114</v>
      </c>
      <c r="C26" s="189" t="s">
        <v>19115</v>
      </c>
      <c r="D26" s="190" t="s">
        <v>29</v>
      </c>
      <c r="E26" s="191">
        <v>19.95</v>
      </c>
    </row>
    <row r="27" spans="1:5">
      <c r="A27" s="189" t="s">
        <v>19118</v>
      </c>
      <c r="B27" s="189" t="s">
        <v>19117</v>
      </c>
      <c r="C27" s="189" t="s">
        <v>19115</v>
      </c>
      <c r="D27" s="190" t="s">
        <v>29</v>
      </c>
      <c r="E27" s="191">
        <v>11.5</v>
      </c>
    </row>
    <row r="28" spans="1:5">
      <c r="A28" s="189" t="s">
        <v>19119</v>
      </c>
      <c r="B28" s="189" t="s">
        <v>19120</v>
      </c>
      <c r="C28" s="189" t="s">
        <v>19115</v>
      </c>
      <c r="D28" s="190" t="s">
        <v>29</v>
      </c>
      <c r="E28" s="191">
        <v>13.9</v>
      </c>
    </row>
    <row r="29" spans="1:5">
      <c r="D29" s="148" t="s">
        <v>7239</v>
      </c>
      <c r="E29" s="149">
        <f>ROUND(AVERAGE(E26:E28),2)</f>
        <v>15.12</v>
      </c>
    </row>
    <row r="30" spans="1:5">
      <c r="D30" s="148" t="s">
        <v>7240</v>
      </c>
      <c r="E30" s="149">
        <f>ROUND(MEDIAN(E26:E28),2)</f>
        <v>13.9</v>
      </c>
    </row>
    <row r="33" spans="1:12" s="64" customFormat="1" ht="22.5" customHeight="1">
      <c r="A33" s="322" t="s">
        <v>16610</v>
      </c>
      <c r="B33" s="323" t="s">
        <v>19125</v>
      </c>
      <c r="C33" s="397"/>
      <c r="D33" s="397"/>
      <c r="E33" s="61"/>
      <c r="F33" s="61"/>
      <c r="G33" s="63"/>
      <c r="H33" s="63"/>
      <c r="I33" s="352"/>
      <c r="J33" s="352"/>
      <c r="K33" s="352"/>
      <c r="L33" s="352"/>
    </row>
    <row r="34" spans="1:12" s="64" customFormat="1">
      <c r="A34" s="316"/>
      <c r="B34" s="317"/>
      <c r="C34" s="61"/>
      <c r="D34" s="62"/>
      <c r="I34" s="350"/>
      <c r="J34" s="350"/>
      <c r="K34" s="350"/>
      <c r="L34" s="350"/>
    </row>
    <row r="35" spans="1:12" s="64" customFormat="1">
      <c r="A35" s="316"/>
      <c r="B35" s="325"/>
      <c r="C35" s="61"/>
      <c r="D35" s="62"/>
      <c r="I35" s="350"/>
      <c r="J35" s="350"/>
      <c r="K35" s="350"/>
      <c r="L35" s="350"/>
    </row>
    <row r="36" spans="1:12" s="64" customFormat="1" ht="13.5" thickBot="1">
      <c r="A36" s="60"/>
      <c r="B36" s="315"/>
      <c r="C36" s="324"/>
      <c r="D36" s="324"/>
      <c r="E36" s="324"/>
      <c r="F36" s="324"/>
      <c r="I36" s="186"/>
      <c r="J36" s="157"/>
    </row>
    <row r="37" spans="1:12" s="113" customFormat="1">
      <c r="A37" s="120"/>
      <c r="B37" s="318" t="s">
        <v>16611</v>
      </c>
      <c r="C37" s="314"/>
      <c r="D37" s="314"/>
      <c r="E37" s="314"/>
      <c r="F37" s="314"/>
      <c r="I37" s="209"/>
    </row>
    <row r="38" spans="1:12">
      <c r="B38" s="320" t="s">
        <v>16612</v>
      </c>
      <c r="C38" s="314"/>
      <c r="D38" s="314"/>
      <c r="E38" s="314"/>
      <c r="F38" s="314"/>
    </row>
    <row r="39" spans="1:12">
      <c r="B39" s="120"/>
      <c r="C39" s="156"/>
      <c r="D39" s="122"/>
      <c r="E39" s="122"/>
      <c r="F39" s="122"/>
    </row>
    <row r="40" spans="1:12">
      <c r="B40" s="147"/>
      <c r="E40" s="39"/>
    </row>
  </sheetData>
  <mergeCells count="10">
    <mergeCell ref="I35:L35"/>
    <mergeCell ref="C33:D33"/>
    <mergeCell ref="I33:L33"/>
    <mergeCell ref="I34:L34"/>
    <mergeCell ref="A1:E1"/>
    <mergeCell ref="B2:E2"/>
    <mergeCell ref="B3:E3"/>
    <mergeCell ref="B6:C6"/>
    <mergeCell ref="B15:C15"/>
    <mergeCell ref="B24:C24"/>
  </mergeCells>
  <dataValidations disablePrompts="1" count="1">
    <dataValidation type="list" errorStyle="warning" allowBlank="1" showInputMessage="1" showErrorMessage="1" error="Selecionar Referencial compatível" sqref="XEJ1:XFD3" xr:uid="{00000000-0002-0000-0D00-000000000000}">
      <formula1>DADOS</formula1>
    </dataValidation>
  </dataValidations>
  <printOptions horizontalCentered="1"/>
  <pageMargins left="0.78740157480314965" right="0.39370078740157483" top="1.3779527559055118" bottom="0.78740157480314965" header="0" footer="0"/>
  <pageSetup paperSize="9" scale="87" fitToWidth="0" fitToHeight="0" pageOrder="overThenDown" orientation="portrait" useFirstPageNumber="1" r:id="rId1"/>
  <headerFooter alignWithMargins="0">
    <oddHeader>&amp;C&amp;G</oddHeader>
    <oddFooter>&amp;R&amp;"Arial,Normal"&amp;8Página &amp;P de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51"/>
  <sheetViews>
    <sheetView view="pageBreakPreview" topLeftCell="A28" zoomScaleNormal="100" zoomScaleSheetLayoutView="100" workbookViewId="0">
      <selection activeCell="A40" sqref="A40:C40"/>
    </sheetView>
  </sheetViews>
  <sheetFormatPr defaultRowHeight="15" customHeight="1"/>
  <cols>
    <col min="1" max="1" width="10.625" style="222" customWidth="1"/>
    <col min="2" max="2" width="20.625" style="222" customWidth="1"/>
    <col min="3" max="3" width="70.625" style="218" customWidth="1"/>
    <col min="4" max="16384" width="9" style="218"/>
  </cols>
  <sheetData>
    <row r="1" spans="1:3" ht="20.100000000000001" customHeight="1">
      <c r="A1" s="416" t="s">
        <v>14208</v>
      </c>
      <c r="B1" s="416"/>
      <c r="C1" s="417"/>
    </row>
    <row r="2" spans="1:3" ht="15" customHeight="1">
      <c r="A2" s="217" t="s">
        <v>13888</v>
      </c>
      <c r="B2" s="217" t="s">
        <v>14745</v>
      </c>
      <c r="C2" s="298" t="s">
        <v>934</v>
      </c>
    </row>
    <row r="3" spans="1:3" ht="15" customHeight="1">
      <c r="A3" s="219" t="s">
        <v>14207</v>
      </c>
      <c r="B3" s="219" t="s">
        <v>14746</v>
      </c>
      <c r="C3" s="220" t="s">
        <v>14363</v>
      </c>
    </row>
    <row r="4" spans="1:3" ht="15" customHeight="1">
      <c r="A4" s="219" t="s">
        <v>14747</v>
      </c>
      <c r="B4" s="219" t="s">
        <v>14746</v>
      </c>
      <c r="C4" s="220" t="s">
        <v>14758</v>
      </c>
    </row>
    <row r="5" spans="1:3" ht="15" customHeight="1">
      <c r="A5" s="219" t="s">
        <v>14748</v>
      </c>
      <c r="B5" s="219" t="s">
        <v>14750</v>
      </c>
      <c r="C5" s="220" t="s">
        <v>16580</v>
      </c>
    </row>
    <row r="6" spans="1:3" ht="15" customHeight="1">
      <c r="A6" s="219" t="s">
        <v>14749</v>
      </c>
      <c r="B6" s="219" t="s">
        <v>14746</v>
      </c>
      <c r="C6" s="220" t="s">
        <v>16579</v>
      </c>
    </row>
    <row r="7" spans="1:3" ht="15" customHeight="1">
      <c r="A7" s="219" t="s">
        <v>14751</v>
      </c>
      <c r="B7" s="219" t="s">
        <v>14750</v>
      </c>
      <c r="C7" s="220" t="s">
        <v>16581</v>
      </c>
    </row>
    <row r="8" spans="1:3" ht="15" customHeight="1">
      <c r="A8" s="219" t="s">
        <v>14752</v>
      </c>
      <c r="B8" s="219" t="s">
        <v>14746</v>
      </c>
      <c r="C8" s="220" t="s">
        <v>16582</v>
      </c>
    </row>
    <row r="10" spans="1:3" ht="15" customHeight="1">
      <c r="A10" s="415" t="s">
        <v>16584</v>
      </c>
      <c r="B10" s="415"/>
      <c r="C10" s="415"/>
    </row>
    <row r="11" spans="1:3" ht="15" customHeight="1">
      <c r="A11" s="217" t="s">
        <v>13888</v>
      </c>
      <c r="B11" s="217" t="s">
        <v>13894</v>
      </c>
      <c r="C11" s="298" t="s">
        <v>934</v>
      </c>
    </row>
    <row r="12" spans="1:3" ht="15" customHeight="1">
      <c r="A12" s="219" t="s">
        <v>14207</v>
      </c>
      <c r="B12" s="219" t="s">
        <v>14750</v>
      </c>
      <c r="C12" s="220" t="s">
        <v>16585</v>
      </c>
    </row>
    <row r="13" spans="1:3" ht="15" customHeight="1">
      <c r="A13" s="219" t="s">
        <v>14747</v>
      </c>
      <c r="B13" s="219" t="s">
        <v>14750</v>
      </c>
      <c r="C13" s="220" t="s">
        <v>16586</v>
      </c>
    </row>
    <row r="14" spans="1:3" ht="15" customHeight="1">
      <c r="A14" s="219" t="s">
        <v>14748</v>
      </c>
      <c r="B14" s="219" t="s">
        <v>14750</v>
      </c>
      <c r="C14" s="220" t="s">
        <v>16587</v>
      </c>
    </row>
    <row r="15" spans="1:3" ht="15" customHeight="1">
      <c r="A15" s="219" t="s">
        <v>14749</v>
      </c>
      <c r="B15" s="219" t="s">
        <v>14750</v>
      </c>
      <c r="C15" s="220" t="s">
        <v>16588</v>
      </c>
    </row>
    <row r="16" spans="1:3" ht="15" customHeight="1">
      <c r="A16" s="219" t="s">
        <v>14751</v>
      </c>
      <c r="B16" s="219" t="s">
        <v>14750</v>
      </c>
      <c r="C16" s="220" t="s">
        <v>16589</v>
      </c>
    </row>
    <row r="17" spans="1:3" ht="15" customHeight="1">
      <c r="A17" s="219" t="s">
        <v>14752</v>
      </c>
      <c r="B17" s="219" t="s">
        <v>14750</v>
      </c>
      <c r="C17" s="220" t="s">
        <v>16590</v>
      </c>
    </row>
    <row r="19" spans="1:3" ht="15" customHeight="1">
      <c r="A19" s="415" t="s">
        <v>16584</v>
      </c>
      <c r="B19" s="415"/>
      <c r="C19" s="415"/>
    </row>
    <row r="20" spans="1:3" ht="15" customHeight="1">
      <c r="A20" s="217" t="s">
        <v>13888</v>
      </c>
      <c r="B20" s="217" t="s">
        <v>13894</v>
      </c>
      <c r="C20" s="298" t="s">
        <v>934</v>
      </c>
    </row>
    <row r="21" spans="1:3" ht="25.5">
      <c r="A21" s="219" t="s">
        <v>14207</v>
      </c>
      <c r="B21" s="219" t="s">
        <v>14750</v>
      </c>
      <c r="C21" s="221" t="s">
        <v>16591</v>
      </c>
    </row>
    <row r="22" spans="1:3" ht="15" customHeight="1">
      <c r="A22" s="219" t="s">
        <v>14747</v>
      </c>
      <c r="B22" s="219" t="s">
        <v>14750</v>
      </c>
      <c r="C22" s="220" t="s">
        <v>16593</v>
      </c>
    </row>
    <row r="23" spans="1:3" ht="25.5">
      <c r="A23" s="219" t="s">
        <v>14748</v>
      </c>
      <c r="B23" s="219" t="s">
        <v>14750</v>
      </c>
      <c r="C23" s="221" t="s">
        <v>16592</v>
      </c>
    </row>
    <row r="25" spans="1:3" ht="15" customHeight="1">
      <c r="A25" s="415" t="s">
        <v>16583</v>
      </c>
      <c r="B25" s="415"/>
      <c r="C25" s="415"/>
    </row>
    <row r="26" spans="1:3" ht="15" customHeight="1">
      <c r="A26" s="217" t="s">
        <v>13888</v>
      </c>
      <c r="B26" s="217" t="s">
        <v>13894</v>
      </c>
      <c r="C26" s="298" t="s">
        <v>934</v>
      </c>
    </row>
    <row r="27" spans="1:3" ht="15" customHeight="1">
      <c r="A27" s="219" t="s">
        <v>14207</v>
      </c>
      <c r="B27" s="219" t="s">
        <v>14750</v>
      </c>
      <c r="C27" s="220" t="s">
        <v>16594</v>
      </c>
    </row>
    <row r="28" spans="1:3" ht="25.5">
      <c r="A28" s="219" t="s">
        <v>14747</v>
      </c>
      <c r="B28" s="219" t="s">
        <v>14750</v>
      </c>
      <c r="C28" s="221" t="s">
        <v>16595</v>
      </c>
    </row>
    <row r="29" spans="1:3" ht="15" customHeight="1">
      <c r="A29" s="219" t="s">
        <v>14748</v>
      </c>
      <c r="B29" s="219" t="s">
        <v>14750</v>
      </c>
      <c r="C29" s="220" t="s">
        <v>16596</v>
      </c>
    </row>
    <row r="30" spans="1:3" ht="15" customHeight="1">
      <c r="A30" s="219" t="s">
        <v>14749</v>
      </c>
      <c r="B30" s="219" t="s">
        <v>14750</v>
      </c>
      <c r="C30" s="220" t="s">
        <v>16597</v>
      </c>
    </row>
    <row r="31" spans="1:3" ht="15" customHeight="1">
      <c r="A31" s="219" t="s">
        <v>14751</v>
      </c>
      <c r="B31" s="219" t="s">
        <v>14750</v>
      </c>
      <c r="C31" s="220" t="s">
        <v>16598</v>
      </c>
    </row>
    <row r="32" spans="1:3" ht="15" customHeight="1">
      <c r="A32" s="219" t="s">
        <v>14752</v>
      </c>
      <c r="B32" s="219" t="s">
        <v>14750</v>
      </c>
      <c r="C32" s="220" t="s">
        <v>16599</v>
      </c>
    </row>
    <row r="33" spans="1:3" ht="15" customHeight="1">
      <c r="A33" s="219" t="s">
        <v>14753</v>
      </c>
      <c r="B33" s="219" t="s">
        <v>14750</v>
      </c>
      <c r="C33" s="220" t="s">
        <v>16600</v>
      </c>
    </row>
    <row r="35" spans="1:3" ht="15" customHeight="1">
      <c r="A35" s="415" t="s">
        <v>14754</v>
      </c>
      <c r="B35" s="415"/>
      <c r="C35" s="415"/>
    </row>
    <row r="36" spans="1:3" ht="15" customHeight="1">
      <c r="A36" s="217" t="s">
        <v>13888</v>
      </c>
      <c r="B36" s="217" t="s">
        <v>13894</v>
      </c>
      <c r="C36" s="298" t="s">
        <v>934</v>
      </c>
    </row>
    <row r="37" spans="1:3" ht="15" customHeight="1">
      <c r="A37" s="219" t="s">
        <v>14207</v>
      </c>
      <c r="B37" s="219" t="s">
        <v>14746</v>
      </c>
      <c r="C37" s="220" t="s">
        <v>16601</v>
      </c>
    </row>
    <row r="38" spans="1:3" ht="15" customHeight="1">
      <c r="A38" s="219" t="s">
        <v>14747</v>
      </c>
      <c r="B38" s="219" t="s">
        <v>14746</v>
      </c>
      <c r="C38" s="220" t="s">
        <v>16602</v>
      </c>
    </row>
    <row r="40" spans="1:3" ht="15" customHeight="1">
      <c r="A40" s="415" t="s">
        <v>16603</v>
      </c>
      <c r="B40" s="415"/>
      <c r="C40" s="415"/>
    </row>
    <row r="41" spans="1:3" ht="15" customHeight="1">
      <c r="A41" s="217" t="s">
        <v>13888</v>
      </c>
      <c r="B41" s="217" t="s">
        <v>13894</v>
      </c>
      <c r="C41" s="298" t="s">
        <v>934</v>
      </c>
    </row>
    <row r="42" spans="1:3" ht="15" customHeight="1">
      <c r="A42" s="219" t="s">
        <v>14207</v>
      </c>
      <c r="B42" s="219" t="s">
        <v>14750</v>
      </c>
      <c r="C42" s="220" t="s">
        <v>16604</v>
      </c>
    </row>
    <row r="44" spans="1:3" ht="15" customHeight="1">
      <c r="A44" s="415" t="s">
        <v>14756</v>
      </c>
      <c r="B44" s="415"/>
      <c r="C44" s="415"/>
    </row>
    <row r="45" spans="1:3" ht="15" customHeight="1">
      <c r="A45" s="217" t="s">
        <v>13888</v>
      </c>
      <c r="B45" s="217" t="s">
        <v>13894</v>
      </c>
      <c r="C45" s="298" t="s">
        <v>934</v>
      </c>
    </row>
    <row r="46" spans="1:3" ht="15" customHeight="1">
      <c r="A46" s="219" t="s">
        <v>14207</v>
      </c>
      <c r="B46" s="219" t="s">
        <v>14750</v>
      </c>
      <c r="C46" s="220" t="s">
        <v>14757</v>
      </c>
    </row>
    <row r="48" spans="1:3" ht="15" customHeight="1">
      <c r="A48" s="415" t="s">
        <v>14755</v>
      </c>
      <c r="B48" s="415"/>
      <c r="C48" s="415"/>
    </row>
    <row r="49" spans="1:4" ht="15" customHeight="1">
      <c r="A49" s="217" t="s">
        <v>13888</v>
      </c>
      <c r="B49" s="217" t="s">
        <v>13894</v>
      </c>
      <c r="C49" s="298" t="s">
        <v>934</v>
      </c>
    </row>
    <row r="50" spans="1:4" ht="15" customHeight="1">
      <c r="A50" s="219" t="s">
        <v>14207</v>
      </c>
      <c r="B50" s="219" t="s">
        <v>14746</v>
      </c>
      <c r="C50" s="220" t="s">
        <v>14784</v>
      </c>
      <c r="D50" s="218">
        <v>70</v>
      </c>
    </row>
    <row r="51" spans="1:4" ht="15" customHeight="1">
      <c r="A51" s="219" t="s">
        <v>14747</v>
      </c>
      <c r="B51" s="219" t="s">
        <v>14746</v>
      </c>
      <c r="C51" s="220" t="s">
        <v>14783</v>
      </c>
      <c r="D51" s="218">
        <v>71</v>
      </c>
    </row>
  </sheetData>
  <mergeCells count="8">
    <mergeCell ref="A40:C40"/>
    <mergeCell ref="A1:C1"/>
    <mergeCell ref="A25:C25"/>
    <mergeCell ref="A35:C35"/>
    <mergeCell ref="A48:C48"/>
    <mergeCell ref="A44:C44"/>
    <mergeCell ref="A10:C10"/>
    <mergeCell ref="A19:C19"/>
  </mergeCells>
  <pageMargins left="0.511811024" right="0.511811024" top="0.78740157499999996" bottom="0.78740157499999996" header="0.31496062000000002" footer="0.31496062000000002"/>
  <pageSetup paperSize="9" scale="83"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8"/>
  <sheetViews>
    <sheetView workbookViewId="0">
      <selection activeCell="B21" sqref="B21"/>
    </sheetView>
  </sheetViews>
  <sheetFormatPr defaultRowHeight="15" customHeight="1"/>
  <cols>
    <col min="1" max="1" width="35.625" style="264" customWidth="1"/>
    <col min="2" max="2" width="16.625" style="260" customWidth="1"/>
    <col min="3" max="16384" width="9" style="260"/>
  </cols>
  <sheetData>
    <row r="1" spans="1:2" ht="20.100000000000001" customHeight="1">
      <c r="A1" s="405" t="s">
        <v>14427</v>
      </c>
      <c r="B1" s="405"/>
    </row>
    <row r="2" spans="1:2" ht="15" customHeight="1">
      <c r="A2" s="261" t="s">
        <v>14434</v>
      </c>
      <c r="B2" s="265">
        <v>1426.52</v>
      </c>
    </row>
    <row r="3" spans="1:2" ht="15" customHeight="1">
      <c r="A3" s="261" t="s">
        <v>14428</v>
      </c>
      <c r="B3" s="265">
        <v>1200</v>
      </c>
    </row>
    <row r="4" spans="1:2" ht="15" customHeight="1">
      <c r="A4" s="261" t="s">
        <v>14429</v>
      </c>
      <c r="B4" s="265">
        <f>1146.66+121.35</f>
        <v>1268.01</v>
      </c>
    </row>
    <row r="5" spans="1:2" ht="15" customHeight="1">
      <c r="A5" s="261" t="s">
        <v>14430</v>
      </c>
      <c r="B5" s="263">
        <f>B4/B2</f>
        <v>0.88888343661497915</v>
      </c>
    </row>
    <row r="6" spans="1:2" ht="15" customHeight="1">
      <c r="A6" s="261" t="s">
        <v>14431</v>
      </c>
      <c r="B6" s="262">
        <f>B4/B2</f>
        <v>0.88888343661497915</v>
      </c>
    </row>
    <row r="7" spans="1:2" ht="15" customHeight="1">
      <c r="A7" s="261" t="s">
        <v>14432</v>
      </c>
      <c r="B7" s="262">
        <f>24.53+18.56</f>
        <v>43.09</v>
      </c>
    </row>
    <row r="8" spans="1:2" ht="15" customHeight="1">
      <c r="A8" s="261" t="s">
        <v>14433</v>
      </c>
      <c r="B8" s="263">
        <f>B7/B2</f>
        <v>3.0206376356447861E-2</v>
      </c>
    </row>
  </sheetData>
  <mergeCells count="1">
    <mergeCell ref="A1:B1"/>
  </mergeCells>
  <pageMargins left="0.511811024" right="0.511811024" top="0.78740157499999996" bottom="0.78740157499999996" header="0.31496062000000002" footer="0.31496062000000002"/>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1"/>
  <sheetViews>
    <sheetView workbookViewId="0">
      <selection activeCell="D14" sqref="D14"/>
    </sheetView>
  </sheetViews>
  <sheetFormatPr defaultRowHeight="12.75"/>
  <cols>
    <col min="1" max="1" width="8.625" style="269" customWidth="1"/>
    <col min="2" max="2" width="30.625" style="269" customWidth="1"/>
    <col min="3" max="6" width="8.625" style="269" customWidth="1"/>
    <col min="7" max="7" width="30.625" style="269" customWidth="1"/>
    <col min="8" max="16384" width="9" style="266"/>
  </cols>
  <sheetData>
    <row r="1" spans="1:7" ht="20.100000000000001" customHeight="1">
      <c r="A1" s="418" t="s">
        <v>14435</v>
      </c>
      <c r="B1" s="418"/>
      <c r="C1" s="418"/>
      <c r="D1" s="418"/>
      <c r="E1" s="418"/>
      <c r="F1" s="418"/>
      <c r="G1" s="418"/>
    </row>
    <row r="2" spans="1:7" ht="25.5">
      <c r="A2" s="268" t="s">
        <v>14436</v>
      </c>
      <c r="B2" s="268" t="s">
        <v>935</v>
      </c>
      <c r="C2" s="268" t="s">
        <v>14437</v>
      </c>
      <c r="D2" s="268" t="s">
        <v>14449</v>
      </c>
      <c r="E2" s="268" t="s">
        <v>14450</v>
      </c>
      <c r="F2" s="268" t="s">
        <v>14451</v>
      </c>
      <c r="G2" s="268" t="s">
        <v>14438</v>
      </c>
    </row>
    <row r="3" spans="1:7" ht="25.5">
      <c r="A3" s="267" t="s">
        <v>14439</v>
      </c>
      <c r="B3" s="267" t="s">
        <v>14446</v>
      </c>
      <c r="C3" s="270">
        <v>15</v>
      </c>
      <c r="D3" s="267">
        <v>0.6</v>
      </c>
      <c r="E3" s="267">
        <v>1.8</v>
      </c>
      <c r="F3" s="267">
        <f>C3*D3*E3</f>
        <v>16.2</v>
      </c>
      <c r="G3" s="267" t="s">
        <v>14442</v>
      </c>
    </row>
    <row r="4" spans="1:7" ht="51">
      <c r="A4" s="267" t="s">
        <v>14440</v>
      </c>
      <c r="B4" s="267" t="s">
        <v>14446</v>
      </c>
      <c r="C4" s="270">
        <v>8</v>
      </c>
      <c r="D4" s="267">
        <v>0.8</v>
      </c>
      <c r="E4" s="267">
        <v>2.1</v>
      </c>
      <c r="F4" s="267">
        <f t="shared" ref="F4:F10" si="0">C4*D4*E4</f>
        <v>13.440000000000001</v>
      </c>
      <c r="G4" s="267" t="s">
        <v>14443</v>
      </c>
    </row>
    <row r="5" spans="1:7" ht="25.5">
      <c r="A5" s="267" t="s">
        <v>14441</v>
      </c>
      <c r="B5" s="267" t="s">
        <v>14446</v>
      </c>
      <c r="C5" s="270">
        <v>1</v>
      </c>
      <c r="D5" s="267">
        <v>0.9</v>
      </c>
      <c r="E5" s="267">
        <v>2.1</v>
      </c>
      <c r="F5" s="267">
        <f t="shared" ref="F5" si="1">C5*D5*E5</f>
        <v>1.8900000000000001</v>
      </c>
      <c r="G5" s="267" t="s">
        <v>14867</v>
      </c>
    </row>
    <row r="6" spans="1:7" ht="25.5">
      <c r="A6" s="267" t="s">
        <v>14866</v>
      </c>
      <c r="B6" s="267" t="s">
        <v>14446</v>
      </c>
      <c r="C6" s="270">
        <v>1</v>
      </c>
      <c r="D6" s="267">
        <v>1</v>
      </c>
      <c r="E6" s="267">
        <v>2.1</v>
      </c>
      <c r="F6" s="267">
        <f t="shared" si="0"/>
        <v>2.1</v>
      </c>
      <c r="G6" s="267" t="s">
        <v>14868</v>
      </c>
    </row>
    <row r="7" spans="1:7" ht="25.5">
      <c r="A7" s="267" t="s">
        <v>14444</v>
      </c>
      <c r="B7" s="267" t="s">
        <v>14926</v>
      </c>
      <c r="C7" s="270">
        <v>1</v>
      </c>
      <c r="D7" s="267">
        <v>1</v>
      </c>
      <c r="E7" s="267">
        <v>2.8</v>
      </c>
      <c r="F7" s="267">
        <f t="shared" si="0"/>
        <v>2.8</v>
      </c>
      <c r="G7" s="267" t="s">
        <v>14447</v>
      </c>
    </row>
    <row r="8" spans="1:7" ht="25.5">
      <c r="A8" s="267" t="s">
        <v>14445</v>
      </c>
      <c r="B8" s="267" t="s">
        <v>14927</v>
      </c>
      <c r="C8" s="270">
        <v>2</v>
      </c>
      <c r="D8" s="267">
        <v>2.8</v>
      </c>
      <c r="E8" s="267">
        <v>2.8</v>
      </c>
      <c r="F8" s="267">
        <f t="shared" si="0"/>
        <v>15.679999999999998</v>
      </c>
      <c r="G8" s="267" t="s">
        <v>14448</v>
      </c>
    </row>
    <row r="9" spans="1:7" ht="25.5">
      <c r="A9" s="267" t="s">
        <v>16575</v>
      </c>
      <c r="B9" s="267" t="s">
        <v>16576</v>
      </c>
      <c r="C9" s="267">
        <v>1</v>
      </c>
      <c r="D9" s="267">
        <v>1.5</v>
      </c>
      <c r="E9" s="267">
        <v>1.5</v>
      </c>
      <c r="F9" s="267">
        <f t="shared" si="0"/>
        <v>2.25</v>
      </c>
      <c r="G9" s="267" t="s">
        <v>14714</v>
      </c>
    </row>
    <row r="10" spans="1:7" ht="25.5">
      <c r="A10" s="267" t="s">
        <v>16577</v>
      </c>
      <c r="B10" s="267" t="s">
        <v>14446</v>
      </c>
      <c r="C10" s="267">
        <v>1</v>
      </c>
      <c r="D10" s="267">
        <v>0.6</v>
      </c>
      <c r="E10" s="267">
        <v>0.6</v>
      </c>
      <c r="F10" s="267">
        <f t="shared" si="0"/>
        <v>0.36</v>
      </c>
      <c r="G10" s="267" t="s">
        <v>16578</v>
      </c>
    </row>
    <row r="21" spans="7:7">
      <c r="G21" s="273"/>
    </row>
  </sheetData>
  <mergeCells count="1">
    <mergeCell ref="A1:G1"/>
  </mergeCells>
  <pageMargins left="0.511811024" right="0.511811024" top="0.78740157499999996" bottom="0.78740157499999996" header="0.31496062000000002" footer="0.31496062000000002"/>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22"/>
  <sheetViews>
    <sheetView workbookViewId="0">
      <pane xSplit="8" ySplit="2" topLeftCell="I3" activePane="bottomRight" state="frozen"/>
      <selection pane="topRight" activeCell="I1" sqref="I1"/>
      <selection pane="bottomLeft" activeCell="A3" sqref="A3"/>
      <selection pane="bottomRight" activeCell="B16" sqref="B16"/>
    </sheetView>
  </sheetViews>
  <sheetFormatPr defaultRowHeight="15"/>
  <cols>
    <col min="1" max="1" width="5.625" style="274" customWidth="1"/>
    <col min="2" max="2" width="50.625" style="274" customWidth="1"/>
    <col min="3" max="3" width="12.625" style="274" customWidth="1"/>
    <col min="4" max="4" width="5.625" style="274" customWidth="1"/>
    <col min="5" max="5" width="8.625" style="274" customWidth="1"/>
    <col min="6" max="17" width="5.625" style="274" customWidth="1"/>
    <col min="18" max="18" width="9" style="274"/>
    <col min="19" max="19" width="8.625" style="274" customWidth="1"/>
    <col min="20" max="20" width="30.625" style="274" customWidth="1"/>
    <col min="21" max="21" width="8.625" style="274" customWidth="1"/>
    <col min="22" max="16384" width="9" style="274"/>
  </cols>
  <sheetData>
    <row r="1" spans="1:21" ht="20.100000000000001" customHeight="1">
      <c r="A1" s="419" t="s">
        <v>14499</v>
      </c>
      <c r="B1" s="419"/>
      <c r="C1" s="419"/>
      <c r="D1" s="419"/>
      <c r="E1" s="419"/>
      <c r="F1" s="419"/>
      <c r="G1" s="419"/>
      <c r="H1" s="419"/>
      <c r="I1" s="419"/>
      <c r="J1" s="419"/>
      <c r="K1" s="419"/>
      <c r="L1" s="419"/>
      <c r="M1" s="419"/>
      <c r="N1" s="419"/>
      <c r="O1" s="419"/>
      <c r="P1" s="419"/>
      <c r="Q1" s="419"/>
      <c r="S1" s="419" t="s">
        <v>14500</v>
      </c>
      <c r="T1" s="419"/>
      <c r="U1" s="419"/>
    </row>
    <row r="2" spans="1:21" ht="30">
      <c r="A2" s="275" t="s">
        <v>922</v>
      </c>
      <c r="B2" s="275" t="s">
        <v>934</v>
      </c>
      <c r="C2" s="275" t="s">
        <v>14501</v>
      </c>
      <c r="D2" s="275" t="s">
        <v>7264</v>
      </c>
      <c r="E2" s="275" t="s">
        <v>14437</v>
      </c>
      <c r="F2" s="275" t="s">
        <v>14502</v>
      </c>
      <c r="G2" s="275" t="s">
        <v>14503</v>
      </c>
      <c r="H2" s="276" t="s">
        <v>14504</v>
      </c>
      <c r="I2" s="275" t="s">
        <v>14505</v>
      </c>
      <c r="J2" s="275" t="s">
        <v>14506</v>
      </c>
      <c r="K2" s="275" t="s">
        <v>14507</v>
      </c>
      <c r="L2" s="275" t="s">
        <v>14508</v>
      </c>
      <c r="M2" s="275" t="s">
        <v>14509</v>
      </c>
      <c r="N2" s="275" t="s">
        <v>14510</v>
      </c>
      <c r="O2" s="275" t="s">
        <v>14511</v>
      </c>
      <c r="P2" s="275" t="s">
        <v>14512</v>
      </c>
      <c r="Q2" s="275" t="s">
        <v>14713</v>
      </c>
      <c r="S2" s="275" t="s">
        <v>14436</v>
      </c>
      <c r="T2" s="275" t="s">
        <v>934</v>
      </c>
      <c r="U2" s="275" t="s">
        <v>14513</v>
      </c>
    </row>
    <row r="3" spans="1:21">
      <c r="A3" s="277">
        <v>1</v>
      </c>
      <c r="B3" s="278" t="s">
        <v>14514</v>
      </c>
      <c r="C3" s="277" t="s">
        <v>14515</v>
      </c>
      <c r="D3" s="277" t="s">
        <v>1855</v>
      </c>
      <c r="E3" s="277">
        <f>SUM(F3:Q3)</f>
        <v>13</v>
      </c>
      <c r="F3" s="295" t="s">
        <v>7251</v>
      </c>
      <c r="G3" s="295" t="s">
        <v>7251</v>
      </c>
      <c r="H3" s="295" t="s">
        <v>7251</v>
      </c>
      <c r="I3" s="277">
        <v>3</v>
      </c>
      <c r="J3" s="277">
        <v>2</v>
      </c>
      <c r="K3" s="277">
        <v>3</v>
      </c>
      <c r="L3" s="290" t="s">
        <v>7251</v>
      </c>
      <c r="M3" s="290" t="s">
        <v>7251</v>
      </c>
      <c r="N3" s="290" t="s">
        <v>7251</v>
      </c>
      <c r="O3" s="277">
        <v>1</v>
      </c>
      <c r="P3" s="277">
        <v>2</v>
      </c>
      <c r="Q3" s="277">
        <v>2</v>
      </c>
      <c r="S3" s="288" t="s">
        <v>14700</v>
      </c>
      <c r="T3" s="278" t="s">
        <v>14516</v>
      </c>
      <c r="U3" s="277">
        <v>90</v>
      </c>
    </row>
    <row r="4" spans="1:21">
      <c r="A4" s="277">
        <v>2</v>
      </c>
      <c r="B4" s="278" t="s">
        <v>14514</v>
      </c>
      <c r="C4" s="277" t="s">
        <v>14517</v>
      </c>
      <c r="D4" s="277" t="s">
        <v>1855</v>
      </c>
      <c r="E4" s="277">
        <f t="shared" ref="E4:E18" si="0">SUM(F4:Q4)</f>
        <v>23</v>
      </c>
      <c r="F4" s="295" t="s">
        <v>7251</v>
      </c>
      <c r="G4" s="295" t="s">
        <v>7251</v>
      </c>
      <c r="H4" s="295" t="s">
        <v>7251</v>
      </c>
      <c r="I4" s="277">
        <v>4</v>
      </c>
      <c r="J4" s="290" t="s">
        <v>7251</v>
      </c>
      <c r="K4" s="277">
        <v>4</v>
      </c>
      <c r="L4" s="277">
        <v>5</v>
      </c>
      <c r="M4" s="277">
        <v>4</v>
      </c>
      <c r="N4" s="277">
        <v>3</v>
      </c>
      <c r="O4" s="277">
        <v>3</v>
      </c>
      <c r="P4" s="290" t="s">
        <v>7251</v>
      </c>
      <c r="Q4" s="290" t="s">
        <v>7251</v>
      </c>
      <c r="S4" s="288" t="s">
        <v>14701</v>
      </c>
      <c r="T4" s="278" t="s">
        <v>14518</v>
      </c>
      <c r="U4" s="277">
        <v>220</v>
      </c>
    </row>
    <row r="5" spans="1:21">
      <c r="A5" s="277">
        <v>3</v>
      </c>
      <c r="B5" s="278" t="s">
        <v>14519</v>
      </c>
      <c r="C5" s="277" t="s">
        <v>14520</v>
      </c>
      <c r="D5" s="277" t="s">
        <v>1855</v>
      </c>
      <c r="E5" s="277">
        <f t="shared" si="0"/>
        <v>21</v>
      </c>
      <c r="F5" s="277">
        <v>8</v>
      </c>
      <c r="G5" s="277"/>
      <c r="H5" s="295" t="s">
        <v>7251</v>
      </c>
      <c r="I5" s="286" t="s">
        <v>7251</v>
      </c>
      <c r="J5" s="277">
        <v>1</v>
      </c>
      <c r="K5" s="286" t="s">
        <v>7251</v>
      </c>
      <c r="L5" s="290" t="s">
        <v>7251</v>
      </c>
      <c r="M5" s="290" t="s">
        <v>7251</v>
      </c>
      <c r="N5" s="277">
        <v>4</v>
      </c>
      <c r="O5" s="277">
        <v>2</v>
      </c>
      <c r="P5" s="277">
        <v>4</v>
      </c>
      <c r="Q5" s="277">
        <v>2</v>
      </c>
      <c r="S5" s="288" t="s">
        <v>14702</v>
      </c>
      <c r="T5" s="278" t="s">
        <v>14521</v>
      </c>
      <c r="U5" s="277">
        <v>50</v>
      </c>
    </row>
    <row r="6" spans="1:21">
      <c r="A6" s="277">
        <v>4</v>
      </c>
      <c r="B6" s="278" t="s">
        <v>14519</v>
      </c>
      <c r="C6" s="277" t="s">
        <v>14522</v>
      </c>
      <c r="D6" s="277" t="s">
        <v>1855</v>
      </c>
      <c r="E6" s="277">
        <f t="shared" si="0"/>
        <v>51</v>
      </c>
      <c r="F6" s="295" t="s">
        <v>7251</v>
      </c>
      <c r="G6" s="277">
        <f>2+9+5</f>
        <v>16</v>
      </c>
      <c r="H6" s="295">
        <v>7</v>
      </c>
      <c r="I6" s="277">
        <v>6</v>
      </c>
      <c r="J6" s="290" t="s">
        <v>7251</v>
      </c>
      <c r="K6" s="277">
        <v>6</v>
      </c>
      <c r="L6" s="277">
        <v>7</v>
      </c>
      <c r="M6" s="277">
        <v>8</v>
      </c>
      <c r="N6" s="290" t="s">
        <v>7251</v>
      </c>
      <c r="O6" s="277">
        <v>1</v>
      </c>
      <c r="P6" s="290" t="s">
        <v>7251</v>
      </c>
      <c r="Q6" s="290" t="s">
        <v>7251</v>
      </c>
      <c r="S6" s="288" t="s">
        <v>14707</v>
      </c>
      <c r="T6" s="278" t="s">
        <v>14523</v>
      </c>
      <c r="U6" s="277">
        <v>60</v>
      </c>
    </row>
    <row r="7" spans="1:21">
      <c r="A7" s="277">
        <v>5</v>
      </c>
      <c r="B7" s="278" t="s">
        <v>14524</v>
      </c>
      <c r="C7" s="277" t="s">
        <v>14515</v>
      </c>
      <c r="D7" s="277" t="s">
        <v>1855</v>
      </c>
      <c r="E7" s="277">
        <f t="shared" si="0"/>
        <v>33</v>
      </c>
      <c r="F7" s="295" t="s">
        <v>7251</v>
      </c>
      <c r="G7" s="295" t="s">
        <v>7251</v>
      </c>
      <c r="H7" s="295" t="s">
        <v>7251</v>
      </c>
      <c r="I7" s="277">
        <v>6</v>
      </c>
      <c r="J7" s="277">
        <v>1</v>
      </c>
      <c r="K7" s="277">
        <v>6</v>
      </c>
      <c r="L7" s="277">
        <v>6</v>
      </c>
      <c r="M7" s="277">
        <v>5</v>
      </c>
      <c r="N7" s="277">
        <v>2</v>
      </c>
      <c r="O7" s="277">
        <v>3</v>
      </c>
      <c r="P7" s="277">
        <v>3</v>
      </c>
      <c r="Q7" s="277">
        <v>1</v>
      </c>
      <c r="S7" s="288" t="s">
        <v>14708</v>
      </c>
      <c r="T7" s="278" t="s">
        <v>14525</v>
      </c>
      <c r="U7" s="277">
        <v>110</v>
      </c>
    </row>
    <row r="8" spans="1:21">
      <c r="A8" s="277">
        <v>6</v>
      </c>
      <c r="B8" s="278" t="s">
        <v>14526</v>
      </c>
      <c r="C8" s="277" t="s">
        <v>14527</v>
      </c>
      <c r="D8" s="277" t="s">
        <v>1855</v>
      </c>
      <c r="E8" s="277">
        <f t="shared" si="0"/>
        <v>27</v>
      </c>
      <c r="F8" s="295" t="s">
        <v>7251</v>
      </c>
      <c r="G8" s="295" t="s">
        <v>7251</v>
      </c>
      <c r="H8" s="295" t="s">
        <v>7251</v>
      </c>
      <c r="I8" s="277">
        <v>6</v>
      </c>
      <c r="J8" s="290" t="s">
        <v>7251</v>
      </c>
      <c r="K8" s="277">
        <v>6</v>
      </c>
      <c r="L8" s="277">
        <v>6</v>
      </c>
      <c r="M8" s="277">
        <v>5</v>
      </c>
      <c r="N8" s="277">
        <v>2</v>
      </c>
      <c r="O8" s="277">
        <v>2</v>
      </c>
      <c r="P8" s="290" t="s">
        <v>7251</v>
      </c>
      <c r="Q8" s="290" t="s">
        <v>7251</v>
      </c>
      <c r="S8" s="288" t="s">
        <v>14709</v>
      </c>
      <c r="T8" s="279" t="s">
        <v>14528</v>
      </c>
      <c r="U8" s="277">
        <v>60</v>
      </c>
    </row>
    <row r="9" spans="1:21">
      <c r="A9" s="277">
        <v>7</v>
      </c>
      <c r="B9" s="278" t="s">
        <v>14529</v>
      </c>
      <c r="C9" s="277" t="s">
        <v>14515</v>
      </c>
      <c r="D9" s="277" t="s">
        <v>1855</v>
      </c>
      <c r="E9" s="277">
        <f t="shared" si="0"/>
        <v>7</v>
      </c>
      <c r="F9" s="295" t="s">
        <v>7251</v>
      </c>
      <c r="G9" s="295" t="s">
        <v>7251</v>
      </c>
      <c r="H9" s="295" t="s">
        <v>7251</v>
      </c>
      <c r="I9" s="277">
        <v>3</v>
      </c>
      <c r="J9" s="290" t="s">
        <v>7251</v>
      </c>
      <c r="K9" s="277">
        <v>3</v>
      </c>
      <c r="L9" s="290" t="s">
        <v>7251</v>
      </c>
      <c r="M9" s="290" t="s">
        <v>7251</v>
      </c>
      <c r="N9" s="290" t="s">
        <v>7251</v>
      </c>
      <c r="O9" s="277">
        <v>1</v>
      </c>
      <c r="P9" s="290" t="s">
        <v>7251</v>
      </c>
      <c r="Q9" s="290" t="s">
        <v>7251</v>
      </c>
      <c r="S9" s="288" t="s">
        <v>14710</v>
      </c>
      <c r="T9" s="279" t="s">
        <v>14530</v>
      </c>
      <c r="U9" s="277">
        <v>110</v>
      </c>
    </row>
    <row r="10" spans="1:21">
      <c r="A10" s="277">
        <v>8</v>
      </c>
      <c r="B10" s="279" t="s">
        <v>14531</v>
      </c>
      <c r="C10" s="277" t="s">
        <v>14520</v>
      </c>
      <c r="D10" s="277" t="s">
        <v>1855</v>
      </c>
      <c r="E10" s="277">
        <f t="shared" si="0"/>
        <v>4</v>
      </c>
      <c r="F10" s="277">
        <v>1</v>
      </c>
      <c r="G10" s="295" t="s">
        <v>7251</v>
      </c>
      <c r="H10" s="295" t="s">
        <v>7251</v>
      </c>
      <c r="I10" s="286" t="s">
        <v>7251</v>
      </c>
      <c r="J10" s="290" t="s">
        <v>7251</v>
      </c>
      <c r="K10" s="286" t="s">
        <v>7251</v>
      </c>
      <c r="L10" s="290" t="s">
        <v>7251</v>
      </c>
      <c r="M10" s="290" t="s">
        <v>7251</v>
      </c>
      <c r="N10" s="290" t="s">
        <v>7251</v>
      </c>
      <c r="O10" s="277">
        <v>1</v>
      </c>
      <c r="P10" s="277">
        <v>2</v>
      </c>
      <c r="Q10" s="290" t="s">
        <v>7251</v>
      </c>
      <c r="S10" s="288" t="s">
        <v>14711</v>
      </c>
      <c r="T10" s="287" t="s">
        <v>14699</v>
      </c>
      <c r="U10" s="277">
        <v>110</v>
      </c>
    </row>
    <row r="11" spans="1:21">
      <c r="A11" s="277">
        <v>9</v>
      </c>
      <c r="B11" s="279" t="s">
        <v>14531</v>
      </c>
      <c r="C11" s="277" t="s">
        <v>14522</v>
      </c>
      <c r="D11" s="277" t="s">
        <v>1855</v>
      </c>
      <c r="E11" s="277">
        <f t="shared" si="0"/>
        <v>44</v>
      </c>
      <c r="F11" s="295" t="s">
        <v>7251</v>
      </c>
      <c r="G11" s="295">
        <v>9</v>
      </c>
      <c r="H11" s="295">
        <v>3</v>
      </c>
      <c r="I11" s="277">
        <v>7</v>
      </c>
      <c r="J11" s="290" t="s">
        <v>7251</v>
      </c>
      <c r="K11" s="277">
        <v>7</v>
      </c>
      <c r="L11" s="277">
        <v>8</v>
      </c>
      <c r="M11" s="277">
        <v>6</v>
      </c>
      <c r="N11" s="277">
        <v>2</v>
      </c>
      <c r="O11" s="277">
        <v>2</v>
      </c>
      <c r="P11" s="290" t="s">
        <v>7251</v>
      </c>
      <c r="Q11" s="290" t="s">
        <v>7251</v>
      </c>
      <c r="S11" s="288" t="s">
        <v>14703</v>
      </c>
      <c r="T11" s="278" t="s">
        <v>14532</v>
      </c>
      <c r="U11" s="277">
        <v>180</v>
      </c>
    </row>
    <row r="12" spans="1:21">
      <c r="A12" s="277"/>
      <c r="B12" s="279" t="s">
        <v>14534</v>
      </c>
      <c r="C12" s="277" t="s">
        <v>14520</v>
      </c>
      <c r="D12" s="277" t="s">
        <v>1855</v>
      </c>
      <c r="E12" s="277">
        <f t="shared" si="0"/>
        <v>2</v>
      </c>
      <c r="F12" s="277">
        <v>2</v>
      </c>
      <c r="G12" s="295" t="s">
        <v>7251</v>
      </c>
      <c r="H12" s="295" t="s">
        <v>7251</v>
      </c>
      <c r="I12" s="286" t="s">
        <v>7251</v>
      </c>
      <c r="J12" s="290" t="s">
        <v>7251</v>
      </c>
      <c r="K12" s="286" t="s">
        <v>7251</v>
      </c>
      <c r="L12" s="290" t="s">
        <v>7251</v>
      </c>
      <c r="M12" s="290" t="s">
        <v>7251</v>
      </c>
      <c r="N12" s="290" t="s">
        <v>7251</v>
      </c>
      <c r="O12" s="290" t="s">
        <v>7251</v>
      </c>
      <c r="P12" s="290" t="s">
        <v>7251</v>
      </c>
      <c r="Q12" s="290" t="s">
        <v>7251</v>
      </c>
      <c r="S12" s="288" t="s">
        <v>14704</v>
      </c>
      <c r="T12" s="278" t="s">
        <v>14533</v>
      </c>
      <c r="U12" s="277">
        <v>110</v>
      </c>
    </row>
    <row r="13" spans="1:21">
      <c r="A13" s="277"/>
      <c r="B13" s="279" t="s">
        <v>14534</v>
      </c>
      <c r="C13" s="277" t="s">
        <v>14522</v>
      </c>
      <c r="D13" s="277" t="s">
        <v>1855</v>
      </c>
      <c r="E13" s="277">
        <f t="shared" si="0"/>
        <v>5</v>
      </c>
      <c r="F13" s="295" t="s">
        <v>7251</v>
      </c>
      <c r="G13" s="277">
        <v>3</v>
      </c>
      <c r="H13" s="295">
        <v>2</v>
      </c>
      <c r="I13" s="286" t="s">
        <v>7251</v>
      </c>
      <c r="J13" s="290" t="s">
        <v>7251</v>
      </c>
      <c r="K13" s="286" t="s">
        <v>7251</v>
      </c>
      <c r="L13" s="290" t="s">
        <v>7251</v>
      </c>
      <c r="M13" s="290" t="s">
        <v>7251</v>
      </c>
      <c r="N13" s="290" t="s">
        <v>7251</v>
      </c>
      <c r="O13" s="290" t="s">
        <v>7251</v>
      </c>
      <c r="P13" s="290" t="s">
        <v>7251</v>
      </c>
      <c r="Q13" s="290" t="s">
        <v>7251</v>
      </c>
      <c r="S13" s="288" t="s">
        <v>5031</v>
      </c>
      <c r="T13" s="280" t="s">
        <v>14535</v>
      </c>
      <c r="U13" s="277">
        <v>40</v>
      </c>
    </row>
    <row r="14" spans="1:21">
      <c r="A14" s="277"/>
      <c r="B14" s="279" t="s">
        <v>14537</v>
      </c>
      <c r="C14" s="277" t="s">
        <v>14538</v>
      </c>
      <c r="D14" s="277" t="s">
        <v>1855</v>
      </c>
      <c r="E14" s="277">
        <f t="shared" si="0"/>
        <v>3</v>
      </c>
      <c r="F14" s="295" t="s">
        <v>7251</v>
      </c>
      <c r="G14" s="295" t="s">
        <v>7251</v>
      </c>
      <c r="H14" s="295" t="s">
        <v>7251</v>
      </c>
      <c r="I14" s="286" t="s">
        <v>7251</v>
      </c>
      <c r="J14" s="277">
        <v>1</v>
      </c>
      <c r="K14" s="286" t="s">
        <v>7251</v>
      </c>
      <c r="L14" s="290" t="s">
        <v>7251</v>
      </c>
      <c r="M14" s="290" t="s">
        <v>7251</v>
      </c>
      <c r="N14" s="290" t="s">
        <v>7251</v>
      </c>
      <c r="O14" s="290" t="s">
        <v>7251</v>
      </c>
      <c r="P14" s="277">
        <v>1</v>
      </c>
      <c r="Q14" s="277">
        <v>1</v>
      </c>
      <c r="S14" s="288" t="s">
        <v>14705</v>
      </c>
      <c r="T14" s="278" t="s">
        <v>14536</v>
      </c>
      <c r="U14" s="277">
        <v>110</v>
      </c>
    </row>
    <row r="15" spans="1:21" ht="15" customHeight="1">
      <c r="A15" s="277"/>
      <c r="B15" s="279" t="s">
        <v>14537</v>
      </c>
      <c r="C15" s="277" t="s">
        <v>14539</v>
      </c>
      <c r="D15" s="277" t="s">
        <v>1855</v>
      </c>
      <c r="E15" s="277">
        <f t="shared" si="0"/>
        <v>6</v>
      </c>
      <c r="F15" s="295" t="s">
        <v>7251</v>
      </c>
      <c r="G15" s="295" t="s">
        <v>7251</v>
      </c>
      <c r="H15" s="295" t="s">
        <v>7251</v>
      </c>
      <c r="I15" s="277">
        <v>1</v>
      </c>
      <c r="J15" s="290" t="s">
        <v>7251</v>
      </c>
      <c r="K15" s="277">
        <v>1</v>
      </c>
      <c r="L15" s="277">
        <v>1</v>
      </c>
      <c r="M15" s="277">
        <v>1</v>
      </c>
      <c r="N15" s="277">
        <v>1</v>
      </c>
      <c r="O15" s="277">
        <v>1</v>
      </c>
      <c r="P15" s="290" t="s">
        <v>7251</v>
      </c>
      <c r="Q15" s="290" t="s">
        <v>7251</v>
      </c>
      <c r="S15" s="288" t="s">
        <v>14706</v>
      </c>
      <c r="T15" s="289" t="s">
        <v>14712</v>
      </c>
      <c r="U15" s="277">
        <v>33</v>
      </c>
    </row>
    <row r="16" spans="1:21">
      <c r="A16" s="277"/>
      <c r="B16" s="279" t="s">
        <v>14540</v>
      </c>
      <c r="C16" s="277" t="s">
        <v>14538</v>
      </c>
      <c r="D16" s="277" t="s">
        <v>1855</v>
      </c>
      <c r="E16" s="277">
        <f t="shared" si="0"/>
        <v>7</v>
      </c>
      <c r="F16" s="295" t="s">
        <v>7251</v>
      </c>
      <c r="G16" s="295" t="s">
        <v>7251</v>
      </c>
      <c r="H16" s="295" t="s">
        <v>7251</v>
      </c>
      <c r="I16" s="277">
        <v>3</v>
      </c>
      <c r="J16" s="290" t="s">
        <v>7251</v>
      </c>
      <c r="K16" s="277">
        <v>3</v>
      </c>
      <c r="L16" s="290" t="s">
        <v>7251</v>
      </c>
      <c r="M16" s="290" t="s">
        <v>7251</v>
      </c>
      <c r="N16" s="290" t="s">
        <v>7251</v>
      </c>
      <c r="O16" s="277">
        <v>1</v>
      </c>
      <c r="P16" s="290" t="s">
        <v>7251</v>
      </c>
      <c r="Q16" s="290" t="s">
        <v>7251</v>
      </c>
    </row>
    <row r="17" spans="1:17">
      <c r="A17" s="277"/>
      <c r="B17" s="279" t="s">
        <v>14541</v>
      </c>
      <c r="C17" s="277" t="s">
        <v>14539</v>
      </c>
      <c r="D17" s="277" t="s">
        <v>1855</v>
      </c>
      <c r="E17" s="277">
        <f t="shared" si="0"/>
        <v>10</v>
      </c>
      <c r="F17" s="295" t="s">
        <v>7251</v>
      </c>
      <c r="G17" s="295" t="s">
        <v>7251</v>
      </c>
      <c r="H17" s="295" t="s">
        <v>7251</v>
      </c>
      <c r="I17" s="277">
        <v>2</v>
      </c>
      <c r="J17" s="290" t="s">
        <v>7251</v>
      </c>
      <c r="K17" s="277">
        <v>2</v>
      </c>
      <c r="L17" s="277">
        <v>2</v>
      </c>
      <c r="M17" s="277">
        <v>2</v>
      </c>
      <c r="N17" s="277">
        <v>1</v>
      </c>
      <c r="O17" s="277">
        <v>1</v>
      </c>
      <c r="P17" s="290" t="s">
        <v>7251</v>
      </c>
      <c r="Q17" s="290" t="s">
        <v>7251</v>
      </c>
    </row>
    <row r="18" spans="1:17">
      <c r="A18" s="277"/>
      <c r="B18" s="278" t="s">
        <v>14542</v>
      </c>
      <c r="C18" s="277" t="s">
        <v>14543</v>
      </c>
      <c r="D18" s="277" t="s">
        <v>1855</v>
      </c>
      <c r="E18" s="277">
        <f t="shared" si="0"/>
        <v>10</v>
      </c>
      <c r="F18" s="295" t="s">
        <v>7251</v>
      </c>
      <c r="G18" s="295" t="s">
        <v>7251</v>
      </c>
      <c r="H18" s="295" t="s">
        <v>7251</v>
      </c>
      <c r="I18" s="277">
        <v>2</v>
      </c>
      <c r="J18" s="290" t="s">
        <v>7251</v>
      </c>
      <c r="K18" s="277">
        <v>2</v>
      </c>
      <c r="L18" s="277">
        <v>2</v>
      </c>
      <c r="M18" s="277">
        <v>2</v>
      </c>
      <c r="N18" s="277">
        <v>1</v>
      </c>
      <c r="O18" s="277">
        <v>1</v>
      </c>
      <c r="P18" s="290" t="s">
        <v>7251</v>
      </c>
      <c r="Q18" s="290" t="s">
        <v>7251</v>
      </c>
    </row>
    <row r="19" spans="1:17">
      <c r="A19" s="277"/>
      <c r="B19" s="278" t="s">
        <v>14544</v>
      </c>
      <c r="C19" s="277" t="s">
        <v>14520</v>
      </c>
      <c r="D19" s="277" t="s">
        <v>6</v>
      </c>
      <c r="E19" s="277">
        <f>ROUNDUP(SUM(F19:Q19),0)</f>
        <v>112</v>
      </c>
      <c r="F19" s="277">
        <f>3.4+36.5+8.6</f>
        <v>48.5</v>
      </c>
      <c r="G19" s="295" t="s">
        <v>7251</v>
      </c>
      <c r="H19" s="295" t="s">
        <v>7251</v>
      </c>
      <c r="I19" s="277">
        <v>5.0999999999999996</v>
      </c>
      <c r="J19" s="277">
        <v>2.6</v>
      </c>
      <c r="K19" s="277">
        <v>5.0999999999999996</v>
      </c>
      <c r="L19" s="277">
        <v>3.3</v>
      </c>
      <c r="M19" s="277">
        <v>3</v>
      </c>
      <c r="N19" s="277">
        <v>4</v>
      </c>
      <c r="O19" s="277">
        <v>3.5</v>
      </c>
      <c r="P19" s="277">
        <f>4.8+22.9</f>
        <v>27.7</v>
      </c>
      <c r="Q19" s="277">
        <v>8.6</v>
      </c>
    </row>
    <row r="20" spans="1:17">
      <c r="A20" s="277"/>
      <c r="B20" s="278" t="s">
        <v>14544</v>
      </c>
      <c r="C20" s="277" t="s">
        <v>14522</v>
      </c>
      <c r="D20" s="277" t="s">
        <v>6</v>
      </c>
      <c r="E20" s="277">
        <f>ROUNDUP(SUM(F20:Q20),0)</f>
        <v>129</v>
      </c>
      <c r="F20" s="295" t="s">
        <v>7251</v>
      </c>
      <c r="G20" s="295">
        <f>3.4+46.4</f>
        <v>49.8</v>
      </c>
      <c r="H20" s="277">
        <v>11</v>
      </c>
      <c r="I20" s="277">
        <v>15.6</v>
      </c>
      <c r="J20" s="290" t="s">
        <v>7251</v>
      </c>
      <c r="K20" s="277">
        <v>15.6</v>
      </c>
      <c r="L20" s="277">
        <v>16.600000000000001</v>
      </c>
      <c r="M20" s="277">
        <v>14</v>
      </c>
      <c r="N20" s="277">
        <v>3.1</v>
      </c>
      <c r="O20" s="277">
        <v>2.4</v>
      </c>
      <c r="P20" s="290" t="s">
        <v>7251</v>
      </c>
      <c r="Q20" s="290" t="s">
        <v>7251</v>
      </c>
    </row>
    <row r="21" spans="1:17">
      <c r="A21" s="277"/>
      <c r="B21" s="279" t="s">
        <v>14545</v>
      </c>
      <c r="C21" s="277" t="s">
        <v>14520</v>
      </c>
      <c r="D21" s="277" t="s">
        <v>6</v>
      </c>
      <c r="E21" s="277">
        <f t="shared" ref="E21:E22" si="1">ROUNDUP(SUM(F21:Q21),0)</f>
        <v>2</v>
      </c>
      <c r="F21" s="277">
        <v>2</v>
      </c>
      <c r="G21" s="295" t="s">
        <v>7251</v>
      </c>
      <c r="H21" s="295" t="s">
        <v>7251</v>
      </c>
      <c r="I21" s="286" t="s">
        <v>7251</v>
      </c>
      <c r="J21" s="290" t="s">
        <v>7251</v>
      </c>
      <c r="K21" s="286" t="s">
        <v>7251</v>
      </c>
      <c r="L21" s="290" t="s">
        <v>7251</v>
      </c>
      <c r="M21" s="290" t="s">
        <v>7251</v>
      </c>
      <c r="N21" s="290" t="s">
        <v>7251</v>
      </c>
      <c r="O21" s="290" t="s">
        <v>7251</v>
      </c>
      <c r="P21" s="290" t="s">
        <v>7251</v>
      </c>
      <c r="Q21" s="290" t="s">
        <v>7251</v>
      </c>
    </row>
    <row r="22" spans="1:17">
      <c r="A22" s="277"/>
      <c r="B22" s="279" t="s">
        <v>14545</v>
      </c>
      <c r="C22" s="277" t="s">
        <v>14522</v>
      </c>
      <c r="D22" s="277" t="s">
        <v>6</v>
      </c>
      <c r="E22" s="277">
        <f t="shared" si="1"/>
        <v>8</v>
      </c>
      <c r="F22" s="295" t="s">
        <v>7251</v>
      </c>
      <c r="G22" s="277">
        <v>4</v>
      </c>
      <c r="H22" s="277">
        <v>4</v>
      </c>
      <c r="I22" s="286" t="s">
        <v>7251</v>
      </c>
      <c r="J22" s="290" t="s">
        <v>7251</v>
      </c>
      <c r="K22" s="286" t="s">
        <v>7251</v>
      </c>
      <c r="L22" s="290" t="s">
        <v>7251</v>
      </c>
      <c r="M22" s="290" t="s">
        <v>7251</v>
      </c>
      <c r="N22" s="290" t="s">
        <v>7251</v>
      </c>
      <c r="O22" s="290" t="s">
        <v>7251</v>
      </c>
      <c r="P22" s="290" t="s">
        <v>7251</v>
      </c>
      <c r="Q22" s="290" t="s">
        <v>7251</v>
      </c>
    </row>
  </sheetData>
  <mergeCells count="2">
    <mergeCell ref="A1:Q1"/>
    <mergeCell ref="S1:U1"/>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20"/>
  <sheetViews>
    <sheetView workbookViewId="0">
      <pane xSplit="3" ySplit="2" topLeftCell="D3" activePane="bottomRight" state="frozen"/>
      <selection pane="topRight" activeCell="D1" sqref="D1"/>
      <selection pane="bottomLeft" activeCell="A3" sqref="A3"/>
      <selection pane="bottomRight" activeCell="G24" sqref="G24"/>
    </sheetView>
  </sheetViews>
  <sheetFormatPr defaultRowHeight="15"/>
  <cols>
    <col min="1" max="1" width="5.625" style="291" customWidth="1"/>
    <col min="2" max="2" width="25.625" style="291" customWidth="1"/>
    <col min="3" max="3" width="12.625" style="291" customWidth="1"/>
    <col min="4" max="4" width="5.625" style="291" customWidth="1"/>
    <col min="5" max="5" width="8.625" style="291" customWidth="1"/>
    <col min="6" max="16" width="10.625" style="291" customWidth="1"/>
    <col min="17" max="16384" width="9" style="291"/>
  </cols>
  <sheetData>
    <row r="1" spans="1:16" ht="30" customHeight="1">
      <c r="A1" s="419" t="s">
        <v>14499</v>
      </c>
      <c r="B1" s="419"/>
      <c r="C1" s="419"/>
      <c r="D1" s="419"/>
      <c r="E1" s="419"/>
      <c r="F1" s="419"/>
      <c r="G1" s="419"/>
      <c r="H1" s="419"/>
      <c r="I1" s="419"/>
      <c r="J1" s="419"/>
      <c r="K1" s="419"/>
      <c r="L1" s="419"/>
      <c r="M1" s="419"/>
      <c r="N1" s="419"/>
      <c r="O1" s="419"/>
      <c r="P1" s="419"/>
    </row>
    <row r="2" spans="1:16" ht="30">
      <c r="A2" s="275" t="s">
        <v>922</v>
      </c>
      <c r="B2" s="275" t="s">
        <v>934</v>
      </c>
      <c r="C2" s="275" t="s">
        <v>14501</v>
      </c>
      <c r="D2" s="276" t="s">
        <v>7264</v>
      </c>
      <c r="E2" s="276" t="s">
        <v>14546</v>
      </c>
      <c r="F2" s="276" t="s">
        <v>14562</v>
      </c>
      <c r="G2" s="276" t="s">
        <v>14565</v>
      </c>
      <c r="H2" s="276" t="s">
        <v>14563</v>
      </c>
      <c r="I2" s="276" t="s">
        <v>14566</v>
      </c>
      <c r="J2" s="276" t="s">
        <v>14564</v>
      </c>
      <c r="K2" s="276" t="s">
        <v>14547</v>
      </c>
      <c r="L2" s="276" t="s">
        <v>14548</v>
      </c>
      <c r="M2" s="276" t="s">
        <v>14549</v>
      </c>
      <c r="N2" s="276" t="s">
        <v>14567</v>
      </c>
      <c r="O2" s="276" t="s">
        <v>14714</v>
      </c>
      <c r="P2" s="276" t="s">
        <v>14569</v>
      </c>
    </row>
    <row r="3" spans="1:16">
      <c r="A3" s="281">
        <v>1</v>
      </c>
      <c r="B3" s="282" t="s">
        <v>14568</v>
      </c>
      <c r="C3" s="281">
        <v>300</v>
      </c>
      <c r="D3" s="281" t="s">
        <v>1855</v>
      </c>
      <c r="E3" s="281">
        <f t="shared" ref="E3:E16" si="0">SUM(F3:P3)</f>
        <v>2</v>
      </c>
      <c r="F3" s="281" t="s">
        <v>7251</v>
      </c>
      <c r="G3" s="281">
        <v>1</v>
      </c>
      <c r="H3" s="292" t="s">
        <v>7251</v>
      </c>
      <c r="I3" s="292" t="s">
        <v>7251</v>
      </c>
      <c r="J3" s="292" t="s">
        <v>7251</v>
      </c>
      <c r="K3" s="292" t="s">
        <v>7251</v>
      </c>
      <c r="L3" s="292" t="s">
        <v>7251</v>
      </c>
      <c r="M3" s="292" t="s">
        <v>7251</v>
      </c>
      <c r="N3" s="292" t="s">
        <v>7251</v>
      </c>
      <c r="O3" s="281">
        <v>1</v>
      </c>
      <c r="P3" s="281" t="s">
        <v>7251</v>
      </c>
    </row>
    <row r="4" spans="1:16">
      <c r="A4" s="281">
        <v>2</v>
      </c>
      <c r="B4" s="282" t="s">
        <v>14550</v>
      </c>
      <c r="C4" s="281">
        <v>150</v>
      </c>
      <c r="D4" s="281" t="s">
        <v>1855</v>
      </c>
      <c r="E4" s="281">
        <f t="shared" si="0"/>
        <v>18</v>
      </c>
      <c r="F4" s="281">
        <v>2</v>
      </c>
      <c r="G4" s="281">
        <v>1</v>
      </c>
      <c r="H4" s="281">
        <v>4</v>
      </c>
      <c r="I4" s="281">
        <v>1</v>
      </c>
      <c r="J4" s="281">
        <v>4</v>
      </c>
      <c r="K4" s="281">
        <v>1</v>
      </c>
      <c r="L4" s="281">
        <v>2</v>
      </c>
      <c r="M4" s="281">
        <v>1</v>
      </c>
      <c r="N4" s="281">
        <v>1</v>
      </c>
      <c r="O4" s="281">
        <v>1</v>
      </c>
      <c r="P4" s="281" t="s">
        <v>7251</v>
      </c>
    </row>
    <row r="5" spans="1:16">
      <c r="A5" s="281">
        <v>3</v>
      </c>
      <c r="B5" s="283" t="s">
        <v>14551</v>
      </c>
      <c r="C5" s="281" t="s">
        <v>14554</v>
      </c>
      <c r="D5" s="281" t="s">
        <v>1855</v>
      </c>
      <c r="E5" s="281">
        <f t="shared" si="0"/>
        <v>16</v>
      </c>
      <c r="F5" s="281" t="s">
        <v>7251</v>
      </c>
      <c r="G5" s="281" t="s">
        <v>7251</v>
      </c>
      <c r="H5" s="281">
        <v>3</v>
      </c>
      <c r="I5" s="292" t="s">
        <v>7251</v>
      </c>
      <c r="J5" s="281">
        <v>3</v>
      </c>
      <c r="K5" s="281">
        <v>3</v>
      </c>
      <c r="L5" s="281">
        <v>4</v>
      </c>
      <c r="M5" s="292" t="s">
        <v>7251</v>
      </c>
      <c r="N5" s="281">
        <v>3</v>
      </c>
      <c r="O5" s="292" t="s">
        <v>7251</v>
      </c>
      <c r="P5" s="281" t="s">
        <v>7251</v>
      </c>
    </row>
    <row r="6" spans="1:16">
      <c r="A6" s="281">
        <v>4</v>
      </c>
      <c r="B6" s="283" t="s">
        <v>14551</v>
      </c>
      <c r="C6" s="281" t="s">
        <v>14522</v>
      </c>
      <c r="D6" s="281" t="s">
        <v>1855</v>
      </c>
      <c r="E6" s="281">
        <f t="shared" si="0"/>
        <v>16</v>
      </c>
      <c r="F6" s="281">
        <v>2</v>
      </c>
      <c r="G6" s="281">
        <v>2</v>
      </c>
      <c r="H6" s="281">
        <v>3</v>
      </c>
      <c r="I6" s="281">
        <v>1</v>
      </c>
      <c r="J6" s="292">
        <v>2</v>
      </c>
      <c r="K6" s="292" t="s">
        <v>7251</v>
      </c>
      <c r="L6" s="281">
        <v>2</v>
      </c>
      <c r="M6" s="281">
        <v>1</v>
      </c>
      <c r="N6" s="281">
        <v>1</v>
      </c>
      <c r="O6" s="293" t="s">
        <v>7251</v>
      </c>
      <c r="P6" s="281">
        <v>2</v>
      </c>
    </row>
    <row r="7" spans="1:16">
      <c r="A7" s="281">
        <v>5</v>
      </c>
      <c r="B7" s="283" t="s">
        <v>14551</v>
      </c>
      <c r="C7" s="281" t="s">
        <v>14552</v>
      </c>
      <c r="D7" s="281" t="s">
        <v>1855</v>
      </c>
      <c r="E7" s="281">
        <f t="shared" si="0"/>
        <v>6</v>
      </c>
      <c r="F7" s="281" t="s">
        <v>7251</v>
      </c>
      <c r="G7" s="281">
        <v>1</v>
      </c>
      <c r="H7" s="292" t="s">
        <v>7251</v>
      </c>
      <c r="I7" s="292" t="s">
        <v>7251</v>
      </c>
      <c r="J7" s="292" t="s">
        <v>7251</v>
      </c>
      <c r="K7" s="281">
        <v>1</v>
      </c>
      <c r="L7" s="281">
        <v>1</v>
      </c>
      <c r="M7" s="281">
        <v>2</v>
      </c>
      <c r="N7" s="292" t="s">
        <v>7251</v>
      </c>
      <c r="O7" s="281">
        <v>1</v>
      </c>
      <c r="P7" s="281" t="s">
        <v>7251</v>
      </c>
    </row>
    <row r="8" spans="1:16">
      <c r="A8" s="281">
        <v>6</v>
      </c>
      <c r="B8" s="283" t="s">
        <v>14553</v>
      </c>
      <c r="C8" s="281" t="s">
        <v>14554</v>
      </c>
      <c r="D8" s="281" t="s">
        <v>1855</v>
      </c>
      <c r="E8" s="281">
        <f t="shared" si="0"/>
        <v>49</v>
      </c>
      <c r="F8" s="281">
        <v>3</v>
      </c>
      <c r="G8" s="281" t="s">
        <v>7251</v>
      </c>
      <c r="H8" s="281">
        <v>7</v>
      </c>
      <c r="I8" s="292">
        <v>3</v>
      </c>
      <c r="J8" s="281">
        <v>7</v>
      </c>
      <c r="K8" s="281">
        <v>7</v>
      </c>
      <c r="L8" s="281">
        <v>12</v>
      </c>
      <c r="M8" s="281">
        <v>3</v>
      </c>
      <c r="N8" s="281">
        <v>7</v>
      </c>
      <c r="O8" s="292" t="s">
        <v>7251</v>
      </c>
      <c r="P8" s="281" t="s">
        <v>7251</v>
      </c>
    </row>
    <row r="9" spans="1:16">
      <c r="A9" s="281">
        <v>7</v>
      </c>
      <c r="B9" s="283" t="s">
        <v>14553</v>
      </c>
      <c r="C9" s="281" t="s">
        <v>14522</v>
      </c>
      <c r="D9" s="281" t="s">
        <v>1855</v>
      </c>
      <c r="E9" s="281">
        <f t="shared" si="0"/>
        <v>26</v>
      </c>
      <c r="F9" s="281" t="s">
        <v>7251</v>
      </c>
      <c r="G9" s="281">
        <v>3</v>
      </c>
      <c r="H9" s="292" t="s">
        <v>7251</v>
      </c>
      <c r="I9" s="292" t="s">
        <v>7251</v>
      </c>
      <c r="J9" s="292" t="s">
        <v>7251</v>
      </c>
      <c r="K9" s="292" t="s">
        <v>7251</v>
      </c>
      <c r="L9" s="292" t="s">
        <v>7251</v>
      </c>
      <c r="M9" s="292" t="s">
        <v>7251</v>
      </c>
      <c r="N9" s="292" t="s">
        <v>7251</v>
      </c>
      <c r="O9" s="281">
        <v>3</v>
      </c>
      <c r="P9" s="281">
        <f>13+7</f>
        <v>20</v>
      </c>
    </row>
    <row r="10" spans="1:16">
      <c r="A10" s="281">
        <v>8</v>
      </c>
      <c r="B10" s="283" t="s">
        <v>14553</v>
      </c>
      <c r="C10" s="281" t="s">
        <v>14552</v>
      </c>
      <c r="D10" s="281" t="s">
        <v>1855</v>
      </c>
      <c r="E10" s="281">
        <f t="shared" si="0"/>
        <v>16</v>
      </c>
      <c r="F10" s="281">
        <v>4</v>
      </c>
      <c r="G10" s="281">
        <v>2</v>
      </c>
      <c r="H10" s="281">
        <v>2</v>
      </c>
      <c r="I10" s="292" t="s">
        <v>7251</v>
      </c>
      <c r="J10" s="292">
        <v>2</v>
      </c>
      <c r="K10" s="281">
        <v>3</v>
      </c>
      <c r="L10" s="281">
        <v>2</v>
      </c>
      <c r="M10" s="281">
        <v>1</v>
      </c>
      <c r="N10" s="292" t="s">
        <v>7251</v>
      </c>
      <c r="O10" s="292" t="s">
        <v>7251</v>
      </c>
      <c r="P10" s="281" t="s">
        <v>7251</v>
      </c>
    </row>
    <row r="11" spans="1:16">
      <c r="A11" s="281">
        <v>9</v>
      </c>
      <c r="B11" s="283" t="s">
        <v>14555</v>
      </c>
      <c r="C11" s="281" t="s">
        <v>14556</v>
      </c>
      <c r="D11" s="281" t="s">
        <v>1855</v>
      </c>
      <c r="E11" s="281">
        <f t="shared" si="0"/>
        <v>7</v>
      </c>
      <c r="F11" s="281" t="s">
        <v>7251</v>
      </c>
      <c r="G11" s="292" t="s">
        <v>7251</v>
      </c>
      <c r="H11" s="281">
        <v>3</v>
      </c>
      <c r="I11" s="292" t="s">
        <v>7251</v>
      </c>
      <c r="J11" s="281">
        <v>3</v>
      </c>
      <c r="K11" s="281">
        <v>1</v>
      </c>
      <c r="L11" s="292" t="s">
        <v>7251</v>
      </c>
      <c r="M11" s="292" t="s">
        <v>7251</v>
      </c>
      <c r="N11" s="292" t="s">
        <v>7251</v>
      </c>
      <c r="O11" s="292" t="s">
        <v>7251</v>
      </c>
      <c r="P11" s="281" t="s">
        <v>7251</v>
      </c>
    </row>
    <row r="12" spans="1:16">
      <c r="A12" s="281">
        <v>10</v>
      </c>
      <c r="B12" s="283" t="s">
        <v>14555</v>
      </c>
      <c r="C12" s="281" t="s">
        <v>14560</v>
      </c>
      <c r="D12" s="281" t="s">
        <v>1855</v>
      </c>
      <c r="E12" s="281">
        <f t="shared" si="0"/>
        <v>11</v>
      </c>
      <c r="F12" s="281" t="s">
        <v>7251</v>
      </c>
      <c r="G12" s="281">
        <v>1</v>
      </c>
      <c r="H12" s="281">
        <v>2</v>
      </c>
      <c r="I12" s="292" t="s">
        <v>7251</v>
      </c>
      <c r="J12" s="281">
        <v>2</v>
      </c>
      <c r="K12" s="281">
        <v>3</v>
      </c>
      <c r="L12" s="281">
        <v>1</v>
      </c>
      <c r="M12" s="281">
        <v>2</v>
      </c>
      <c r="N12" s="292" t="s">
        <v>7251</v>
      </c>
      <c r="O12" s="292" t="s">
        <v>7251</v>
      </c>
      <c r="P12" s="281" t="s">
        <v>7251</v>
      </c>
    </row>
    <row r="13" spans="1:16">
      <c r="A13" s="281">
        <v>11</v>
      </c>
      <c r="B13" s="283" t="s">
        <v>14561</v>
      </c>
      <c r="C13" s="281" t="s">
        <v>14557</v>
      </c>
      <c r="D13" s="281" t="s">
        <v>1855</v>
      </c>
      <c r="E13" s="281">
        <f t="shared" si="0"/>
        <v>8</v>
      </c>
      <c r="F13" s="281">
        <v>1</v>
      </c>
      <c r="G13" s="292" t="s">
        <v>7251</v>
      </c>
      <c r="H13" s="281">
        <v>1</v>
      </c>
      <c r="I13" s="292">
        <v>1</v>
      </c>
      <c r="J13" s="292" t="s">
        <v>7251</v>
      </c>
      <c r="K13" s="281">
        <v>1</v>
      </c>
      <c r="L13" s="281">
        <v>2</v>
      </c>
      <c r="M13" s="281">
        <v>1</v>
      </c>
      <c r="N13" s="281">
        <v>1</v>
      </c>
      <c r="O13" s="292" t="s">
        <v>7251</v>
      </c>
      <c r="P13" s="281" t="s">
        <v>7251</v>
      </c>
    </row>
    <row r="14" spans="1:16">
      <c r="A14" s="281">
        <v>12</v>
      </c>
      <c r="B14" s="283" t="s">
        <v>14558</v>
      </c>
      <c r="C14" s="281" t="s">
        <v>14522</v>
      </c>
      <c r="D14" s="281" t="s">
        <v>1855</v>
      </c>
      <c r="E14" s="281">
        <f t="shared" si="0"/>
        <v>35</v>
      </c>
      <c r="F14" s="281">
        <v>2</v>
      </c>
      <c r="G14" s="281">
        <v>4</v>
      </c>
      <c r="H14" s="281">
        <v>4</v>
      </c>
      <c r="I14" s="281">
        <v>1</v>
      </c>
      <c r="J14" s="281">
        <v>4</v>
      </c>
      <c r="K14" s="292" t="s">
        <v>7251</v>
      </c>
      <c r="L14" s="281">
        <v>1</v>
      </c>
      <c r="M14" s="281">
        <v>1</v>
      </c>
      <c r="N14" s="292" t="s">
        <v>7251</v>
      </c>
      <c r="O14" s="281">
        <v>3</v>
      </c>
      <c r="P14" s="281">
        <v>15</v>
      </c>
    </row>
    <row r="15" spans="1:16">
      <c r="A15" s="281">
        <v>13</v>
      </c>
      <c r="B15" s="283" t="s">
        <v>14558</v>
      </c>
      <c r="C15" s="281" t="s">
        <v>14552</v>
      </c>
      <c r="D15" s="281" t="s">
        <v>1855</v>
      </c>
      <c r="E15" s="281">
        <f t="shared" si="0"/>
        <v>35</v>
      </c>
      <c r="F15" s="281">
        <v>3</v>
      </c>
      <c r="G15" s="281">
        <v>4</v>
      </c>
      <c r="H15" s="281">
        <v>5</v>
      </c>
      <c r="I15" s="281">
        <v>1</v>
      </c>
      <c r="J15" s="281">
        <v>4</v>
      </c>
      <c r="K15" s="281">
        <v>7</v>
      </c>
      <c r="L15" s="281">
        <v>5</v>
      </c>
      <c r="M15" s="281">
        <v>4</v>
      </c>
      <c r="N15" s="281">
        <v>1</v>
      </c>
      <c r="O15" s="281">
        <v>1</v>
      </c>
      <c r="P15" s="281" t="s">
        <v>7251</v>
      </c>
    </row>
    <row r="16" spans="1:16">
      <c r="A16" s="281">
        <v>14</v>
      </c>
      <c r="B16" s="282" t="s">
        <v>14559</v>
      </c>
      <c r="C16" s="281" t="s">
        <v>14522</v>
      </c>
      <c r="D16" s="281" t="s">
        <v>1855</v>
      </c>
      <c r="E16" s="281">
        <f t="shared" si="0"/>
        <v>7</v>
      </c>
      <c r="F16" s="281">
        <v>2</v>
      </c>
      <c r="G16" s="292" t="s">
        <v>7251</v>
      </c>
      <c r="H16" s="281">
        <v>1</v>
      </c>
      <c r="I16" s="281">
        <v>1</v>
      </c>
      <c r="J16" s="281">
        <v>1</v>
      </c>
      <c r="K16" s="292" t="s">
        <v>7251</v>
      </c>
      <c r="L16" s="281">
        <v>1</v>
      </c>
      <c r="M16" s="281">
        <v>1</v>
      </c>
      <c r="N16" s="292" t="s">
        <v>7251</v>
      </c>
      <c r="O16" s="292" t="s">
        <v>7251</v>
      </c>
      <c r="P16" s="281" t="s">
        <v>7251</v>
      </c>
    </row>
    <row r="17" spans="1:16">
      <c r="A17" s="281"/>
      <c r="B17" s="282" t="s">
        <v>14544</v>
      </c>
      <c r="C17" s="281" t="s">
        <v>14554</v>
      </c>
      <c r="D17" s="281" t="s">
        <v>6</v>
      </c>
      <c r="E17" s="281">
        <f>ROUNDUP(SUM(F17:P17),0)</f>
        <v>35</v>
      </c>
      <c r="F17" s="281">
        <f>0.4+1.2</f>
        <v>1.6</v>
      </c>
      <c r="G17" s="292" t="s">
        <v>7251</v>
      </c>
      <c r="H17" s="281">
        <f>0.4*3+3.1</f>
        <v>4.3000000000000007</v>
      </c>
      <c r="I17" s="292">
        <f>0.4+0.7</f>
        <v>1.1000000000000001</v>
      </c>
      <c r="J17" s="281">
        <f>0.4*3+3.1</f>
        <v>4.3000000000000007</v>
      </c>
      <c r="K17" s="281">
        <f>3*0.4+4.4</f>
        <v>5.6000000000000005</v>
      </c>
      <c r="L17" s="281">
        <f>0.4*3+0.5*2+8.1</f>
        <v>10.3</v>
      </c>
      <c r="M17" s="281">
        <f>0.4+1.6</f>
        <v>2</v>
      </c>
      <c r="N17" s="281">
        <f>0.6*3+3.1</f>
        <v>4.9000000000000004</v>
      </c>
      <c r="O17" s="292" t="s">
        <v>7251</v>
      </c>
      <c r="P17" s="281" t="s">
        <v>7251</v>
      </c>
    </row>
    <row r="18" spans="1:16">
      <c r="A18" s="281"/>
      <c r="B18" s="282" t="s">
        <v>14544</v>
      </c>
      <c r="C18" s="281" t="s">
        <v>14522</v>
      </c>
      <c r="D18" s="281" t="s">
        <v>6</v>
      </c>
      <c r="E18" s="281">
        <f t="shared" ref="E18:E19" si="1">ROUNDUP(SUM(F18:P18),0)</f>
        <v>62</v>
      </c>
      <c r="F18" s="281">
        <v>1.4</v>
      </c>
      <c r="G18" s="281">
        <f>0.4+2.3</f>
        <v>2.6999999999999997</v>
      </c>
      <c r="H18" s="281">
        <v>9.3000000000000007</v>
      </c>
      <c r="I18" s="292">
        <v>3.4</v>
      </c>
      <c r="J18" s="281">
        <v>8.9</v>
      </c>
      <c r="K18" s="281">
        <v>0.6</v>
      </c>
      <c r="L18" s="281">
        <v>2.6</v>
      </c>
      <c r="M18" s="281">
        <v>1.3</v>
      </c>
      <c r="N18" s="281">
        <v>0.5</v>
      </c>
      <c r="O18" s="281">
        <v>3</v>
      </c>
      <c r="P18" s="281">
        <f>4.6+2.8+6*3.4</f>
        <v>27.799999999999997</v>
      </c>
    </row>
    <row r="19" spans="1:16">
      <c r="A19" s="281"/>
      <c r="B19" s="282" t="s">
        <v>14544</v>
      </c>
      <c r="C19" s="281" t="s">
        <v>14552</v>
      </c>
      <c r="D19" s="281" t="s">
        <v>6</v>
      </c>
      <c r="E19" s="281">
        <f t="shared" si="1"/>
        <v>41</v>
      </c>
      <c r="F19" s="281">
        <f>0.7+0.9+1.9</f>
        <v>3.5</v>
      </c>
      <c r="G19" s="281">
        <f>0.9+1.8</f>
        <v>2.7</v>
      </c>
      <c r="H19" s="281">
        <v>4</v>
      </c>
      <c r="I19" s="292">
        <v>0.7</v>
      </c>
      <c r="J19" s="281">
        <v>6.7</v>
      </c>
      <c r="K19" s="281">
        <v>10</v>
      </c>
      <c r="L19" s="281">
        <v>3.3</v>
      </c>
      <c r="M19" s="281">
        <v>4.5999999999999996</v>
      </c>
      <c r="N19" s="281">
        <v>4.3</v>
      </c>
      <c r="O19" s="281">
        <v>0.5</v>
      </c>
      <c r="P19" s="281" t="s">
        <v>7251</v>
      </c>
    </row>
    <row r="20" spans="1:16">
      <c r="A20" s="294" t="s">
        <v>14715</v>
      </c>
    </row>
  </sheetData>
  <mergeCells count="1">
    <mergeCell ref="A1:P1"/>
  </mergeCells>
  <pageMargins left="0.511811024" right="0.511811024" top="0.78740157499999996" bottom="0.78740157499999996" header="0.31496062000000002" footer="0.31496062000000002"/>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D1442"/>
  <sheetViews>
    <sheetView workbookViewId="0">
      <selection activeCell="A4" sqref="A4"/>
    </sheetView>
  </sheetViews>
  <sheetFormatPr defaultRowHeight="11.25"/>
  <cols>
    <col min="1" max="1" width="10.625" style="12" customWidth="1"/>
    <col min="2" max="2" width="30.625" style="12" customWidth="1"/>
    <col min="3" max="8" width="10.625" style="12" customWidth="1"/>
    <col min="9" max="16384" width="9" style="12"/>
  </cols>
  <sheetData>
    <row r="1" spans="1:4">
      <c r="A1" s="17" t="s">
        <v>1944</v>
      </c>
      <c r="B1" s="35">
        <v>45261</v>
      </c>
    </row>
    <row r="2" spans="1:4">
      <c r="A2" s="12" t="s">
        <v>2101</v>
      </c>
      <c r="B2" s="12" t="s">
        <v>922</v>
      </c>
      <c r="C2" s="12" t="s">
        <v>29</v>
      </c>
      <c r="D2" s="12" t="s">
        <v>2100</v>
      </c>
    </row>
    <row r="3" spans="1:4" ht="15">
      <c r="A3" s="195">
        <v>1</v>
      </c>
      <c r="B3" s="195" t="s">
        <v>926</v>
      </c>
      <c r="C3" s="196"/>
      <c r="D3" s="197"/>
    </row>
    <row r="4" spans="1:4" ht="15">
      <c r="A4" s="195">
        <v>102</v>
      </c>
      <c r="B4" s="195" t="s">
        <v>1945</v>
      </c>
      <c r="C4" s="196"/>
      <c r="D4" s="197"/>
    </row>
    <row r="5" spans="1:4" ht="28.5">
      <c r="A5" s="198">
        <v>10201</v>
      </c>
      <c r="B5" s="198" t="s">
        <v>34</v>
      </c>
      <c r="C5" s="196" t="s">
        <v>35</v>
      </c>
      <c r="D5" s="197">
        <v>24.9</v>
      </c>
    </row>
    <row r="6" spans="1:4" ht="28.5">
      <c r="A6" s="198">
        <v>10202</v>
      </c>
      <c r="B6" s="198" t="s">
        <v>36</v>
      </c>
      <c r="C6" s="196" t="s">
        <v>35</v>
      </c>
      <c r="D6" s="197">
        <v>13.41</v>
      </c>
    </row>
    <row r="7" spans="1:4" ht="42.75">
      <c r="A7" s="198">
        <v>10203</v>
      </c>
      <c r="B7" s="198" t="s">
        <v>37</v>
      </c>
      <c r="C7" s="196" t="s">
        <v>35</v>
      </c>
      <c r="D7" s="197">
        <v>26.82</v>
      </c>
    </row>
    <row r="8" spans="1:4" ht="28.5">
      <c r="A8" s="198">
        <v>10204</v>
      </c>
      <c r="B8" s="198" t="s">
        <v>38</v>
      </c>
      <c r="C8" s="196" t="s">
        <v>35</v>
      </c>
      <c r="D8" s="197">
        <v>19.149999999999999</v>
      </c>
    </row>
    <row r="9" spans="1:4" ht="14.25">
      <c r="A9" s="198">
        <v>10205</v>
      </c>
      <c r="B9" s="198" t="s">
        <v>39</v>
      </c>
      <c r="C9" s="196" t="s">
        <v>35</v>
      </c>
      <c r="D9" s="197">
        <v>17.239999999999998</v>
      </c>
    </row>
    <row r="10" spans="1:4" ht="28.5">
      <c r="A10" s="198">
        <v>10206</v>
      </c>
      <c r="B10" s="198" t="s">
        <v>40</v>
      </c>
      <c r="C10" s="196" t="s">
        <v>35</v>
      </c>
      <c r="D10" s="197">
        <v>47.89</v>
      </c>
    </row>
    <row r="11" spans="1:4" ht="28.5">
      <c r="A11" s="198">
        <v>10207</v>
      </c>
      <c r="B11" s="198" t="s">
        <v>41</v>
      </c>
      <c r="C11" s="196" t="s">
        <v>35</v>
      </c>
      <c r="D11" s="197">
        <v>47.89</v>
      </c>
    </row>
    <row r="12" spans="1:4" ht="28.5">
      <c r="A12" s="198">
        <v>10208</v>
      </c>
      <c r="B12" s="198" t="s">
        <v>42</v>
      </c>
      <c r="C12" s="196" t="s">
        <v>35</v>
      </c>
      <c r="D12" s="197">
        <v>9.58</v>
      </c>
    </row>
    <row r="13" spans="1:4" ht="14.25">
      <c r="A13" s="198">
        <v>10209</v>
      </c>
      <c r="B13" s="198" t="s">
        <v>43</v>
      </c>
      <c r="C13" s="196" t="s">
        <v>44</v>
      </c>
      <c r="D13" s="197">
        <v>57.46</v>
      </c>
    </row>
    <row r="14" spans="1:4" ht="28.5">
      <c r="A14" s="198">
        <v>10210</v>
      </c>
      <c r="B14" s="198" t="s">
        <v>45</v>
      </c>
      <c r="C14" s="196" t="s">
        <v>44</v>
      </c>
      <c r="D14" s="197">
        <v>270.08</v>
      </c>
    </row>
    <row r="15" spans="1:4" ht="57">
      <c r="A15" s="198">
        <v>10212</v>
      </c>
      <c r="B15" s="198" t="s">
        <v>46</v>
      </c>
      <c r="C15" s="196" t="s">
        <v>35</v>
      </c>
      <c r="D15" s="197">
        <v>11.49</v>
      </c>
    </row>
    <row r="16" spans="1:4" ht="57">
      <c r="A16" s="198">
        <v>10213</v>
      </c>
      <c r="B16" s="198" t="s">
        <v>47</v>
      </c>
      <c r="C16" s="196" t="s">
        <v>35</v>
      </c>
      <c r="D16" s="197">
        <v>13.41</v>
      </c>
    </row>
    <row r="17" spans="1:4" ht="28.5">
      <c r="A17" s="198">
        <v>10214</v>
      </c>
      <c r="B17" s="198" t="s">
        <v>48</v>
      </c>
      <c r="C17" s="196" t="s">
        <v>35</v>
      </c>
      <c r="D17" s="197">
        <v>15.32</v>
      </c>
    </row>
    <row r="18" spans="1:4" ht="14.25">
      <c r="A18" s="198">
        <v>10215</v>
      </c>
      <c r="B18" s="198" t="s">
        <v>49</v>
      </c>
      <c r="C18" s="196" t="s">
        <v>35</v>
      </c>
      <c r="D18" s="197">
        <v>9.58</v>
      </c>
    </row>
    <row r="19" spans="1:4" ht="14.25">
      <c r="A19" s="198">
        <v>10216</v>
      </c>
      <c r="B19" s="198" t="s">
        <v>50</v>
      </c>
      <c r="C19" s="196" t="s">
        <v>51</v>
      </c>
      <c r="D19" s="197">
        <v>9.58</v>
      </c>
    </row>
    <row r="20" spans="1:4" ht="28.5">
      <c r="A20" s="198">
        <v>10218</v>
      </c>
      <c r="B20" s="198" t="s">
        <v>52</v>
      </c>
      <c r="C20" s="196" t="s">
        <v>35</v>
      </c>
      <c r="D20" s="197">
        <v>13</v>
      </c>
    </row>
    <row r="21" spans="1:4" ht="28.5">
      <c r="A21" s="198">
        <v>10219</v>
      </c>
      <c r="B21" s="198" t="s">
        <v>53</v>
      </c>
      <c r="C21" s="196" t="s">
        <v>44</v>
      </c>
      <c r="D21" s="197">
        <v>316.39999999999998</v>
      </c>
    </row>
    <row r="22" spans="1:4" ht="28.5">
      <c r="A22" s="198">
        <v>10220</v>
      </c>
      <c r="B22" s="198" t="s">
        <v>54</v>
      </c>
      <c r="C22" s="196" t="s">
        <v>35</v>
      </c>
      <c r="D22" s="197">
        <v>11.82</v>
      </c>
    </row>
    <row r="23" spans="1:4" ht="14.25">
      <c r="A23" s="198">
        <v>10221</v>
      </c>
      <c r="B23" s="198" t="s">
        <v>55</v>
      </c>
      <c r="C23" s="196" t="s">
        <v>33</v>
      </c>
      <c r="D23" s="197">
        <v>29.12</v>
      </c>
    </row>
    <row r="24" spans="1:4" ht="28.5">
      <c r="A24" s="198">
        <v>10222</v>
      </c>
      <c r="B24" s="198" t="s">
        <v>56</v>
      </c>
      <c r="C24" s="196" t="s">
        <v>35</v>
      </c>
      <c r="D24" s="197">
        <v>21.17</v>
      </c>
    </row>
    <row r="25" spans="1:4" ht="14.25">
      <c r="A25" s="198">
        <v>10223</v>
      </c>
      <c r="B25" s="198" t="s">
        <v>57</v>
      </c>
      <c r="C25" s="196" t="s">
        <v>33</v>
      </c>
      <c r="D25" s="197">
        <v>19.809999999999999</v>
      </c>
    </row>
    <row r="26" spans="1:4" ht="28.5">
      <c r="A26" s="198">
        <v>10224</v>
      </c>
      <c r="B26" s="198" t="s">
        <v>58</v>
      </c>
      <c r="C26" s="196" t="s">
        <v>35</v>
      </c>
      <c r="D26" s="197">
        <v>16.88</v>
      </c>
    </row>
    <row r="27" spans="1:4" ht="14.25">
      <c r="A27" s="198">
        <v>10225</v>
      </c>
      <c r="B27" s="198" t="s">
        <v>59</v>
      </c>
      <c r="C27" s="196" t="s">
        <v>35</v>
      </c>
      <c r="D27" s="197">
        <v>23.77</v>
      </c>
    </row>
    <row r="28" spans="1:4" ht="14.25">
      <c r="A28" s="198">
        <v>10226</v>
      </c>
      <c r="B28" s="198" t="s">
        <v>60</v>
      </c>
      <c r="C28" s="196" t="s">
        <v>33</v>
      </c>
      <c r="D28" s="197">
        <v>23.77</v>
      </c>
    </row>
    <row r="29" spans="1:4" ht="42.75">
      <c r="A29" s="198">
        <v>10227</v>
      </c>
      <c r="B29" s="198" t="s">
        <v>18887</v>
      </c>
      <c r="C29" s="196" t="s">
        <v>33</v>
      </c>
      <c r="D29" s="197">
        <v>39.619999999999997</v>
      </c>
    </row>
    <row r="30" spans="1:4" ht="28.5">
      <c r="A30" s="198">
        <v>10228</v>
      </c>
      <c r="B30" s="198" t="s">
        <v>61</v>
      </c>
      <c r="C30" s="196" t="s">
        <v>35</v>
      </c>
      <c r="D30" s="197">
        <v>6.44</v>
      </c>
    </row>
    <row r="31" spans="1:4" ht="28.5">
      <c r="A31" s="198">
        <v>10229</v>
      </c>
      <c r="B31" s="198" t="s">
        <v>62</v>
      </c>
      <c r="C31" s="196" t="s">
        <v>33</v>
      </c>
      <c r="D31" s="197">
        <v>38.31</v>
      </c>
    </row>
    <row r="32" spans="1:4" ht="28.5">
      <c r="A32" s="198">
        <v>10230</v>
      </c>
      <c r="B32" s="198" t="s">
        <v>63</v>
      </c>
      <c r="C32" s="196" t="s">
        <v>35</v>
      </c>
      <c r="D32" s="197">
        <v>6.14</v>
      </c>
    </row>
    <row r="33" spans="1:4" ht="28.5">
      <c r="A33" s="198">
        <v>10234</v>
      </c>
      <c r="B33" s="198" t="s">
        <v>64</v>
      </c>
      <c r="C33" s="196" t="s">
        <v>35</v>
      </c>
      <c r="D33" s="197">
        <v>24.9</v>
      </c>
    </row>
    <row r="34" spans="1:4" ht="28.5">
      <c r="A34" s="198">
        <v>10238</v>
      </c>
      <c r="B34" s="198" t="s">
        <v>65</v>
      </c>
      <c r="C34" s="196" t="s">
        <v>35</v>
      </c>
      <c r="D34" s="197">
        <v>9.58</v>
      </c>
    </row>
    <row r="35" spans="1:4" ht="28.5">
      <c r="A35" s="198">
        <v>10239</v>
      </c>
      <c r="B35" s="198" t="s">
        <v>66</v>
      </c>
      <c r="C35" s="196" t="s">
        <v>35</v>
      </c>
      <c r="D35" s="197">
        <v>36.99</v>
      </c>
    </row>
    <row r="36" spans="1:4" ht="42.75">
      <c r="A36" s="198">
        <v>10240</v>
      </c>
      <c r="B36" s="198" t="s">
        <v>67</v>
      </c>
      <c r="C36" s="196" t="s">
        <v>33</v>
      </c>
      <c r="D36" s="197">
        <v>10.48</v>
      </c>
    </row>
    <row r="37" spans="1:4" ht="14.25">
      <c r="A37" s="198">
        <v>10242</v>
      </c>
      <c r="B37" s="198" t="s">
        <v>68</v>
      </c>
      <c r="C37" s="196" t="s">
        <v>35</v>
      </c>
      <c r="D37" s="197">
        <v>3.38</v>
      </c>
    </row>
    <row r="38" spans="1:4" ht="28.5">
      <c r="A38" s="198">
        <v>10244</v>
      </c>
      <c r="B38" s="198" t="s">
        <v>69</v>
      </c>
      <c r="C38" s="196" t="s">
        <v>51</v>
      </c>
      <c r="D38" s="197">
        <v>13.81</v>
      </c>
    </row>
    <row r="39" spans="1:4" ht="42.75">
      <c r="A39" s="198">
        <v>10246</v>
      </c>
      <c r="B39" s="198" t="s">
        <v>70</v>
      </c>
      <c r="C39" s="196" t="s">
        <v>35</v>
      </c>
      <c r="D39" s="197">
        <v>3.61</v>
      </c>
    </row>
    <row r="40" spans="1:4" ht="42.75">
      <c r="A40" s="198">
        <v>10253</v>
      </c>
      <c r="B40" s="198" t="s">
        <v>71</v>
      </c>
      <c r="C40" s="196" t="s">
        <v>35</v>
      </c>
      <c r="D40" s="197">
        <v>27.9</v>
      </c>
    </row>
    <row r="41" spans="1:4" ht="28.5">
      <c r="A41" s="198">
        <v>10254</v>
      </c>
      <c r="B41" s="198" t="s">
        <v>72</v>
      </c>
      <c r="C41" s="196" t="s">
        <v>35</v>
      </c>
      <c r="D41" s="197">
        <v>9.27</v>
      </c>
    </row>
    <row r="42" spans="1:4" ht="28.5">
      <c r="A42" s="198">
        <v>10255</v>
      </c>
      <c r="B42" s="198" t="s">
        <v>73</v>
      </c>
      <c r="C42" s="196" t="s">
        <v>35</v>
      </c>
      <c r="D42" s="197">
        <v>22.88</v>
      </c>
    </row>
    <row r="43" spans="1:4" ht="28.5">
      <c r="A43" s="198">
        <v>10256</v>
      </c>
      <c r="B43" s="198" t="s">
        <v>74</v>
      </c>
      <c r="C43" s="196" t="s">
        <v>35</v>
      </c>
      <c r="D43" s="197">
        <v>7.3</v>
      </c>
    </row>
    <row r="44" spans="1:4" ht="28.5">
      <c r="A44" s="198">
        <v>10259</v>
      </c>
      <c r="B44" s="198" t="s">
        <v>75</v>
      </c>
      <c r="C44" s="196" t="s">
        <v>51</v>
      </c>
      <c r="D44" s="197">
        <v>2.23</v>
      </c>
    </row>
    <row r="45" spans="1:4" ht="14.25">
      <c r="A45" s="198">
        <v>10264</v>
      </c>
      <c r="B45" s="198" t="s">
        <v>76</v>
      </c>
      <c r="C45" s="196" t="s">
        <v>35</v>
      </c>
      <c r="D45" s="197">
        <v>26.59</v>
      </c>
    </row>
    <row r="46" spans="1:4" ht="28.5">
      <c r="A46" s="198">
        <v>10271</v>
      </c>
      <c r="B46" s="198" t="s">
        <v>77</v>
      </c>
      <c r="C46" s="196" t="s">
        <v>33</v>
      </c>
      <c r="D46" s="197">
        <v>14.23</v>
      </c>
    </row>
    <row r="47" spans="1:4" ht="28.5">
      <c r="A47" s="198">
        <v>10279</v>
      </c>
      <c r="B47" s="198" t="s">
        <v>78</v>
      </c>
      <c r="C47" s="196" t="s">
        <v>33</v>
      </c>
      <c r="D47" s="197">
        <v>22.28</v>
      </c>
    </row>
    <row r="48" spans="1:4" ht="28.5">
      <c r="A48" s="198">
        <v>10280</v>
      </c>
      <c r="B48" s="198" t="s">
        <v>79</v>
      </c>
      <c r="C48" s="196" t="s">
        <v>35</v>
      </c>
      <c r="D48" s="197">
        <v>8.32</v>
      </c>
    </row>
    <row r="49" spans="1:4" ht="14.25">
      <c r="A49" s="198">
        <v>10286</v>
      </c>
      <c r="B49" s="198" t="s">
        <v>80</v>
      </c>
      <c r="C49" s="196" t="s">
        <v>35</v>
      </c>
      <c r="D49" s="197">
        <v>14.18</v>
      </c>
    </row>
    <row r="50" spans="1:4" ht="14.25">
      <c r="A50" s="198">
        <v>10292</v>
      </c>
      <c r="B50" s="198" t="s">
        <v>81</v>
      </c>
      <c r="C50" s="196" t="s">
        <v>51</v>
      </c>
      <c r="D50" s="197">
        <v>0.59</v>
      </c>
    </row>
    <row r="51" spans="1:4" ht="15">
      <c r="A51" s="195">
        <v>103</v>
      </c>
      <c r="B51" s="195" t="s">
        <v>1945</v>
      </c>
      <c r="C51" s="196"/>
      <c r="D51" s="197"/>
    </row>
    <row r="52" spans="1:4" ht="28.5">
      <c r="A52" s="198">
        <v>10315</v>
      </c>
      <c r="B52" s="198" t="s">
        <v>82</v>
      </c>
      <c r="C52" s="196" t="s">
        <v>35</v>
      </c>
      <c r="D52" s="197">
        <v>10.94</v>
      </c>
    </row>
    <row r="53" spans="1:4" ht="28.5">
      <c r="A53" s="198">
        <v>10317</v>
      </c>
      <c r="B53" s="198" t="s">
        <v>83</v>
      </c>
      <c r="C53" s="196" t="s">
        <v>35</v>
      </c>
      <c r="D53" s="197">
        <v>114.92</v>
      </c>
    </row>
    <row r="54" spans="1:4" ht="28.5">
      <c r="A54" s="198">
        <v>10318</v>
      </c>
      <c r="B54" s="198" t="s">
        <v>84</v>
      </c>
      <c r="C54" s="196" t="s">
        <v>35</v>
      </c>
      <c r="D54" s="197">
        <v>13.43</v>
      </c>
    </row>
    <row r="55" spans="1:4" ht="42.75">
      <c r="A55" s="198">
        <v>10319</v>
      </c>
      <c r="B55" s="198" t="s">
        <v>85</v>
      </c>
      <c r="C55" s="196" t="s">
        <v>35</v>
      </c>
      <c r="D55" s="197">
        <v>18.91</v>
      </c>
    </row>
    <row r="56" spans="1:4" ht="28.5">
      <c r="A56" s="198">
        <v>10320</v>
      </c>
      <c r="B56" s="198" t="s">
        <v>86</v>
      </c>
      <c r="C56" s="196" t="s">
        <v>35</v>
      </c>
      <c r="D56" s="197">
        <v>1.92</v>
      </c>
    </row>
    <row r="57" spans="1:4" ht="14.25">
      <c r="A57" s="198">
        <v>10323</v>
      </c>
      <c r="B57" s="198" t="s">
        <v>87</v>
      </c>
      <c r="C57" s="196" t="s">
        <v>33</v>
      </c>
      <c r="D57" s="197">
        <v>10.48</v>
      </c>
    </row>
    <row r="58" spans="1:4" ht="28.5">
      <c r="A58" s="198">
        <v>10324</v>
      </c>
      <c r="B58" s="198" t="s">
        <v>88</v>
      </c>
      <c r="C58" s="196" t="s">
        <v>35</v>
      </c>
      <c r="D58" s="197">
        <v>8.42</v>
      </c>
    </row>
    <row r="59" spans="1:4" ht="28.5">
      <c r="A59" s="198">
        <v>10325</v>
      </c>
      <c r="B59" s="198" t="s">
        <v>89</v>
      </c>
      <c r="C59" s="196" t="s">
        <v>35</v>
      </c>
      <c r="D59" s="197">
        <v>27.9</v>
      </c>
    </row>
    <row r="60" spans="1:4" ht="28.5">
      <c r="A60" s="198">
        <v>10326</v>
      </c>
      <c r="B60" s="198" t="s">
        <v>90</v>
      </c>
      <c r="C60" s="196" t="s">
        <v>35</v>
      </c>
      <c r="D60" s="197">
        <v>27.9</v>
      </c>
    </row>
    <row r="61" spans="1:4" ht="14.25">
      <c r="A61" s="198">
        <v>10327</v>
      </c>
      <c r="B61" s="198" t="s">
        <v>91</v>
      </c>
      <c r="C61" s="196" t="s">
        <v>51</v>
      </c>
      <c r="D61" s="197">
        <v>2.38</v>
      </c>
    </row>
    <row r="62" spans="1:4" ht="14.25">
      <c r="A62" s="198">
        <v>10329</v>
      </c>
      <c r="B62" s="198" t="s">
        <v>92</v>
      </c>
      <c r="C62" s="196" t="s">
        <v>33</v>
      </c>
      <c r="D62" s="197">
        <v>19.57</v>
      </c>
    </row>
    <row r="63" spans="1:4" ht="42.75">
      <c r="A63" s="198">
        <v>10331</v>
      </c>
      <c r="B63" s="198" t="s">
        <v>93</v>
      </c>
      <c r="C63" s="196" t="s">
        <v>35</v>
      </c>
      <c r="D63" s="197">
        <v>10.26</v>
      </c>
    </row>
    <row r="64" spans="1:4" ht="28.5">
      <c r="A64" s="198">
        <v>10332</v>
      </c>
      <c r="B64" s="198" t="s">
        <v>94</v>
      </c>
      <c r="C64" s="196" t="s">
        <v>51</v>
      </c>
      <c r="D64" s="197">
        <v>3.56</v>
      </c>
    </row>
    <row r="65" spans="1:4" ht="14.25">
      <c r="A65" s="198">
        <v>10333</v>
      </c>
      <c r="B65" s="198" t="s">
        <v>95</v>
      </c>
      <c r="C65" s="196" t="s">
        <v>35</v>
      </c>
      <c r="D65" s="197">
        <v>7.96</v>
      </c>
    </row>
    <row r="66" spans="1:4" ht="15">
      <c r="A66" s="195">
        <v>104</v>
      </c>
      <c r="B66" s="195" t="s">
        <v>1946</v>
      </c>
      <c r="C66" s="196"/>
      <c r="D66" s="197"/>
    </row>
    <row r="67" spans="1:4" ht="28.5">
      <c r="A67" s="198">
        <v>10401</v>
      </c>
      <c r="B67" s="198" t="s">
        <v>96</v>
      </c>
      <c r="C67" s="196" t="s">
        <v>35</v>
      </c>
      <c r="D67" s="197">
        <v>1.31</v>
      </c>
    </row>
    <row r="68" spans="1:4" ht="28.5">
      <c r="A68" s="198">
        <v>10402</v>
      </c>
      <c r="B68" s="198" t="s">
        <v>97</v>
      </c>
      <c r="C68" s="196" t="s">
        <v>35</v>
      </c>
      <c r="D68" s="197">
        <v>4.22</v>
      </c>
    </row>
    <row r="69" spans="1:4" ht="28.5">
      <c r="A69" s="198">
        <v>10403</v>
      </c>
      <c r="B69" s="198" t="s">
        <v>98</v>
      </c>
      <c r="C69" s="196" t="s">
        <v>33</v>
      </c>
      <c r="D69" s="197">
        <v>50.64</v>
      </c>
    </row>
    <row r="70" spans="1:4" ht="28.5">
      <c r="A70" s="198">
        <v>10404</v>
      </c>
      <c r="B70" s="198" t="s">
        <v>99</v>
      </c>
      <c r="C70" s="196" t="s">
        <v>33</v>
      </c>
      <c r="D70" s="197">
        <v>125.93</v>
      </c>
    </row>
    <row r="71" spans="1:4" ht="15">
      <c r="A71" s="195">
        <v>105</v>
      </c>
      <c r="B71" s="195" t="s">
        <v>1947</v>
      </c>
      <c r="C71" s="196"/>
      <c r="D71" s="197"/>
    </row>
    <row r="72" spans="1:4" ht="28.5">
      <c r="A72" s="198">
        <v>10501</v>
      </c>
      <c r="B72" s="198" t="s">
        <v>100</v>
      </c>
      <c r="C72" s="196" t="s">
        <v>35</v>
      </c>
      <c r="D72" s="197">
        <v>10.53</v>
      </c>
    </row>
    <row r="73" spans="1:4" ht="57">
      <c r="A73" s="198">
        <v>10512</v>
      </c>
      <c r="B73" s="198" t="s">
        <v>101</v>
      </c>
      <c r="C73" s="196" t="s">
        <v>102</v>
      </c>
      <c r="D73" s="199">
        <v>21213.37</v>
      </c>
    </row>
    <row r="74" spans="1:4" ht="15">
      <c r="A74" s="195">
        <v>2</v>
      </c>
      <c r="B74" s="195" t="s">
        <v>1948</v>
      </c>
      <c r="C74" s="196"/>
      <c r="D74" s="197"/>
    </row>
    <row r="75" spans="1:4" ht="30">
      <c r="A75" s="195">
        <v>203</v>
      </c>
      <c r="B75" s="195" t="s">
        <v>1949</v>
      </c>
      <c r="C75" s="196"/>
      <c r="D75" s="197"/>
    </row>
    <row r="76" spans="1:4" ht="28.5">
      <c r="A76" s="198">
        <v>20305</v>
      </c>
      <c r="B76" s="198" t="s">
        <v>13882</v>
      </c>
      <c r="C76" s="196" t="s">
        <v>35</v>
      </c>
      <c r="D76" s="197">
        <v>329.94</v>
      </c>
    </row>
    <row r="77" spans="1:4" ht="71.25">
      <c r="A77" s="198">
        <v>20339</v>
      </c>
      <c r="B77" s="198" t="s">
        <v>103</v>
      </c>
      <c r="C77" s="196" t="s">
        <v>35</v>
      </c>
      <c r="D77" s="197">
        <v>22.59</v>
      </c>
    </row>
    <row r="78" spans="1:4" ht="128.25">
      <c r="A78" s="198">
        <v>20343</v>
      </c>
      <c r="B78" s="198" t="s">
        <v>104</v>
      </c>
      <c r="C78" s="196" t="s">
        <v>102</v>
      </c>
      <c r="D78" s="199">
        <v>1081.75</v>
      </c>
    </row>
    <row r="79" spans="1:4" ht="42.75">
      <c r="A79" s="198">
        <v>20344</v>
      </c>
      <c r="B79" s="198" t="s">
        <v>105</v>
      </c>
      <c r="C79" s="196" t="s">
        <v>33</v>
      </c>
      <c r="D79" s="199">
        <v>1833.5</v>
      </c>
    </row>
    <row r="80" spans="1:4" ht="42.75">
      <c r="A80" s="198">
        <v>20346</v>
      </c>
      <c r="B80" s="198" t="s">
        <v>106</v>
      </c>
      <c r="C80" s="196" t="s">
        <v>51</v>
      </c>
      <c r="D80" s="197">
        <v>15.67</v>
      </c>
    </row>
    <row r="81" spans="1:4" ht="85.5">
      <c r="A81" s="198">
        <v>20348</v>
      </c>
      <c r="B81" s="198" t="s">
        <v>107</v>
      </c>
      <c r="C81" s="196" t="s">
        <v>35</v>
      </c>
      <c r="D81" s="197">
        <v>28.17</v>
      </c>
    </row>
    <row r="82" spans="1:4" ht="114">
      <c r="A82" s="198">
        <v>20350</v>
      </c>
      <c r="B82" s="198" t="s">
        <v>12471</v>
      </c>
      <c r="C82" s="196" t="s">
        <v>51</v>
      </c>
      <c r="D82" s="197">
        <v>143.18</v>
      </c>
    </row>
    <row r="83" spans="1:4" ht="99.75">
      <c r="A83" s="198">
        <v>20351</v>
      </c>
      <c r="B83" s="198" t="s">
        <v>12472</v>
      </c>
      <c r="C83" s="196" t="s">
        <v>51</v>
      </c>
      <c r="D83" s="197">
        <v>255.43</v>
      </c>
    </row>
    <row r="84" spans="1:4" ht="128.25">
      <c r="A84" s="198">
        <v>20352</v>
      </c>
      <c r="B84" s="198" t="s">
        <v>108</v>
      </c>
      <c r="C84" s="196" t="s">
        <v>109</v>
      </c>
      <c r="D84" s="199">
        <v>1156.75</v>
      </c>
    </row>
    <row r="85" spans="1:4" ht="114">
      <c r="A85" s="198">
        <v>20353</v>
      </c>
      <c r="B85" s="198" t="s">
        <v>110</v>
      </c>
      <c r="C85" s="196" t="s">
        <v>109</v>
      </c>
      <c r="D85" s="199">
        <v>1156.75</v>
      </c>
    </row>
    <row r="86" spans="1:4" ht="85.5">
      <c r="A86" s="198">
        <v>20354</v>
      </c>
      <c r="B86" s="198" t="s">
        <v>111</v>
      </c>
      <c r="C86" s="196" t="s">
        <v>109</v>
      </c>
      <c r="D86" s="197">
        <v>764.25</v>
      </c>
    </row>
    <row r="87" spans="1:4" ht="99.75">
      <c r="A87" s="198">
        <v>20355</v>
      </c>
      <c r="B87" s="198" t="s">
        <v>112</v>
      </c>
      <c r="C87" s="196" t="s">
        <v>109</v>
      </c>
      <c r="D87" s="199">
        <v>1181.75</v>
      </c>
    </row>
    <row r="88" spans="1:4" ht="85.5">
      <c r="A88" s="198">
        <v>20356</v>
      </c>
      <c r="B88" s="198" t="s">
        <v>113</v>
      </c>
      <c r="C88" s="196" t="s">
        <v>109</v>
      </c>
      <c r="D88" s="197">
        <v>759</v>
      </c>
    </row>
    <row r="89" spans="1:4" ht="75">
      <c r="A89" s="195">
        <v>207</v>
      </c>
      <c r="B89" s="195" t="s">
        <v>1950</v>
      </c>
      <c r="C89" s="196"/>
      <c r="D89" s="197"/>
    </row>
    <row r="90" spans="1:4" ht="99.75">
      <c r="A90" s="198">
        <v>20701</v>
      </c>
      <c r="B90" s="198" t="s">
        <v>114</v>
      </c>
      <c r="C90" s="196" t="s">
        <v>35</v>
      </c>
      <c r="D90" s="197">
        <v>837.96</v>
      </c>
    </row>
    <row r="91" spans="1:4" ht="99.75">
      <c r="A91" s="198">
        <v>20702</v>
      </c>
      <c r="B91" s="198" t="s">
        <v>115</v>
      </c>
      <c r="C91" s="196" t="s">
        <v>35</v>
      </c>
      <c r="D91" s="197">
        <v>611.98</v>
      </c>
    </row>
    <row r="92" spans="1:4" ht="99.75">
      <c r="A92" s="198">
        <v>20703</v>
      </c>
      <c r="B92" s="198" t="s">
        <v>116</v>
      </c>
      <c r="C92" s="196" t="s">
        <v>35</v>
      </c>
      <c r="D92" s="197">
        <v>535.61</v>
      </c>
    </row>
    <row r="93" spans="1:4" ht="99.75">
      <c r="A93" s="198">
        <v>20704</v>
      </c>
      <c r="B93" s="198" t="s">
        <v>117</v>
      </c>
      <c r="C93" s="196" t="s">
        <v>35</v>
      </c>
      <c r="D93" s="197">
        <v>476.75</v>
      </c>
    </row>
    <row r="94" spans="1:4" ht="99.75">
      <c r="A94" s="198">
        <v>20705</v>
      </c>
      <c r="B94" s="198" t="s">
        <v>118</v>
      </c>
      <c r="C94" s="196" t="s">
        <v>33</v>
      </c>
      <c r="D94" s="199">
        <v>15914.89</v>
      </c>
    </row>
    <row r="95" spans="1:4" ht="99.75">
      <c r="A95" s="198">
        <v>20706</v>
      </c>
      <c r="B95" s="198" t="s">
        <v>119</v>
      </c>
      <c r="C95" s="196" t="s">
        <v>33</v>
      </c>
      <c r="D95" s="199">
        <v>23896.79</v>
      </c>
    </row>
    <row r="96" spans="1:4" ht="99.75">
      <c r="A96" s="198">
        <v>20707</v>
      </c>
      <c r="B96" s="198" t="s">
        <v>120</v>
      </c>
      <c r="C96" s="196" t="s">
        <v>33</v>
      </c>
      <c r="D96" s="199">
        <v>29426.11</v>
      </c>
    </row>
    <row r="97" spans="1:4" ht="99.75">
      <c r="A97" s="198">
        <v>20708</v>
      </c>
      <c r="B97" s="198" t="s">
        <v>121</v>
      </c>
      <c r="C97" s="196" t="s">
        <v>35</v>
      </c>
      <c r="D97" s="197">
        <v>211.88</v>
      </c>
    </row>
    <row r="98" spans="1:4" ht="114">
      <c r="A98" s="198">
        <v>20709</v>
      </c>
      <c r="B98" s="198" t="s">
        <v>122</v>
      </c>
      <c r="C98" s="196" t="s">
        <v>35</v>
      </c>
      <c r="D98" s="197">
        <v>284.02999999999997</v>
      </c>
    </row>
    <row r="99" spans="1:4" ht="57">
      <c r="A99" s="198">
        <v>20710</v>
      </c>
      <c r="B99" s="198" t="s">
        <v>123</v>
      </c>
      <c r="C99" s="196" t="s">
        <v>33</v>
      </c>
      <c r="D99" s="199">
        <v>2079.79</v>
      </c>
    </row>
    <row r="100" spans="1:4" ht="57">
      <c r="A100" s="198">
        <v>20711</v>
      </c>
      <c r="B100" s="198" t="s">
        <v>124</v>
      </c>
      <c r="C100" s="196" t="s">
        <v>33</v>
      </c>
      <c r="D100" s="199">
        <v>2403.33</v>
      </c>
    </row>
    <row r="101" spans="1:4" ht="99.75">
      <c r="A101" s="198">
        <v>20712</v>
      </c>
      <c r="B101" s="198" t="s">
        <v>18888</v>
      </c>
      <c r="C101" s="196" t="s">
        <v>51</v>
      </c>
      <c r="D101" s="197">
        <v>53.55</v>
      </c>
    </row>
    <row r="102" spans="1:4" ht="99.75">
      <c r="A102" s="198">
        <v>20713</v>
      </c>
      <c r="B102" s="198" t="s">
        <v>125</v>
      </c>
      <c r="C102" s="196" t="s">
        <v>51</v>
      </c>
      <c r="D102" s="197">
        <v>495.22</v>
      </c>
    </row>
    <row r="103" spans="1:4" ht="71.25">
      <c r="A103" s="198">
        <v>20714</v>
      </c>
      <c r="B103" s="198" t="s">
        <v>126</v>
      </c>
      <c r="C103" s="196" t="s">
        <v>51</v>
      </c>
      <c r="D103" s="197">
        <v>416.26</v>
      </c>
    </row>
    <row r="104" spans="1:4" ht="75">
      <c r="A104" s="195">
        <v>208</v>
      </c>
      <c r="B104" s="195" t="s">
        <v>1951</v>
      </c>
      <c r="C104" s="196"/>
      <c r="D104" s="197"/>
    </row>
    <row r="105" spans="1:4" ht="99.75">
      <c r="A105" s="198">
        <v>20801</v>
      </c>
      <c r="B105" s="198" t="s">
        <v>127</v>
      </c>
      <c r="C105" s="196" t="s">
        <v>35</v>
      </c>
      <c r="D105" s="197">
        <v>638.46</v>
      </c>
    </row>
    <row r="106" spans="1:4" ht="99.75">
      <c r="A106" s="198">
        <v>20802</v>
      </c>
      <c r="B106" s="198" t="s">
        <v>128</v>
      </c>
      <c r="C106" s="196" t="s">
        <v>35</v>
      </c>
      <c r="D106" s="197">
        <v>472.12</v>
      </c>
    </row>
    <row r="107" spans="1:4" ht="99.75">
      <c r="A107" s="198">
        <v>20803</v>
      </c>
      <c r="B107" s="198" t="s">
        <v>129</v>
      </c>
      <c r="C107" s="196" t="s">
        <v>35</v>
      </c>
      <c r="D107" s="197">
        <v>415.16</v>
      </c>
    </row>
    <row r="108" spans="1:4" ht="99.75">
      <c r="A108" s="198">
        <v>20804</v>
      </c>
      <c r="B108" s="198" t="s">
        <v>130</v>
      </c>
      <c r="C108" s="196" t="s">
        <v>35</v>
      </c>
      <c r="D108" s="197">
        <v>398.42</v>
      </c>
    </row>
    <row r="109" spans="1:4" ht="99.75">
      <c r="A109" s="198">
        <v>20805</v>
      </c>
      <c r="B109" s="198" t="s">
        <v>131</v>
      </c>
      <c r="C109" s="196" t="s">
        <v>33</v>
      </c>
      <c r="D109" s="199">
        <v>12529.81</v>
      </c>
    </row>
    <row r="110" spans="1:4" ht="99.75">
      <c r="A110" s="198">
        <v>20806</v>
      </c>
      <c r="B110" s="198" t="s">
        <v>132</v>
      </c>
      <c r="C110" s="196" t="s">
        <v>33</v>
      </c>
      <c r="D110" s="199">
        <v>18859.419999999998</v>
      </c>
    </row>
    <row r="111" spans="1:4" ht="99.75">
      <c r="A111" s="198">
        <v>20807</v>
      </c>
      <c r="B111" s="198" t="s">
        <v>133</v>
      </c>
      <c r="C111" s="196" t="s">
        <v>33</v>
      </c>
      <c r="D111" s="199">
        <v>23390.55</v>
      </c>
    </row>
    <row r="112" spans="1:4" ht="114">
      <c r="A112" s="198">
        <v>20808</v>
      </c>
      <c r="B112" s="198" t="s">
        <v>134</v>
      </c>
      <c r="C112" s="196" t="s">
        <v>35</v>
      </c>
      <c r="D112" s="197">
        <v>147.4</v>
      </c>
    </row>
    <row r="113" spans="1:4" ht="114">
      <c r="A113" s="198">
        <v>20809</v>
      </c>
      <c r="B113" s="198" t="s">
        <v>135</v>
      </c>
      <c r="C113" s="196" t="s">
        <v>35</v>
      </c>
      <c r="D113" s="197">
        <v>202.24</v>
      </c>
    </row>
    <row r="114" spans="1:4" ht="57">
      <c r="A114" s="198">
        <v>20810</v>
      </c>
      <c r="B114" s="198" t="s">
        <v>136</v>
      </c>
      <c r="C114" s="196" t="s">
        <v>33</v>
      </c>
      <c r="D114" s="199">
        <v>1297.06</v>
      </c>
    </row>
    <row r="115" spans="1:4" ht="71.25">
      <c r="A115" s="198">
        <v>20811</v>
      </c>
      <c r="B115" s="198" t="s">
        <v>137</v>
      </c>
      <c r="C115" s="196" t="s">
        <v>33</v>
      </c>
      <c r="D115" s="199">
        <v>1483.57</v>
      </c>
    </row>
    <row r="116" spans="1:4" ht="99.75">
      <c r="A116" s="198">
        <v>20812</v>
      </c>
      <c r="B116" s="198" t="s">
        <v>18889</v>
      </c>
      <c r="C116" s="196" t="s">
        <v>51</v>
      </c>
      <c r="D116" s="197">
        <v>36.590000000000003</v>
      </c>
    </row>
    <row r="117" spans="1:4" ht="15">
      <c r="A117" s="195">
        <v>3</v>
      </c>
      <c r="B117" s="195" t="s">
        <v>15</v>
      </c>
      <c r="C117" s="196"/>
      <c r="D117" s="197"/>
    </row>
    <row r="118" spans="1:4" ht="15">
      <c r="A118" s="195">
        <v>301</v>
      </c>
      <c r="B118" s="195" t="s">
        <v>1952</v>
      </c>
      <c r="C118" s="196"/>
      <c r="D118" s="197"/>
    </row>
    <row r="119" spans="1:4" ht="42.75">
      <c r="A119" s="198">
        <v>30101</v>
      </c>
      <c r="B119" s="198" t="s">
        <v>138</v>
      </c>
      <c r="C119" s="196" t="s">
        <v>44</v>
      </c>
      <c r="D119" s="197">
        <v>54.86</v>
      </c>
    </row>
    <row r="120" spans="1:4" ht="42.75">
      <c r="A120" s="198">
        <v>30102</v>
      </c>
      <c r="B120" s="198" t="s">
        <v>139</v>
      </c>
      <c r="C120" s="196" t="s">
        <v>44</v>
      </c>
      <c r="D120" s="197">
        <v>92.84</v>
      </c>
    </row>
    <row r="121" spans="1:4" ht="28.5">
      <c r="A121" s="198">
        <v>30103</v>
      </c>
      <c r="B121" s="198" t="s">
        <v>140</v>
      </c>
      <c r="C121" s="196" t="s">
        <v>44</v>
      </c>
      <c r="D121" s="197">
        <v>15.76</v>
      </c>
    </row>
    <row r="122" spans="1:4" ht="28.5">
      <c r="A122" s="198">
        <v>30104</v>
      </c>
      <c r="B122" s="198" t="s">
        <v>141</v>
      </c>
      <c r="C122" s="196" t="s">
        <v>44</v>
      </c>
      <c r="D122" s="197">
        <v>22.03</v>
      </c>
    </row>
    <row r="123" spans="1:4" ht="28.5">
      <c r="A123" s="198">
        <v>30119</v>
      </c>
      <c r="B123" s="198" t="s">
        <v>142</v>
      </c>
      <c r="C123" s="196" t="s">
        <v>35</v>
      </c>
      <c r="D123" s="197">
        <v>28.7</v>
      </c>
    </row>
    <row r="124" spans="1:4" ht="15">
      <c r="A124" s="195">
        <v>302</v>
      </c>
      <c r="B124" s="195" t="s">
        <v>1953</v>
      </c>
      <c r="C124" s="196"/>
      <c r="D124" s="197"/>
    </row>
    <row r="125" spans="1:4" ht="28.5">
      <c r="A125" s="198">
        <v>30201</v>
      </c>
      <c r="B125" s="198" t="s">
        <v>143</v>
      </c>
      <c r="C125" s="196" t="s">
        <v>44</v>
      </c>
      <c r="D125" s="197">
        <v>59.08</v>
      </c>
    </row>
    <row r="126" spans="1:4" ht="42.75">
      <c r="A126" s="198">
        <v>30202</v>
      </c>
      <c r="B126" s="198" t="s">
        <v>144</v>
      </c>
      <c r="C126" s="196" t="s">
        <v>44</v>
      </c>
      <c r="D126" s="197">
        <v>158.13</v>
      </c>
    </row>
    <row r="127" spans="1:4" ht="28.5">
      <c r="A127" s="198">
        <v>30203</v>
      </c>
      <c r="B127" s="198" t="s">
        <v>145</v>
      </c>
      <c r="C127" s="196" t="s">
        <v>44</v>
      </c>
      <c r="D127" s="197">
        <v>231.8</v>
      </c>
    </row>
    <row r="128" spans="1:4" ht="14.25">
      <c r="A128" s="198">
        <v>30204</v>
      </c>
      <c r="B128" s="198" t="s">
        <v>146</v>
      </c>
      <c r="C128" s="196" t="s">
        <v>44</v>
      </c>
      <c r="D128" s="197">
        <v>217.21</v>
      </c>
    </row>
    <row r="129" spans="1:4" ht="71.25">
      <c r="A129" s="198">
        <v>30206</v>
      </c>
      <c r="B129" s="198" t="s">
        <v>147</v>
      </c>
      <c r="C129" s="196" t="s">
        <v>44</v>
      </c>
      <c r="D129" s="197">
        <v>187.5</v>
      </c>
    </row>
    <row r="130" spans="1:4" ht="71.25">
      <c r="A130" s="198">
        <v>30208</v>
      </c>
      <c r="B130" s="198" t="s">
        <v>148</v>
      </c>
      <c r="C130" s="196" t="s">
        <v>44</v>
      </c>
      <c r="D130" s="197">
        <v>162.63</v>
      </c>
    </row>
    <row r="131" spans="1:4" ht="42.75">
      <c r="A131" s="198">
        <v>30209</v>
      </c>
      <c r="B131" s="198" t="s">
        <v>149</v>
      </c>
      <c r="C131" s="196" t="s">
        <v>44</v>
      </c>
      <c r="D131" s="197">
        <v>165.18</v>
      </c>
    </row>
    <row r="132" spans="1:4" ht="42.75">
      <c r="A132" s="198">
        <v>30210</v>
      </c>
      <c r="B132" s="198" t="s">
        <v>150</v>
      </c>
      <c r="C132" s="196" t="s">
        <v>44</v>
      </c>
      <c r="D132" s="197">
        <v>31.73</v>
      </c>
    </row>
    <row r="133" spans="1:4" ht="28.5">
      <c r="A133" s="198">
        <v>30211</v>
      </c>
      <c r="B133" s="198" t="s">
        <v>151</v>
      </c>
      <c r="C133" s="196" t="s">
        <v>44</v>
      </c>
      <c r="D133" s="197">
        <v>7.6</v>
      </c>
    </row>
    <row r="134" spans="1:4" ht="15">
      <c r="A134" s="195">
        <v>303</v>
      </c>
      <c r="B134" s="195" t="s">
        <v>1954</v>
      </c>
      <c r="C134" s="196"/>
      <c r="D134" s="197"/>
    </row>
    <row r="135" spans="1:4" ht="99.75">
      <c r="A135" s="198">
        <v>30304</v>
      </c>
      <c r="B135" s="198" t="s">
        <v>152</v>
      </c>
      <c r="C135" s="196" t="s">
        <v>44</v>
      </c>
      <c r="D135" s="197">
        <v>75.959999999999994</v>
      </c>
    </row>
    <row r="136" spans="1:4" ht="71.25">
      <c r="A136" s="198">
        <v>30305</v>
      </c>
      <c r="B136" s="198" t="s">
        <v>153</v>
      </c>
      <c r="C136" s="196" t="s">
        <v>33</v>
      </c>
      <c r="D136" s="197">
        <v>25.32</v>
      </c>
    </row>
    <row r="137" spans="1:4" ht="71.25">
      <c r="A137" s="198">
        <v>30306</v>
      </c>
      <c r="B137" s="198" t="s">
        <v>154</v>
      </c>
      <c r="C137" s="196" t="s">
        <v>33</v>
      </c>
      <c r="D137" s="197">
        <v>16.88</v>
      </c>
    </row>
    <row r="138" spans="1:4" ht="15">
      <c r="A138" s="195">
        <v>4</v>
      </c>
      <c r="B138" s="195" t="s">
        <v>30</v>
      </c>
      <c r="C138" s="196"/>
      <c r="D138" s="197"/>
    </row>
    <row r="139" spans="1:4" ht="15">
      <c r="A139" s="195">
        <v>402</v>
      </c>
      <c r="B139" s="195" t="s">
        <v>1955</v>
      </c>
      <c r="C139" s="196"/>
      <c r="D139" s="197"/>
    </row>
    <row r="140" spans="1:4" ht="42.75">
      <c r="A140" s="198">
        <v>40202</v>
      </c>
      <c r="B140" s="198" t="s">
        <v>155</v>
      </c>
      <c r="C140" s="196" t="s">
        <v>44</v>
      </c>
      <c r="D140" s="197">
        <v>684.16</v>
      </c>
    </row>
    <row r="141" spans="1:4" ht="85.5">
      <c r="A141" s="198">
        <v>40206</v>
      </c>
      <c r="B141" s="198" t="s">
        <v>156</v>
      </c>
      <c r="C141" s="196" t="s">
        <v>35</v>
      </c>
      <c r="D141" s="197">
        <v>80.31</v>
      </c>
    </row>
    <row r="142" spans="1:4" ht="57">
      <c r="A142" s="198">
        <v>40224</v>
      </c>
      <c r="B142" s="198" t="s">
        <v>157</v>
      </c>
      <c r="C142" s="196" t="s">
        <v>44</v>
      </c>
      <c r="D142" s="197">
        <v>748.61</v>
      </c>
    </row>
    <row r="143" spans="1:4" ht="71.25">
      <c r="A143" s="198">
        <v>40231</v>
      </c>
      <c r="B143" s="198" t="s">
        <v>158</v>
      </c>
      <c r="C143" s="196" t="s">
        <v>44</v>
      </c>
      <c r="D143" s="197">
        <v>656.8</v>
      </c>
    </row>
    <row r="144" spans="1:4" ht="57">
      <c r="A144" s="198">
        <v>40233</v>
      </c>
      <c r="B144" s="198" t="s">
        <v>159</v>
      </c>
      <c r="C144" s="196" t="s">
        <v>44</v>
      </c>
      <c r="D144" s="197">
        <v>679.71</v>
      </c>
    </row>
    <row r="145" spans="1:4" ht="57">
      <c r="A145" s="198">
        <v>40235</v>
      </c>
      <c r="B145" s="198" t="s">
        <v>160</v>
      </c>
      <c r="C145" s="196" t="s">
        <v>44</v>
      </c>
      <c r="D145" s="197">
        <v>702.02</v>
      </c>
    </row>
    <row r="146" spans="1:4" ht="57">
      <c r="A146" s="198">
        <v>40237</v>
      </c>
      <c r="B146" s="198" t="s">
        <v>161</v>
      </c>
      <c r="C146" s="196" t="s">
        <v>44</v>
      </c>
      <c r="D146" s="197">
        <v>726.35</v>
      </c>
    </row>
    <row r="147" spans="1:4" ht="71.25">
      <c r="A147" s="198">
        <v>40238</v>
      </c>
      <c r="B147" s="198" t="s">
        <v>162</v>
      </c>
      <c r="C147" s="196" t="s">
        <v>35</v>
      </c>
      <c r="D147" s="197">
        <v>83.02</v>
      </c>
    </row>
    <row r="148" spans="1:4" ht="71.25">
      <c r="A148" s="198">
        <v>40239</v>
      </c>
      <c r="B148" s="198" t="s">
        <v>163</v>
      </c>
      <c r="C148" s="196" t="s">
        <v>44</v>
      </c>
      <c r="D148" s="197">
        <v>641.57000000000005</v>
      </c>
    </row>
    <row r="149" spans="1:4" ht="71.25">
      <c r="A149" s="198">
        <v>40240</v>
      </c>
      <c r="B149" s="198" t="s">
        <v>164</v>
      </c>
      <c r="C149" s="196" t="s">
        <v>44</v>
      </c>
      <c r="D149" s="197">
        <v>672.18</v>
      </c>
    </row>
    <row r="150" spans="1:4" ht="57">
      <c r="A150" s="198">
        <v>40243</v>
      </c>
      <c r="B150" s="198" t="s">
        <v>165</v>
      </c>
      <c r="C150" s="196" t="s">
        <v>166</v>
      </c>
      <c r="D150" s="197">
        <v>11.13</v>
      </c>
    </row>
    <row r="151" spans="1:4" ht="57">
      <c r="A151" s="198">
        <v>40245</v>
      </c>
      <c r="B151" s="198" t="s">
        <v>167</v>
      </c>
      <c r="C151" s="196" t="s">
        <v>166</v>
      </c>
      <c r="D151" s="197">
        <v>11.59</v>
      </c>
    </row>
    <row r="152" spans="1:4" ht="57">
      <c r="A152" s="198">
        <v>40246</v>
      </c>
      <c r="B152" s="198" t="s">
        <v>168</v>
      </c>
      <c r="C152" s="196" t="s">
        <v>166</v>
      </c>
      <c r="D152" s="197">
        <v>11.72</v>
      </c>
    </row>
    <row r="153" spans="1:4" ht="71.25">
      <c r="A153" s="198">
        <v>40249</v>
      </c>
      <c r="B153" s="198" t="s">
        <v>169</v>
      </c>
      <c r="C153" s="196" t="s">
        <v>35</v>
      </c>
      <c r="D153" s="197">
        <v>123.29</v>
      </c>
    </row>
    <row r="154" spans="1:4" ht="71.25">
      <c r="A154" s="198">
        <v>40250</v>
      </c>
      <c r="B154" s="198" t="s">
        <v>170</v>
      </c>
      <c r="C154" s="196" t="s">
        <v>35</v>
      </c>
      <c r="D154" s="197">
        <v>96.56</v>
      </c>
    </row>
    <row r="155" spans="1:4" ht="71.25">
      <c r="A155" s="198">
        <v>40253</v>
      </c>
      <c r="B155" s="198" t="s">
        <v>171</v>
      </c>
      <c r="C155" s="196" t="s">
        <v>44</v>
      </c>
      <c r="D155" s="197">
        <v>685.41</v>
      </c>
    </row>
    <row r="156" spans="1:4" ht="15">
      <c r="A156" s="195">
        <v>403</v>
      </c>
      <c r="B156" s="195" t="s">
        <v>1956</v>
      </c>
      <c r="C156" s="196"/>
      <c r="D156" s="197"/>
    </row>
    <row r="157" spans="1:4" ht="57">
      <c r="A157" s="198">
        <v>40315</v>
      </c>
      <c r="B157" s="198" t="s">
        <v>157</v>
      </c>
      <c r="C157" s="196" t="s">
        <v>44</v>
      </c>
      <c r="D157" s="197">
        <v>855.69</v>
      </c>
    </row>
    <row r="158" spans="1:4" ht="57">
      <c r="A158" s="198">
        <v>40320</v>
      </c>
      <c r="B158" s="198" t="s">
        <v>159</v>
      </c>
      <c r="C158" s="196" t="s">
        <v>44</v>
      </c>
      <c r="D158" s="197">
        <v>786.79</v>
      </c>
    </row>
    <row r="159" spans="1:4" ht="57">
      <c r="A159" s="198">
        <v>40322</v>
      </c>
      <c r="B159" s="198" t="s">
        <v>160</v>
      </c>
      <c r="C159" s="196" t="s">
        <v>44</v>
      </c>
      <c r="D159" s="197">
        <v>809.1</v>
      </c>
    </row>
    <row r="160" spans="1:4" ht="57">
      <c r="A160" s="198">
        <v>40324</v>
      </c>
      <c r="B160" s="198" t="s">
        <v>161</v>
      </c>
      <c r="C160" s="196" t="s">
        <v>44</v>
      </c>
      <c r="D160" s="197">
        <v>833.43</v>
      </c>
    </row>
    <row r="161" spans="1:4" ht="57">
      <c r="A161" s="198">
        <v>40328</v>
      </c>
      <c r="B161" s="198" t="s">
        <v>165</v>
      </c>
      <c r="C161" s="196" t="s">
        <v>166</v>
      </c>
      <c r="D161" s="197">
        <v>11.13</v>
      </c>
    </row>
    <row r="162" spans="1:4" ht="71.25">
      <c r="A162" s="198">
        <v>40329</v>
      </c>
      <c r="B162" s="198" t="s">
        <v>172</v>
      </c>
      <c r="C162" s="196" t="s">
        <v>44</v>
      </c>
      <c r="D162" s="197">
        <v>576.39</v>
      </c>
    </row>
    <row r="163" spans="1:4" ht="71.25">
      <c r="A163" s="198">
        <v>40330</v>
      </c>
      <c r="B163" s="198" t="s">
        <v>173</v>
      </c>
      <c r="C163" s="196" t="s">
        <v>44</v>
      </c>
      <c r="D163" s="197">
        <v>608.75</v>
      </c>
    </row>
    <row r="164" spans="1:4" ht="71.25">
      <c r="A164" s="198">
        <v>40331</v>
      </c>
      <c r="B164" s="198" t="s">
        <v>174</v>
      </c>
      <c r="C164" s="196" t="s">
        <v>44</v>
      </c>
      <c r="D164" s="197">
        <v>622.73</v>
      </c>
    </row>
    <row r="165" spans="1:4" ht="57">
      <c r="A165" s="198">
        <v>40332</v>
      </c>
      <c r="B165" s="198" t="s">
        <v>175</v>
      </c>
      <c r="C165" s="196" t="s">
        <v>166</v>
      </c>
      <c r="D165" s="197">
        <v>11.59</v>
      </c>
    </row>
    <row r="166" spans="1:4" ht="57">
      <c r="A166" s="198">
        <v>40333</v>
      </c>
      <c r="B166" s="198" t="s">
        <v>168</v>
      </c>
      <c r="C166" s="196" t="s">
        <v>166</v>
      </c>
      <c r="D166" s="197">
        <v>11.72</v>
      </c>
    </row>
    <row r="167" spans="1:4" ht="99.75">
      <c r="A167" s="198">
        <v>40337</v>
      </c>
      <c r="B167" s="198" t="s">
        <v>176</v>
      </c>
      <c r="C167" s="196" t="s">
        <v>35</v>
      </c>
      <c r="D167" s="197">
        <v>98.94</v>
      </c>
    </row>
    <row r="168" spans="1:4" ht="99.75">
      <c r="A168" s="198">
        <v>40339</v>
      </c>
      <c r="B168" s="198" t="s">
        <v>177</v>
      </c>
      <c r="C168" s="196" t="s">
        <v>35</v>
      </c>
      <c r="D168" s="197">
        <v>121.33</v>
      </c>
    </row>
    <row r="169" spans="1:4" ht="30">
      <c r="A169" s="195">
        <v>404</v>
      </c>
      <c r="B169" s="195" t="s">
        <v>1957</v>
      </c>
      <c r="C169" s="196"/>
      <c r="D169" s="197"/>
    </row>
    <row r="170" spans="1:4" ht="42.75">
      <c r="A170" s="198">
        <v>40405</v>
      </c>
      <c r="B170" s="198" t="s">
        <v>178</v>
      </c>
      <c r="C170" s="196" t="s">
        <v>35</v>
      </c>
      <c r="D170" s="197">
        <v>107.74</v>
      </c>
    </row>
    <row r="171" spans="1:4" ht="15">
      <c r="A171" s="195">
        <v>406</v>
      </c>
      <c r="B171" s="195" t="s">
        <v>1958</v>
      </c>
      <c r="C171" s="196"/>
      <c r="D171" s="197"/>
    </row>
    <row r="172" spans="1:4" ht="57">
      <c r="A172" s="198">
        <v>40601</v>
      </c>
      <c r="B172" s="198" t="s">
        <v>179</v>
      </c>
      <c r="C172" s="196" t="s">
        <v>35</v>
      </c>
      <c r="D172" s="197">
        <v>117.22</v>
      </c>
    </row>
    <row r="173" spans="1:4" ht="57">
      <c r="A173" s="198">
        <v>40602</v>
      </c>
      <c r="B173" s="198" t="s">
        <v>180</v>
      </c>
      <c r="C173" s="196" t="s">
        <v>35</v>
      </c>
      <c r="D173" s="197">
        <v>143.13999999999999</v>
      </c>
    </row>
    <row r="174" spans="1:4" ht="15">
      <c r="A174" s="195">
        <v>407</v>
      </c>
      <c r="B174" s="195" t="s">
        <v>1120</v>
      </c>
      <c r="C174" s="196"/>
      <c r="D174" s="197"/>
    </row>
    <row r="175" spans="1:4" ht="71.25">
      <c r="A175" s="198">
        <v>40705</v>
      </c>
      <c r="B175" s="198" t="s">
        <v>181</v>
      </c>
      <c r="C175" s="196" t="s">
        <v>51</v>
      </c>
      <c r="D175" s="197">
        <v>64.489999999999995</v>
      </c>
    </row>
    <row r="176" spans="1:4" ht="15">
      <c r="A176" s="195">
        <v>408</v>
      </c>
      <c r="B176" s="195" t="s">
        <v>1959</v>
      </c>
      <c r="C176" s="196"/>
      <c r="D176" s="197"/>
    </row>
    <row r="177" spans="1:4" ht="28.5">
      <c r="A177" s="198">
        <v>40801</v>
      </c>
      <c r="B177" s="198" t="s">
        <v>182</v>
      </c>
      <c r="C177" s="196" t="s">
        <v>44</v>
      </c>
      <c r="D177" s="199">
        <v>2847.6</v>
      </c>
    </row>
    <row r="178" spans="1:4" ht="57">
      <c r="A178" s="198">
        <v>40802</v>
      </c>
      <c r="B178" s="198" t="s">
        <v>183</v>
      </c>
      <c r="C178" s="196" t="s">
        <v>35</v>
      </c>
      <c r="D178" s="197">
        <v>142.38</v>
      </c>
    </row>
    <row r="179" spans="1:4" ht="57">
      <c r="A179" s="198">
        <v>40803</v>
      </c>
      <c r="B179" s="198" t="s">
        <v>184</v>
      </c>
      <c r="C179" s="196" t="s">
        <v>35</v>
      </c>
      <c r="D179" s="197">
        <v>84.4</v>
      </c>
    </row>
    <row r="180" spans="1:4" ht="71.25">
      <c r="A180" s="198">
        <v>40806</v>
      </c>
      <c r="B180" s="198" t="s">
        <v>185</v>
      </c>
      <c r="C180" s="196" t="s">
        <v>35</v>
      </c>
      <c r="D180" s="197">
        <v>25.32</v>
      </c>
    </row>
    <row r="181" spans="1:4" ht="42.75">
      <c r="A181" s="198">
        <v>40807</v>
      </c>
      <c r="B181" s="198" t="s">
        <v>186</v>
      </c>
      <c r="C181" s="196" t="s">
        <v>35</v>
      </c>
      <c r="D181" s="197">
        <v>82.63</v>
      </c>
    </row>
    <row r="182" spans="1:4" ht="14.25">
      <c r="A182" s="198">
        <v>40808</v>
      </c>
      <c r="B182" s="198" t="s">
        <v>187</v>
      </c>
      <c r="C182" s="196" t="s">
        <v>166</v>
      </c>
      <c r="D182" s="197">
        <v>5.03</v>
      </c>
    </row>
    <row r="183" spans="1:4" ht="71.25">
      <c r="A183" s="198">
        <v>40809</v>
      </c>
      <c r="B183" s="198" t="s">
        <v>188</v>
      </c>
      <c r="C183" s="196" t="s">
        <v>35</v>
      </c>
      <c r="D183" s="197">
        <v>446.17</v>
      </c>
    </row>
    <row r="184" spans="1:4" ht="57">
      <c r="A184" s="198">
        <v>40810</v>
      </c>
      <c r="B184" s="198" t="s">
        <v>189</v>
      </c>
      <c r="C184" s="196" t="s">
        <v>44</v>
      </c>
      <c r="D184" s="199">
        <v>8405.76</v>
      </c>
    </row>
    <row r="185" spans="1:4" ht="28.5">
      <c r="A185" s="198">
        <v>40813</v>
      </c>
      <c r="B185" s="198" t="s">
        <v>190</v>
      </c>
      <c r="C185" s="196" t="s">
        <v>35</v>
      </c>
      <c r="D185" s="197">
        <v>77.81</v>
      </c>
    </row>
    <row r="186" spans="1:4" ht="42.75">
      <c r="A186" s="198">
        <v>40816</v>
      </c>
      <c r="B186" s="198" t="s">
        <v>191</v>
      </c>
      <c r="C186" s="196" t="s">
        <v>35</v>
      </c>
      <c r="D186" s="197">
        <v>14.91</v>
      </c>
    </row>
    <row r="187" spans="1:4" ht="71.25">
      <c r="A187" s="198">
        <v>40817</v>
      </c>
      <c r="B187" s="198" t="s">
        <v>192</v>
      </c>
      <c r="C187" s="196" t="s">
        <v>44</v>
      </c>
      <c r="D187" s="199">
        <v>4002.81</v>
      </c>
    </row>
    <row r="188" spans="1:4" ht="57">
      <c r="A188" s="198">
        <v>40818</v>
      </c>
      <c r="B188" s="198" t="s">
        <v>193</v>
      </c>
      <c r="C188" s="196" t="s">
        <v>35</v>
      </c>
      <c r="D188" s="197">
        <v>77.489999999999995</v>
      </c>
    </row>
    <row r="189" spans="1:4" ht="105">
      <c r="A189" s="195">
        <v>409</v>
      </c>
      <c r="B189" s="195" t="s">
        <v>1960</v>
      </c>
      <c r="C189" s="196"/>
      <c r="D189" s="197"/>
    </row>
    <row r="190" spans="1:4" ht="114">
      <c r="A190" s="198">
        <v>40901</v>
      </c>
      <c r="B190" s="198" t="s">
        <v>194</v>
      </c>
      <c r="C190" s="196" t="s">
        <v>51</v>
      </c>
      <c r="D190" s="197">
        <v>586.1</v>
      </c>
    </row>
    <row r="191" spans="1:4" ht="114">
      <c r="A191" s="198">
        <v>40902</v>
      </c>
      <c r="B191" s="198" t="s">
        <v>195</v>
      </c>
      <c r="C191" s="196" t="s">
        <v>51</v>
      </c>
      <c r="D191" s="197">
        <v>977.2</v>
      </c>
    </row>
    <row r="192" spans="1:4" ht="114">
      <c r="A192" s="198">
        <v>40903</v>
      </c>
      <c r="B192" s="198" t="s">
        <v>196</v>
      </c>
      <c r="C192" s="196" t="s">
        <v>51</v>
      </c>
      <c r="D192" s="199">
        <v>1410.84</v>
      </c>
    </row>
    <row r="193" spans="1:4" ht="114">
      <c r="A193" s="198">
        <v>40904</v>
      </c>
      <c r="B193" s="198" t="s">
        <v>197</v>
      </c>
      <c r="C193" s="196" t="s">
        <v>51</v>
      </c>
      <c r="D193" s="199">
        <v>1895.7</v>
      </c>
    </row>
    <row r="194" spans="1:4" ht="15">
      <c r="A194" s="195">
        <v>5</v>
      </c>
      <c r="B194" s="195" t="s">
        <v>1961</v>
      </c>
      <c r="C194" s="196"/>
      <c r="D194" s="197"/>
    </row>
    <row r="195" spans="1:4" ht="15">
      <c r="A195" s="195">
        <v>501</v>
      </c>
      <c r="B195" s="195" t="s">
        <v>1962</v>
      </c>
      <c r="C195" s="196"/>
      <c r="D195" s="197"/>
    </row>
    <row r="196" spans="1:4" ht="71.25">
      <c r="A196" s="198">
        <v>50112</v>
      </c>
      <c r="B196" s="198" t="s">
        <v>198</v>
      </c>
      <c r="C196" s="196" t="s">
        <v>35</v>
      </c>
      <c r="D196" s="197">
        <v>168.9</v>
      </c>
    </row>
    <row r="197" spans="1:4" ht="42.75">
      <c r="A197" s="198">
        <v>50115</v>
      </c>
      <c r="B197" s="198" t="s">
        <v>199</v>
      </c>
      <c r="C197" s="196" t="s">
        <v>44</v>
      </c>
      <c r="D197" s="197">
        <v>599.29</v>
      </c>
    </row>
    <row r="198" spans="1:4" ht="85.5">
      <c r="A198" s="198">
        <v>50122</v>
      </c>
      <c r="B198" s="198" t="s">
        <v>200</v>
      </c>
      <c r="C198" s="196" t="s">
        <v>35</v>
      </c>
      <c r="D198" s="197">
        <v>199.79</v>
      </c>
    </row>
    <row r="199" spans="1:4" ht="15">
      <c r="A199" s="195">
        <v>502</v>
      </c>
      <c r="B199" s="195" t="s">
        <v>1963</v>
      </c>
      <c r="C199" s="196"/>
      <c r="D199" s="197"/>
    </row>
    <row r="200" spans="1:4" ht="85.5">
      <c r="A200" s="198">
        <v>50202</v>
      </c>
      <c r="B200" s="198" t="s">
        <v>201</v>
      </c>
      <c r="C200" s="196" t="s">
        <v>35</v>
      </c>
      <c r="D200" s="197">
        <v>130.5</v>
      </c>
    </row>
    <row r="201" spans="1:4" ht="57">
      <c r="A201" s="198">
        <v>50203</v>
      </c>
      <c r="B201" s="198" t="s">
        <v>202</v>
      </c>
      <c r="C201" s="196" t="s">
        <v>33</v>
      </c>
      <c r="D201" s="197">
        <v>436.67</v>
      </c>
    </row>
    <row r="202" spans="1:4" ht="57">
      <c r="A202" s="198">
        <v>50205</v>
      </c>
      <c r="B202" s="198" t="s">
        <v>203</v>
      </c>
      <c r="C202" s="196" t="s">
        <v>35</v>
      </c>
      <c r="D202" s="197">
        <v>506.72</v>
      </c>
    </row>
    <row r="203" spans="1:4" ht="42.75">
      <c r="A203" s="198">
        <v>50206</v>
      </c>
      <c r="B203" s="198" t="s">
        <v>204</v>
      </c>
      <c r="C203" s="196" t="s">
        <v>35</v>
      </c>
      <c r="D203" s="197">
        <v>536.25</v>
      </c>
    </row>
    <row r="204" spans="1:4" ht="85.5">
      <c r="A204" s="198">
        <v>50208</v>
      </c>
      <c r="B204" s="198" t="s">
        <v>205</v>
      </c>
      <c r="C204" s="196" t="s">
        <v>35</v>
      </c>
      <c r="D204" s="197">
        <v>142.05000000000001</v>
      </c>
    </row>
    <row r="205" spans="1:4" ht="15">
      <c r="A205" s="195">
        <v>503</v>
      </c>
      <c r="B205" s="195" t="s">
        <v>1964</v>
      </c>
      <c r="C205" s="196"/>
      <c r="D205" s="197"/>
    </row>
    <row r="206" spans="1:4" ht="57">
      <c r="A206" s="198">
        <v>50301</v>
      </c>
      <c r="B206" s="198" t="s">
        <v>206</v>
      </c>
      <c r="C206" s="196" t="s">
        <v>51</v>
      </c>
      <c r="D206" s="197">
        <v>9.56</v>
      </c>
    </row>
    <row r="207" spans="1:4" ht="57">
      <c r="A207" s="198">
        <v>50303</v>
      </c>
      <c r="B207" s="198" t="s">
        <v>207</v>
      </c>
      <c r="C207" s="196" t="s">
        <v>51</v>
      </c>
      <c r="D207" s="197">
        <v>79.64</v>
      </c>
    </row>
    <row r="208" spans="1:4" ht="15">
      <c r="A208" s="195">
        <v>505</v>
      </c>
      <c r="B208" s="195" t="s">
        <v>1965</v>
      </c>
      <c r="C208" s="196"/>
      <c r="D208" s="197"/>
    </row>
    <row r="209" spans="1:4" ht="99.75">
      <c r="A209" s="198">
        <v>50501</v>
      </c>
      <c r="B209" s="198" t="s">
        <v>208</v>
      </c>
      <c r="C209" s="196" t="s">
        <v>35</v>
      </c>
      <c r="D209" s="197">
        <v>130.66999999999999</v>
      </c>
    </row>
    <row r="210" spans="1:4" ht="85.5">
      <c r="A210" s="198">
        <v>50502</v>
      </c>
      <c r="B210" s="198" t="s">
        <v>209</v>
      </c>
      <c r="C210" s="196" t="s">
        <v>35</v>
      </c>
      <c r="D210" s="197">
        <v>247.64</v>
      </c>
    </row>
    <row r="211" spans="1:4" ht="99.75">
      <c r="A211" s="198">
        <v>50503</v>
      </c>
      <c r="B211" s="198" t="s">
        <v>210</v>
      </c>
      <c r="C211" s="196" t="s">
        <v>35</v>
      </c>
      <c r="D211" s="197">
        <v>92.96</v>
      </c>
    </row>
    <row r="212" spans="1:4" ht="45">
      <c r="A212" s="195">
        <v>506</v>
      </c>
      <c r="B212" s="195" t="s">
        <v>1966</v>
      </c>
      <c r="C212" s="196"/>
      <c r="D212" s="197"/>
    </row>
    <row r="213" spans="1:4" ht="99.75">
      <c r="A213" s="198">
        <v>50601</v>
      </c>
      <c r="B213" s="198" t="s">
        <v>211</v>
      </c>
      <c r="C213" s="196" t="s">
        <v>35</v>
      </c>
      <c r="D213" s="197">
        <v>68.97</v>
      </c>
    </row>
    <row r="214" spans="1:4" ht="99.75">
      <c r="A214" s="198">
        <v>50602</v>
      </c>
      <c r="B214" s="198" t="s">
        <v>212</v>
      </c>
      <c r="C214" s="196" t="s">
        <v>35</v>
      </c>
      <c r="D214" s="197">
        <v>84</v>
      </c>
    </row>
    <row r="215" spans="1:4" ht="99.75">
      <c r="A215" s="198">
        <v>50603</v>
      </c>
      <c r="B215" s="198" t="s">
        <v>213</v>
      </c>
      <c r="C215" s="196" t="s">
        <v>35</v>
      </c>
      <c r="D215" s="197">
        <v>98.5</v>
      </c>
    </row>
    <row r="216" spans="1:4" ht="114">
      <c r="A216" s="198">
        <v>50605</v>
      </c>
      <c r="B216" s="198" t="s">
        <v>214</v>
      </c>
      <c r="C216" s="196" t="s">
        <v>35</v>
      </c>
      <c r="D216" s="197">
        <v>79.040000000000006</v>
      </c>
    </row>
    <row r="217" spans="1:4" ht="114">
      <c r="A217" s="198">
        <v>50606</v>
      </c>
      <c r="B217" s="198" t="s">
        <v>215</v>
      </c>
      <c r="C217" s="196" t="s">
        <v>35</v>
      </c>
      <c r="D217" s="197">
        <v>65.790000000000006</v>
      </c>
    </row>
    <row r="218" spans="1:4" ht="114">
      <c r="A218" s="198">
        <v>50607</v>
      </c>
      <c r="B218" s="198" t="s">
        <v>216</v>
      </c>
      <c r="C218" s="196" t="s">
        <v>35</v>
      </c>
      <c r="D218" s="197">
        <v>138.91999999999999</v>
      </c>
    </row>
    <row r="219" spans="1:4" ht="114">
      <c r="A219" s="198">
        <v>50608</v>
      </c>
      <c r="B219" s="198" t="s">
        <v>217</v>
      </c>
      <c r="C219" s="196" t="s">
        <v>35</v>
      </c>
      <c r="D219" s="197">
        <v>114.01</v>
      </c>
    </row>
    <row r="220" spans="1:4" ht="15">
      <c r="A220" s="195">
        <v>6</v>
      </c>
      <c r="B220" s="195" t="s">
        <v>1967</v>
      </c>
      <c r="C220" s="196"/>
      <c r="D220" s="197"/>
    </row>
    <row r="221" spans="1:4" ht="15">
      <c r="A221" s="195">
        <v>601</v>
      </c>
      <c r="B221" s="195" t="s">
        <v>1968</v>
      </c>
      <c r="C221" s="196"/>
      <c r="D221" s="197"/>
    </row>
    <row r="222" spans="1:4" ht="71.25">
      <c r="A222" s="198">
        <v>60101</v>
      </c>
      <c r="B222" s="198" t="s">
        <v>218</v>
      </c>
      <c r="C222" s="196" t="s">
        <v>33</v>
      </c>
      <c r="D222" s="197">
        <v>400.47</v>
      </c>
    </row>
    <row r="223" spans="1:4" ht="71.25">
      <c r="A223" s="198">
        <v>60102</v>
      </c>
      <c r="B223" s="198" t="s">
        <v>219</v>
      </c>
      <c r="C223" s="196" t="s">
        <v>33</v>
      </c>
      <c r="D223" s="197">
        <v>400.47</v>
      </c>
    </row>
    <row r="224" spans="1:4" ht="71.25">
      <c r="A224" s="198">
        <v>60103</v>
      </c>
      <c r="B224" s="198" t="s">
        <v>220</v>
      </c>
      <c r="C224" s="196" t="s">
        <v>33</v>
      </c>
      <c r="D224" s="197">
        <v>400.47</v>
      </c>
    </row>
    <row r="225" spans="1:4" ht="42.75">
      <c r="A225" s="198">
        <v>60107</v>
      </c>
      <c r="B225" s="198" t="s">
        <v>221</v>
      </c>
      <c r="C225" s="196" t="s">
        <v>51</v>
      </c>
      <c r="D225" s="197">
        <v>20.88</v>
      </c>
    </row>
    <row r="226" spans="1:4" ht="71.25">
      <c r="A226" s="198">
        <v>60108</v>
      </c>
      <c r="B226" s="198" t="s">
        <v>222</v>
      </c>
      <c r="C226" s="196" t="s">
        <v>33</v>
      </c>
      <c r="D226" s="197">
        <v>418.97</v>
      </c>
    </row>
    <row r="227" spans="1:4" ht="57">
      <c r="A227" s="198">
        <v>60110</v>
      </c>
      <c r="B227" s="198" t="s">
        <v>223</v>
      </c>
      <c r="C227" s="196" t="s">
        <v>51</v>
      </c>
      <c r="D227" s="197">
        <v>86.11</v>
      </c>
    </row>
    <row r="228" spans="1:4" ht="42.75">
      <c r="A228" s="198">
        <v>60112</v>
      </c>
      <c r="B228" s="198" t="s">
        <v>224</v>
      </c>
      <c r="C228" s="196" t="s">
        <v>51</v>
      </c>
      <c r="D228" s="197">
        <v>66.819999999999993</v>
      </c>
    </row>
    <row r="229" spans="1:4" ht="42.75">
      <c r="A229" s="198">
        <v>60113</v>
      </c>
      <c r="B229" s="198" t="s">
        <v>225</v>
      </c>
      <c r="C229" s="196" t="s">
        <v>51</v>
      </c>
      <c r="D229" s="197">
        <v>29.27</v>
      </c>
    </row>
    <row r="230" spans="1:4" ht="15">
      <c r="A230" s="195">
        <v>611</v>
      </c>
      <c r="B230" s="195" t="s">
        <v>1969</v>
      </c>
      <c r="C230" s="196"/>
      <c r="D230" s="197"/>
    </row>
    <row r="231" spans="1:4" ht="42.75">
      <c r="A231" s="198">
        <v>61101</v>
      </c>
      <c r="B231" s="198" t="s">
        <v>226</v>
      </c>
      <c r="C231" s="196" t="s">
        <v>33</v>
      </c>
      <c r="D231" s="197">
        <v>10.15</v>
      </c>
    </row>
    <row r="232" spans="1:4" ht="57">
      <c r="A232" s="198">
        <v>61102</v>
      </c>
      <c r="B232" s="198" t="s">
        <v>227</v>
      </c>
      <c r="C232" s="196" t="s">
        <v>33</v>
      </c>
      <c r="D232" s="197">
        <v>140.18</v>
      </c>
    </row>
    <row r="233" spans="1:4" ht="57">
      <c r="A233" s="198">
        <v>61103</v>
      </c>
      <c r="B233" s="198" t="s">
        <v>228</v>
      </c>
      <c r="C233" s="196" t="s">
        <v>33</v>
      </c>
      <c r="D233" s="197">
        <v>315.83999999999997</v>
      </c>
    </row>
    <row r="234" spans="1:4" ht="42.75">
      <c r="A234" s="198">
        <v>61104</v>
      </c>
      <c r="B234" s="198" t="s">
        <v>229</v>
      </c>
      <c r="C234" s="196" t="s">
        <v>33</v>
      </c>
      <c r="D234" s="197">
        <v>84.54</v>
      </c>
    </row>
    <row r="235" spans="1:4" ht="42.75">
      <c r="A235" s="198">
        <v>61106</v>
      </c>
      <c r="B235" s="198" t="s">
        <v>230</v>
      </c>
      <c r="C235" s="196" t="s">
        <v>33</v>
      </c>
      <c r="D235" s="197">
        <v>169.65</v>
      </c>
    </row>
    <row r="236" spans="1:4" ht="42.75">
      <c r="A236" s="198">
        <v>61107</v>
      </c>
      <c r="B236" s="198" t="s">
        <v>231</v>
      </c>
      <c r="C236" s="196" t="s">
        <v>33</v>
      </c>
      <c r="D236" s="197">
        <v>81.91</v>
      </c>
    </row>
    <row r="237" spans="1:4" ht="57">
      <c r="A237" s="198">
        <v>61108</v>
      </c>
      <c r="B237" s="198" t="s">
        <v>232</v>
      </c>
      <c r="C237" s="196" t="s">
        <v>33</v>
      </c>
      <c r="D237" s="197">
        <v>122.3</v>
      </c>
    </row>
    <row r="238" spans="1:4" ht="42.75">
      <c r="A238" s="198">
        <v>61112</v>
      </c>
      <c r="B238" s="198" t="s">
        <v>233</v>
      </c>
      <c r="C238" s="196" t="s">
        <v>33</v>
      </c>
      <c r="D238" s="197">
        <v>49.15</v>
      </c>
    </row>
    <row r="239" spans="1:4" ht="105">
      <c r="A239" s="195">
        <v>613</v>
      </c>
      <c r="B239" s="195" t="s">
        <v>1970</v>
      </c>
      <c r="C239" s="196"/>
      <c r="D239" s="197"/>
    </row>
    <row r="240" spans="1:4" ht="128.25">
      <c r="A240" s="198">
        <v>61301</v>
      </c>
      <c r="B240" s="198" t="s">
        <v>234</v>
      </c>
      <c r="C240" s="196" t="s">
        <v>33</v>
      </c>
      <c r="D240" s="199">
        <v>1125.47</v>
      </c>
    </row>
    <row r="241" spans="1:4" ht="128.25">
      <c r="A241" s="198">
        <v>61302</v>
      </c>
      <c r="B241" s="198" t="s">
        <v>1971</v>
      </c>
      <c r="C241" s="196" t="s">
        <v>33</v>
      </c>
      <c r="D241" s="199">
        <v>1139.1400000000001</v>
      </c>
    </row>
    <row r="242" spans="1:4" ht="128.25">
      <c r="A242" s="198">
        <v>61303</v>
      </c>
      <c r="B242" s="198" t="s">
        <v>1972</v>
      </c>
      <c r="C242" s="196" t="s">
        <v>33</v>
      </c>
      <c r="D242" s="199">
        <v>1151.1500000000001</v>
      </c>
    </row>
    <row r="243" spans="1:4" ht="128.25">
      <c r="A243" s="198">
        <v>61304</v>
      </c>
      <c r="B243" s="198" t="s">
        <v>1973</v>
      </c>
      <c r="C243" s="196" t="s">
        <v>33</v>
      </c>
      <c r="D243" s="199">
        <v>1220.1500000000001</v>
      </c>
    </row>
    <row r="244" spans="1:4" ht="90">
      <c r="A244" s="195">
        <v>614</v>
      </c>
      <c r="B244" s="195" t="s">
        <v>1974</v>
      </c>
      <c r="C244" s="196"/>
      <c r="D244" s="197"/>
    </row>
    <row r="245" spans="1:4" ht="128.25">
      <c r="A245" s="198">
        <v>61401</v>
      </c>
      <c r="B245" s="198" t="s">
        <v>1975</v>
      </c>
      <c r="C245" s="196" t="s">
        <v>33</v>
      </c>
      <c r="D245" s="199">
        <v>1082.9100000000001</v>
      </c>
    </row>
    <row r="246" spans="1:4" ht="128.25">
      <c r="A246" s="198">
        <v>61402</v>
      </c>
      <c r="B246" s="198" t="s">
        <v>1976</v>
      </c>
      <c r="C246" s="196" t="s">
        <v>33</v>
      </c>
      <c r="D246" s="199">
        <v>1082.9100000000001</v>
      </c>
    </row>
    <row r="247" spans="1:4" ht="128.25">
      <c r="A247" s="198">
        <v>61403</v>
      </c>
      <c r="B247" s="198" t="s">
        <v>1977</v>
      </c>
      <c r="C247" s="196" t="s">
        <v>33</v>
      </c>
      <c r="D247" s="199">
        <v>1082.9100000000001</v>
      </c>
    </row>
    <row r="248" spans="1:4" ht="128.25">
      <c r="A248" s="198">
        <v>61404</v>
      </c>
      <c r="B248" s="198" t="s">
        <v>1978</v>
      </c>
      <c r="C248" s="196" t="s">
        <v>33</v>
      </c>
      <c r="D248" s="199">
        <v>1082.9100000000001</v>
      </c>
    </row>
    <row r="249" spans="1:4" ht="60">
      <c r="A249" s="195">
        <v>617</v>
      </c>
      <c r="B249" s="195" t="s">
        <v>1979</v>
      </c>
      <c r="C249" s="196"/>
      <c r="D249" s="197"/>
    </row>
    <row r="250" spans="1:4" ht="57">
      <c r="A250" s="198">
        <v>61701</v>
      </c>
      <c r="B250" s="198" t="s">
        <v>1980</v>
      </c>
      <c r="C250" s="196" t="s">
        <v>33</v>
      </c>
      <c r="D250" s="197">
        <v>936.77</v>
      </c>
    </row>
    <row r="251" spans="1:4" ht="57">
      <c r="A251" s="198">
        <v>61702</v>
      </c>
      <c r="B251" s="198" t="s">
        <v>1981</v>
      </c>
      <c r="C251" s="196" t="s">
        <v>33</v>
      </c>
      <c r="D251" s="199">
        <v>1033.02</v>
      </c>
    </row>
    <row r="252" spans="1:4" ht="57">
      <c r="A252" s="198">
        <v>61703</v>
      </c>
      <c r="B252" s="198" t="s">
        <v>1982</v>
      </c>
      <c r="C252" s="196" t="s">
        <v>33</v>
      </c>
      <c r="D252" s="199">
        <v>1114.27</v>
      </c>
    </row>
    <row r="253" spans="1:4" ht="120">
      <c r="A253" s="195">
        <v>619</v>
      </c>
      <c r="B253" s="195" t="s">
        <v>1983</v>
      </c>
      <c r="C253" s="196"/>
      <c r="D253" s="197"/>
    </row>
    <row r="254" spans="1:4" ht="128.25">
      <c r="A254" s="198">
        <v>61901</v>
      </c>
      <c r="B254" s="198" t="s">
        <v>1984</v>
      </c>
      <c r="C254" s="196" t="s">
        <v>33</v>
      </c>
      <c r="D254" s="199">
        <v>1430.03</v>
      </c>
    </row>
    <row r="255" spans="1:4" ht="128.25">
      <c r="A255" s="198">
        <v>61902</v>
      </c>
      <c r="B255" s="198" t="s">
        <v>1985</v>
      </c>
      <c r="C255" s="196" t="s">
        <v>33</v>
      </c>
      <c r="D255" s="199">
        <v>1452.04</v>
      </c>
    </row>
    <row r="256" spans="1:4" ht="128.25">
      <c r="A256" s="198">
        <v>61903</v>
      </c>
      <c r="B256" s="198" t="s">
        <v>1986</v>
      </c>
      <c r="C256" s="196" t="s">
        <v>33</v>
      </c>
      <c r="D256" s="199">
        <v>1518.04</v>
      </c>
    </row>
    <row r="257" spans="1:4" ht="15">
      <c r="A257" s="195">
        <v>622</v>
      </c>
      <c r="B257" s="195" t="s">
        <v>1987</v>
      </c>
      <c r="C257" s="196"/>
      <c r="D257" s="197"/>
    </row>
    <row r="258" spans="1:4" ht="42.75">
      <c r="A258" s="198">
        <v>62201</v>
      </c>
      <c r="B258" s="198" t="s">
        <v>235</v>
      </c>
      <c r="C258" s="196" t="s">
        <v>33</v>
      </c>
      <c r="D258" s="197">
        <v>112.21</v>
      </c>
    </row>
    <row r="259" spans="1:4" ht="42.75">
      <c r="A259" s="198">
        <v>62202</v>
      </c>
      <c r="B259" s="198" t="s">
        <v>236</v>
      </c>
      <c r="C259" s="196" t="s">
        <v>33</v>
      </c>
      <c r="D259" s="197">
        <v>287.87</v>
      </c>
    </row>
    <row r="260" spans="1:4" ht="42.75">
      <c r="A260" s="198">
        <v>62203</v>
      </c>
      <c r="B260" s="198" t="s">
        <v>237</v>
      </c>
      <c r="C260" s="196" t="s">
        <v>33</v>
      </c>
      <c r="D260" s="197">
        <v>141.68</v>
      </c>
    </row>
    <row r="261" spans="1:4" ht="42.75">
      <c r="A261" s="198">
        <v>62204</v>
      </c>
      <c r="B261" s="198" t="s">
        <v>238</v>
      </c>
      <c r="C261" s="196" t="s">
        <v>33</v>
      </c>
      <c r="D261" s="197">
        <v>79.17</v>
      </c>
    </row>
    <row r="262" spans="1:4" ht="28.5">
      <c r="A262" s="198">
        <v>62205</v>
      </c>
      <c r="B262" s="198" t="s">
        <v>239</v>
      </c>
      <c r="C262" s="196" t="s">
        <v>33</v>
      </c>
      <c r="D262" s="197">
        <v>70.64</v>
      </c>
    </row>
    <row r="263" spans="1:4" ht="28.5">
      <c r="A263" s="198">
        <v>62206</v>
      </c>
      <c r="B263" s="198" t="s">
        <v>240</v>
      </c>
      <c r="C263" s="196" t="s">
        <v>33</v>
      </c>
      <c r="D263" s="197">
        <v>8.82</v>
      </c>
    </row>
    <row r="264" spans="1:4" ht="14.25">
      <c r="A264" s="198">
        <v>62207</v>
      </c>
      <c r="B264" s="198" t="s">
        <v>241</v>
      </c>
      <c r="C264" s="196" t="s">
        <v>33</v>
      </c>
      <c r="D264" s="197">
        <v>43.39</v>
      </c>
    </row>
    <row r="265" spans="1:4" ht="42.75">
      <c r="A265" s="198">
        <v>62208</v>
      </c>
      <c r="B265" s="198" t="s">
        <v>242</v>
      </c>
      <c r="C265" s="196" t="s">
        <v>33</v>
      </c>
      <c r="D265" s="197">
        <v>72.17</v>
      </c>
    </row>
    <row r="266" spans="1:4" ht="28.5">
      <c r="A266" s="198">
        <v>62211</v>
      </c>
      <c r="B266" s="198" t="s">
        <v>243</v>
      </c>
      <c r="C266" s="196" t="s">
        <v>51</v>
      </c>
      <c r="D266" s="197">
        <v>3.06</v>
      </c>
    </row>
    <row r="267" spans="1:4" ht="28.5">
      <c r="A267" s="198">
        <v>62212</v>
      </c>
      <c r="B267" s="198" t="s">
        <v>244</v>
      </c>
      <c r="C267" s="196" t="s">
        <v>51</v>
      </c>
      <c r="D267" s="197">
        <v>14.89</v>
      </c>
    </row>
    <row r="268" spans="1:4" ht="105">
      <c r="A268" s="195">
        <v>623</v>
      </c>
      <c r="B268" s="195" t="s">
        <v>1988</v>
      </c>
      <c r="C268" s="196"/>
      <c r="D268" s="197"/>
    </row>
    <row r="269" spans="1:4" ht="114">
      <c r="A269" s="198">
        <v>62301</v>
      </c>
      <c r="B269" s="198" t="s">
        <v>1989</v>
      </c>
      <c r="C269" s="196" t="s">
        <v>33</v>
      </c>
      <c r="D269" s="197">
        <v>776.87</v>
      </c>
    </row>
    <row r="270" spans="1:4" ht="114">
      <c r="A270" s="198">
        <v>62302</v>
      </c>
      <c r="B270" s="198" t="s">
        <v>1990</v>
      </c>
      <c r="C270" s="196" t="s">
        <v>33</v>
      </c>
      <c r="D270" s="197">
        <v>776.87</v>
      </c>
    </row>
    <row r="271" spans="1:4" ht="105">
      <c r="A271" s="195">
        <v>625</v>
      </c>
      <c r="B271" s="195" t="s">
        <v>14759</v>
      </c>
      <c r="C271" s="196"/>
      <c r="D271" s="197"/>
    </row>
    <row r="272" spans="1:4" ht="114">
      <c r="A272" s="198">
        <v>62501</v>
      </c>
      <c r="B272" s="198" t="s">
        <v>14760</v>
      </c>
      <c r="C272" s="196" t="s">
        <v>33</v>
      </c>
      <c r="D272" s="199">
        <v>1764.47</v>
      </c>
    </row>
    <row r="273" spans="1:4" ht="114">
      <c r="A273" s="198">
        <v>62502</v>
      </c>
      <c r="B273" s="198" t="s">
        <v>14761</v>
      </c>
      <c r="C273" s="196" t="s">
        <v>33</v>
      </c>
      <c r="D273" s="199">
        <v>1852.14</v>
      </c>
    </row>
    <row r="274" spans="1:4" ht="114">
      <c r="A274" s="198">
        <v>62503</v>
      </c>
      <c r="B274" s="198" t="s">
        <v>14762</v>
      </c>
      <c r="C274" s="196" t="s">
        <v>33</v>
      </c>
      <c r="D274" s="199">
        <v>2028.15</v>
      </c>
    </row>
    <row r="275" spans="1:4" ht="114">
      <c r="A275" s="198">
        <v>62504</v>
      </c>
      <c r="B275" s="198" t="s">
        <v>14763</v>
      </c>
      <c r="C275" s="196" t="s">
        <v>33</v>
      </c>
      <c r="D275" s="199">
        <v>2176.8200000000002</v>
      </c>
    </row>
    <row r="276" spans="1:4" ht="128.25">
      <c r="A276" s="198">
        <v>62505</v>
      </c>
      <c r="B276" s="198" t="s">
        <v>14764</v>
      </c>
      <c r="C276" s="196" t="s">
        <v>33</v>
      </c>
      <c r="D276" s="199">
        <v>3553.41</v>
      </c>
    </row>
    <row r="277" spans="1:4" ht="15">
      <c r="A277" s="195">
        <v>7</v>
      </c>
      <c r="B277" s="195" t="s">
        <v>1991</v>
      </c>
      <c r="C277" s="196"/>
      <c r="D277" s="197"/>
    </row>
    <row r="278" spans="1:4" ht="15">
      <c r="A278" s="195">
        <v>711</v>
      </c>
      <c r="B278" s="195" t="s">
        <v>1992</v>
      </c>
      <c r="C278" s="196"/>
      <c r="D278" s="197"/>
    </row>
    <row r="279" spans="1:4" ht="71.25">
      <c r="A279" s="198">
        <v>71101</v>
      </c>
      <c r="B279" s="198" t="s">
        <v>245</v>
      </c>
      <c r="C279" s="196" t="s">
        <v>35</v>
      </c>
      <c r="D279" s="197">
        <v>644.63</v>
      </c>
    </row>
    <row r="280" spans="1:4" ht="57">
      <c r="A280" s="198">
        <v>71103</v>
      </c>
      <c r="B280" s="198" t="s">
        <v>246</v>
      </c>
      <c r="C280" s="196" t="s">
        <v>35</v>
      </c>
      <c r="D280" s="197">
        <v>103.07</v>
      </c>
    </row>
    <row r="281" spans="1:4" ht="28.5">
      <c r="A281" s="198">
        <v>71104</v>
      </c>
      <c r="B281" s="198" t="s">
        <v>247</v>
      </c>
      <c r="C281" s="196" t="s">
        <v>35</v>
      </c>
      <c r="D281" s="197">
        <v>569.05999999999995</v>
      </c>
    </row>
    <row r="282" spans="1:4" ht="28.5">
      <c r="A282" s="198">
        <v>71105</v>
      </c>
      <c r="B282" s="198" t="s">
        <v>248</v>
      </c>
      <c r="C282" s="196" t="s">
        <v>35</v>
      </c>
      <c r="D282" s="197">
        <v>360.75</v>
      </c>
    </row>
    <row r="283" spans="1:4" ht="28.5">
      <c r="A283" s="198">
        <v>71106</v>
      </c>
      <c r="B283" s="198" t="s">
        <v>249</v>
      </c>
      <c r="C283" s="196" t="s">
        <v>35</v>
      </c>
      <c r="D283" s="197">
        <v>670.2</v>
      </c>
    </row>
    <row r="284" spans="1:4" ht="42.75">
      <c r="A284" s="198">
        <v>71107</v>
      </c>
      <c r="B284" s="198" t="s">
        <v>250</v>
      </c>
      <c r="C284" s="196" t="s">
        <v>35</v>
      </c>
      <c r="D284" s="197">
        <v>854.5</v>
      </c>
    </row>
    <row r="285" spans="1:4" ht="15">
      <c r="A285" s="195">
        <v>717</v>
      </c>
      <c r="B285" s="195" t="s">
        <v>1993</v>
      </c>
      <c r="C285" s="196"/>
      <c r="D285" s="197"/>
    </row>
    <row r="286" spans="1:4" ht="71.25">
      <c r="A286" s="198">
        <v>71701</v>
      </c>
      <c r="B286" s="198" t="s">
        <v>251</v>
      </c>
      <c r="C286" s="196" t="s">
        <v>35</v>
      </c>
      <c r="D286" s="197">
        <v>588.04999999999995</v>
      </c>
    </row>
    <row r="287" spans="1:4" ht="71.25">
      <c r="A287" s="198">
        <v>71702</v>
      </c>
      <c r="B287" s="198" t="s">
        <v>252</v>
      </c>
      <c r="C287" s="196" t="s">
        <v>35</v>
      </c>
      <c r="D287" s="197">
        <v>696.73</v>
      </c>
    </row>
    <row r="288" spans="1:4" ht="71.25">
      <c r="A288" s="198">
        <v>71703</v>
      </c>
      <c r="B288" s="198" t="s">
        <v>253</v>
      </c>
      <c r="C288" s="196" t="s">
        <v>35</v>
      </c>
      <c r="D288" s="197">
        <v>527.38</v>
      </c>
    </row>
    <row r="289" spans="1:4" ht="57">
      <c r="A289" s="198">
        <v>71704</v>
      </c>
      <c r="B289" s="198" t="s">
        <v>254</v>
      </c>
      <c r="C289" s="196" t="s">
        <v>35</v>
      </c>
      <c r="D289" s="199">
        <v>1162.6099999999999</v>
      </c>
    </row>
    <row r="290" spans="1:4" ht="57">
      <c r="A290" s="198">
        <v>71706</v>
      </c>
      <c r="B290" s="198" t="s">
        <v>255</v>
      </c>
      <c r="C290" s="196" t="s">
        <v>35</v>
      </c>
      <c r="D290" s="197">
        <v>284.47000000000003</v>
      </c>
    </row>
    <row r="291" spans="1:4" ht="15">
      <c r="A291" s="195">
        <v>718</v>
      </c>
      <c r="B291" s="195" t="s">
        <v>1987</v>
      </c>
      <c r="C291" s="196"/>
      <c r="D291" s="197"/>
    </row>
    <row r="292" spans="1:4" ht="28.5">
      <c r="A292" s="198">
        <v>71801</v>
      </c>
      <c r="B292" s="198" t="s">
        <v>256</v>
      </c>
      <c r="C292" s="196" t="s">
        <v>35</v>
      </c>
      <c r="D292" s="197">
        <v>25.32</v>
      </c>
    </row>
    <row r="293" spans="1:4" ht="15">
      <c r="A293" s="195">
        <v>8</v>
      </c>
      <c r="B293" s="195" t="s">
        <v>1994</v>
      </c>
      <c r="C293" s="196"/>
      <c r="D293" s="197"/>
    </row>
    <row r="294" spans="1:4" ht="15">
      <c r="A294" s="195">
        <v>801</v>
      </c>
      <c r="B294" s="195" t="s">
        <v>1995</v>
      </c>
      <c r="C294" s="196"/>
      <c r="D294" s="197"/>
    </row>
    <row r="295" spans="1:4" ht="28.5">
      <c r="A295" s="198">
        <v>80102</v>
      </c>
      <c r="B295" s="198" t="s">
        <v>257</v>
      </c>
      <c r="C295" s="196" t="s">
        <v>35</v>
      </c>
      <c r="D295" s="197">
        <v>271.77999999999997</v>
      </c>
    </row>
    <row r="296" spans="1:4" ht="28.5">
      <c r="A296" s="198">
        <v>80103</v>
      </c>
      <c r="B296" s="198" t="s">
        <v>258</v>
      </c>
      <c r="C296" s="196" t="s">
        <v>35</v>
      </c>
      <c r="D296" s="197">
        <v>301.16000000000003</v>
      </c>
    </row>
    <row r="297" spans="1:4" ht="14.25">
      <c r="A297" s="198">
        <v>80107</v>
      </c>
      <c r="B297" s="198" t="s">
        <v>259</v>
      </c>
      <c r="C297" s="196" t="s">
        <v>35</v>
      </c>
      <c r="D297" s="199">
        <v>1391.11</v>
      </c>
    </row>
    <row r="298" spans="1:4" ht="15">
      <c r="A298" s="195">
        <v>802</v>
      </c>
      <c r="B298" s="195" t="s">
        <v>1996</v>
      </c>
      <c r="C298" s="196"/>
      <c r="D298" s="197"/>
    </row>
    <row r="299" spans="1:4" ht="71.25">
      <c r="A299" s="198">
        <v>80201</v>
      </c>
      <c r="B299" s="198" t="s">
        <v>260</v>
      </c>
      <c r="C299" s="196" t="s">
        <v>35</v>
      </c>
      <c r="D299" s="197">
        <v>631.47</v>
      </c>
    </row>
    <row r="300" spans="1:4" ht="71.25">
      <c r="A300" s="198">
        <v>80202</v>
      </c>
      <c r="B300" s="198" t="s">
        <v>261</v>
      </c>
      <c r="C300" s="196" t="s">
        <v>35</v>
      </c>
      <c r="D300" s="197">
        <v>738.53</v>
      </c>
    </row>
    <row r="301" spans="1:4" ht="85.5">
      <c r="A301" s="198">
        <v>80203</v>
      </c>
      <c r="B301" s="198" t="s">
        <v>262</v>
      </c>
      <c r="C301" s="196" t="s">
        <v>35</v>
      </c>
      <c r="D301" s="197">
        <v>663.94</v>
      </c>
    </row>
    <row r="302" spans="1:4" ht="15">
      <c r="A302" s="195">
        <v>9</v>
      </c>
      <c r="B302" s="195" t="s">
        <v>11</v>
      </c>
      <c r="C302" s="196"/>
      <c r="D302" s="197"/>
    </row>
    <row r="303" spans="1:4" ht="15">
      <c r="A303" s="195">
        <v>901</v>
      </c>
      <c r="B303" s="195" t="s">
        <v>1997</v>
      </c>
      <c r="C303" s="196"/>
      <c r="D303" s="197"/>
    </row>
    <row r="304" spans="1:4" ht="99.75">
      <c r="A304" s="198">
        <v>90101</v>
      </c>
      <c r="B304" s="198" t="s">
        <v>263</v>
      </c>
      <c r="C304" s="196" t="s">
        <v>35</v>
      </c>
      <c r="D304" s="197">
        <v>222.17</v>
      </c>
    </row>
    <row r="305" spans="1:4" ht="99.75">
      <c r="A305" s="198">
        <v>90102</v>
      </c>
      <c r="B305" s="198" t="s">
        <v>264</v>
      </c>
      <c r="C305" s="196" t="s">
        <v>35</v>
      </c>
      <c r="D305" s="197">
        <v>113.01</v>
      </c>
    </row>
    <row r="306" spans="1:4" ht="71.25">
      <c r="A306" s="198">
        <v>90103</v>
      </c>
      <c r="B306" s="198" t="s">
        <v>265</v>
      </c>
      <c r="C306" s="196" t="s">
        <v>35</v>
      </c>
      <c r="D306" s="197">
        <v>100.86</v>
      </c>
    </row>
    <row r="307" spans="1:4" ht="99.75">
      <c r="A307" s="198">
        <v>90104</v>
      </c>
      <c r="B307" s="198" t="s">
        <v>266</v>
      </c>
      <c r="C307" s="196" t="s">
        <v>35</v>
      </c>
      <c r="D307" s="197">
        <v>403.77</v>
      </c>
    </row>
    <row r="308" spans="1:4" ht="99.75">
      <c r="A308" s="198">
        <v>90105</v>
      </c>
      <c r="B308" s="198" t="s">
        <v>267</v>
      </c>
      <c r="C308" s="196" t="s">
        <v>35</v>
      </c>
      <c r="D308" s="197">
        <v>255.04</v>
      </c>
    </row>
    <row r="309" spans="1:4" ht="15">
      <c r="A309" s="195">
        <v>902</v>
      </c>
      <c r="B309" s="195" t="s">
        <v>1998</v>
      </c>
      <c r="C309" s="196"/>
      <c r="D309" s="197"/>
    </row>
    <row r="310" spans="1:4" ht="57">
      <c r="A310" s="198">
        <v>90202</v>
      </c>
      <c r="B310" s="198" t="s">
        <v>268</v>
      </c>
      <c r="C310" s="196" t="s">
        <v>35</v>
      </c>
      <c r="D310" s="197">
        <v>56.13</v>
      </c>
    </row>
    <row r="311" spans="1:4" ht="57">
      <c r="A311" s="198">
        <v>90203</v>
      </c>
      <c r="B311" s="198" t="s">
        <v>269</v>
      </c>
      <c r="C311" s="196" t="s">
        <v>35</v>
      </c>
      <c r="D311" s="197">
        <v>84.72</v>
      </c>
    </row>
    <row r="312" spans="1:4" ht="57">
      <c r="A312" s="198">
        <v>90206</v>
      </c>
      <c r="B312" s="198" t="s">
        <v>270</v>
      </c>
      <c r="C312" s="196" t="s">
        <v>35</v>
      </c>
      <c r="D312" s="197">
        <v>96.62</v>
      </c>
    </row>
    <row r="313" spans="1:4" ht="85.5">
      <c r="A313" s="198">
        <v>90211</v>
      </c>
      <c r="B313" s="198" t="s">
        <v>271</v>
      </c>
      <c r="C313" s="196" t="s">
        <v>35</v>
      </c>
      <c r="D313" s="197">
        <v>178.35</v>
      </c>
    </row>
    <row r="314" spans="1:4" ht="57">
      <c r="A314" s="198">
        <v>90212</v>
      </c>
      <c r="B314" s="198" t="s">
        <v>272</v>
      </c>
      <c r="C314" s="196" t="s">
        <v>35</v>
      </c>
      <c r="D314" s="197">
        <v>128.31</v>
      </c>
    </row>
    <row r="315" spans="1:4" ht="28.5">
      <c r="A315" s="198">
        <v>90215</v>
      </c>
      <c r="B315" s="198" t="s">
        <v>273</v>
      </c>
      <c r="C315" s="196" t="s">
        <v>51</v>
      </c>
      <c r="D315" s="197">
        <v>40.630000000000003</v>
      </c>
    </row>
    <row r="316" spans="1:4" ht="28.5">
      <c r="A316" s="198">
        <v>90216</v>
      </c>
      <c r="B316" s="198" t="s">
        <v>274</v>
      </c>
      <c r="C316" s="196" t="s">
        <v>51</v>
      </c>
      <c r="D316" s="197">
        <v>93.56</v>
      </c>
    </row>
    <row r="317" spans="1:4" ht="42.75">
      <c r="A317" s="198">
        <v>90219</v>
      </c>
      <c r="B317" s="198" t="s">
        <v>275</v>
      </c>
      <c r="C317" s="196" t="s">
        <v>35</v>
      </c>
      <c r="D317" s="197">
        <v>95.12</v>
      </c>
    </row>
    <row r="318" spans="1:4" ht="85.5">
      <c r="A318" s="198">
        <v>90228</v>
      </c>
      <c r="B318" s="198" t="s">
        <v>12473</v>
      </c>
      <c r="C318" s="196" t="s">
        <v>35</v>
      </c>
      <c r="D318" s="197">
        <v>75.77</v>
      </c>
    </row>
    <row r="319" spans="1:4" ht="15">
      <c r="A319" s="195">
        <v>903</v>
      </c>
      <c r="B319" s="195" t="s">
        <v>1999</v>
      </c>
      <c r="C319" s="196"/>
      <c r="D319" s="197"/>
    </row>
    <row r="320" spans="1:4" ht="42.75">
      <c r="A320" s="198">
        <v>90301</v>
      </c>
      <c r="B320" s="198" t="s">
        <v>276</v>
      </c>
      <c r="C320" s="196" t="s">
        <v>51</v>
      </c>
      <c r="D320" s="197">
        <v>109.68</v>
      </c>
    </row>
    <row r="321" spans="1:4" ht="28.5">
      <c r="A321" s="198">
        <v>90302</v>
      </c>
      <c r="B321" s="198" t="s">
        <v>277</v>
      </c>
      <c r="C321" s="196" t="s">
        <v>51</v>
      </c>
      <c r="D321" s="197">
        <v>36.61</v>
      </c>
    </row>
    <row r="322" spans="1:4" ht="57">
      <c r="A322" s="198">
        <v>90305</v>
      </c>
      <c r="B322" s="198" t="s">
        <v>278</v>
      </c>
      <c r="C322" s="196" t="s">
        <v>51</v>
      </c>
      <c r="D322" s="197">
        <v>261.51</v>
      </c>
    </row>
    <row r="323" spans="1:4" ht="28.5">
      <c r="A323" s="198">
        <v>90312</v>
      </c>
      <c r="B323" s="198" t="s">
        <v>279</v>
      </c>
      <c r="C323" s="196" t="s">
        <v>51</v>
      </c>
      <c r="D323" s="197">
        <v>219.75</v>
      </c>
    </row>
    <row r="324" spans="1:4" ht="28.5">
      <c r="A324" s="198">
        <v>90314</v>
      </c>
      <c r="B324" s="198" t="s">
        <v>280</v>
      </c>
      <c r="C324" s="196" t="s">
        <v>51</v>
      </c>
      <c r="D324" s="197">
        <v>56.35</v>
      </c>
    </row>
    <row r="325" spans="1:4" ht="15">
      <c r="A325" s="195">
        <v>904</v>
      </c>
      <c r="B325" s="195" t="s">
        <v>2000</v>
      </c>
      <c r="C325" s="196"/>
      <c r="D325" s="197"/>
    </row>
    <row r="326" spans="1:4" ht="99.75">
      <c r="A326" s="198">
        <v>90403</v>
      </c>
      <c r="B326" s="198" t="s">
        <v>281</v>
      </c>
      <c r="C326" s="196" t="s">
        <v>51</v>
      </c>
      <c r="D326" s="197">
        <v>123.65</v>
      </c>
    </row>
    <row r="327" spans="1:4" ht="15">
      <c r="A327" s="195">
        <v>905</v>
      </c>
      <c r="B327" s="195" t="s">
        <v>1987</v>
      </c>
      <c r="C327" s="196"/>
      <c r="D327" s="197"/>
    </row>
    <row r="328" spans="1:4" ht="71.25">
      <c r="A328" s="198">
        <v>90501</v>
      </c>
      <c r="B328" s="198" t="s">
        <v>282</v>
      </c>
      <c r="C328" s="196" t="s">
        <v>35</v>
      </c>
      <c r="D328" s="197">
        <v>64.180000000000007</v>
      </c>
    </row>
    <row r="329" spans="1:4" ht="85.5">
      <c r="A329" s="198">
        <v>90502</v>
      </c>
      <c r="B329" s="198" t="s">
        <v>283</v>
      </c>
      <c r="C329" s="196" t="s">
        <v>35</v>
      </c>
      <c r="D329" s="197">
        <v>22</v>
      </c>
    </row>
    <row r="330" spans="1:4" ht="28.5">
      <c r="A330" s="198">
        <v>90506</v>
      </c>
      <c r="B330" s="198" t="s">
        <v>284</v>
      </c>
      <c r="C330" s="196" t="s">
        <v>35</v>
      </c>
      <c r="D330" s="197">
        <v>17.72</v>
      </c>
    </row>
    <row r="331" spans="1:4" ht="42.75">
      <c r="A331" s="198">
        <v>90509</v>
      </c>
      <c r="B331" s="198" t="s">
        <v>285</v>
      </c>
      <c r="C331" s="196" t="s">
        <v>35</v>
      </c>
      <c r="D331" s="197">
        <v>90.92</v>
      </c>
    </row>
    <row r="332" spans="1:4" ht="28.5">
      <c r="A332" s="198">
        <v>90511</v>
      </c>
      <c r="B332" s="198" t="s">
        <v>286</v>
      </c>
      <c r="C332" s="196" t="s">
        <v>35</v>
      </c>
      <c r="D332" s="197">
        <v>40.93</v>
      </c>
    </row>
    <row r="333" spans="1:4" ht="28.5">
      <c r="A333" s="198">
        <v>90512</v>
      </c>
      <c r="B333" s="198" t="s">
        <v>287</v>
      </c>
      <c r="C333" s="196" t="s">
        <v>44</v>
      </c>
      <c r="D333" s="197">
        <v>23.21</v>
      </c>
    </row>
    <row r="334" spans="1:4" ht="15">
      <c r="A334" s="195">
        <v>10</v>
      </c>
      <c r="B334" s="195" t="s">
        <v>31</v>
      </c>
      <c r="C334" s="196"/>
      <c r="D334" s="197"/>
    </row>
    <row r="335" spans="1:4" ht="30">
      <c r="A335" s="195">
        <v>1001</v>
      </c>
      <c r="B335" s="195" t="s">
        <v>2001</v>
      </c>
      <c r="C335" s="196"/>
      <c r="D335" s="197"/>
    </row>
    <row r="336" spans="1:4" ht="99.75">
      <c r="A336" s="198">
        <v>100102</v>
      </c>
      <c r="B336" s="198" t="s">
        <v>2002</v>
      </c>
      <c r="C336" s="196" t="s">
        <v>35</v>
      </c>
      <c r="D336" s="197">
        <v>82.95</v>
      </c>
    </row>
    <row r="337" spans="1:4" ht="99.75">
      <c r="A337" s="198">
        <v>100105</v>
      </c>
      <c r="B337" s="198" t="s">
        <v>288</v>
      </c>
      <c r="C337" s="196" t="s">
        <v>35</v>
      </c>
      <c r="D337" s="197">
        <v>297.33</v>
      </c>
    </row>
    <row r="338" spans="1:4" ht="45">
      <c r="A338" s="195">
        <v>1002</v>
      </c>
      <c r="B338" s="195" t="s">
        <v>2003</v>
      </c>
      <c r="C338" s="196"/>
      <c r="D338" s="197"/>
    </row>
    <row r="339" spans="1:4" ht="42.75">
      <c r="A339" s="198">
        <v>100202</v>
      </c>
      <c r="B339" s="198" t="s">
        <v>289</v>
      </c>
      <c r="C339" s="196" t="s">
        <v>35</v>
      </c>
      <c r="D339" s="197">
        <v>58.53</v>
      </c>
    </row>
    <row r="340" spans="1:4" ht="28.5">
      <c r="A340" s="198">
        <v>100203</v>
      </c>
      <c r="B340" s="198" t="s">
        <v>290</v>
      </c>
      <c r="C340" s="196" t="s">
        <v>35</v>
      </c>
      <c r="D340" s="197">
        <v>48.12</v>
      </c>
    </row>
    <row r="341" spans="1:4" ht="71.25">
      <c r="A341" s="198">
        <v>100204</v>
      </c>
      <c r="B341" s="198" t="s">
        <v>291</v>
      </c>
      <c r="C341" s="196" t="s">
        <v>35</v>
      </c>
      <c r="D341" s="197">
        <v>45.5</v>
      </c>
    </row>
    <row r="342" spans="1:4" ht="99.75">
      <c r="A342" s="198">
        <v>100208</v>
      </c>
      <c r="B342" s="198" t="s">
        <v>292</v>
      </c>
      <c r="C342" s="196" t="s">
        <v>35</v>
      </c>
      <c r="D342" s="197">
        <v>266.89999999999998</v>
      </c>
    </row>
    <row r="343" spans="1:4" ht="30">
      <c r="A343" s="195">
        <v>1003</v>
      </c>
      <c r="B343" s="195" t="s">
        <v>2004</v>
      </c>
      <c r="C343" s="196"/>
      <c r="D343" s="197"/>
    </row>
    <row r="344" spans="1:4" ht="99.75">
      <c r="A344" s="198">
        <v>100301</v>
      </c>
      <c r="B344" s="198" t="s">
        <v>2005</v>
      </c>
      <c r="C344" s="196" t="s">
        <v>35</v>
      </c>
      <c r="D344" s="197">
        <v>93.68</v>
      </c>
    </row>
    <row r="345" spans="1:4" ht="15">
      <c r="A345" s="195">
        <v>11</v>
      </c>
      <c r="B345" s="195" t="s">
        <v>2006</v>
      </c>
      <c r="C345" s="196"/>
      <c r="D345" s="197"/>
    </row>
    <row r="346" spans="1:4" ht="15">
      <c r="A346" s="195">
        <v>1101</v>
      </c>
      <c r="B346" s="195" t="s">
        <v>2007</v>
      </c>
      <c r="C346" s="196"/>
      <c r="D346" s="197"/>
    </row>
    <row r="347" spans="1:4" ht="57">
      <c r="A347" s="198">
        <v>110101</v>
      </c>
      <c r="B347" s="198" t="s">
        <v>293</v>
      </c>
      <c r="C347" s="196" t="s">
        <v>35</v>
      </c>
      <c r="D347" s="197">
        <v>13.63</v>
      </c>
    </row>
    <row r="348" spans="1:4" ht="15">
      <c r="A348" s="195">
        <v>1102</v>
      </c>
      <c r="B348" s="195" t="s">
        <v>2008</v>
      </c>
      <c r="C348" s="196"/>
      <c r="D348" s="197"/>
    </row>
    <row r="349" spans="1:4" ht="28.5">
      <c r="A349" s="198">
        <v>110201</v>
      </c>
      <c r="B349" s="198" t="s">
        <v>294</v>
      </c>
      <c r="C349" s="196" t="s">
        <v>35</v>
      </c>
      <c r="D349" s="197">
        <v>53.33</v>
      </c>
    </row>
    <row r="350" spans="1:4" ht="71.25">
      <c r="A350" s="198">
        <v>110210</v>
      </c>
      <c r="B350" s="198" t="s">
        <v>14765</v>
      </c>
      <c r="C350" s="196" t="s">
        <v>35</v>
      </c>
      <c r="D350" s="197">
        <v>84.73</v>
      </c>
    </row>
    <row r="351" spans="1:4" ht="45">
      <c r="A351" s="195">
        <v>1103</v>
      </c>
      <c r="B351" s="195" t="s">
        <v>2009</v>
      </c>
      <c r="C351" s="196"/>
      <c r="D351" s="197"/>
    </row>
    <row r="352" spans="1:4" ht="42.75">
      <c r="A352" s="198">
        <v>110301</v>
      </c>
      <c r="B352" s="198" t="s">
        <v>295</v>
      </c>
      <c r="C352" s="196" t="s">
        <v>35</v>
      </c>
      <c r="D352" s="197">
        <v>38.01</v>
      </c>
    </row>
    <row r="353" spans="1:4" ht="57">
      <c r="A353" s="198">
        <v>110302</v>
      </c>
      <c r="B353" s="198" t="s">
        <v>296</v>
      </c>
      <c r="C353" s="196" t="s">
        <v>35</v>
      </c>
      <c r="D353" s="197">
        <v>65.150000000000006</v>
      </c>
    </row>
    <row r="354" spans="1:4" ht="15">
      <c r="A354" s="195">
        <v>1104</v>
      </c>
      <c r="B354" s="195" t="s">
        <v>1987</v>
      </c>
      <c r="C354" s="196"/>
      <c r="D354" s="197"/>
    </row>
    <row r="355" spans="1:4" ht="28.5">
      <c r="A355" s="198">
        <v>110401</v>
      </c>
      <c r="B355" s="198" t="s">
        <v>297</v>
      </c>
      <c r="C355" s="196" t="s">
        <v>35</v>
      </c>
      <c r="D355" s="197">
        <v>57.37</v>
      </c>
    </row>
    <row r="356" spans="1:4" ht="15">
      <c r="A356" s="195">
        <v>12</v>
      </c>
      <c r="B356" s="195" t="s">
        <v>2010</v>
      </c>
      <c r="C356" s="196"/>
      <c r="D356" s="197"/>
    </row>
    <row r="357" spans="1:4" ht="15">
      <c r="A357" s="195">
        <v>1201</v>
      </c>
      <c r="B357" s="195" t="s">
        <v>2007</v>
      </c>
      <c r="C357" s="196"/>
      <c r="D357" s="197"/>
    </row>
    <row r="358" spans="1:4" ht="57">
      <c r="A358" s="198">
        <v>120101</v>
      </c>
      <c r="B358" s="198" t="s">
        <v>298</v>
      </c>
      <c r="C358" s="196" t="s">
        <v>35</v>
      </c>
      <c r="D358" s="197">
        <v>7.08</v>
      </c>
    </row>
    <row r="359" spans="1:4" ht="15">
      <c r="A359" s="195">
        <v>1202</v>
      </c>
      <c r="B359" s="195" t="s">
        <v>2011</v>
      </c>
      <c r="C359" s="196"/>
      <c r="D359" s="197"/>
    </row>
    <row r="360" spans="1:4" ht="85.5">
      <c r="A360" s="198">
        <v>120201</v>
      </c>
      <c r="B360" s="198" t="s">
        <v>299</v>
      </c>
      <c r="C360" s="196" t="s">
        <v>35</v>
      </c>
      <c r="D360" s="197">
        <v>94.97</v>
      </c>
    </row>
    <row r="361" spans="1:4" ht="57">
      <c r="A361" s="198">
        <v>120205</v>
      </c>
      <c r="B361" s="198" t="s">
        <v>300</v>
      </c>
      <c r="C361" s="196" t="s">
        <v>51</v>
      </c>
      <c r="D361" s="197">
        <v>56.18</v>
      </c>
    </row>
    <row r="362" spans="1:4" ht="57">
      <c r="A362" s="198">
        <v>120207</v>
      </c>
      <c r="B362" s="198" t="s">
        <v>301</v>
      </c>
      <c r="C362" s="196" t="s">
        <v>51</v>
      </c>
      <c r="D362" s="197">
        <v>81.16</v>
      </c>
    </row>
    <row r="363" spans="1:4" ht="42.75">
      <c r="A363" s="198">
        <v>120208</v>
      </c>
      <c r="B363" s="198" t="s">
        <v>302</v>
      </c>
      <c r="C363" s="196" t="s">
        <v>51</v>
      </c>
      <c r="D363" s="197">
        <v>18.989999999999998</v>
      </c>
    </row>
    <row r="364" spans="1:4" ht="28.5">
      <c r="A364" s="198">
        <v>120216</v>
      </c>
      <c r="B364" s="198" t="s">
        <v>303</v>
      </c>
      <c r="C364" s="196" t="s">
        <v>51</v>
      </c>
      <c r="D364" s="197">
        <v>17.21</v>
      </c>
    </row>
    <row r="365" spans="1:4" ht="71.25">
      <c r="A365" s="198">
        <v>120220</v>
      </c>
      <c r="B365" s="198" t="s">
        <v>304</v>
      </c>
      <c r="C365" s="196" t="s">
        <v>35</v>
      </c>
      <c r="D365" s="197">
        <v>90.83</v>
      </c>
    </row>
    <row r="366" spans="1:4" ht="71.25">
      <c r="A366" s="198">
        <v>120221</v>
      </c>
      <c r="B366" s="198" t="s">
        <v>305</v>
      </c>
      <c r="C366" s="196" t="s">
        <v>35</v>
      </c>
      <c r="D366" s="197">
        <v>252.57</v>
      </c>
    </row>
    <row r="367" spans="1:4" ht="42.75">
      <c r="A367" s="198">
        <v>120224</v>
      </c>
      <c r="B367" s="198" t="s">
        <v>306</v>
      </c>
      <c r="C367" s="196" t="s">
        <v>35</v>
      </c>
      <c r="D367" s="197">
        <v>15.66</v>
      </c>
    </row>
    <row r="368" spans="1:4" ht="57">
      <c r="A368" s="198">
        <v>120227</v>
      </c>
      <c r="B368" s="198" t="s">
        <v>307</v>
      </c>
      <c r="C368" s="196" t="s">
        <v>51</v>
      </c>
      <c r="D368" s="197">
        <v>51.86</v>
      </c>
    </row>
    <row r="369" spans="1:4" ht="71.25">
      <c r="A369" s="198">
        <v>120232</v>
      </c>
      <c r="B369" s="198" t="s">
        <v>308</v>
      </c>
      <c r="C369" s="196" t="s">
        <v>35</v>
      </c>
      <c r="D369" s="197">
        <v>97.43</v>
      </c>
    </row>
    <row r="370" spans="1:4" ht="45">
      <c r="A370" s="195">
        <v>1203</v>
      </c>
      <c r="B370" s="195" t="s">
        <v>2009</v>
      </c>
      <c r="C370" s="196"/>
      <c r="D370" s="197"/>
    </row>
    <row r="371" spans="1:4" ht="57">
      <c r="A371" s="198">
        <v>120301</v>
      </c>
      <c r="B371" s="198" t="s">
        <v>310</v>
      </c>
      <c r="C371" s="196" t="s">
        <v>35</v>
      </c>
      <c r="D371" s="197">
        <v>34.049999999999997</v>
      </c>
    </row>
    <row r="372" spans="1:4" ht="57">
      <c r="A372" s="198">
        <v>120302</v>
      </c>
      <c r="B372" s="198" t="s">
        <v>311</v>
      </c>
      <c r="C372" s="196" t="s">
        <v>35</v>
      </c>
      <c r="D372" s="197">
        <v>23.73</v>
      </c>
    </row>
    <row r="373" spans="1:4" ht="57">
      <c r="A373" s="198">
        <v>120303</v>
      </c>
      <c r="B373" s="198" t="s">
        <v>312</v>
      </c>
      <c r="C373" s="196" t="s">
        <v>35</v>
      </c>
      <c r="D373" s="197">
        <v>57.86</v>
      </c>
    </row>
    <row r="374" spans="1:4" ht="85.5">
      <c r="A374" s="198">
        <v>120304</v>
      </c>
      <c r="B374" s="198" t="s">
        <v>313</v>
      </c>
      <c r="C374" s="196" t="s">
        <v>35</v>
      </c>
      <c r="D374" s="197">
        <v>64.010000000000005</v>
      </c>
    </row>
    <row r="375" spans="1:4" ht="71.25">
      <c r="A375" s="198">
        <v>120308</v>
      </c>
      <c r="B375" s="198" t="s">
        <v>314</v>
      </c>
      <c r="C375" s="196" t="s">
        <v>35</v>
      </c>
      <c r="D375" s="197">
        <v>8</v>
      </c>
    </row>
    <row r="376" spans="1:4" ht="15">
      <c r="A376" s="195">
        <v>13</v>
      </c>
      <c r="B376" s="195" t="s">
        <v>2012</v>
      </c>
      <c r="C376" s="196"/>
      <c r="D376" s="197"/>
    </row>
    <row r="377" spans="1:4" ht="15">
      <c r="A377" s="195">
        <v>1301</v>
      </c>
      <c r="B377" s="195" t="s">
        <v>2013</v>
      </c>
      <c r="C377" s="196"/>
      <c r="D377" s="197"/>
    </row>
    <row r="378" spans="1:4" ht="57">
      <c r="A378" s="198">
        <v>130103</v>
      </c>
      <c r="B378" s="198" t="s">
        <v>315</v>
      </c>
      <c r="C378" s="196" t="s">
        <v>35</v>
      </c>
      <c r="D378" s="197">
        <v>25.16</v>
      </c>
    </row>
    <row r="379" spans="1:4" ht="57">
      <c r="A379" s="198">
        <v>130104</v>
      </c>
      <c r="B379" s="198" t="s">
        <v>316</v>
      </c>
      <c r="C379" s="196" t="s">
        <v>35</v>
      </c>
      <c r="D379" s="197">
        <v>39.28</v>
      </c>
    </row>
    <row r="380" spans="1:4" ht="42.75">
      <c r="A380" s="198">
        <v>130109</v>
      </c>
      <c r="B380" s="198" t="s">
        <v>317</v>
      </c>
      <c r="C380" s="196" t="s">
        <v>35</v>
      </c>
      <c r="D380" s="197">
        <v>81.3</v>
      </c>
    </row>
    <row r="381" spans="1:4" ht="28.5">
      <c r="A381" s="198">
        <v>130110</v>
      </c>
      <c r="B381" s="198" t="s">
        <v>318</v>
      </c>
      <c r="C381" s="196" t="s">
        <v>35</v>
      </c>
      <c r="D381" s="197">
        <v>67.95</v>
      </c>
    </row>
    <row r="382" spans="1:4" ht="42.75">
      <c r="A382" s="198">
        <v>130111</v>
      </c>
      <c r="B382" s="198" t="s">
        <v>319</v>
      </c>
      <c r="C382" s="196" t="s">
        <v>35</v>
      </c>
      <c r="D382" s="197">
        <v>61.54</v>
      </c>
    </row>
    <row r="383" spans="1:4" ht="28.5">
      <c r="A383" s="198">
        <v>130112</v>
      </c>
      <c r="B383" s="198" t="s">
        <v>320</v>
      </c>
      <c r="C383" s="196" t="s">
        <v>35</v>
      </c>
      <c r="D383" s="197">
        <v>51.53</v>
      </c>
    </row>
    <row r="384" spans="1:4" ht="42.75">
      <c r="A384" s="198">
        <v>130113</v>
      </c>
      <c r="B384" s="198" t="s">
        <v>321</v>
      </c>
      <c r="C384" s="196" t="s">
        <v>35</v>
      </c>
      <c r="D384" s="197">
        <v>81.86</v>
      </c>
    </row>
    <row r="385" spans="1:4" ht="15">
      <c r="A385" s="195">
        <v>1302</v>
      </c>
      <c r="B385" s="195" t="s">
        <v>2011</v>
      </c>
      <c r="C385" s="196"/>
      <c r="D385" s="197"/>
    </row>
    <row r="386" spans="1:4" ht="57">
      <c r="A386" s="198">
        <v>130202</v>
      </c>
      <c r="B386" s="198" t="s">
        <v>322</v>
      </c>
      <c r="C386" s="196" t="s">
        <v>35</v>
      </c>
      <c r="D386" s="197">
        <v>59.03</v>
      </c>
    </row>
    <row r="387" spans="1:4" ht="71.25">
      <c r="A387" s="198">
        <v>130205</v>
      </c>
      <c r="B387" s="198" t="s">
        <v>323</v>
      </c>
      <c r="C387" s="196" t="s">
        <v>35</v>
      </c>
      <c r="D387" s="197">
        <v>443.3</v>
      </c>
    </row>
    <row r="388" spans="1:4" ht="42.75">
      <c r="A388" s="198">
        <v>130208</v>
      </c>
      <c r="B388" s="198" t="s">
        <v>324</v>
      </c>
      <c r="C388" s="196" t="s">
        <v>51</v>
      </c>
      <c r="D388" s="197">
        <v>9.76</v>
      </c>
    </row>
    <row r="389" spans="1:4" ht="57">
      <c r="A389" s="198">
        <v>130209</v>
      </c>
      <c r="B389" s="198" t="s">
        <v>325</v>
      </c>
      <c r="C389" s="196" t="s">
        <v>35</v>
      </c>
      <c r="D389" s="197">
        <v>92.9</v>
      </c>
    </row>
    <row r="390" spans="1:4" ht="85.5">
      <c r="A390" s="198">
        <v>130210</v>
      </c>
      <c r="B390" s="198" t="s">
        <v>326</v>
      </c>
      <c r="C390" s="196" t="s">
        <v>35</v>
      </c>
      <c r="D390" s="197">
        <v>69.86</v>
      </c>
    </row>
    <row r="391" spans="1:4" ht="57">
      <c r="A391" s="198">
        <v>130211</v>
      </c>
      <c r="B391" s="198" t="s">
        <v>327</v>
      </c>
      <c r="C391" s="196" t="s">
        <v>35</v>
      </c>
      <c r="D391" s="197">
        <v>237</v>
      </c>
    </row>
    <row r="392" spans="1:4" ht="57">
      <c r="A392" s="198">
        <v>130222</v>
      </c>
      <c r="B392" s="198" t="s">
        <v>328</v>
      </c>
      <c r="C392" s="196" t="s">
        <v>35</v>
      </c>
      <c r="D392" s="197">
        <v>177.45</v>
      </c>
    </row>
    <row r="393" spans="1:4" ht="42.75">
      <c r="A393" s="198">
        <v>130223</v>
      </c>
      <c r="B393" s="198" t="s">
        <v>329</v>
      </c>
      <c r="C393" s="196" t="s">
        <v>35</v>
      </c>
      <c r="D393" s="197">
        <v>13.96</v>
      </c>
    </row>
    <row r="394" spans="1:4" ht="42.75">
      <c r="A394" s="198">
        <v>130225</v>
      </c>
      <c r="B394" s="198" t="s">
        <v>330</v>
      </c>
      <c r="C394" s="196" t="s">
        <v>35</v>
      </c>
      <c r="D394" s="197">
        <v>10.83</v>
      </c>
    </row>
    <row r="395" spans="1:4" ht="28.5">
      <c r="A395" s="198">
        <v>130226</v>
      </c>
      <c r="B395" s="198" t="s">
        <v>331</v>
      </c>
      <c r="C395" s="196" t="s">
        <v>35</v>
      </c>
      <c r="D395" s="197">
        <v>15.24</v>
      </c>
    </row>
    <row r="396" spans="1:4" ht="99.75">
      <c r="A396" s="198">
        <v>130228</v>
      </c>
      <c r="B396" s="198" t="s">
        <v>332</v>
      </c>
      <c r="C396" s="196" t="s">
        <v>35</v>
      </c>
      <c r="D396" s="197">
        <v>54.3</v>
      </c>
    </row>
    <row r="397" spans="1:4" ht="99.75">
      <c r="A397" s="198">
        <v>130230</v>
      </c>
      <c r="B397" s="198" t="s">
        <v>333</v>
      </c>
      <c r="C397" s="196" t="s">
        <v>35</v>
      </c>
      <c r="D397" s="197">
        <v>127.79</v>
      </c>
    </row>
    <row r="398" spans="1:4" ht="99.75">
      <c r="A398" s="198">
        <v>130231</v>
      </c>
      <c r="B398" s="198" t="s">
        <v>334</v>
      </c>
      <c r="C398" s="196" t="s">
        <v>35</v>
      </c>
      <c r="D398" s="197">
        <v>140.69</v>
      </c>
    </row>
    <row r="399" spans="1:4" ht="99.75">
      <c r="A399" s="198">
        <v>130233</v>
      </c>
      <c r="B399" s="198" t="s">
        <v>335</v>
      </c>
      <c r="C399" s="196" t="s">
        <v>35</v>
      </c>
      <c r="D399" s="197">
        <v>134.5</v>
      </c>
    </row>
    <row r="400" spans="1:4" ht="85.5">
      <c r="A400" s="198">
        <v>130234</v>
      </c>
      <c r="B400" s="198" t="s">
        <v>336</v>
      </c>
      <c r="C400" s="196" t="s">
        <v>35</v>
      </c>
      <c r="D400" s="197">
        <v>197.09</v>
      </c>
    </row>
    <row r="401" spans="1:4" ht="99.75">
      <c r="A401" s="198">
        <v>130236</v>
      </c>
      <c r="B401" s="198" t="s">
        <v>337</v>
      </c>
      <c r="C401" s="196" t="s">
        <v>35</v>
      </c>
      <c r="D401" s="197">
        <v>75.97</v>
      </c>
    </row>
    <row r="402" spans="1:4" ht="99.75">
      <c r="A402" s="198">
        <v>130237</v>
      </c>
      <c r="B402" s="198" t="s">
        <v>309</v>
      </c>
      <c r="C402" s="196" t="s">
        <v>35</v>
      </c>
      <c r="D402" s="197">
        <v>54.3</v>
      </c>
    </row>
    <row r="403" spans="1:4" ht="30">
      <c r="A403" s="195">
        <v>1303</v>
      </c>
      <c r="B403" s="195" t="s">
        <v>2014</v>
      </c>
      <c r="C403" s="196"/>
      <c r="D403" s="197"/>
    </row>
    <row r="404" spans="1:4" ht="42.75">
      <c r="A404" s="198">
        <v>130301</v>
      </c>
      <c r="B404" s="198" t="s">
        <v>338</v>
      </c>
      <c r="C404" s="196" t="s">
        <v>51</v>
      </c>
      <c r="D404" s="197">
        <v>14.2</v>
      </c>
    </row>
    <row r="405" spans="1:4" ht="57">
      <c r="A405" s="198">
        <v>130303</v>
      </c>
      <c r="B405" s="198" t="s">
        <v>12474</v>
      </c>
      <c r="C405" s="196" t="s">
        <v>51</v>
      </c>
      <c r="D405" s="197">
        <v>16.920000000000002</v>
      </c>
    </row>
    <row r="406" spans="1:4" ht="42.75">
      <c r="A406" s="198">
        <v>130304</v>
      </c>
      <c r="B406" s="198" t="s">
        <v>339</v>
      </c>
      <c r="C406" s="196" t="s">
        <v>51</v>
      </c>
      <c r="D406" s="197">
        <v>40.39</v>
      </c>
    </row>
    <row r="407" spans="1:4" ht="28.5">
      <c r="A407" s="198">
        <v>130307</v>
      </c>
      <c r="B407" s="198" t="s">
        <v>340</v>
      </c>
      <c r="C407" s="196" t="s">
        <v>51</v>
      </c>
      <c r="D407" s="197">
        <v>212.18</v>
      </c>
    </row>
    <row r="408" spans="1:4" ht="28.5">
      <c r="A408" s="198">
        <v>130308</v>
      </c>
      <c r="B408" s="198" t="s">
        <v>341</v>
      </c>
      <c r="C408" s="196" t="s">
        <v>51</v>
      </c>
      <c r="D408" s="197">
        <v>54.19</v>
      </c>
    </row>
    <row r="409" spans="1:4" ht="42.75">
      <c r="A409" s="198">
        <v>130311</v>
      </c>
      <c r="B409" s="198" t="s">
        <v>342</v>
      </c>
      <c r="C409" s="196" t="s">
        <v>51</v>
      </c>
      <c r="D409" s="197">
        <v>25.78</v>
      </c>
    </row>
    <row r="410" spans="1:4" ht="71.25">
      <c r="A410" s="198">
        <v>130315</v>
      </c>
      <c r="B410" s="198" t="s">
        <v>343</v>
      </c>
      <c r="C410" s="196" t="s">
        <v>51</v>
      </c>
      <c r="D410" s="197">
        <v>49.32</v>
      </c>
    </row>
    <row r="411" spans="1:4" ht="28.5">
      <c r="A411" s="198">
        <v>130317</v>
      </c>
      <c r="B411" s="198" t="s">
        <v>344</v>
      </c>
      <c r="C411" s="196" t="s">
        <v>51</v>
      </c>
      <c r="D411" s="197">
        <v>92.2</v>
      </c>
    </row>
    <row r="412" spans="1:4" ht="57">
      <c r="A412" s="198">
        <v>130320</v>
      </c>
      <c r="B412" s="198" t="s">
        <v>345</v>
      </c>
      <c r="C412" s="196" t="s">
        <v>51</v>
      </c>
      <c r="D412" s="197">
        <v>33.76</v>
      </c>
    </row>
    <row r="413" spans="1:4" ht="71.25">
      <c r="A413" s="198">
        <v>130321</v>
      </c>
      <c r="B413" s="198" t="s">
        <v>346</v>
      </c>
      <c r="C413" s="196" t="s">
        <v>51</v>
      </c>
      <c r="D413" s="197">
        <v>44.67</v>
      </c>
    </row>
    <row r="414" spans="1:4" ht="114">
      <c r="A414" s="198">
        <v>130322</v>
      </c>
      <c r="B414" s="198" t="s">
        <v>347</v>
      </c>
      <c r="C414" s="196" t="s">
        <v>51</v>
      </c>
      <c r="D414" s="197">
        <v>28.19</v>
      </c>
    </row>
    <row r="415" spans="1:4" ht="85.5">
      <c r="A415" s="198">
        <v>130323</v>
      </c>
      <c r="B415" s="198" t="s">
        <v>348</v>
      </c>
      <c r="C415" s="196" t="s">
        <v>51</v>
      </c>
      <c r="D415" s="197">
        <v>48.92</v>
      </c>
    </row>
    <row r="416" spans="1:4" ht="15">
      <c r="A416" s="195">
        <v>1304</v>
      </c>
      <c r="B416" s="195" t="s">
        <v>1987</v>
      </c>
      <c r="C416" s="196"/>
      <c r="D416" s="197"/>
    </row>
    <row r="417" spans="1:4" ht="57">
      <c r="A417" s="198">
        <v>130403</v>
      </c>
      <c r="B417" s="198" t="s">
        <v>349</v>
      </c>
      <c r="C417" s="196" t="s">
        <v>35</v>
      </c>
      <c r="D417" s="197">
        <v>129.4</v>
      </c>
    </row>
    <row r="418" spans="1:4" ht="15">
      <c r="A418" s="195">
        <v>14</v>
      </c>
      <c r="B418" s="195" t="s">
        <v>2015</v>
      </c>
      <c r="C418" s="196"/>
      <c r="D418" s="197"/>
    </row>
    <row r="419" spans="1:4" ht="30">
      <c r="A419" s="195">
        <v>1401</v>
      </c>
      <c r="B419" s="195" t="s">
        <v>2016</v>
      </c>
      <c r="C419" s="196"/>
      <c r="D419" s="197"/>
    </row>
    <row r="420" spans="1:4" ht="85.5">
      <c r="A420" s="198">
        <v>140102</v>
      </c>
      <c r="B420" s="198" t="s">
        <v>350</v>
      </c>
      <c r="C420" s="196" t="s">
        <v>33</v>
      </c>
      <c r="D420" s="199">
        <v>2499.13</v>
      </c>
    </row>
    <row r="421" spans="1:4" ht="85.5">
      <c r="A421" s="198">
        <v>140103</v>
      </c>
      <c r="B421" s="198" t="s">
        <v>351</v>
      </c>
      <c r="C421" s="196" t="s">
        <v>33</v>
      </c>
      <c r="D421" s="199">
        <v>3279.2</v>
      </c>
    </row>
    <row r="422" spans="1:4" ht="99.75">
      <c r="A422" s="198">
        <v>140108</v>
      </c>
      <c r="B422" s="198" t="s">
        <v>352</v>
      </c>
      <c r="C422" s="196" t="s">
        <v>33</v>
      </c>
      <c r="D422" s="199">
        <v>6603.93</v>
      </c>
    </row>
    <row r="423" spans="1:4" ht="99.75">
      <c r="A423" s="198">
        <v>140109</v>
      </c>
      <c r="B423" s="198" t="s">
        <v>353</v>
      </c>
      <c r="C423" s="196" t="s">
        <v>33</v>
      </c>
      <c r="D423" s="199">
        <v>7300.17</v>
      </c>
    </row>
    <row r="424" spans="1:4" ht="15">
      <c r="A424" s="195">
        <v>1402</v>
      </c>
      <c r="B424" s="195" t="s">
        <v>2017</v>
      </c>
      <c r="C424" s="196"/>
      <c r="D424" s="197"/>
    </row>
    <row r="425" spans="1:4" ht="114">
      <c r="A425" s="198">
        <v>140201</v>
      </c>
      <c r="B425" s="198" t="s">
        <v>18890</v>
      </c>
      <c r="C425" s="196" t="s">
        <v>33</v>
      </c>
      <c r="D425" s="197">
        <v>395.12</v>
      </c>
    </row>
    <row r="426" spans="1:4" ht="114">
      <c r="A426" s="198">
        <v>140207</v>
      </c>
      <c r="B426" s="198" t="s">
        <v>18891</v>
      </c>
      <c r="C426" s="196" t="s">
        <v>33</v>
      </c>
      <c r="D426" s="197">
        <v>461.26</v>
      </c>
    </row>
    <row r="427" spans="1:4" ht="114">
      <c r="A427" s="198">
        <v>140208</v>
      </c>
      <c r="B427" s="198" t="s">
        <v>18892</v>
      </c>
      <c r="C427" s="196" t="s">
        <v>33</v>
      </c>
      <c r="D427" s="197">
        <v>711.7</v>
      </c>
    </row>
    <row r="428" spans="1:4" ht="99.75">
      <c r="A428" s="198">
        <v>140209</v>
      </c>
      <c r="B428" s="198" t="s">
        <v>354</v>
      </c>
      <c r="C428" s="196" t="s">
        <v>33</v>
      </c>
      <c r="D428" s="197">
        <v>276.7</v>
      </c>
    </row>
    <row r="429" spans="1:4" ht="15">
      <c r="A429" s="195">
        <v>1407</v>
      </c>
      <c r="B429" s="195" t="s">
        <v>2018</v>
      </c>
      <c r="C429" s="196"/>
      <c r="D429" s="197"/>
    </row>
    <row r="430" spans="1:4" ht="28.5">
      <c r="A430" s="198">
        <v>140701</v>
      </c>
      <c r="B430" s="198" t="s">
        <v>355</v>
      </c>
      <c r="C430" s="196" t="s">
        <v>356</v>
      </c>
      <c r="D430" s="197">
        <v>109.12</v>
      </c>
    </row>
    <row r="431" spans="1:4" ht="28.5">
      <c r="A431" s="198">
        <v>140702</v>
      </c>
      <c r="B431" s="198" t="s">
        <v>357</v>
      </c>
      <c r="C431" s="196" t="s">
        <v>356</v>
      </c>
      <c r="D431" s="197">
        <v>234.64</v>
      </c>
    </row>
    <row r="432" spans="1:4" ht="28.5">
      <c r="A432" s="198">
        <v>140703</v>
      </c>
      <c r="B432" s="198" t="s">
        <v>358</v>
      </c>
      <c r="C432" s="196" t="s">
        <v>356</v>
      </c>
      <c r="D432" s="197">
        <v>434.52</v>
      </c>
    </row>
    <row r="433" spans="1:4" ht="28.5">
      <c r="A433" s="198">
        <v>140704</v>
      </c>
      <c r="B433" s="198" t="s">
        <v>359</v>
      </c>
      <c r="C433" s="196" t="s">
        <v>356</v>
      </c>
      <c r="D433" s="197">
        <v>420.33</v>
      </c>
    </row>
    <row r="434" spans="1:4" ht="28.5">
      <c r="A434" s="198">
        <v>140705</v>
      </c>
      <c r="B434" s="198" t="s">
        <v>360</v>
      </c>
      <c r="C434" s="196" t="s">
        <v>356</v>
      </c>
      <c r="D434" s="197">
        <v>135.33000000000001</v>
      </c>
    </row>
    <row r="435" spans="1:4" ht="42.75">
      <c r="A435" s="198">
        <v>140706</v>
      </c>
      <c r="B435" s="198" t="s">
        <v>361</v>
      </c>
      <c r="C435" s="196" t="s">
        <v>356</v>
      </c>
      <c r="D435" s="197">
        <v>100.49</v>
      </c>
    </row>
    <row r="436" spans="1:4" ht="42.75">
      <c r="A436" s="198">
        <v>140707</v>
      </c>
      <c r="B436" s="198" t="s">
        <v>362</v>
      </c>
      <c r="C436" s="196" t="s">
        <v>356</v>
      </c>
      <c r="D436" s="197">
        <v>179.19</v>
      </c>
    </row>
    <row r="437" spans="1:4" ht="42.75">
      <c r="A437" s="198">
        <v>140708</v>
      </c>
      <c r="B437" s="198" t="s">
        <v>363</v>
      </c>
      <c r="C437" s="196" t="s">
        <v>356</v>
      </c>
      <c r="D437" s="197">
        <v>101.21</v>
      </c>
    </row>
    <row r="438" spans="1:4" ht="28.5">
      <c r="A438" s="198">
        <v>140709</v>
      </c>
      <c r="B438" s="198" t="s">
        <v>364</v>
      </c>
      <c r="C438" s="196" t="s">
        <v>356</v>
      </c>
      <c r="D438" s="197">
        <v>99.26</v>
      </c>
    </row>
    <row r="439" spans="1:4" ht="42.75">
      <c r="A439" s="198">
        <v>140710</v>
      </c>
      <c r="B439" s="198" t="s">
        <v>365</v>
      </c>
      <c r="C439" s="196" t="s">
        <v>33</v>
      </c>
      <c r="D439" s="197">
        <v>224.87</v>
      </c>
    </row>
    <row r="440" spans="1:4" ht="42.75">
      <c r="A440" s="198">
        <v>140711</v>
      </c>
      <c r="B440" s="198" t="s">
        <v>366</v>
      </c>
      <c r="C440" s="196" t="s">
        <v>33</v>
      </c>
      <c r="D440" s="197">
        <v>124.39</v>
      </c>
    </row>
    <row r="441" spans="1:4" ht="57">
      <c r="A441" s="198">
        <v>140712</v>
      </c>
      <c r="B441" s="198" t="s">
        <v>367</v>
      </c>
      <c r="C441" s="196" t="s">
        <v>33</v>
      </c>
      <c r="D441" s="197">
        <v>726</v>
      </c>
    </row>
    <row r="442" spans="1:4" ht="85.5">
      <c r="A442" s="198">
        <v>140713</v>
      </c>
      <c r="B442" s="198" t="s">
        <v>368</v>
      </c>
      <c r="C442" s="196" t="s">
        <v>33</v>
      </c>
      <c r="D442" s="199">
        <v>1121.3399999999999</v>
      </c>
    </row>
    <row r="443" spans="1:4" ht="99.75">
      <c r="A443" s="198">
        <v>140714</v>
      </c>
      <c r="B443" s="198" t="s">
        <v>369</v>
      </c>
      <c r="C443" s="196" t="s">
        <v>33</v>
      </c>
      <c r="D443" s="199">
        <v>1244.8399999999999</v>
      </c>
    </row>
    <row r="444" spans="1:4" ht="15">
      <c r="A444" s="195">
        <v>1409</v>
      </c>
      <c r="B444" s="195" t="s">
        <v>2019</v>
      </c>
      <c r="C444" s="196"/>
      <c r="D444" s="197"/>
    </row>
    <row r="445" spans="1:4" ht="99.75">
      <c r="A445" s="198">
        <v>140901</v>
      </c>
      <c r="B445" s="198" t="s">
        <v>14766</v>
      </c>
      <c r="C445" s="196" t="s">
        <v>51</v>
      </c>
      <c r="D445" s="197">
        <v>128.47</v>
      </c>
    </row>
    <row r="446" spans="1:4" ht="99.75">
      <c r="A446" s="198">
        <v>140902</v>
      </c>
      <c r="B446" s="198" t="s">
        <v>14767</v>
      </c>
      <c r="C446" s="196" t="s">
        <v>51</v>
      </c>
      <c r="D446" s="197">
        <v>165.53</v>
      </c>
    </row>
    <row r="447" spans="1:4" ht="42.75">
      <c r="A447" s="198">
        <v>140903</v>
      </c>
      <c r="B447" s="198" t="s">
        <v>370</v>
      </c>
      <c r="C447" s="196" t="s">
        <v>51</v>
      </c>
      <c r="D447" s="197">
        <v>69.989999999999995</v>
      </c>
    </row>
    <row r="448" spans="1:4" ht="42.75">
      <c r="A448" s="198">
        <v>140904</v>
      </c>
      <c r="B448" s="198" t="s">
        <v>371</v>
      </c>
      <c r="C448" s="196" t="s">
        <v>51</v>
      </c>
      <c r="D448" s="197">
        <v>101.98</v>
      </c>
    </row>
    <row r="449" spans="1:4" ht="42.75">
      <c r="A449" s="198">
        <v>140905</v>
      </c>
      <c r="B449" s="198" t="s">
        <v>372</v>
      </c>
      <c r="C449" s="196" t="s">
        <v>51</v>
      </c>
      <c r="D449" s="197">
        <v>161.61000000000001</v>
      </c>
    </row>
    <row r="450" spans="1:4" ht="42.75">
      <c r="A450" s="198">
        <v>140906</v>
      </c>
      <c r="B450" s="198" t="s">
        <v>373</v>
      </c>
      <c r="C450" s="196" t="s">
        <v>51</v>
      </c>
      <c r="D450" s="197">
        <v>61.21</v>
      </c>
    </row>
    <row r="451" spans="1:4" ht="30">
      <c r="A451" s="195">
        <v>1411</v>
      </c>
      <c r="B451" s="195" t="s">
        <v>2020</v>
      </c>
      <c r="C451" s="196"/>
      <c r="D451" s="197"/>
    </row>
    <row r="452" spans="1:4" ht="114">
      <c r="A452" s="198">
        <v>141101</v>
      </c>
      <c r="B452" s="198" t="s">
        <v>374</v>
      </c>
      <c r="C452" s="196" t="s">
        <v>33</v>
      </c>
      <c r="D452" s="197">
        <v>577.20000000000005</v>
      </c>
    </row>
    <row r="453" spans="1:4" ht="114">
      <c r="A453" s="198">
        <v>141102</v>
      </c>
      <c r="B453" s="198" t="s">
        <v>375</v>
      </c>
      <c r="C453" s="196" t="s">
        <v>33</v>
      </c>
      <c r="D453" s="197">
        <v>568.70000000000005</v>
      </c>
    </row>
    <row r="454" spans="1:4" ht="114">
      <c r="A454" s="198">
        <v>141103</v>
      </c>
      <c r="B454" s="198" t="s">
        <v>376</v>
      </c>
      <c r="C454" s="196" t="s">
        <v>33</v>
      </c>
      <c r="D454" s="197">
        <v>651.38</v>
      </c>
    </row>
    <row r="455" spans="1:4" ht="114">
      <c r="A455" s="198">
        <v>141104</v>
      </c>
      <c r="B455" s="198" t="s">
        <v>377</v>
      </c>
      <c r="C455" s="196" t="s">
        <v>33</v>
      </c>
      <c r="D455" s="197">
        <v>615.41</v>
      </c>
    </row>
    <row r="456" spans="1:4" ht="99.75">
      <c r="A456" s="198">
        <v>141105</v>
      </c>
      <c r="B456" s="198" t="s">
        <v>378</v>
      </c>
      <c r="C456" s="196" t="s">
        <v>33</v>
      </c>
      <c r="D456" s="197">
        <v>606.33000000000004</v>
      </c>
    </row>
    <row r="457" spans="1:4" ht="114">
      <c r="A457" s="198">
        <v>141106</v>
      </c>
      <c r="B457" s="198" t="s">
        <v>379</v>
      </c>
      <c r="C457" s="196" t="s">
        <v>33</v>
      </c>
      <c r="D457" s="197">
        <v>826.05</v>
      </c>
    </row>
    <row r="458" spans="1:4" ht="114">
      <c r="A458" s="198">
        <v>141107</v>
      </c>
      <c r="B458" s="198" t="s">
        <v>380</v>
      </c>
      <c r="C458" s="196" t="s">
        <v>33</v>
      </c>
      <c r="D458" s="197">
        <v>809.13</v>
      </c>
    </row>
    <row r="459" spans="1:4" ht="114">
      <c r="A459" s="198">
        <v>141108</v>
      </c>
      <c r="B459" s="198" t="s">
        <v>381</v>
      </c>
      <c r="C459" s="196" t="s">
        <v>33</v>
      </c>
      <c r="D459" s="199">
        <v>1166.32</v>
      </c>
    </row>
    <row r="460" spans="1:4" ht="71.25">
      <c r="A460" s="198">
        <v>141109</v>
      </c>
      <c r="B460" s="198" t="s">
        <v>382</v>
      </c>
      <c r="C460" s="196" t="s">
        <v>51</v>
      </c>
      <c r="D460" s="197">
        <v>182.79</v>
      </c>
    </row>
    <row r="461" spans="1:4" ht="114">
      <c r="A461" s="198">
        <v>141110</v>
      </c>
      <c r="B461" s="198" t="s">
        <v>383</v>
      </c>
      <c r="C461" s="196" t="s">
        <v>33</v>
      </c>
      <c r="D461" s="197">
        <v>764.68</v>
      </c>
    </row>
    <row r="462" spans="1:4" ht="99.75">
      <c r="A462" s="198">
        <v>141111</v>
      </c>
      <c r="B462" s="198" t="s">
        <v>384</v>
      </c>
      <c r="C462" s="196" t="s">
        <v>33</v>
      </c>
      <c r="D462" s="197">
        <v>756.2</v>
      </c>
    </row>
    <row r="463" spans="1:4" ht="114">
      <c r="A463" s="198">
        <v>141112</v>
      </c>
      <c r="B463" s="198" t="s">
        <v>385</v>
      </c>
      <c r="C463" s="196" t="s">
        <v>33</v>
      </c>
      <c r="D463" s="197">
        <v>838.87</v>
      </c>
    </row>
    <row r="464" spans="1:4" ht="99.75">
      <c r="A464" s="198">
        <v>141113</v>
      </c>
      <c r="B464" s="198" t="s">
        <v>386</v>
      </c>
      <c r="C464" s="196" t="s">
        <v>33</v>
      </c>
      <c r="D464" s="197">
        <v>802.89</v>
      </c>
    </row>
    <row r="465" spans="1:4" ht="99.75">
      <c r="A465" s="198">
        <v>141114</v>
      </c>
      <c r="B465" s="198" t="s">
        <v>387</v>
      </c>
      <c r="C465" s="196" t="s">
        <v>33</v>
      </c>
      <c r="D465" s="197">
        <v>779.68</v>
      </c>
    </row>
    <row r="466" spans="1:4" ht="30">
      <c r="A466" s="195">
        <v>1412</v>
      </c>
      <c r="B466" s="195" t="s">
        <v>2021</v>
      </c>
      <c r="C466" s="196"/>
      <c r="D466" s="197"/>
    </row>
    <row r="467" spans="1:4" ht="28.5">
      <c r="A467" s="198">
        <v>141210</v>
      </c>
      <c r="B467" s="198" t="s">
        <v>388</v>
      </c>
      <c r="C467" s="196" t="s">
        <v>51</v>
      </c>
      <c r="D467" s="197">
        <v>61.2</v>
      </c>
    </row>
    <row r="468" spans="1:4" ht="28.5">
      <c r="A468" s="198">
        <v>141211</v>
      </c>
      <c r="B468" s="198" t="s">
        <v>389</v>
      </c>
      <c r="C468" s="196" t="s">
        <v>51</v>
      </c>
      <c r="D468" s="197">
        <v>74.040000000000006</v>
      </c>
    </row>
    <row r="469" spans="1:4" ht="28.5">
      <c r="A469" s="198">
        <v>141212</v>
      </c>
      <c r="B469" s="198" t="s">
        <v>390</v>
      </c>
      <c r="C469" s="196" t="s">
        <v>51</v>
      </c>
      <c r="D469" s="197">
        <v>90.72</v>
      </c>
    </row>
    <row r="470" spans="1:4" ht="28.5">
      <c r="A470" s="198">
        <v>141213</v>
      </c>
      <c r="B470" s="198" t="s">
        <v>391</v>
      </c>
      <c r="C470" s="196" t="s">
        <v>51</v>
      </c>
      <c r="D470" s="197">
        <v>107.22</v>
      </c>
    </row>
    <row r="471" spans="1:4" ht="28.5">
      <c r="A471" s="198">
        <v>141214</v>
      </c>
      <c r="B471" s="198" t="s">
        <v>392</v>
      </c>
      <c r="C471" s="196" t="s">
        <v>51</v>
      </c>
      <c r="D471" s="197">
        <v>126.6</v>
      </c>
    </row>
    <row r="472" spans="1:4" ht="28.5">
      <c r="A472" s="198">
        <v>141215</v>
      </c>
      <c r="B472" s="198" t="s">
        <v>393</v>
      </c>
      <c r="C472" s="196" t="s">
        <v>51</v>
      </c>
      <c r="D472" s="197">
        <v>151.5</v>
      </c>
    </row>
    <row r="473" spans="1:4" ht="28.5">
      <c r="A473" s="198">
        <v>141216</v>
      </c>
      <c r="B473" s="198" t="s">
        <v>394</v>
      </c>
      <c r="C473" s="196" t="s">
        <v>51</v>
      </c>
      <c r="D473" s="197">
        <v>191.36</v>
      </c>
    </row>
    <row r="474" spans="1:4" ht="28.5">
      <c r="A474" s="198">
        <v>141217</v>
      </c>
      <c r="B474" s="198" t="s">
        <v>395</v>
      </c>
      <c r="C474" s="196" t="s">
        <v>51</v>
      </c>
      <c r="D474" s="197">
        <v>212.39</v>
      </c>
    </row>
    <row r="475" spans="1:4" ht="28.5">
      <c r="A475" s="198">
        <v>141218</v>
      </c>
      <c r="B475" s="198" t="s">
        <v>396</v>
      </c>
      <c r="C475" s="196" t="s">
        <v>51</v>
      </c>
      <c r="D475" s="197">
        <v>284.05</v>
      </c>
    </row>
    <row r="476" spans="1:4" ht="30">
      <c r="A476" s="195">
        <v>1414</v>
      </c>
      <c r="B476" s="195" t="s">
        <v>2022</v>
      </c>
      <c r="C476" s="196"/>
      <c r="D476" s="197"/>
    </row>
    <row r="477" spans="1:4" ht="42.75">
      <c r="A477" s="198">
        <v>141409</v>
      </c>
      <c r="B477" s="198" t="s">
        <v>18709</v>
      </c>
      <c r="C477" s="196" t="s">
        <v>51</v>
      </c>
      <c r="D477" s="197">
        <v>20.22</v>
      </c>
    </row>
    <row r="478" spans="1:4" ht="42.75">
      <c r="A478" s="198">
        <v>141410</v>
      </c>
      <c r="B478" s="198" t="s">
        <v>18710</v>
      </c>
      <c r="C478" s="196" t="s">
        <v>51</v>
      </c>
      <c r="D478" s="197">
        <v>23.17</v>
      </c>
    </row>
    <row r="479" spans="1:4" ht="42.75">
      <c r="A479" s="198">
        <v>141411</v>
      </c>
      <c r="B479" s="198" t="s">
        <v>18711</v>
      </c>
      <c r="C479" s="196" t="s">
        <v>51</v>
      </c>
      <c r="D479" s="197">
        <v>27.56</v>
      </c>
    </row>
    <row r="480" spans="1:4" ht="42.75">
      <c r="A480" s="198">
        <v>141412</v>
      </c>
      <c r="B480" s="198" t="s">
        <v>18712</v>
      </c>
      <c r="C480" s="196" t="s">
        <v>51</v>
      </c>
      <c r="D480" s="197">
        <v>36.090000000000003</v>
      </c>
    </row>
    <row r="481" spans="1:4" ht="42.75">
      <c r="A481" s="198">
        <v>141413</v>
      </c>
      <c r="B481" s="198" t="s">
        <v>18713</v>
      </c>
      <c r="C481" s="196" t="s">
        <v>51</v>
      </c>
      <c r="D481" s="197">
        <v>49.29</v>
      </c>
    </row>
    <row r="482" spans="1:4" ht="42.75">
      <c r="A482" s="198">
        <v>141414</v>
      </c>
      <c r="B482" s="198" t="s">
        <v>18714</v>
      </c>
      <c r="C482" s="196" t="s">
        <v>51</v>
      </c>
      <c r="D482" s="197">
        <v>70.45</v>
      </c>
    </row>
    <row r="483" spans="1:4" ht="42.75">
      <c r="A483" s="198">
        <v>141415</v>
      </c>
      <c r="B483" s="198" t="s">
        <v>18715</v>
      </c>
      <c r="C483" s="196" t="s">
        <v>51</v>
      </c>
      <c r="D483" s="197">
        <v>104.73</v>
      </c>
    </row>
    <row r="484" spans="1:4" ht="42.75">
      <c r="A484" s="198">
        <v>141416</v>
      </c>
      <c r="B484" s="198" t="s">
        <v>18716</v>
      </c>
      <c r="C484" s="196" t="s">
        <v>51</v>
      </c>
      <c r="D484" s="197">
        <v>129.71</v>
      </c>
    </row>
    <row r="485" spans="1:4" ht="30">
      <c r="A485" s="195">
        <v>1415</v>
      </c>
      <c r="B485" s="195" t="s">
        <v>2023</v>
      </c>
      <c r="C485" s="196"/>
      <c r="D485" s="197"/>
    </row>
    <row r="486" spans="1:4" ht="42.75">
      <c r="A486" s="198">
        <v>141522</v>
      </c>
      <c r="B486" s="198" t="s">
        <v>18893</v>
      </c>
      <c r="C486" s="196" t="s">
        <v>33</v>
      </c>
      <c r="D486" s="197">
        <v>21.68</v>
      </c>
    </row>
    <row r="487" spans="1:4" ht="42.75">
      <c r="A487" s="198">
        <v>141523</v>
      </c>
      <c r="B487" s="198" t="s">
        <v>18894</v>
      </c>
      <c r="C487" s="196" t="s">
        <v>33</v>
      </c>
      <c r="D487" s="197">
        <v>32.880000000000003</v>
      </c>
    </row>
    <row r="488" spans="1:4" ht="42.75">
      <c r="A488" s="198">
        <v>141524</v>
      </c>
      <c r="B488" s="198" t="s">
        <v>18895</v>
      </c>
      <c r="C488" s="196" t="s">
        <v>33</v>
      </c>
      <c r="D488" s="197">
        <v>35.49</v>
      </c>
    </row>
    <row r="489" spans="1:4" ht="42.75">
      <c r="A489" s="198">
        <v>141525</v>
      </c>
      <c r="B489" s="198" t="s">
        <v>18896</v>
      </c>
      <c r="C489" s="196" t="s">
        <v>33</v>
      </c>
      <c r="D489" s="197">
        <v>40.130000000000003</v>
      </c>
    </row>
    <row r="490" spans="1:4" ht="42.75">
      <c r="A490" s="198">
        <v>141526</v>
      </c>
      <c r="B490" s="198" t="s">
        <v>18897</v>
      </c>
      <c r="C490" s="196" t="s">
        <v>33</v>
      </c>
      <c r="D490" s="197">
        <v>66.37</v>
      </c>
    </row>
    <row r="491" spans="1:4" ht="42.75">
      <c r="A491" s="198">
        <v>141527</v>
      </c>
      <c r="B491" s="198" t="s">
        <v>18898</v>
      </c>
      <c r="C491" s="196" t="s">
        <v>33</v>
      </c>
      <c r="D491" s="197">
        <v>289.36</v>
      </c>
    </row>
    <row r="492" spans="1:4" ht="28.5">
      <c r="A492" s="198">
        <v>141529</v>
      </c>
      <c r="B492" s="198" t="s">
        <v>18899</v>
      </c>
      <c r="C492" s="196" t="s">
        <v>33</v>
      </c>
      <c r="D492" s="197">
        <v>7.18</v>
      </c>
    </row>
    <row r="493" spans="1:4" ht="15">
      <c r="A493" s="195">
        <v>1419</v>
      </c>
      <c r="B493" s="195" t="s">
        <v>2024</v>
      </c>
      <c r="C493" s="196"/>
      <c r="D493" s="197"/>
    </row>
    <row r="494" spans="1:4" ht="57">
      <c r="A494" s="198">
        <v>141906</v>
      </c>
      <c r="B494" s="198" t="s">
        <v>18717</v>
      </c>
      <c r="C494" s="196" t="s">
        <v>51</v>
      </c>
      <c r="D494" s="197">
        <v>30.41</v>
      </c>
    </row>
    <row r="495" spans="1:4" ht="57">
      <c r="A495" s="198">
        <v>141907</v>
      </c>
      <c r="B495" s="198" t="s">
        <v>18718</v>
      </c>
      <c r="C495" s="196" t="s">
        <v>51</v>
      </c>
      <c r="D495" s="197">
        <v>39.01</v>
      </c>
    </row>
    <row r="496" spans="1:4" ht="57">
      <c r="A496" s="198">
        <v>141908</v>
      </c>
      <c r="B496" s="198" t="s">
        <v>18719</v>
      </c>
      <c r="C496" s="196" t="s">
        <v>51</v>
      </c>
      <c r="D496" s="197">
        <v>60.18</v>
      </c>
    </row>
    <row r="497" spans="1:4" ht="57">
      <c r="A497" s="198">
        <v>141909</v>
      </c>
      <c r="B497" s="198" t="s">
        <v>18720</v>
      </c>
      <c r="C497" s="196" t="s">
        <v>51</v>
      </c>
      <c r="D497" s="197">
        <v>74.98</v>
      </c>
    </row>
    <row r="498" spans="1:4" ht="57">
      <c r="A498" s="198">
        <v>141910</v>
      </c>
      <c r="B498" s="198" t="s">
        <v>18721</v>
      </c>
      <c r="C498" s="196" t="s">
        <v>51</v>
      </c>
      <c r="D498" s="197">
        <v>99.34</v>
      </c>
    </row>
    <row r="499" spans="1:4" ht="15">
      <c r="A499" s="195">
        <v>1421</v>
      </c>
      <c r="B499" s="195" t="s">
        <v>2025</v>
      </c>
      <c r="C499" s="196"/>
      <c r="D499" s="197"/>
    </row>
    <row r="500" spans="1:4" ht="28.5">
      <c r="A500" s="198">
        <v>142103</v>
      </c>
      <c r="B500" s="198" t="s">
        <v>397</v>
      </c>
      <c r="C500" s="196" t="s">
        <v>33</v>
      </c>
      <c r="D500" s="197">
        <v>93.28</v>
      </c>
    </row>
    <row r="501" spans="1:4" ht="28.5">
      <c r="A501" s="198">
        <v>142104</v>
      </c>
      <c r="B501" s="198" t="s">
        <v>398</v>
      </c>
      <c r="C501" s="196" t="s">
        <v>33</v>
      </c>
      <c r="D501" s="197">
        <v>26.41</v>
      </c>
    </row>
    <row r="502" spans="1:4" ht="14.25">
      <c r="A502" s="198">
        <v>142106</v>
      </c>
      <c r="B502" s="198" t="s">
        <v>399</v>
      </c>
      <c r="C502" s="196" t="s">
        <v>33</v>
      </c>
      <c r="D502" s="197">
        <v>29</v>
      </c>
    </row>
    <row r="503" spans="1:4" ht="28.5">
      <c r="A503" s="198">
        <v>142107</v>
      </c>
      <c r="B503" s="198" t="s">
        <v>400</v>
      </c>
      <c r="C503" s="196" t="s">
        <v>33</v>
      </c>
      <c r="D503" s="197">
        <v>63.72</v>
      </c>
    </row>
    <row r="504" spans="1:4" ht="28.5">
      <c r="A504" s="198">
        <v>142109</v>
      </c>
      <c r="B504" s="198" t="s">
        <v>401</v>
      </c>
      <c r="C504" s="196" t="s">
        <v>33</v>
      </c>
      <c r="D504" s="197">
        <v>65.39</v>
      </c>
    </row>
    <row r="505" spans="1:4" ht="42.75">
      <c r="A505" s="198">
        <v>142111</v>
      </c>
      <c r="B505" s="198" t="s">
        <v>402</v>
      </c>
      <c r="C505" s="196" t="s">
        <v>33</v>
      </c>
      <c r="D505" s="197">
        <v>134.12</v>
      </c>
    </row>
    <row r="506" spans="1:4" ht="42.75">
      <c r="A506" s="198">
        <v>142112</v>
      </c>
      <c r="B506" s="198" t="s">
        <v>403</v>
      </c>
      <c r="C506" s="196" t="s">
        <v>33</v>
      </c>
      <c r="D506" s="197">
        <v>76.56</v>
      </c>
    </row>
    <row r="507" spans="1:4" ht="28.5">
      <c r="A507" s="198">
        <v>142114</v>
      </c>
      <c r="B507" s="198" t="s">
        <v>404</v>
      </c>
      <c r="C507" s="196" t="s">
        <v>33</v>
      </c>
      <c r="D507" s="197">
        <v>11.71</v>
      </c>
    </row>
    <row r="508" spans="1:4" ht="28.5">
      <c r="A508" s="198">
        <v>142115</v>
      </c>
      <c r="B508" s="198" t="s">
        <v>405</v>
      </c>
      <c r="C508" s="196" t="s">
        <v>33</v>
      </c>
      <c r="D508" s="197">
        <v>44.97</v>
      </c>
    </row>
    <row r="509" spans="1:4" ht="28.5">
      <c r="A509" s="198">
        <v>142116</v>
      </c>
      <c r="B509" s="198" t="s">
        <v>406</v>
      </c>
      <c r="C509" s="196" t="s">
        <v>33</v>
      </c>
      <c r="D509" s="197">
        <v>9.9700000000000006</v>
      </c>
    </row>
    <row r="510" spans="1:4" ht="28.5">
      <c r="A510" s="198">
        <v>142117</v>
      </c>
      <c r="B510" s="198" t="s">
        <v>407</v>
      </c>
      <c r="C510" s="196" t="s">
        <v>33</v>
      </c>
      <c r="D510" s="197">
        <v>32.299999999999997</v>
      </c>
    </row>
    <row r="511" spans="1:4" ht="28.5">
      <c r="A511" s="198">
        <v>142118</v>
      </c>
      <c r="B511" s="198" t="s">
        <v>408</v>
      </c>
      <c r="C511" s="196" t="s">
        <v>33</v>
      </c>
      <c r="D511" s="197">
        <v>18.920000000000002</v>
      </c>
    </row>
    <row r="512" spans="1:4" ht="28.5">
      <c r="A512" s="198">
        <v>142119</v>
      </c>
      <c r="B512" s="198" t="s">
        <v>409</v>
      </c>
      <c r="C512" s="196" t="s">
        <v>33</v>
      </c>
      <c r="D512" s="197">
        <v>110.32</v>
      </c>
    </row>
    <row r="513" spans="1:4" ht="28.5">
      <c r="A513" s="198">
        <v>142120</v>
      </c>
      <c r="B513" s="198" t="s">
        <v>410</v>
      </c>
      <c r="C513" s="196" t="s">
        <v>33</v>
      </c>
      <c r="D513" s="197">
        <v>145.69</v>
      </c>
    </row>
    <row r="514" spans="1:4" ht="28.5">
      <c r="A514" s="198">
        <v>142121</v>
      </c>
      <c r="B514" s="198" t="s">
        <v>411</v>
      </c>
      <c r="C514" s="196" t="s">
        <v>33</v>
      </c>
      <c r="D514" s="197">
        <v>252.56</v>
      </c>
    </row>
    <row r="515" spans="1:4" ht="28.5">
      <c r="A515" s="198">
        <v>142122</v>
      </c>
      <c r="B515" s="198" t="s">
        <v>412</v>
      </c>
      <c r="C515" s="196" t="s">
        <v>33</v>
      </c>
      <c r="D515" s="197">
        <v>91.65</v>
      </c>
    </row>
    <row r="516" spans="1:4" ht="42.75">
      <c r="A516" s="198">
        <v>142123</v>
      </c>
      <c r="B516" s="198" t="s">
        <v>18900</v>
      </c>
      <c r="C516" s="196" t="s">
        <v>33</v>
      </c>
      <c r="D516" s="197">
        <v>18.54</v>
      </c>
    </row>
    <row r="517" spans="1:4" ht="45">
      <c r="A517" s="195">
        <v>1422</v>
      </c>
      <c r="B517" s="195" t="s">
        <v>2026</v>
      </c>
      <c r="C517" s="196"/>
      <c r="D517" s="197"/>
    </row>
    <row r="518" spans="1:4" ht="42.75">
      <c r="A518" s="198">
        <v>142201</v>
      </c>
      <c r="B518" s="198" t="s">
        <v>413</v>
      </c>
      <c r="C518" s="196" t="s">
        <v>51</v>
      </c>
      <c r="D518" s="197">
        <v>12.23</v>
      </c>
    </row>
    <row r="519" spans="1:4" ht="42.75">
      <c r="A519" s="198">
        <v>142202</v>
      </c>
      <c r="B519" s="198" t="s">
        <v>414</v>
      </c>
      <c r="C519" s="196" t="s">
        <v>51</v>
      </c>
      <c r="D519" s="197">
        <v>18.34</v>
      </c>
    </row>
    <row r="520" spans="1:4" ht="42.75">
      <c r="A520" s="198">
        <v>142203</v>
      </c>
      <c r="B520" s="198" t="s">
        <v>415</v>
      </c>
      <c r="C520" s="196" t="s">
        <v>51</v>
      </c>
      <c r="D520" s="197">
        <v>27.62</v>
      </c>
    </row>
    <row r="521" spans="1:4" ht="42.75">
      <c r="A521" s="198">
        <v>142204</v>
      </c>
      <c r="B521" s="198" t="s">
        <v>416</v>
      </c>
      <c r="C521" s="196" t="s">
        <v>51</v>
      </c>
      <c r="D521" s="197">
        <v>23.32</v>
      </c>
    </row>
    <row r="522" spans="1:4" ht="42.75">
      <c r="A522" s="198">
        <v>142205</v>
      </c>
      <c r="B522" s="198" t="s">
        <v>417</v>
      </c>
      <c r="C522" s="196" t="s">
        <v>51</v>
      </c>
      <c r="D522" s="197">
        <v>35.54</v>
      </c>
    </row>
    <row r="523" spans="1:4" ht="42.75">
      <c r="A523" s="198">
        <v>142206</v>
      </c>
      <c r="B523" s="198" t="s">
        <v>418</v>
      </c>
      <c r="C523" s="196" t="s">
        <v>51</v>
      </c>
      <c r="D523" s="197">
        <v>51.71</v>
      </c>
    </row>
    <row r="524" spans="1:4" ht="15">
      <c r="A524" s="195">
        <v>1423</v>
      </c>
      <c r="B524" s="195" t="s">
        <v>1987</v>
      </c>
      <c r="C524" s="196"/>
      <c r="D524" s="197"/>
    </row>
    <row r="525" spans="1:4" ht="28.5">
      <c r="A525" s="198">
        <v>142301</v>
      </c>
      <c r="B525" s="198" t="s">
        <v>419</v>
      </c>
      <c r="C525" s="196" t="s">
        <v>33</v>
      </c>
      <c r="D525" s="197">
        <v>20.97</v>
      </c>
    </row>
    <row r="526" spans="1:4" ht="28.5">
      <c r="A526" s="198">
        <v>142302</v>
      </c>
      <c r="B526" s="198" t="s">
        <v>420</v>
      </c>
      <c r="C526" s="196" t="s">
        <v>33</v>
      </c>
      <c r="D526" s="197">
        <v>29.35</v>
      </c>
    </row>
    <row r="527" spans="1:4" ht="28.5">
      <c r="A527" s="198">
        <v>142303</v>
      </c>
      <c r="B527" s="198" t="s">
        <v>421</v>
      </c>
      <c r="C527" s="196" t="s">
        <v>33</v>
      </c>
      <c r="D527" s="197">
        <v>20.97</v>
      </c>
    </row>
    <row r="528" spans="1:4" ht="28.5">
      <c r="A528" s="198">
        <v>142304</v>
      </c>
      <c r="B528" s="198" t="s">
        <v>422</v>
      </c>
      <c r="C528" s="196" t="s">
        <v>33</v>
      </c>
      <c r="D528" s="197">
        <v>31.96</v>
      </c>
    </row>
    <row r="529" spans="1:4" ht="15">
      <c r="A529" s="195">
        <v>1428</v>
      </c>
      <c r="B529" s="195" t="s">
        <v>18722</v>
      </c>
      <c r="C529" s="196"/>
      <c r="D529" s="197"/>
    </row>
    <row r="530" spans="1:4" ht="57">
      <c r="A530" s="198">
        <v>142801</v>
      </c>
      <c r="B530" s="198" t="s">
        <v>18723</v>
      </c>
      <c r="C530" s="196" t="s">
        <v>18724</v>
      </c>
      <c r="D530" s="197">
        <v>3.74</v>
      </c>
    </row>
    <row r="531" spans="1:4" ht="57">
      <c r="A531" s="198">
        <v>142802</v>
      </c>
      <c r="B531" s="198" t="s">
        <v>18725</v>
      </c>
      <c r="C531" s="196" t="s">
        <v>18724</v>
      </c>
      <c r="D531" s="197">
        <v>5.98</v>
      </c>
    </row>
    <row r="532" spans="1:4" ht="57">
      <c r="A532" s="198">
        <v>142803</v>
      </c>
      <c r="B532" s="198" t="s">
        <v>18726</v>
      </c>
      <c r="C532" s="196" t="s">
        <v>18724</v>
      </c>
      <c r="D532" s="197">
        <v>7.64</v>
      </c>
    </row>
    <row r="533" spans="1:4" ht="15">
      <c r="A533" s="195">
        <v>15</v>
      </c>
      <c r="B533" s="195" t="s">
        <v>2027</v>
      </c>
      <c r="C533" s="196"/>
      <c r="D533" s="197"/>
    </row>
    <row r="534" spans="1:4" ht="15">
      <c r="A534" s="195">
        <v>1501</v>
      </c>
      <c r="B534" s="195" t="s">
        <v>2028</v>
      </c>
      <c r="C534" s="196"/>
      <c r="D534" s="197"/>
    </row>
    <row r="535" spans="1:4" ht="99.75">
      <c r="A535" s="198">
        <v>150122</v>
      </c>
      <c r="B535" s="198" t="s">
        <v>423</v>
      </c>
      <c r="C535" s="196" t="s">
        <v>33</v>
      </c>
      <c r="D535" s="199">
        <v>1421.8</v>
      </c>
    </row>
    <row r="536" spans="1:4" ht="99.75">
      <c r="A536" s="198">
        <v>150123</v>
      </c>
      <c r="B536" s="198" t="s">
        <v>424</v>
      </c>
      <c r="C536" s="196" t="s">
        <v>33</v>
      </c>
      <c r="D536" s="199">
        <v>2629.66</v>
      </c>
    </row>
    <row r="537" spans="1:4" ht="15">
      <c r="A537" s="195">
        <v>1503</v>
      </c>
      <c r="B537" s="195" t="s">
        <v>2029</v>
      </c>
      <c r="C537" s="196"/>
      <c r="D537" s="197"/>
    </row>
    <row r="538" spans="1:4" ht="42.75">
      <c r="A538" s="198">
        <v>150302</v>
      </c>
      <c r="B538" s="198" t="s">
        <v>12475</v>
      </c>
      <c r="C538" s="196" t="s">
        <v>33</v>
      </c>
      <c r="D538" s="197">
        <v>227.45</v>
      </c>
    </row>
    <row r="539" spans="1:4" ht="57">
      <c r="A539" s="198">
        <v>150306</v>
      </c>
      <c r="B539" s="198" t="s">
        <v>12476</v>
      </c>
      <c r="C539" s="196" t="s">
        <v>33</v>
      </c>
      <c r="D539" s="197">
        <v>232.54</v>
      </c>
    </row>
    <row r="540" spans="1:4" ht="42.75">
      <c r="A540" s="198">
        <v>150307</v>
      </c>
      <c r="B540" s="198" t="s">
        <v>425</v>
      </c>
      <c r="C540" s="196" t="s">
        <v>33</v>
      </c>
      <c r="D540" s="197">
        <v>515.99</v>
      </c>
    </row>
    <row r="541" spans="1:4" ht="42.75">
      <c r="A541" s="198">
        <v>150308</v>
      </c>
      <c r="B541" s="198" t="s">
        <v>426</v>
      </c>
      <c r="C541" s="196" t="s">
        <v>33</v>
      </c>
      <c r="D541" s="197">
        <v>532.85</v>
      </c>
    </row>
    <row r="542" spans="1:4" ht="42.75">
      <c r="A542" s="198">
        <v>150309</v>
      </c>
      <c r="B542" s="198" t="s">
        <v>427</v>
      </c>
      <c r="C542" s="196" t="s">
        <v>33</v>
      </c>
      <c r="D542" s="197">
        <v>670.27</v>
      </c>
    </row>
    <row r="543" spans="1:4" ht="14.25">
      <c r="A543" s="198">
        <v>150310</v>
      </c>
      <c r="B543" s="198" t="s">
        <v>428</v>
      </c>
      <c r="C543" s="196" t="s">
        <v>33</v>
      </c>
      <c r="D543" s="197">
        <v>111.05</v>
      </c>
    </row>
    <row r="544" spans="1:4" ht="42.75">
      <c r="A544" s="198">
        <v>150311</v>
      </c>
      <c r="B544" s="198" t="s">
        <v>429</v>
      </c>
      <c r="C544" s="196" t="s">
        <v>33</v>
      </c>
      <c r="D544" s="197">
        <v>159.26</v>
      </c>
    </row>
    <row r="545" spans="1:4" ht="42.75">
      <c r="A545" s="198">
        <v>150312</v>
      </c>
      <c r="B545" s="198" t="s">
        <v>430</v>
      </c>
      <c r="C545" s="196" t="s">
        <v>33</v>
      </c>
      <c r="D545" s="197">
        <v>116.01</v>
      </c>
    </row>
    <row r="546" spans="1:4" ht="57">
      <c r="A546" s="198">
        <v>150313</v>
      </c>
      <c r="B546" s="198" t="s">
        <v>12477</v>
      </c>
      <c r="C546" s="196" t="s">
        <v>33</v>
      </c>
      <c r="D546" s="197">
        <v>139.61000000000001</v>
      </c>
    </row>
    <row r="547" spans="1:4" ht="99.75">
      <c r="A547" s="198">
        <v>150315</v>
      </c>
      <c r="B547" s="198" t="s">
        <v>431</v>
      </c>
      <c r="C547" s="196" t="s">
        <v>33</v>
      </c>
      <c r="D547" s="197">
        <v>973.77</v>
      </c>
    </row>
    <row r="548" spans="1:4" ht="99.75">
      <c r="A548" s="198">
        <v>150316</v>
      </c>
      <c r="B548" s="198" t="s">
        <v>432</v>
      </c>
      <c r="C548" s="196" t="s">
        <v>33</v>
      </c>
      <c r="D548" s="199">
        <v>1625.53</v>
      </c>
    </row>
    <row r="549" spans="1:4" ht="85.5">
      <c r="A549" s="198">
        <v>150317</v>
      </c>
      <c r="B549" s="198" t="s">
        <v>433</v>
      </c>
      <c r="C549" s="196" t="s">
        <v>33</v>
      </c>
      <c r="D549" s="199">
        <v>1538.88</v>
      </c>
    </row>
    <row r="550" spans="1:4" ht="15">
      <c r="A550" s="195">
        <v>1506</v>
      </c>
      <c r="B550" s="195" t="s">
        <v>2030</v>
      </c>
      <c r="C550" s="196"/>
      <c r="D550" s="197"/>
    </row>
    <row r="551" spans="1:4" ht="42.75">
      <c r="A551" s="198">
        <v>150609</v>
      </c>
      <c r="B551" s="198" t="s">
        <v>434</v>
      </c>
      <c r="C551" s="196" t="s">
        <v>33</v>
      </c>
      <c r="D551" s="197">
        <v>338.65</v>
      </c>
    </row>
    <row r="552" spans="1:4" ht="85.5">
      <c r="A552" s="198">
        <v>150610</v>
      </c>
      <c r="B552" s="198" t="s">
        <v>435</v>
      </c>
      <c r="C552" s="196" t="s">
        <v>33</v>
      </c>
      <c r="D552" s="197">
        <v>327.3</v>
      </c>
    </row>
    <row r="553" spans="1:4" ht="42.75">
      <c r="A553" s="198">
        <v>150612</v>
      </c>
      <c r="B553" s="198" t="s">
        <v>12478</v>
      </c>
      <c r="C553" s="196" t="s">
        <v>33</v>
      </c>
      <c r="D553" s="197">
        <v>43.29</v>
      </c>
    </row>
    <row r="554" spans="1:4" ht="85.5">
      <c r="A554" s="198">
        <v>150614</v>
      </c>
      <c r="B554" s="198" t="s">
        <v>436</v>
      </c>
      <c r="C554" s="196" t="s">
        <v>33</v>
      </c>
      <c r="D554" s="197">
        <v>147.85</v>
      </c>
    </row>
    <row r="555" spans="1:4" ht="85.5">
      <c r="A555" s="198">
        <v>150615</v>
      </c>
      <c r="B555" s="198" t="s">
        <v>437</v>
      </c>
      <c r="C555" s="196" t="s">
        <v>33</v>
      </c>
      <c r="D555" s="197">
        <v>189.72</v>
      </c>
    </row>
    <row r="556" spans="1:4" ht="85.5">
      <c r="A556" s="198">
        <v>150616</v>
      </c>
      <c r="B556" s="198" t="s">
        <v>438</v>
      </c>
      <c r="C556" s="196" t="s">
        <v>33</v>
      </c>
      <c r="D556" s="197">
        <v>263.32</v>
      </c>
    </row>
    <row r="557" spans="1:4" ht="99.75">
      <c r="A557" s="198">
        <v>150626</v>
      </c>
      <c r="B557" s="198" t="s">
        <v>439</v>
      </c>
      <c r="C557" s="196" t="s">
        <v>33</v>
      </c>
      <c r="D557" s="197">
        <v>200.72</v>
      </c>
    </row>
    <row r="558" spans="1:4" ht="28.5">
      <c r="A558" s="198">
        <v>150628</v>
      </c>
      <c r="B558" s="198" t="s">
        <v>440</v>
      </c>
      <c r="C558" s="196" t="s">
        <v>33</v>
      </c>
      <c r="D558" s="197">
        <v>8.73</v>
      </c>
    </row>
    <row r="559" spans="1:4" ht="28.5">
      <c r="A559" s="198">
        <v>150629</v>
      </c>
      <c r="B559" s="198" t="s">
        <v>441</v>
      </c>
      <c r="C559" s="196" t="s">
        <v>33</v>
      </c>
      <c r="D559" s="197">
        <v>13.94</v>
      </c>
    </row>
    <row r="560" spans="1:4" ht="42.75">
      <c r="A560" s="198">
        <v>150632</v>
      </c>
      <c r="B560" s="198" t="s">
        <v>442</v>
      </c>
      <c r="C560" s="196" t="s">
        <v>33</v>
      </c>
      <c r="D560" s="197">
        <v>66.55</v>
      </c>
    </row>
    <row r="561" spans="1:4" ht="42.75">
      <c r="A561" s="198">
        <v>150633</v>
      </c>
      <c r="B561" s="198" t="s">
        <v>443</v>
      </c>
      <c r="C561" s="196" t="s">
        <v>33</v>
      </c>
      <c r="D561" s="197">
        <v>109.18</v>
      </c>
    </row>
    <row r="562" spans="1:4" ht="42.75">
      <c r="A562" s="198">
        <v>150634</v>
      </c>
      <c r="B562" s="198" t="s">
        <v>444</v>
      </c>
      <c r="C562" s="196" t="s">
        <v>33</v>
      </c>
      <c r="D562" s="197">
        <v>162.06</v>
      </c>
    </row>
    <row r="563" spans="1:4" ht="42.75">
      <c r="A563" s="198">
        <v>150635</v>
      </c>
      <c r="B563" s="198" t="s">
        <v>445</v>
      </c>
      <c r="C563" s="196" t="s">
        <v>33</v>
      </c>
      <c r="D563" s="197">
        <v>243.37</v>
      </c>
    </row>
    <row r="564" spans="1:4" ht="28.5">
      <c r="A564" s="198">
        <v>150636</v>
      </c>
      <c r="B564" s="198" t="s">
        <v>446</v>
      </c>
      <c r="C564" s="196" t="s">
        <v>33</v>
      </c>
      <c r="D564" s="197">
        <v>11.32</v>
      </c>
    </row>
    <row r="565" spans="1:4" ht="15">
      <c r="A565" s="195">
        <v>1507</v>
      </c>
      <c r="B565" s="195" t="s">
        <v>2031</v>
      </c>
      <c r="C565" s="196"/>
      <c r="D565" s="197"/>
    </row>
    <row r="566" spans="1:4" ht="85.5">
      <c r="A566" s="198">
        <v>150701</v>
      </c>
      <c r="B566" s="198" t="s">
        <v>447</v>
      </c>
      <c r="C566" s="196" t="s">
        <v>51</v>
      </c>
      <c r="D566" s="197">
        <v>57.11</v>
      </c>
    </row>
    <row r="567" spans="1:4" ht="85.5">
      <c r="A567" s="198">
        <v>150702</v>
      </c>
      <c r="B567" s="198" t="s">
        <v>448</v>
      </c>
      <c r="C567" s="196" t="s">
        <v>51</v>
      </c>
      <c r="D567" s="197">
        <v>68.540000000000006</v>
      </c>
    </row>
    <row r="568" spans="1:4" ht="85.5">
      <c r="A568" s="198">
        <v>150703</v>
      </c>
      <c r="B568" s="198" t="s">
        <v>449</v>
      </c>
      <c r="C568" s="196" t="s">
        <v>51</v>
      </c>
      <c r="D568" s="197">
        <v>178.55</v>
      </c>
    </row>
    <row r="569" spans="1:4" ht="85.5">
      <c r="A569" s="198">
        <v>150704</v>
      </c>
      <c r="B569" s="198" t="s">
        <v>450</v>
      </c>
      <c r="C569" s="196" t="s">
        <v>51</v>
      </c>
      <c r="D569" s="197">
        <v>191.82</v>
      </c>
    </row>
    <row r="570" spans="1:4" ht="15">
      <c r="A570" s="195">
        <v>1508</v>
      </c>
      <c r="B570" s="195" t="s">
        <v>2032</v>
      </c>
      <c r="C570" s="196"/>
      <c r="D570" s="197"/>
    </row>
    <row r="571" spans="1:4" ht="42.75">
      <c r="A571" s="198">
        <v>150801</v>
      </c>
      <c r="B571" s="198" t="s">
        <v>451</v>
      </c>
      <c r="C571" s="196" t="s">
        <v>51</v>
      </c>
      <c r="D571" s="197">
        <v>17.57</v>
      </c>
    </row>
    <row r="572" spans="1:4" ht="57">
      <c r="A572" s="198">
        <v>150802</v>
      </c>
      <c r="B572" s="198" t="s">
        <v>452</v>
      </c>
      <c r="C572" s="196" t="s">
        <v>33</v>
      </c>
      <c r="D572" s="197">
        <v>21.73</v>
      </c>
    </row>
    <row r="573" spans="1:4" ht="57">
      <c r="A573" s="198">
        <v>150803</v>
      </c>
      <c r="B573" s="198" t="s">
        <v>453</v>
      </c>
      <c r="C573" s="196" t="s">
        <v>33</v>
      </c>
      <c r="D573" s="197">
        <v>28.46</v>
      </c>
    </row>
    <row r="574" spans="1:4" ht="57">
      <c r="A574" s="198">
        <v>150804</v>
      </c>
      <c r="B574" s="198" t="s">
        <v>454</v>
      </c>
      <c r="C574" s="196" t="s">
        <v>33</v>
      </c>
      <c r="D574" s="197">
        <v>23.94</v>
      </c>
    </row>
    <row r="575" spans="1:4" ht="57">
      <c r="A575" s="198">
        <v>150805</v>
      </c>
      <c r="B575" s="198" t="s">
        <v>455</v>
      </c>
      <c r="C575" s="196" t="s">
        <v>33</v>
      </c>
      <c r="D575" s="197">
        <v>24.95</v>
      </c>
    </row>
    <row r="576" spans="1:4" ht="42.75">
      <c r="A576" s="198">
        <v>150806</v>
      </c>
      <c r="B576" s="198" t="s">
        <v>456</v>
      </c>
      <c r="C576" s="196" t="s">
        <v>51</v>
      </c>
      <c r="D576" s="197">
        <v>27.62</v>
      </c>
    </row>
    <row r="577" spans="1:4" ht="28.5">
      <c r="A577" s="198">
        <v>150807</v>
      </c>
      <c r="B577" s="198" t="s">
        <v>457</v>
      </c>
      <c r="C577" s="196" t="s">
        <v>51</v>
      </c>
      <c r="D577" s="197">
        <v>15.02</v>
      </c>
    </row>
    <row r="578" spans="1:4" ht="42.75">
      <c r="A578" s="198">
        <v>150835</v>
      </c>
      <c r="B578" s="198" t="s">
        <v>458</v>
      </c>
      <c r="C578" s="196" t="s">
        <v>51</v>
      </c>
      <c r="D578" s="197">
        <v>79.400000000000006</v>
      </c>
    </row>
    <row r="579" spans="1:4" ht="42.75">
      <c r="A579" s="198">
        <v>150836</v>
      </c>
      <c r="B579" s="198" t="s">
        <v>459</v>
      </c>
      <c r="C579" s="196" t="s">
        <v>51</v>
      </c>
      <c r="D579" s="197">
        <v>116.77</v>
      </c>
    </row>
    <row r="580" spans="1:4" ht="42.75">
      <c r="A580" s="198">
        <v>150837</v>
      </c>
      <c r="B580" s="198" t="s">
        <v>460</v>
      </c>
      <c r="C580" s="196" t="s">
        <v>51</v>
      </c>
      <c r="D580" s="197">
        <v>152.44</v>
      </c>
    </row>
    <row r="581" spans="1:4" ht="42.75">
      <c r="A581" s="198">
        <v>150838</v>
      </c>
      <c r="B581" s="198" t="s">
        <v>461</v>
      </c>
      <c r="C581" s="196" t="s">
        <v>51</v>
      </c>
      <c r="D581" s="197">
        <v>177.18</v>
      </c>
    </row>
    <row r="582" spans="1:4" ht="42.75">
      <c r="A582" s="198">
        <v>150843</v>
      </c>
      <c r="B582" s="198" t="s">
        <v>462</v>
      </c>
      <c r="C582" s="196" t="s">
        <v>33</v>
      </c>
      <c r="D582" s="197">
        <v>72.78</v>
      </c>
    </row>
    <row r="583" spans="1:4" ht="42.75">
      <c r="A583" s="198">
        <v>150844</v>
      </c>
      <c r="B583" s="198" t="s">
        <v>463</v>
      </c>
      <c r="C583" s="196" t="s">
        <v>33</v>
      </c>
      <c r="D583" s="197">
        <v>92.82</v>
      </c>
    </row>
    <row r="584" spans="1:4" ht="42.75">
      <c r="A584" s="198">
        <v>150845</v>
      </c>
      <c r="B584" s="198" t="s">
        <v>464</v>
      </c>
      <c r="C584" s="196" t="s">
        <v>33</v>
      </c>
      <c r="D584" s="197">
        <v>105.3</v>
      </c>
    </row>
    <row r="585" spans="1:4" ht="28.5">
      <c r="A585" s="198">
        <v>150850</v>
      </c>
      <c r="B585" s="198" t="s">
        <v>465</v>
      </c>
      <c r="C585" s="196" t="s">
        <v>33</v>
      </c>
      <c r="D585" s="197">
        <v>10.44</v>
      </c>
    </row>
    <row r="586" spans="1:4" ht="28.5">
      <c r="A586" s="198">
        <v>150851</v>
      </c>
      <c r="B586" s="198" t="s">
        <v>466</v>
      </c>
      <c r="C586" s="196" t="s">
        <v>33</v>
      </c>
      <c r="D586" s="197">
        <v>11.12</v>
      </c>
    </row>
    <row r="587" spans="1:4" ht="28.5">
      <c r="A587" s="198">
        <v>150852</v>
      </c>
      <c r="B587" s="198" t="s">
        <v>467</v>
      </c>
      <c r="C587" s="196" t="s">
        <v>33</v>
      </c>
      <c r="D587" s="197">
        <v>11.9</v>
      </c>
    </row>
    <row r="588" spans="1:4" ht="42.75">
      <c r="A588" s="198">
        <v>150860</v>
      </c>
      <c r="B588" s="198" t="s">
        <v>468</v>
      </c>
      <c r="C588" s="196" t="s">
        <v>33</v>
      </c>
      <c r="D588" s="197">
        <v>43.15</v>
      </c>
    </row>
    <row r="589" spans="1:4" ht="42.75">
      <c r="A589" s="198">
        <v>150861</v>
      </c>
      <c r="B589" s="198" t="s">
        <v>469</v>
      </c>
      <c r="C589" s="196" t="s">
        <v>33</v>
      </c>
      <c r="D589" s="197">
        <v>51</v>
      </c>
    </row>
    <row r="590" spans="1:4" ht="42.75">
      <c r="A590" s="198">
        <v>150862</v>
      </c>
      <c r="B590" s="198" t="s">
        <v>470</v>
      </c>
      <c r="C590" s="196" t="s">
        <v>33</v>
      </c>
      <c r="D590" s="197">
        <v>73.44</v>
      </c>
    </row>
    <row r="591" spans="1:4" ht="42.75">
      <c r="A591" s="198">
        <v>150863</v>
      </c>
      <c r="B591" s="198" t="s">
        <v>471</v>
      </c>
      <c r="C591" s="196" t="s">
        <v>33</v>
      </c>
      <c r="D591" s="197">
        <v>94.16</v>
      </c>
    </row>
    <row r="592" spans="1:4" ht="42.75">
      <c r="A592" s="198">
        <v>150866</v>
      </c>
      <c r="B592" s="198" t="s">
        <v>472</v>
      </c>
      <c r="C592" s="196" t="s">
        <v>33</v>
      </c>
      <c r="D592" s="197">
        <v>12.11</v>
      </c>
    </row>
    <row r="593" spans="1:4" ht="42.75">
      <c r="A593" s="198">
        <v>150867</v>
      </c>
      <c r="B593" s="198" t="s">
        <v>473</v>
      </c>
      <c r="C593" s="196" t="s">
        <v>33</v>
      </c>
      <c r="D593" s="197">
        <v>13.25</v>
      </c>
    </row>
    <row r="594" spans="1:4" ht="42.75">
      <c r="A594" s="198">
        <v>150870</v>
      </c>
      <c r="B594" s="198" t="s">
        <v>474</v>
      </c>
      <c r="C594" s="196" t="s">
        <v>33</v>
      </c>
      <c r="D594" s="197">
        <v>110.5</v>
      </c>
    </row>
    <row r="595" spans="1:4" ht="42.75">
      <c r="A595" s="198">
        <v>150871</v>
      </c>
      <c r="B595" s="198" t="s">
        <v>475</v>
      </c>
      <c r="C595" s="196" t="s">
        <v>33</v>
      </c>
      <c r="D595" s="197">
        <v>141.94999999999999</v>
      </c>
    </row>
    <row r="596" spans="1:4" ht="42.75">
      <c r="A596" s="198">
        <v>150875</v>
      </c>
      <c r="B596" s="198" t="s">
        <v>476</v>
      </c>
      <c r="C596" s="196" t="s">
        <v>33</v>
      </c>
      <c r="D596" s="197">
        <v>81.72</v>
      </c>
    </row>
    <row r="597" spans="1:4" ht="42.75">
      <c r="A597" s="198">
        <v>150876</v>
      </c>
      <c r="B597" s="198" t="s">
        <v>477</v>
      </c>
      <c r="C597" s="196" t="s">
        <v>33</v>
      </c>
      <c r="D597" s="197">
        <v>115.87</v>
      </c>
    </row>
    <row r="598" spans="1:4" ht="85.5">
      <c r="A598" s="198">
        <v>150880</v>
      </c>
      <c r="B598" s="198" t="s">
        <v>478</v>
      </c>
      <c r="C598" s="196" t="s">
        <v>33</v>
      </c>
      <c r="D598" s="197">
        <v>29.81</v>
      </c>
    </row>
    <row r="599" spans="1:4" ht="71.25">
      <c r="A599" s="198">
        <v>150881</v>
      </c>
      <c r="B599" s="198" t="s">
        <v>479</v>
      </c>
      <c r="C599" s="196" t="s">
        <v>33</v>
      </c>
      <c r="D599" s="197">
        <v>32.590000000000003</v>
      </c>
    </row>
    <row r="600" spans="1:4" ht="71.25">
      <c r="A600" s="198">
        <v>150882</v>
      </c>
      <c r="B600" s="198" t="s">
        <v>480</v>
      </c>
      <c r="C600" s="196" t="s">
        <v>33</v>
      </c>
      <c r="D600" s="197">
        <v>64.38</v>
      </c>
    </row>
    <row r="601" spans="1:4" ht="71.25">
      <c r="A601" s="198">
        <v>150883</v>
      </c>
      <c r="B601" s="198" t="s">
        <v>481</v>
      </c>
      <c r="C601" s="196" t="s">
        <v>33</v>
      </c>
      <c r="D601" s="197">
        <v>71.91</v>
      </c>
    </row>
    <row r="602" spans="1:4" ht="99.75">
      <c r="A602" s="198">
        <v>150884</v>
      </c>
      <c r="B602" s="198" t="s">
        <v>482</v>
      </c>
      <c r="C602" s="196" t="s">
        <v>33</v>
      </c>
      <c r="D602" s="197">
        <v>46.41</v>
      </c>
    </row>
    <row r="603" spans="1:4" ht="99.75">
      <c r="A603" s="198">
        <v>150885</v>
      </c>
      <c r="B603" s="198" t="s">
        <v>18901</v>
      </c>
      <c r="C603" s="196" t="s">
        <v>33</v>
      </c>
      <c r="D603" s="197">
        <v>61.39</v>
      </c>
    </row>
    <row r="604" spans="1:4" ht="99.75">
      <c r="A604" s="198">
        <v>150886</v>
      </c>
      <c r="B604" s="198" t="s">
        <v>18902</v>
      </c>
      <c r="C604" s="196" t="s">
        <v>33</v>
      </c>
      <c r="D604" s="197">
        <v>63.31</v>
      </c>
    </row>
    <row r="605" spans="1:4" ht="30">
      <c r="A605" s="195">
        <v>1509</v>
      </c>
      <c r="B605" s="195" t="s">
        <v>2033</v>
      </c>
      <c r="C605" s="196"/>
      <c r="D605" s="197"/>
    </row>
    <row r="606" spans="1:4" ht="28.5">
      <c r="A606" s="198">
        <v>150906</v>
      </c>
      <c r="B606" s="198" t="s">
        <v>483</v>
      </c>
      <c r="C606" s="196" t="s">
        <v>51</v>
      </c>
      <c r="D606" s="197">
        <v>2.0299999999999998</v>
      </c>
    </row>
    <row r="607" spans="1:4" ht="14.25">
      <c r="A607" s="198">
        <v>150910</v>
      </c>
      <c r="B607" s="198" t="s">
        <v>484</v>
      </c>
      <c r="C607" s="196" t="s">
        <v>33</v>
      </c>
      <c r="D607" s="197">
        <v>13.07</v>
      </c>
    </row>
    <row r="608" spans="1:4" ht="42.75">
      <c r="A608" s="198">
        <v>150916</v>
      </c>
      <c r="B608" s="198" t="s">
        <v>485</v>
      </c>
      <c r="C608" s="196" t="s">
        <v>33</v>
      </c>
      <c r="D608" s="197">
        <v>34.409999999999997</v>
      </c>
    </row>
    <row r="609" spans="1:4" ht="28.5">
      <c r="A609" s="198">
        <v>150918</v>
      </c>
      <c r="B609" s="198" t="s">
        <v>486</v>
      </c>
      <c r="C609" s="196" t="s">
        <v>33</v>
      </c>
      <c r="D609" s="197">
        <v>33.770000000000003</v>
      </c>
    </row>
    <row r="610" spans="1:4" ht="28.5">
      <c r="A610" s="198">
        <v>150932</v>
      </c>
      <c r="B610" s="198" t="s">
        <v>487</v>
      </c>
      <c r="C610" s="196" t="s">
        <v>33</v>
      </c>
      <c r="D610" s="197">
        <v>6.18</v>
      </c>
    </row>
    <row r="611" spans="1:4" ht="14.25">
      <c r="A611" s="198">
        <v>150934</v>
      </c>
      <c r="B611" s="198" t="s">
        <v>488</v>
      </c>
      <c r="C611" s="196" t="s">
        <v>33</v>
      </c>
      <c r="D611" s="197">
        <v>23.46</v>
      </c>
    </row>
    <row r="612" spans="1:4" ht="14.25">
      <c r="A612" s="198">
        <v>150937</v>
      </c>
      <c r="B612" s="198" t="s">
        <v>489</v>
      </c>
      <c r="C612" s="196" t="s">
        <v>51</v>
      </c>
      <c r="D612" s="197">
        <v>4.6900000000000004</v>
      </c>
    </row>
    <row r="613" spans="1:4" ht="14.25">
      <c r="A613" s="198">
        <v>150964</v>
      </c>
      <c r="B613" s="198" t="s">
        <v>490</v>
      </c>
      <c r="C613" s="196" t="s">
        <v>33</v>
      </c>
      <c r="D613" s="197">
        <v>23.46</v>
      </c>
    </row>
    <row r="614" spans="1:4" ht="14.25">
      <c r="A614" s="198">
        <v>150967</v>
      </c>
      <c r="B614" s="198" t="s">
        <v>491</v>
      </c>
      <c r="C614" s="196" t="s">
        <v>33</v>
      </c>
      <c r="D614" s="197">
        <v>7.32</v>
      </c>
    </row>
    <row r="615" spans="1:4" ht="45">
      <c r="A615" s="195">
        <v>1510</v>
      </c>
      <c r="B615" s="195" t="s">
        <v>2034</v>
      </c>
      <c r="C615" s="196"/>
      <c r="D615" s="197"/>
    </row>
    <row r="616" spans="1:4" ht="99.75">
      <c r="A616" s="198">
        <v>151001</v>
      </c>
      <c r="B616" s="198" t="s">
        <v>492</v>
      </c>
      <c r="C616" s="196" t="s">
        <v>33</v>
      </c>
      <c r="D616" s="197">
        <v>132.04</v>
      </c>
    </row>
    <row r="617" spans="1:4" ht="99.75">
      <c r="A617" s="198">
        <v>151002</v>
      </c>
      <c r="B617" s="198" t="s">
        <v>493</v>
      </c>
      <c r="C617" s="196" t="s">
        <v>33</v>
      </c>
      <c r="D617" s="197">
        <v>297.58</v>
      </c>
    </row>
    <row r="618" spans="1:4" ht="99.75">
      <c r="A618" s="198">
        <v>151003</v>
      </c>
      <c r="B618" s="198" t="s">
        <v>494</v>
      </c>
      <c r="C618" s="196" t="s">
        <v>33</v>
      </c>
      <c r="D618" s="197">
        <v>131.24</v>
      </c>
    </row>
    <row r="619" spans="1:4" ht="99.75">
      <c r="A619" s="198">
        <v>151015</v>
      </c>
      <c r="B619" s="198" t="s">
        <v>495</v>
      </c>
      <c r="C619" s="196" t="s">
        <v>33</v>
      </c>
      <c r="D619" s="197">
        <v>227.89</v>
      </c>
    </row>
    <row r="620" spans="1:4" ht="85.5">
      <c r="A620" s="198">
        <v>151016</v>
      </c>
      <c r="B620" s="198" t="s">
        <v>496</v>
      </c>
      <c r="C620" s="196" t="s">
        <v>33</v>
      </c>
      <c r="D620" s="197">
        <v>688.81</v>
      </c>
    </row>
    <row r="621" spans="1:4" ht="99.75">
      <c r="A621" s="198">
        <v>151017</v>
      </c>
      <c r="B621" s="198" t="s">
        <v>497</v>
      </c>
      <c r="C621" s="196" t="s">
        <v>33</v>
      </c>
      <c r="D621" s="199">
        <v>1045.8699999999999</v>
      </c>
    </row>
    <row r="622" spans="1:4" ht="15">
      <c r="A622" s="195">
        <v>1511</v>
      </c>
      <c r="B622" s="195" t="s">
        <v>2035</v>
      </c>
      <c r="C622" s="196"/>
      <c r="D622" s="197"/>
    </row>
    <row r="623" spans="1:4" ht="42.75">
      <c r="A623" s="198">
        <v>151125</v>
      </c>
      <c r="B623" s="198" t="s">
        <v>498</v>
      </c>
      <c r="C623" s="196" t="s">
        <v>51</v>
      </c>
      <c r="D623" s="197">
        <v>15.94</v>
      </c>
    </row>
    <row r="624" spans="1:4" ht="42.75">
      <c r="A624" s="198">
        <v>151126</v>
      </c>
      <c r="B624" s="198" t="s">
        <v>499</v>
      </c>
      <c r="C624" s="196" t="s">
        <v>51</v>
      </c>
      <c r="D624" s="197">
        <v>16.79</v>
      </c>
    </row>
    <row r="625" spans="1:4" ht="42.75">
      <c r="A625" s="198">
        <v>151127</v>
      </c>
      <c r="B625" s="198" t="s">
        <v>500</v>
      </c>
      <c r="C625" s="196" t="s">
        <v>51</v>
      </c>
      <c r="D625" s="197">
        <v>24.48</v>
      </c>
    </row>
    <row r="626" spans="1:4" ht="42.75">
      <c r="A626" s="198">
        <v>151128</v>
      </c>
      <c r="B626" s="198" t="s">
        <v>501</v>
      </c>
      <c r="C626" s="196" t="s">
        <v>51</v>
      </c>
      <c r="D626" s="197">
        <v>30.62</v>
      </c>
    </row>
    <row r="627" spans="1:4" ht="42.75">
      <c r="A627" s="198">
        <v>151129</v>
      </c>
      <c r="B627" s="198" t="s">
        <v>502</v>
      </c>
      <c r="C627" s="196" t="s">
        <v>51</v>
      </c>
      <c r="D627" s="197">
        <v>37.880000000000003</v>
      </c>
    </row>
    <row r="628" spans="1:4" ht="42.75">
      <c r="A628" s="198">
        <v>151130</v>
      </c>
      <c r="B628" s="198" t="s">
        <v>503</v>
      </c>
      <c r="C628" s="196" t="s">
        <v>51</v>
      </c>
      <c r="D628" s="197">
        <v>45.64</v>
      </c>
    </row>
    <row r="629" spans="1:4" ht="42.75">
      <c r="A629" s="198">
        <v>151131</v>
      </c>
      <c r="B629" s="198" t="s">
        <v>504</v>
      </c>
      <c r="C629" s="196" t="s">
        <v>51</v>
      </c>
      <c r="D629" s="197">
        <v>77.03</v>
      </c>
    </row>
    <row r="630" spans="1:4" ht="28.5">
      <c r="A630" s="198">
        <v>151132</v>
      </c>
      <c r="B630" s="198" t="s">
        <v>505</v>
      </c>
      <c r="C630" s="196" t="s">
        <v>51</v>
      </c>
      <c r="D630" s="197">
        <v>8.48</v>
      </c>
    </row>
    <row r="631" spans="1:4" ht="28.5">
      <c r="A631" s="198">
        <v>151133</v>
      </c>
      <c r="B631" s="198" t="s">
        <v>506</v>
      </c>
      <c r="C631" s="196" t="s">
        <v>51</v>
      </c>
      <c r="D631" s="197">
        <v>9.65</v>
      </c>
    </row>
    <row r="632" spans="1:4" ht="42.75">
      <c r="A632" s="198">
        <v>151135</v>
      </c>
      <c r="B632" s="198" t="s">
        <v>507</v>
      </c>
      <c r="C632" s="196" t="s">
        <v>51</v>
      </c>
      <c r="D632" s="197">
        <v>101.64</v>
      </c>
    </row>
    <row r="633" spans="1:4" ht="42.75">
      <c r="A633" s="198">
        <v>151136</v>
      </c>
      <c r="B633" s="198" t="s">
        <v>508</v>
      </c>
      <c r="C633" s="196" t="s">
        <v>51</v>
      </c>
      <c r="D633" s="197">
        <v>239.25</v>
      </c>
    </row>
    <row r="634" spans="1:4" ht="42.75">
      <c r="A634" s="198">
        <v>151137</v>
      </c>
      <c r="B634" s="198" t="s">
        <v>509</v>
      </c>
      <c r="C634" s="196" t="s">
        <v>51</v>
      </c>
      <c r="D634" s="197">
        <v>24.84</v>
      </c>
    </row>
    <row r="635" spans="1:4" ht="42.75">
      <c r="A635" s="198">
        <v>151138</v>
      </c>
      <c r="B635" s="198" t="s">
        <v>510</v>
      </c>
      <c r="C635" s="196" t="s">
        <v>51</v>
      </c>
      <c r="D635" s="197">
        <v>21.67</v>
      </c>
    </row>
    <row r="636" spans="1:4" ht="42.75">
      <c r="A636" s="198">
        <v>151139</v>
      </c>
      <c r="B636" s="198" t="s">
        <v>511</v>
      </c>
      <c r="C636" s="196" t="s">
        <v>51</v>
      </c>
      <c r="D636" s="197">
        <v>25.72</v>
      </c>
    </row>
    <row r="637" spans="1:4" ht="42.75">
      <c r="A637" s="198">
        <v>151140</v>
      </c>
      <c r="B637" s="198" t="s">
        <v>512</v>
      </c>
      <c r="C637" s="196" t="s">
        <v>51</v>
      </c>
      <c r="D637" s="197">
        <v>41.29</v>
      </c>
    </row>
    <row r="638" spans="1:4" ht="42.75">
      <c r="A638" s="198">
        <v>151141</v>
      </c>
      <c r="B638" s="198" t="s">
        <v>513</v>
      </c>
      <c r="C638" s="196" t="s">
        <v>51</v>
      </c>
      <c r="D638" s="197">
        <v>57.08</v>
      </c>
    </row>
    <row r="639" spans="1:4" ht="42.75">
      <c r="A639" s="198">
        <v>151142</v>
      </c>
      <c r="B639" s="198" t="s">
        <v>514</v>
      </c>
      <c r="C639" s="196" t="s">
        <v>51</v>
      </c>
      <c r="D639" s="197">
        <v>101.97</v>
      </c>
    </row>
    <row r="640" spans="1:4" ht="15">
      <c r="A640" s="195">
        <v>1513</v>
      </c>
      <c r="B640" s="195" t="s">
        <v>2036</v>
      </c>
      <c r="C640" s="196"/>
      <c r="D640" s="197"/>
    </row>
    <row r="641" spans="1:4" ht="57">
      <c r="A641" s="198">
        <v>151301</v>
      </c>
      <c r="B641" s="198" t="s">
        <v>515</v>
      </c>
      <c r="C641" s="196" t="s">
        <v>33</v>
      </c>
      <c r="D641" s="197">
        <v>21.96</v>
      </c>
    </row>
    <row r="642" spans="1:4" ht="57">
      <c r="A642" s="198">
        <v>151302</v>
      </c>
      <c r="B642" s="198" t="s">
        <v>516</v>
      </c>
      <c r="C642" s="196" t="s">
        <v>33</v>
      </c>
      <c r="D642" s="197">
        <v>21.96</v>
      </c>
    </row>
    <row r="643" spans="1:4" ht="57">
      <c r="A643" s="198">
        <v>151303</v>
      </c>
      <c r="B643" s="198" t="s">
        <v>517</v>
      </c>
      <c r="C643" s="196" t="s">
        <v>33</v>
      </c>
      <c r="D643" s="197">
        <v>21.96</v>
      </c>
    </row>
    <row r="644" spans="1:4" ht="57">
      <c r="A644" s="198">
        <v>151304</v>
      </c>
      <c r="B644" s="198" t="s">
        <v>518</v>
      </c>
      <c r="C644" s="196" t="s">
        <v>33</v>
      </c>
      <c r="D644" s="197">
        <v>21.96</v>
      </c>
    </row>
    <row r="645" spans="1:4" ht="57">
      <c r="A645" s="198">
        <v>151305</v>
      </c>
      <c r="B645" s="198" t="s">
        <v>519</v>
      </c>
      <c r="C645" s="196" t="s">
        <v>33</v>
      </c>
      <c r="D645" s="197">
        <v>29.7</v>
      </c>
    </row>
    <row r="646" spans="1:4" ht="57">
      <c r="A646" s="198">
        <v>151306</v>
      </c>
      <c r="B646" s="198" t="s">
        <v>520</v>
      </c>
      <c r="C646" s="196" t="s">
        <v>33</v>
      </c>
      <c r="D646" s="197">
        <v>63.93</v>
      </c>
    </row>
    <row r="647" spans="1:4" ht="57">
      <c r="A647" s="198">
        <v>151307</v>
      </c>
      <c r="B647" s="198" t="s">
        <v>521</v>
      </c>
      <c r="C647" s="196" t="s">
        <v>33</v>
      </c>
      <c r="D647" s="197">
        <v>63.93</v>
      </c>
    </row>
    <row r="648" spans="1:4" ht="57">
      <c r="A648" s="198">
        <v>151308</v>
      </c>
      <c r="B648" s="198" t="s">
        <v>522</v>
      </c>
      <c r="C648" s="196" t="s">
        <v>33</v>
      </c>
      <c r="D648" s="197">
        <v>77.540000000000006</v>
      </c>
    </row>
    <row r="649" spans="1:4" ht="57">
      <c r="A649" s="198">
        <v>151309</v>
      </c>
      <c r="B649" s="198" t="s">
        <v>523</v>
      </c>
      <c r="C649" s="196" t="s">
        <v>33</v>
      </c>
      <c r="D649" s="197">
        <v>86.38</v>
      </c>
    </row>
    <row r="650" spans="1:4" ht="57">
      <c r="A650" s="198">
        <v>151310</v>
      </c>
      <c r="B650" s="198" t="s">
        <v>524</v>
      </c>
      <c r="C650" s="196" t="s">
        <v>33</v>
      </c>
      <c r="D650" s="197">
        <v>98.84</v>
      </c>
    </row>
    <row r="651" spans="1:4" ht="57">
      <c r="A651" s="198">
        <v>151311</v>
      </c>
      <c r="B651" s="198" t="s">
        <v>525</v>
      </c>
      <c r="C651" s="196" t="s">
        <v>33</v>
      </c>
      <c r="D651" s="197">
        <v>98.84</v>
      </c>
    </row>
    <row r="652" spans="1:4" ht="57">
      <c r="A652" s="198">
        <v>151313</v>
      </c>
      <c r="B652" s="198" t="s">
        <v>526</v>
      </c>
      <c r="C652" s="196" t="s">
        <v>33</v>
      </c>
      <c r="D652" s="197">
        <v>210.42</v>
      </c>
    </row>
    <row r="653" spans="1:4" ht="71.25">
      <c r="A653" s="198">
        <v>151314</v>
      </c>
      <c r="B653" s="198" t="s">
        <v>14768</v>
      </c>
      <c r="C653" s="196" t="s">
        <v>33</v>
      </c>
      <c r="D653" s="197">
        <v>353.53</v>
      </c>
    </row>
    <row r="654" spans="1:4" ht="57">
      <c r="A654" s="198">
        <v>151316</v>
      </c>
      <c r="B654" s="198" t="s">
        <v>527</v>
      </c>
      <c r="C654" s="196" t="s">
        <v>33</v>
      </c>
      <c r="D654" s="197">
        <v>161.38</v>
      </c>
    </row>
    <row r="655" spans="1:4" ht="57">
      <c r="A655" s="198">
        <v>151317</v>
      </c>
      <c r="B655" s="198" t="s">
        <v>528</v>
      </c>
      <c r="C655" s="196" t="s">
        <v>33</v>
      </c>
      <c r="D655" s="197">
        <v>30.05</v>
      </c>
    </row>
    <row r="656" spans="1:4" ht="57">
      <c r="A656" s="198">
        <v>151318</v>
      </c>
      <c r="B656" s="198" t="s">
        <v>529</v>
      </c>
      <c r="C656" s="196" t="s">
        <v>33</v>
      </c>
      <c r="D656" s="197">
        <v>32.06</v>
      </c>
    </row>
    <row r="657" spans="1:4" ht="57">
      <c r="A657" s="198">
        <v>151319</v>
      </c>
      <c r="B657" s="198" t="s">
        <v>530</v>
      </c>
      <c r="C657" s="196" t="s">
        <v>33</v>
      </c>
      <c r="D657" s="197">
        <v>34.24</v>
      </c>
    </row>
    <row r="658" spans="1:4" ht="57">
      <c r="A658" s="198">
        <v>151320</v>
      </c>
      <c r="B658" s="198" t="s">
        <v>531</v>
      </c>
      <c r="C658" s="196" t="s">
        <v>33</v>
      </c>
      <c r="D658" s="197">
        <v>53.08</v>
      </c>
    </row>
    <row r="659" spans="1:4" ht="57">
      <c r="A659" s="198">
        <v>151321</v>
      </c>
      <c r="B659" s="198" t="s">
        <v>532</v>
      </c>
      <c r="C659" s="196" t="s">
        <v>33</v>
      </c>
      <c r="D659" s="197">
        <v>63.93</v>
      </c>
    </row>
    <row r="660" spans="1:4" ht="57">
      <c r="A660" s="198">
        <v>151322</v>
      </c>
      <c r="B660" s="198" t="s">
        <v>533</v>
      </c>
      <c r="C660" s="196" t="s">
        <v>33</v>
      </c>
      <c r="D660" s="197">
        <v>63.93</v>
      </c>
    </row>
    <row r="661" spans="1:4" ht="57">
      <c r="A661" s="198">
        <v>151323</v>
      </c>
      <c r="B661" s="198" t="s">
        <v>534</v>
      </c>
      <c r="C661" s="196" t="s">
        <v>33</v>
      </c>
      <c r="D661" s="197">
        <v>72.31</v>
      </c>
    </row>
    <row r="662" spans="1:4" ht="57">
      <c r="A662" s="198">
        <v>151324</v>
      </c>
      <c r="B662" s="198" t="s">
        <v>535</v>
      </c>
      <c r="C662" s="196" t="s">
        <v>33</v>
      </c>
      <c r="D662" s="197">
        <v>80.61</v>
      </c>
    </row>
    <row r="663" spans="1:4" ht="57">
      <c r="A663" s="198">
        <v>151325</v>
      </c>
      <c r="B663" s="198" t="s">
        <v>536</v>
      </c>
      <c r="C663" s="196" t="s">
        <v>33</v>
      </c>
      <c r="D663" s="197">
        <v>107.23</v>
      </c>
    </row>
    <row r="664" spans="1:4" ht="57">
      <c r="A664" s="198">
        <v>151326</v>
      </c>
      <c r="B664" s="198" t="s">
        <v>537</v>
      </c>
      <c r="C664" s="196" t="s">
        <v>33</v>
      </c>
      <c r="D664" s="197">
        <v>130.06</v>
      </c>
    </row>
    <row r="665" spans="1:4" ht="57">
      <c r="A665" s="198">
        <v>151327</v>
      </c>
      <c r="B665" s="198" t="s">
        <v>538</v>
      </c>
      <c r="C665" s="196" t="s">
        <v>33</v>
      </c>
      <c r="D665" s="197">
        <v>86.38</v>
      </c>
    </row>
    <row r="666" spans="1:4" ht="57">
      <c r="A666" s="198">
        <v>151328</v>
      </c>
      <c r="B666" s="198" t="s">
        <v>539</v>
      </c>
      <c r="C666" s="196" t="s">
        <v>33</v>
      </c>
      <c r="D666" s="197">
        <v>86.38</v>
      </c>
    </row>
    <row r="667" spans="1:4" ht="57">
      <c r="A667" s="198">
        <v>151329</v>
      </c>
      <c r="B667" s="198" t="s">
        <v>540</v>
      </c>
      <c r="C667" s="196" t="s">
        <v>33</v>
      </c>
      <c r="D667" s="197">
        <v>86.38</v>
      </c>
    </row>
    <row r="668" spans="1:4" ht="57">
      <c r="A668" s="198">
        <v>151330</v>
      </c>
      <c r="B668" s="198" t="s">
        <v>541</v>
      </c>
      <c r="C668" s="196" t="s">
        <v>33</v>
      </c>
      <c r="D668" s="197">
        <v>128.09</v>
      </c>
    </row>
    <row r="669" spans="1:4" ht="57">
      <c r="A669" s="198">
        <v>151331</v>
      </c>
      <c r="B669" s="198" t="s">
        <v>542</v>
      </c>
      <c r="C669" s="196" t="s">
        <v>33</v>
      </c>
      <c r="D669" s="197">
        <v>193.09</v>
      </c>
    </row>
    <row r="670" spans="1:4" ht="57">
      <c r="A670" s="198">
        <v>151332</v>
      </c>
      <c r="B670" s="198" t="s">
        <v>14769</v>
      </c>
      <c r="C670" s="196" t="s">
        <v>33</v>
      </c>
      <c r="D670" s="197">
        <v>384.21</v>
      </c>
    </row>
    <row r="671" spans="1:4" ht="71.25">
      <c r="A671" s="198">
        <v>151333</v>
      </c>
      <c r="B671" s="198" t="s">
        <v>543</v>
      </c>
      <c r="C671" s="196" t="s">
        <v>33</v>
      </c>
      <c r="D671" s="197">
        <v>444.94</v>
      </c>
    </row>
    <row r="672" spans="1:4" ht="85.5">
      <c r="A672" s="198">
        <v>151334</v>
      </c>
      <c r="B672" s="198" t="s">
        <v>544</v>
      </c>
      <c r="C672" s="196" t="s">
        <v>33</v>
      </c>
      <c r="D672" s="197">
        <v>469.15</v>
      </c>
    </row>
    <row r="673" spans="1:4" ht="85.5">
      <c r="A673" s="198">
        <v>151335</v>
      </c>
      <c r="B673" s="198" t="s">
        <v>545</v>
      </c>
      <c r="C673" s="196" t="s">
        <v>33</v>
      </c>
      <c r="D673" s="199">
        <v>1185</v>
      </c>
    </row>
    <row r="674" spans="1:4" ht="57">
      <c r="A674" s="198">
        <v>151337</v>
      </c>
      <c r="B674" s="198" t="s">
        <v>546</v>
      </c>
      <c r="C674" s="196" t="s">
        <v>33</v>
      </c>
      <c r="D674" s="197">
        <v>167.96</v>
      </c>
    </row>
    <row r="675" spans="1:4" ht="57">
      <c r="A675" s="198">
        <v>151338</v>
      </c>
      <c r="B675" s="198" t="s">
        <v>547</v>
      </c>
      <c r="C675" s="196" t="s">
        <v>33</v>
      </c>
      <c r="D675" s="197">
        <v>21.96</v>
      </c>
    </row>
    <row r="676" spans="1:4" ht="57">
      <c r="A676" s="198">
        <v>151339</v>
      </c>
      <c r="B676" s="198" t="s">
        <v>548</v>
      </c>
      <c r="C676" s="196" t="s">
        <v>33</v>
      </c>
      <c r="D676" s="197">
        <v>384.21</v>
      </c>
    </row>
    <row r="677" spans="1:4" ht="14.25">
      <c r="A677" s="198">
        <v>151344</v>
      </c>
      <c r="B677" s="198" t="s">
        <v>549</v>
      </c>
      <c r="C677" s="196" t="s">
        <v>33</v>
      </c>
      <c r="D677" s="197">
        <v>83.24</v>
      </c>
    </row>
    <row r="678" spans="1:4" ht="14.25">
      <c r="A678" s="198">
        <v>151345</v>
      </c>
      <c r="B678" s="198" t="s">
        <v>550</v>
      </c>
      <c r="C678" s="196" t="s">
        <v>33</v>
      </c>
      <c r="D678" s="197">
        <v>83.24</v>
      </c>
    </row>
    <row r="679" spans="1:4" ht="14.25">
      <c r="A679" s="198">
        <v>151346</v>
      </c>
      <c r="B679" s="198" t="s">
        <v>551</v>
      </c>
      <c r="C679" s="196" t="s">
        <v>33</v>
      </c>
      <c r="D679" s="197">
        <v>123.59</v>
      </c>
    </row>
    <row r="680" spans="1:4" ht="14.25">
      <c r="A680" s="198">
        <v>151347</v>
      </c>
      <c r="B680" s="198" t="s">
        <v>552</v>
      </c>
      <c r="C680" s="196" t="s">
        <v>33</v>
      </c>
      <c r="D680" s="197">
        <v>128.97</v>
      </c>
    </row>
    <row r="681" spans="1:4" ht="14.25">
      <c r="A681" s="198">
        <v>151348</v>
      </c>
      <c r="B681" s="198" t="s">
        <v>553</v>
      </c>
      <c r="C681" s="196" t="s">
        <v>33</v>
      </c>
      <c r="D681" s="197">
        <v>128.97</v>
      </c>
    </row>
    <row r="682" spans="1:4" ht="14.25">
      <c r="A682" s="198">
        <v>151349</v>
      </c>
      <c r="B682" s="198" t="s">
        <v>554</v>
      </c>
      <c r="C682" s="196" t="s">
        <v>33</v>
      </c>
      <c r="D682" s="197">
        <v>83.24</v>
      </c>
    </row>
    <row r="683" spans="1:4" ht="28.5">
      <c r="A683" s="198">
        <v>151350</v>
      </c>
      <c r="B683" s="198" t="s">
        <v>14770</v>
      </c>
      <c r="C683" s="196" t="s">
        <v>33</v>
      </c>
      <c r="D683" s="197">
        <v>123.97</v>
      </c>
    </row>
    <row r="684" spans="1:4" ht="28.5">
      <c r="A684" s="198">
        <v>151357</v>
      </c>
      <c r="B684" s="198" t="s">
        <v>14771</v>
      </c>
      <c r="C684" s="196" t="s">
        <v>33</v>
      </c>
      <c r="D684" s="197">
        <v>128.24</v>
      </c>
    </row>
    <row r="685" spans="1:4" ht="28.5">
      <c r="A685" s="198">
        <v>151359</v>
      </c>
      <c r="B685" s="198" t="s">
        <v>14772</v>
      </c>
      <c r="C685" s="196" t="s">
        <v>33</v>
      </c>
      <c r="D685" s="197">
        <v>185.49</v>
      </c>
    </row>
    <row r="686" spans="1:4" ht="15">
      <c r="A686" s="195">
        <v>1514</v>
      </c>
      <c r="B686" s="195" t="s">
        <v>1355</v>
      </c>
      <c r="C686" s="196"/>
      <c r="D686" s="197"/>
    </row>
    <row r="687" spans="1:4" ht="57">
      <c r="A687" s="198">
        <v>151401</v>
      </c>
      <c r="B687" s="198" t="s">
        <v>18727</v>
      </c>
      <c r="C687" s="196" t="s">
        <v>51</v>
      </c>
      <c r="D687" s="197">
        <v>5.71</v>
      </c>
    </row>
    <row r="688" spans="1:4" ht="57">
      <c r="A688" s="198">
        <v>151402</v>
      </c>
      <c r="B688" s="198" t="s">
        <v>18728</v>
      </c>
      <c r="C688" s="196" t="s">
        <v>51</v>
      </c>
      <c r="D688" s="197">
        <v>6.77</v>
      </c>
    </row>
    <row r="689" spans="1:4" ht="57">
      <c r="A689" s="198">
        <v>151403</v>
      </c>
      <c r="B689" s="198" t="s">
        <v>18729</v>
      </c>
      <c r="C689" s="196" t="s">
        <v>51</v>
      </c>
      <c r="D689" s="197">
        <v>8.7200000000000006</v>
      </c>
    </row>
    <row r="690" spans="1:4" ht="57">
      <c r="A690" s="198">
        <v>151404</v>
      </c>
      <c r="B690" s="198" t="s">
        <v>18730</v>
      </c>
      <c r="C690" s="196" t="s">
        <v>51</v>
      </c>
      <c r="D690" s="197">
        <v>11.03</v>
      </c>
    </row>
    <row r="691" spans="1:4" ht="57">
      <c r="A691" s="198">
        <v>151405</v>
      </c>
      <c r="B691" s="198" t="s">
        <v>18731</v>
      </c>
      <c r="C691" s="196" t="s">
        <v>51</v>
      </c>
      <c r="D691" s="197">
        <v>16.309999999999999</v>
      </c>
    </row>
    <row r="692" spans="1:4" ht="57">
      <c r="A692" s="198">
        <v>151406</v>
      </c>
      <c r="B692" s="198" t="s">
        <v>18732</v>
      </c>
      <c r="C692" s="196" t="s">
        <v>51</v>
      </c>
      <c r="D692" s="197">
        <v>21.35</v>
      </c>
    </row>
    <row r="693" spans="1:4" ht="57">
      <c r="A693" s="198">
        <v>151407</v>
      </c>
      <c r="B693" s="198" t="s">
        <v>18733</v>
      </c>
      <c r="C693" s="196" t="s">
        <v>51</v>
      </c>
      <c r="D693" s="197">
        <v>30.67</v>
      </c>
    </row>
    <row r="694" spans="1:4" ht="42.75">
      <c r="A694" s="198">
        <v>151413</v>
      </c>
      <c r="B694" s="198" t="s">
        <v>18734</v>
      </c>
      <c r="C694" s="196" t="s">
        <v>51</v>
      </c>
      <c r="D694" s="197">
        <v>34.700000000000003</v>
      </c>
    </row>
    <row r="695" spans="1:4" ht="42.75">
      <c r="A695" s="198">
        <v>151414</v>
      </c>
      <c r="B695" s="198" t="s">
        <v>18735</v>
      </c>
      <c r="C695" s="196" t="s">
        <v>51</v>
      </c>
      <c r="D695" s="197">
        <v>17.02</v>
      </c>
    </row>
    <row r="696" spans="1:4" ht="42.75">
      <c r="A696" s="198">
        <v>151417</v>
      </c>
      <c r="B696" s="198" t="s">
        <v>18736</v>
      </c>
      <c r="C696" s="196" t="s">
        <v>51</v>
      </c>
      <c r="D696" s="197">
        <v>8.14</v>
      </c>
    </row>
    <row r="697" spans="1:4" ht="42.75">
      <c r="A697" s="198">
        <v>151418</v>
      </c>
      <c r="B697" s="198" t="s">
        <v>18737</v>
      </c>
      <c r="C697" s="196" t="s">
        <v>51</v>
      </c>
      <c r="D697" s="197">
        <v>10.24</v>
      </c>
    </row>
    <row r="698" spans="1:4" ht="42.75">
      <c r="A698" s="198">
        <v>151419</v>
      </c>
      <c r="B698" s="198" t="s">
        <v>18738</v>
      </c>
      <c r="C698" s="196" t="s">
        <v>51</v>
      </c>
      <c r="D698" s="197">
        <v>12.94</v>
      </c>
    </row>
    <row r="699" spans="1:4" ht="42.75">
      <c r="A699" s="198">
        <v>151420</v>
      </c>
      <c r="B699" s="198" t="s">
        <v>18739</v>
      </c>
      <c r="C699" s="196" t="s">
        <v>51</v>
      </c>
      <c r="D699" s="197">
        <v>16.190000000000001</v>
      </c>
    </row>
    <row r="700" spans="1:4" ht="42.75">
      <c r="A700" s="198">
        <v>151421</v>
      </c>
      <c r="B700" s="198" t="s">
        <v>18740</v>
      </c>
      <c r="C700" s="196" t="s">
        <v>51</v>
      </c>
      <c r="D700" s="197">
        <v>21.52</v>
      </c>
    </row>
    <row r="701" spans="1:4" ht="42.75">
      <c r="A701" s="198">
        <v>151422</v>
      </c>
      <c r="B701" s="198" t="s">
        <v>18741</v>
      </c>
      <c r="C701" s="196" t="s">
        <v>51</v>
      </c>
      <c r="D701" s="197">
        <v>34.69</v>
      </c>
    </row>
    <row r="702" spans="1:4" ht="42.75">
      <c r="A702" s="198">
        <v>151423</v>
      </c>
      <c r="B702" s="198" t="s">
        <v>18742</v>
      </c>
      <c r="C702" s="196" t="s">
        <v>51</v>
      </c>
      <c r="D702" s="197">
        <v>48.13</v>
      </c>
    </row>
    <row r="703" spans="1:4" ht="42.75">
      <c r="A703" s="198">
        <v>151425</v>
      </c>
      <c r="B703" s="198" t="s">
        <v>18743</v>
      </c>
      <c r="C703" s="196" t="s">
        <v>51</v>
      </c>
      <c r="D703" s="197">
        <v>60.77</v>
      </c>
    </row>
    <row r="704" spans="1:4" ht="42.75">
      <c r="A704" s="198">
        <v>151426</v>
      </c>
      <c r="B704" s="198" t="s">
        <v>18744</v>
      </c>
      <c r="C704" s="196" t="s">
        <v>51</v>
      </c>
      <c r="D704" s="197">
        <v>120.81</v>
      </c>
    </row>
    <row r="705" spans="1:4" ht="42.75">
      <c r="A705" s="198">
        <v>151427</v>
      </c>
      <c r="B705" s="198" t="s">
        <v>18745</v>
      </c>
      <c r="C705" s="196" t="s">
        <v>51</v>
      </c>
      <c r="D705" s="197">
        <v>140.76</v>
      </c>
    </row>
    <row r="706" spans="1:4" ht="42.75">
      <c r="A706" s="198">
        <v>151428</v>
      </c>
      <c r="B706" s="198" t="s">
        <v>18746</v>
      </c>
      <c r="C706" s="196" t="s">
        <v>51</v>
      </c>
      <c r="D706" s="197">
        <v>462.32</v>
      </c>
    </row>
    <row r="707" spans="1:4" ht="42.75">
      <c r="A707" s="198">
        <v>151429</v>
      </c>
      <c r="B707" s="198" t="s">
        <v>18747</v>
      </c>
      <c r="C707" s="196" t="s">
        <v>51</v>
      </c>
      <c r="D707" s="197">
        <v>84.1</v>
      </c>
    </row>
    <row r="708" spans="1:4" ht="42.75">
      <c r="A708" s="198">
        <v>151430</v>
      </c>
      <c r="B708" s="198" t="s">
        <v>18748</v>
      </c>
      <c r="C708" s="196" t="s">
        <v>51</v>
      </c>
      <c r="D708" s="197">
        <v>187.35</v>
      </c>
    </row>
    <row r="709" spans="1:4" ht="42.75">
      <c r="A709" s="198">
        <v>151431</v>
      </c>
      <c r="B709" s="198" t="s">
        <v>18749</v>
      </c>
      <c r="C709" s="196" t="s">
        <v>51</v>
      </c>
      <c r="D709" s="197">
        <v>245.05</v>
      </c>
    </row>
    <row r="710" spans="1:4" ht="42.75">
      <c r="A710" s="198">
        <v>151432</v>
      </c>
      <c r="B710" s="198" t="s">
        <v>18750</v>
      </c>
      <c r="C710" s="196" t="s">
        <v>51</v>
      </c>
      <c r="D710" s="197">
        <v>302.93</v>
      </c>
    </row>
    <row r="711" spans="1:4" ht="42.75">
      <c r="A711" s="198">
        <v>151433</v>
      </c>
      <c r="B711" s="198" t="s">
        <v>18751</v>
      </c>
      <c r="C711" s="196" t="s">
        <v>51</v>
      </c>
      <c r="D711" s="197">
        <v>82.97</v>
      </c>
    </row>
    <row r="712" spans="1:4" ht="42.75">
      <c r="A712" s="198">
        <v>151434</v>
      </c>
      <c r="B712" s="198" t="s">
        <v>18752</v>
      </c>
      <c r="C712" s="196" t="s">
        <v>51</v>
      </c>
      <c r="D712" s="197">
        <v>97.68</v>
      </c>
    </row>
    <row r="713" spans="1:4" ht="42.75">
      <c r="A713" s="198">
        <v>151438</v>
      </c>
      <c r="B713" s="198" t="s">
        <v>18753</v>
      </c>
      <c r="C713" s="196" t="s">
        <v>51</v>
      </c>
      <c r="D713" s="197">
        <v>12.39</v>
      </c>
    </row>
    <row r="714" spans="1:4" ht="42.75">
      <c r="A714" s="198">
        <v>151439</v>
      </c>
      <c r="B714" s="198" t="s">
        <v>18754</v>
      </c>
      <c r="C714" s="196" t="s">
        <v>51</v>
      </c>
      <c r="D714" s="197">
        <v>13.61</v>
      </c>
    </row>
    <row r="715" spans="1:4" ht="42.75">
      <c r="A715" s="198">
        <v>151440</v>
      </c>
      <c r="B715" s="198" t="s">
        <v>18755</v>
      </c>
      <c r="C715" s="196" t="s">
        <v>51</v>
      </c>
      <c r="D715" s="197">
        <v>23.01</v>
      </c>
    </row>
    <row r="716" spans="1:4" ht="15">
      <c r="A716" s="195">
        <v>1515</v>
      </c>
      <c r="B716" s="195" t="s">
        <v>2037</v>
      </c>
      <c r="C716" s="196"/>
      <c r="D716" s="197"/>
    </row>
    <row r="717" spans="1:4" ht="14.25">
      <c r="A717" s="198">
        <v>151503</v>
      </c>
      <c r="B717" s="198" t="s">
        <v>555</v>
      </c>
      <c r="C717" s="196" t="s">
        <v>33</v>
      </c>
      <c r="D717" s="197">
        <v>16.600000000000001</v>
      </c>
    </row>
    <row r="718" spans="1:4" ht="14.25">
      <c r="A718" s="198">
        <v>151504</v>
      </c>
      <c r="B718" s="198" t="s">
        <v>556</v>
      </c>
      <c r="C718" s="196" t="s">
        <v>33</v>
      </c>
      <c r="D718" s="197">
        <v>17.07</v>
      </c>
    </row>
    <row r="719" spans="1:4" ht="28.5">
      <c r="A719" s="198">
        <v>151506</v>
      </c>
      <c r="B719" s="198" t="s">
        <v>557</v>
      </c>
      <c r="C719" s="196" t="s">
        <v>33</v>
      </c>
      <c r="D719" s="197">
        <v>236.2</v>
      </c>
    </row>
    <row r="720" spans="1:4" ht="14.25">
      <c r="A720" s="198">
        <v>151507</v>
      </c>
      <c r="B720" s="198" t="s">
        <v>558</v>
      </c>
      <c r="C720" s="196" t="s">
        <v>33</v>
      </c>
      <c r="D720" s="197">
        <v>12.55</v>
      </c>
    </row>
    <row r="721" spans="1:4" ht="28.5">
      <c r="A721" s="198">
        <v>151508</v>
      </c>
      <c r="B721" s="198" t="s">
        <v>559</v>
      </c>
      <c r="C721" s="196" t="s">
        <v>33</v>
      </c>
      <c r="D721" s="197">
        <v>2.37</v>
      </c>
    </row>
    <row r="722" spans="1:4" ht="28.5">
      <c r="A722" s="198">
        <v>151509</v>
      </c>
      <c r="B722" s="198" t="s">
        <v>560</v>
      </c>
      <c r="C722" s="196" t="s">
        <v>33</v>
      </c>
      <c r="D722" s="197">
        <v>3.29</v>
      </c>
    </row>
    <row r="723" spans="1:4" ht="28.5">
      <c r="A723" s="198">
        <v>151510</v>
      </c>
      <c r="B723" s="198" t="s">
        <v>561</v>
      </c>
      <c r="C723" s="196" t="s">
        <v>33</v>
      </c>
      <c r="D723" s="197">
        <v>7.13</v>
      </c>
    </row>
    <row r="724" spans="1:4" ht="28.5">
      <c r="A724" s="198">
        <v>151511</v>
      </c>
      <c r="B724" s="198" t="s">
        <v>562</v>
      </c>
      <c r="C724" s="196" t="s">
        <v>33</v>
      </c>
      <c r="D724" s="197">
        <v>26.33</v>
      </c>
    </row>
    <row r="725" spans="1:4" ht="14.25">
      <c r="A725" s="198">
        <v>151512</v>
      </c>
      <c r="B725" s="198" t="s">
        <v>563</v>
      </c>
      <c r="C725" s="196" t="s">
        <v>33</v>
      </c>
      <c r="D725" s="197">
        <v>91.65</v>
      </c>
    </row>
    <row r="726" spans="1:4" ht="28.5">
      <c r="A726" s="198">
        <v>151513</v>
      </c>
      <c r="B726" s="198" t="s">
        <v>564</v>
      </c>
      <c r="C726" s="196" t="s">
        <v>33</v>
      </c>
      <c r="D726" s="197">
        <v>25.05</v>
      </c>
    </row>
    <row r="727" spans="1:4" ht="45">
      <c r="A727" s="195">
        <v>1516</v>
      </c>
      <c r="B727" s="195" t="s">
        <v>2026</v>
      </c>
      <c r="C727" s="196"/>
      <c r="D727" s="197"/>
    </row>
    <row r="728" spans="1:4" ht="42.75">
      <c r="A728" s="198">
        <v>151601</v>
      </c>
      <c r="B728" s="198" t="s">
        <v>565</v>
      </c>
      <c r="C728" s="196" t="s">
        <v>51</v>
      </c>
      <c r="D728" s="197">
        <v>12.25</v>
      </c>
    </row>
    <row r="729" spans="1:4" ht="42.75">
      <c r="A729" s="198">
        <v>151602</v>
      </c>
      <c r="B729" s="198" t="s">
        <v>566</v>
      </c>
      <c r="C729" s="196" t="s">
        <v>51</v>
      </c>
      <c r="D729" s="197">
        <v>18.34</v>
      </c>
    </row>
    <row r="730" spans="1:4" ht="42.75">
      <c r="A730" s="198">
        <v>151603</v>
      </c>
      <c r="B730" s="198" t="s">
        <v>567</v>
      </c>
      <c r="C730" s="196" t="s">
        <v>51</v>
      </c>
      <c r="D730" s="197">
        <v>27.62</v>
      </c>
    </row>
    <row r="731" spans="1:4" ht="42.75">
      <c r="A731" s="198">
        <v>151604</v>
      </c>
      <c r="B731" s="198" t="s">
        <v>568</v>
      </c>
      <c r="C731" s="196" t="s">
        <v>51</v>
      </c>
      <c r="D731" s="197">
        <v>23.34</v>
      </c>
    </row>
    <row r="732" spans="1:4" ht="42.75">
      <c r="A732" s="198">
        <v>151605</v>
      </c>
      <c r="B732" s="198" t="s">
        <v>569</v>
      </c>
      <c r="C732" s="196" t="s">
        <v>51</v>
      </c>
      <c r="D732" s="197">
        <v>35.54</v>
      </c>
    </row>
    <row r="733" spans="1:4" ht="42.75">
      <c r="A733" s="198">
        <v>151606</v>
      </c>
      <c r="B733" s="198" t="s">
        <v>570</v>
      </c>
      <c r="C733" s="196" t="s">
        <v>51</v>
      </c>
      <c r="D733" s="197">
        <v>51.71</v>
      </c>
    </row>
    <row r="734" spans="1:4" ht="30">
      <c r="A734" s="195">
        <v>1517</v>
      </c>
      <c r="B734" s="195" t="s">
        <v>2038</v>
      </c>
      <c r="C734" s="196"/>
      <c r="D734" s="197"/>
    </row>
    <row r="735" spans="1:4" ht="57">
      <c r="A735" s="198">
        <v>151701</v>
      </c>
      <c r="B735" s="198" t="s">
        <v>2039</v>
      </c>
      <c r="C735" s="196" t="s">
        <v>33</v>
      </c>
      <c r="D735" s="199">
        <v>2165.46</v>
      </c>
    </row>
    <row r="736" spans="1:4" ht="57">
      <c r="A736" s="198">
        <v>151702</v>
      </c>
      <c r="B736" s="198" t="s">
        <v>2040</v>
      </c>
      <c r="C736" s="196" t="s">
        <v>33</v>
      </c>
      <c r="D736" s="199">
        <v>2868.07</v>
      </c>
    </row>
    <row r="737" spans="1:4" ht="57">
      <c r="A737" s="198">
        <v>151703</v>
      </c>
      <c r="B737" s="198" t="s">
        <v>2041</v>
      </c>
      <c r="C737" s="196" t="s">
        <v>33</v>
      </c>
      <c r="D737" s="199">
        <v>3118.5</v>
      </c>
    </row>
    <row r="738" spans="1:4" ht="57">
      <c r="A738" s="198">
        <v>151704</v>
      </c>
      <c r="B738" s="198" t="s">
        <v>2042</v>
      </c>
      <c r="C738" s="196" t="s">
        <v>33</v>
      </c>
      <c r="D738" s="199">
        <v>3465.91</v>
      </c>
    </row>
    <row r="739" spans="1:4" ht="57">
      <c r="A739" s="198">
        <v>151705</v>
      </c>
      <c r="B739" s="198" t="s">
        <v>2043</v>
      </c>
      <c r="C739" s="196" t="s">
        <v>33</v>
      </c>
      <c r="D739" s="199">
        <v>3716.35</v>
      </c>
    </row>
    <row r="740" spans="1:4" ht="57">
      <c r="A740" s="198">
        <v>151706</v>
      </c>
      <c r="B740" s="198" t="s">
        <v>14773</v>
      </c>
      <c r="C740" s="196" t="s">
        <v>33</v>
      </c>
      <c r="D740" s="199">
        <v>6485.19</v>
      </c>
    </row>
    <row r="741" spans="1:4" ht="99.75">
      <c r="A741" s="198">
        <v>151707</v>
      </c>
      <c r="B741" s="198" t="s">
        <v>14774</v>
      </c>
      <c r="C741" s="196" t="s">
        <v>33</v>
      </c>
      <c r="D741" s="199">
        <v>4718.57</v>
      </c>
    </row>
    <row r="742" spans="1:4" ht="57">
      <c r="A742" s="198">
        <v>151710</v>
      </c>
      <c r="B742" s="198" t="s">
        <v>2044</v>
      </c>
      <c r="C742" s="196" t="s">
        <v>33</v>
      </c>
      <c r="D742" s="199">
        <v>8328.16</v>
      </c>
    </row>
    <row r="743" spans="1:4" ht="99.75">
      <c r="A743" s="198">
        <v>151711</v>
      </c>
      <c r="B743" s="198" t="s">
        <v>2045</v>
      </c>
      <c r="C743" s="196" t="s">
        <v>33</v>
      </c>
      <c r="D743" s="199">
        <v>7023.82</v>
      </c>
    </row>
    <row r="744" spans="1:4" ht="99.75">
      <c r="A744" s="198">
        <v>151712</v>
      </c>
      <c r="B744" s="198" t="s">
        <v>571</v>
      </c>
      <c r="C744" s="196" t="s">
        <v>33</v>
      </c>
      <c r="D744" s="199">
        <v>38214.910000000003</v>
      </c>
    </row>
    <row r="745" spans="1:4" ht="99.75">
      <c r="A745" s="198">
        <v>151713</v>
      </c>
      <c r="B745" s="198" t="s">
        <v>572</v>
      </c>
      <c r="C745" s="196" t="s">
        <v>33</v>
      </c>
      <c r="D745" s="199">
        <v>48442.75</v>
      </c>
    </row>
    <row r="746" spans="1:4" ht="99.75">
      <c r="A746" s="198">
        <v>151714</v>
      </c>
      <c r="B746" s="198" t="s">
        <v>573</v>
      </c>
      <c r="C746" s="196" t="s">
        <v>33</v>
      </c>
      <c r="D746" s="199">
        <v>69758.960000000006</v>
      </c>
    </row>
    <row r="747" spans="1:4" ht="99.75">
      <c r="A747" s="198">
        <v>151715</v>
      </c>
      <c r="B747" s="198" t="s">
        <v>574</v>
      </c>
      <c r="C747" s="196" t="s">
        <v>33</v>
      </c>
      <c r="D747" s="199">
        <v>86407.11</v>
      </c>
    </row>
    <row r="748" spans="1:4" ht="15">
      <c r="A748" s="195">
        <v>1518</v>
      </c>
      <c r="B748" s="195" t="s">
        <v>2046</v>
      </c>
      <c r="C748" s="196"/>
      <c r="D748" s="197"/>
    </row>
    <row r="749" spans="1:4" ht="71.25">
      <c r="A749" s="198">
        <v>151801</v>
      </c>
      <c r="B749" s="198" t="s">
        <v>12479</v>
      </c>
      <c r="C749" s="196" t="s">
        <v>33</v>
      </c>
      <c r="D749" s="197">
        <v>206.12</v>
      </c>
    </row>
    <row r="750" spans="1:4" ht="71.25">
      <c r="A750" s="198">
        <v>151802</v>
      </c>
      <c r="B750" s="198" t="s">
        <v>12480</v>
      </c>
      <c r="C750" s="196" t="s">
        <v>33</v>
      </c>
      <c r="D750" s="197">
        <v>182.82</v>
      </c>
    </row>
    <row r="751" spans="1:4" ht="85.5">
      <c r="A751" s="198">
        <v>151803</v>
      </c>
      <c r="B751" s="198" t="s">
        <v>12481</v>
      </c>
      <c r="C751" s="196" t="s">
        <v>33</v>
      </c>
      <c r="D751" s="197">
        <v>209.22</v>
      </c>
    </row>
    <row r="752" spans="1:4" ht="85.5">
      <c r="A752" s="198">
        <v>151805</v>
      </c>
      <c r="B752" s="198" t="s">
        <v>12482</v>
      </c>
      <c r="C752" s="196" t="s">
        <v>33</v>
      </c>
      <c r="D752" s="197">
        <v>523.08000000000004</v>
      </c>
    </row>
    <row r="753" spans="1:4" ht="85.5">
      <c r="A753" s="198">
        <v>151806</v>
      </c>
      <c r="B753" s="198" t="s">
        <v>12483</v>
      </c>
      <c r="C753" s="196" t="s">
        <v>33</v>
      </c>
      <c r="D753" s="197">
        <v>309.26</v>
      </c>
    </row>
    <row r="754" spans="1:4" ht="71.25">
      <c r="A754" s="198">
        <v>151807</v>
      </c>
      <c r="B754" s="198" t="s">
        <v>12484</v>
      </c>
      <c r="C754" s="196" t="s">
        <v>33</v>
      </c>
      <c r="D754" s="197">
        <v>242.7</v>
      </c>
    </row>
    <row r="755" spans="1:4" ht="85.5">
      <c r="A755" s="198">
        <v>151809</v>
      </c>
      <c r="B755" s="198" t="s">
        <v>12485</v>
      </c>
      <c r="C755" s="196" t="s">
        <v>33</v>
      </c>
      <c r="D755" s="197">
        <v>185.41</v>
      </c>
    </row>
    <row r="756" spans="1:4" ht="85.5">
      <c r="A756" s="198">
        <v>151810</v>
      </c>
      <c r="B756" s="198" t="s">
        <v>12486</v>
      </c>
      <c r="C756" s="196" t="s">
        <v>33</v>
      </c>
      <c r="D756" s="197">
        <v>351.31</v>
      </c>
    </row>
    <row r="757" spans="1:4" ht="99.75">
      <c r="A757" s="198">
        <v>151811</v>
      </c>
      <c r="B757" s="198" t="s">
        <v>12487</v>
      </c>
      <c r="C757" s="196" t="s">
        <v>33</v>
      </c>
      <c r="D757" s="197">
        <v>220.12</v>
      </c>
    </row>
    <row r="758" spans="1:4" ht="99.75">
      <c r="A758" s="198">
        <v>151812</v>
      </c>
      <c r="B758" s="198" t="s">
        <v>12488</v>
      </c>
      <c r="C758" s="196" t="s">
        <v>33</v>
      </c>
      <c r="D758" s="197">
        <v>243.84</v>
      </c>
    </row>
    <row r="759" spans="1:4" ht="71.25">
      <c r="A759" s="198">
        <v>151813</v>
      </c>
      <c r="B759" s="198" t="s">
        <v>12489</v>
      </c>
      <c r="C759" s="196" t="s">
        <v>33</v>
      </c>
      <c r="D759" s="197">
        <v>189.2</v>
      </c>
    </row>
    <row r="760" spans="1:4" ht="71.25">
      <c r="A760" s="198">
        <v>151814</v>
      </c>
      <c r="B760" s="198" t="s">
        <v>575</v>
      </c>
      <c r="C760" s="196" t="s">
        <v>33</v>
      </c>
      <c r="D760" s="197">
        <v>305.57</v>
      </c>
    </row>
    <row r="761" spans="1:4" ht="85.5">
      <c r="A761" s="198">
        <v>151815</v>
      </c>
      <c r="B761" s="198" t="s">
        <v>12490</v>
      </c>
      <c r="C761" s="196" t="s">
        <v>33</v>
      </c>
      <c r="D761" s="197">
        <v>150.18</v>
      </c>
    </row>
    <row r="762" spans="1:4" ht="85.5">
      <c r="A762" s="198">
        <v>151816</v>
      </c>
      <c r="B762" s="198" t="s">
        <v>12491</v>
      </c>
      <c r="C762" s="196" t="s">
        <v>33</v>
      </c>
      <c r="D762" s="197">
        <v>263.82</v>
      </c>
    </row>
    <row r="763" spans="1:4" ht="71.25">
      <c r="A763" s="198">
        <v>151817</v>
      </c>
      <c r="B763" s="198" t="s">
        <v>576</v>
      </c>
      <c r="C763" s="196" t="s">
        <v>33</v>
      </c>
      <c r="D763" s="197">
        <v>245.89</v>
      </c>
    </row>
    <row r="764" spans="1:4" ht="71.25">
      <c r="A764" s="198">
        <v>151819</v>
      </c>
      <c r="B764" s="198" t="s">
        <v>12492</v>
      </c>
      <c r="C764" s="196" t="s">
        <v>33</v>
      </c>
      <c r="D764" s="197">
        <v>101.55</v>
      </c>
    </row>
    <row r="765" spans="1:4" ht="85.5">
      <c r="A765" s="198">
        <v>151820</v>
      </c>
      <c r="B765" s="198" t="s">
        <v>12493</v>
      </c>
      <c r="C765" s="196" t="s">
        <v>33</v>
      </c>
      <c r="D765" s="197">
        <v>175.92</v>
      </c>
    </row>
    <row r="766" spans="1:4" ht="30">
      <c r="A766" s="195">
        <v>1519</v>
      </c>
      <c r="B766" s="195" t="s">
        <v>2047</v>
      </c>
      <c r="C766" s="196"/>
      <c r="D766" s="197"/>
    </row>
    <row r="767" spans="1:4" ht="99.75">
      <c r="A767" s="198">
        <v>151901</v>
      </c>
      <c r="B767" s="198" t="s">
        <v>577</v>
      </c>
      <c r="C767" s="196" t="s">
        <v>33</v>
      </c>
      <c r="D767" s="197">
        <v>515.99</v>
      </c>
    </row>
    <row r="768" spans="1:4" ht="99.75">
      <c r="A768" s="198">
        <v>151902</v>
      </c>
      <c r="B768" s="198" t="s">
        <v>578</v>
      </c>
      <c r="C768" s="196" t="s">
        <v>33</v>
      </c>
      <c r="D768" s="197">
        <v>567.62</v>
      </c>
    </row>
    <row r="769" spans="1:4" ht="99.75">
      <c r="A769" s="198">
        <v>151903</v>
      </c>
      <c r="B769" s="198" t="s">
        <v>579</v>
      </c>
      <c r="C769" s="196" t="s">
        <v>33</v>
      </c>
      <c r="D769" s="197">
        <v>670.27</v>
      </c>
    </row>
    <row r="770" spans="1:4" ht="99.75">
      <c r="A770" s="198">
        <v>151904</v>
      </c>
      <c r="B770" s="198" t="s">
        <v>580</v>
      </c>
      <c r="C770" s="196" t="s">
        <v>33</v>
      </c>
      <c r="D770" s="197">
        <v>840.85</v>
      </c>
    </row>
    <row r="771" spans="1:4" ht="99.75">
      <c r="A771" s="198">
        <v>151905</v>
      </c>
      <c r="B771" s="198" t="s">
        <v>581</v>
      </c>
      <c r="C771" s="196" t="s">
        <v>33</v>
      </c>
      <c r="D771" s="199">
        <v>1272.6400000000001</v>
      </c>
    </row>
    <row r="772" spans="1:4" ht="30">
      <c r="A772" s="195">
        <v>1520</v>
      </c>
      <c r="B772" s="195" t="s">
        <v>2048</v>
      </c>
      <c r="C772" s="196"/>
      <c r="D772" s="197"/>
    </row>
    <row r="773" spans="1:4" ht="28.5">
      <c r="A773" s="198">
        <v>152001</v>
      </c>
      <c r="B773" s="198" t="s">
        <v>582</v>
      </c>
      <c r="C773" s="196" t="s">
        <v>33</v>
      </c>
      <c r="D773" s="197">
        <v>12.91</v>
      </c>
    </row>
    <row r="774" spans="1:4" ht="28.5">
      <c r="A774" s="198">
        <v>152002</v>
      </c>
      <c r="B774" s="198" t="s">
        <v>583</v>
      </c>
      <c r="C774" s="196" t="s">
        <v>33</v>
      </c>
      <c r="D774" s="197">
        <v>16.7</v>
      </c>
    </row>
    <row r="775" spans="1:4" ht="28.5">
      <c r="A775" s="198">
        <v>152003</v>
      </c>
      <c r="B775" s="198" t="s">
        <v>584</v>
      </c>
      <c r="C775" s="196" t="s">
        <v>33</v>
      </c>
      <c r="D775" s="197">
        <v>24.6</v>
      </c>
    </row>
    <row r="776" spans="1:4" ht="28.5">
      <c r="A776" s="198">
        <v>152004</v>
      </c>
      <c r="B776" s="198" t="s">
        <v>585</v>
      </c>
      <c r="C776" s="196" t="s">
        <v>33</v>
      </c>
      <c r="D776" s="197">
        <v>24.95</v>
      </c>
    </row>
    <row r="777" spans="1:4" ht="28.5">
      <c r="A777" s="198">
        <v>152005</v>
      </c>
      <c r="B777" s="198" t="s">
        <v>586</v>
      </c>
      <c r="C777" s="196" t="s">
        <v>33</v>
      </c>
      <c r="D777" s="197">
        <v>26.68</v>
      </c>
    </row>
    <row r="778" spans="1:4" ht="28.5">
      <c r="A778" s="198">
        <v>152006</v>
      </c>
      <c r="B778" s="198" t="s">
        <v>587</v>
      </c>
      <c r="C778" s="196" t="s">
        <v>33</v>
      </c>
      <c r="D778" s="197">
        <v>30.02</v>
      </c>
    </row>
    <row r="779" spans="1:4" ht="28.5">
      <c r="A779" s="198">
        <v>152007</v>
      </c>
      <c r="B779" s="198" t="s">
        <v>588</v>
      </c>
      <c r="C779" s="196" t="s">
        <v>33</v>
      </c>
      <c r="D779" s="197">
        <v>44.63</v>
      </c>
    </row>
    <row r="780" spans="1:4" ht="28.5">
      <c r="A780" s="198">
        <v>152010</v>
      </c>
      <c r="B780" s="198" t="s">
        <v>589</v>
      </c>
      <c r="C780" s="196" t="s">
        <v>33</v>
      </c>
      <c r="D780" s="197">
        <v>45.82</v>
      </c>
    </row>
    <row r="781" spans="1:4" ht="28.5">
      <c r="A781" s="198">
        <v>152011</v>
      </c>
      <c r="B781" s="198" t="s">
        <v>590</v>
      </c>
      <c r="C781" s="196" t="s">
        <v>33</v>
      </c>
      <c r="D781" s="197">
        <v>55.07</v>
      </c>
    </row>
    <row r="782" spans="1:4" ht="28.5">
      <c r="A782" s="198">
        <v>152012</v>
      </c>
      <c r="B782" s="198" t="s">
        <v>591</v>
      </c>
      <c r="C782" s="196" t="s">
        <v>33</v>
      </c>
      <c r="D782" s="197">
        <v>74.510000000000005</v>
      </c>
    </row>
    <row r="783" spans="1:4" ht="28.5">
      <c r="A783" s="198">
        <v>152013</v>
      </c>
      <c r="B783" s="198" t="s">
        <v>592</v>
      </c>
      <c r="C783" s="196" t="s">
        <v>33</v>
      </c>
      <c r="D783" s="197">
        <v>78.8</v>
      </c>
    </row>
    <row r="784" spans="1:4" ht="28.5">
      <c r="A784" s="198">
        <v>152014</v>
      </c>
      <c r="B784" s="198" t="s">
        <v>593</v>
      </c>
      <c r="C784" s="196" t="s">
        <v>33</v>
      </c>
      <c r="D784" s="197">
        <v>87.06</v>
      </c>
    </row>
    <row r="785" spans="1:4" ht="28.5">
      <c r="A785" s="198">
        <v>152015</v>
      </c>
      <c r="B785" s="198" t="s">
        <v>594</v>
      </c>
      <c r="C785" s="196" t="s">
        <v>33</v>
      </c>
      <c r="D785" s="197">
        <v>93.98</v>
      </c>
    </row>
    <row r="786" spans="1:4" ht="28.5">
      <c r="A786" s="198">
        <v>152016</v>
      </c>
      <c r="B786" s="198" t="s">
        <v>595</v>
      </c>
      <c r="C786" s="196" t="s">
        <v>33</v>
      </c>
      <c r="D786" s="197">
        <v>98.28</v>
      </c>
    </row>
    <row r="787" spans="1:4" ht="28.5">
      <c r="A787" s="198">
        <v>152025</v>
      </c>
      <c r="B787" s="198" t="s">
        <v>596</v>
      </c>
      <c r="C787" s="196" t="s">
        <v>33</v>
      </c>
      <c r="D787" s="197">
        <v>338.45</v>
      </c>
    </row>
    <row r="788" spans="1:4" ht="28.5">
      <c r="A788" s="198">
        <v>152026</v>
      </c>
      <c r="B788" s="198" t="s">
        <v>597</v>
      </c>
      <c r="C788" s="196" t="s">
        <v>33</v>
      </c>
      <c r="D788" s="197">
        <v>362.3</v>
      </c>
    </row>
    <row r="789" spans="1:4" ht="28.5">
      <c r="A789" s="198">
        <v>152027</v>
      </c>
      <c r="B789" s="198" t="s">
        <v>598</v>
      </c>
      <c r="C789" s="196" t="s">
        <v>33</v>
      </c>
      <c r="D789" s="197">
        <v>392.82</v>
      </c>
    </row>
    <row r="790" spans="1:4" ht="28.5">
      <c r="A790" s="198">
        <v>152030</v>
      </c>
      <c r="B790" s="198" t="s">
        <v>599</v>
      </c>
      <c r="C790" s="196" t="s">
        <v>33</v>
      </c>
      <c r="D790" s="197">
        <v>14.27</v>
      </c>
    </row>
    <row r="791" spans="1:4" ht="28.5">
      <c r="A791" s="198">
        <v>152031</v>
      </c>
      <c r="B791" s="198" t="s">
        <v>600</v>
      </c>
      <c r="C791" s="196" t="s">
        <v>33</v>
      </c>
      <c r="D791" s="197">
        <v>24.15</v>
      </c>
    </row>
    <row r="792" spans="1:4" ht="28.5">
      <c r="A792" s="198">
        <v>152033</v>
      </c>
      <c r="B792" s="198" t="s">
        <v>601</v>
      </c>
      <c r="C792" s="196" t="s">
        <v>33</v>
      </c>
      <c r="D792" s="197">
        <v>14.52</v>
      </c>
    </row>
    <row r="793" spans="1:4" ht="28.5">
      <c r="A793" s="198">
        <v>152034</v>
      </c>
      <c r="B793" s="198" t="s">
        <v>602</v>
      </c>
      <c r="C793" s="196" t="s">
        <v>33</v>
      </c>
      <c r="D793" s="197">
        <v>14.52</v>
      </c>
    </row>
    <row r="794" spans="1:4" ht="28.5">
      <c r="A794" s="198">
        <v>152035</v>
      </c>
      <c r="B794" s="198" t="s">
        <v>603</v>
      </c>
      <c r="C794" s="196" t="s">
        <v>33</v>
      </c>
      <c r="D794" s="197">
        <v>14.66</v>
      </c>
    </row>
    <row r="795" spans="1:4" ht="14.25">
      <c r="A795" s="198">
        <v>152040</v>
      </c>
      <c r="B795" s="198" t="s">
        <v>604</v>
      </c>
      <c r="C795" s="196" t="s">
        <v>33</v>
      </c>
      <c r="D795" s="197">
        <v>29.2</v>
      </c>
    </row>
    <row r="796" spans="1:4" ht="14.25">
      <c r="A796" s="198">
        <v>152041</v>
      </c>
      <c r="B796" s="198" t="s">
        <v>605</v>
      </c>
      <c r="C796" s="196" t="s">
        <v>33</v>
      </c>
      <c r="D796" s="197">
        <v>31.86</v>
      </c>
    </row>
    <row r="797" spans="1:4" ht="14.25">
      <c r="A797" s="198">
        <v>152042</v>
      </c>
      <c r="B797" s="198" t="s">
        <v>606</v>
      </c>
      <c r="C797" s="196" t="s">
        <v>33</v>
      </c>
      <c r="D797" s="197">
        <v>36.24</v>
      </c>
    </row>
    <row r="798" spans="1:4" ht="75">
      <c r="A798" s="195">
        <v>1522</v>
      </c>
      <c r="B798" s="195" t="s">
        <v>13950</v>
      </c>
      <c r="C798" s="196"/>
      <c r="D798" s="197"/>
    </row>
    <row r="799" spans="1:4" ht="57">
      <c r="A799" s="198">
        <v>152201</v>
      </c>
      <c r="B799" s="198" t="s">
        <v>13951</v>
      </c>
      <c r="C799" s="196" t="s">
        <v>33</v>
      </c>
      <c r="D799" s="197">
        <v>83.86</v>
      </c>
    </row>
    <row r="800" spans="1:4" ht="57">
      <c r="A800" s="198">
        <v>152202</v>
      </c>
      <c r="B800" s="198" t="s">
        <v>13952</v>
      </c>
      <c r="C800" s="196" t="s">
        <v>33</v>
      </c>
      <c r="D800" s="197">
        <v>125.79</v>
      </c>
    </row>
    <row r="801" spans="1:4" ht="57">
      <c r="A801" s="198">
        <v>152203</v>
      </c>
      <c r="B801" s="198" t="s">
        <v>13953</v>
      </c>
      <c r="C801" s="196" t="s">
        <v>33</v>
      </c>
      <c r="D801" s="197">
        <v>209.65</v>
      </c>
    </row>
    <row r="802" spans="1:4" ht="57">
      <c r="A802" s="198">
        <v>152204</v>
      </c>
      <c r="B802" s="198" t="s">
        <v>13954</v>
      </c>
      <c r="C802" s="196" t="s">
        <v>51</v>
      </c>
      <c r="D802" s="197">
        <v>28.09</v>
      </c>
    </row>
    <row r="803" spans="1:4" ht="57">
      <c r="A803" s="198">
        <v>152205</v>
      </c>
      <c r="B803" s="198" t="s">
        <v>13955</v>
      </c>
      <c r="C803" s="196" t="s">
        <v>51</v>
      </c>
      <c r="D803" s="197">
        <v>41.93</v>
      </c>
    </row>
    <row r="804" spans="1:4" ht="42.75">
      <c r="A804" s="198">
        <v>152206</v>
      </c>
      <c r="B804" s="198" t="s">
        <v>13956</v>
      </c>
      <c r="C804" s="196" t="s">
        <v>33</v>
      </c>
      <c r="D804" s="197">
        <v>33.54</v>
      </c>
    </row>
    <row r="805" spans="1:4" ht="42.75">
      <c r="A805" s="198">
        <v>152207</v>
      </c>
      <c r="B805" s="198" t="s">
        <v>13957</v>
      </c>
      <c r="C805" s="196" t="s">
        <v>51</v>
      </c>
      <c r="D805" s="197">
        <v>20.97</v>
      </c>
    </row>
    <row r="806" spans="1:4" ht="42.75">
      <c r="A806" s="198">
        <v>152208</v>
      </c>
      <c r="B806" s="198" t="s">
        <v>13958</v>
      </c>
      <c r="C806" s="196" t="s">
        <v>33</v>
      </c>
      <c r="D806" s="197">
        <v>37.74</v>
      </c>
    </row>
    <row r="807" spans="1:4" ht="42.75">
      <c r="A807" s="198">
        <v>152209</v>
      </c>
      <c r="B807" s="198" t="s">
        <v>13959</v>
      </c>
      <c r="C807" s="196" t="s">
        <v>33</v>
      </c>
      <c r="D807" s="197">
        <v>83.86</v>
      </c>
    </row>
    <row r="808" spans="1:4" ht="42.75">
      <c r="A808" s="198">
        <v>152210</v>
      </c>
      <c r="B808" s="198" t="s">
        <v>13960</v>
      </c>
      <c r="C808" s="196" t="s">
        <v>33</v>
      </c>
      <c r="D808" s="197">
        <v>167.72</v>
      </c>
    </row>
    <row r="809" spans="1:4" ht="42.75">
      <c r="A809" s="198">
        <v>152211</v>
      </c>
      <c r="B809" s="198" t="s">
        <v>13961</v>
      </c>
      <c r="C809" s="196" t="s">
        <v>33</v>
      </c>
      <c r="D809" s="197">
        <v>209.65</v>
      </c>
    </row>
    <row r="810" spans="1:4" ht="42.75">
      <c r="A810" s="198">
        <v>152212</v>
      </c>
      <c r="B810" s="198" t="s">
        <v>13962</v>
      </c>
      <c r="C810" s="196" t="s">
        <v>33</v>
      </c>
      <c r="D810" s="197">
        <v>335.44</v>
      </c>
    </row>
    <row r="811" spans="1:4" ht="57">
      <c r="A811" s="198">
        <v>152213</v>
      </c>
      <c r="B811" s="198" t="s">
        <v>13963</v>
      </c>
      <c r="C811" s="196" t="s">
        <v>33</v>
      </c>
      <c r="D811" s="197">
        <v>16.77</v>
      </c>
    </row>
    <row r="812" spans="1:4" ht="57">
      <c r="A812" s="198">
        <v>152214</v>
      </c>
      <c r="B812" s="198" t="s">
        <v>13964</v>
      </c>
      <c r="C812" s="196" t="s">
        <v>33</v>
      </c>
      <c r="D812" s="197">
        <v>25.16</v>
      </c>
    </row>
    <row r="813" spans="1:4" ht="42.75">
      <c r="A813" s="198">
        <v>152215</v>
      </c>
      <c r="B813" s="198" t="s">
        <v>13965</v>
      </c>
      <c r="C813" s="196" t="s">
        <v>33</v>
      </c>
      <c r="D813" s="197">
        <v>12.58</v>
      </c>
    </row>
    <row r="814" spans="1:4" ht="42.75">
      <c r="A814" s="198">
        <v>152216</v>
      </c>
      <c r="B814" s="198" t="s">
        <v>13966</v>
      </c>
      <c r="C814" s="196" t="s">
        <v>33</v>
      </c>
      <c r="D814" s="197">
        <v>18.87</v>
      </c>
    </row>
    <row r="815" spans="1:4" ht="42.75">
      <c r="A815" s="198">
        <v>152217</v>
      </c>
      <c r="B815" s="198" t="s">
        <v>13967</v>
      </c>
      <c r="C815" s="196" t="s">
        <v>33</v>
      </c>
      <c r="D815" s="197">
        <v>20.97</v>
      </c>
    </row>
    <row r="816" spans="1:4" ht="42.75">
      <c r="A816" s="198">
        <v>152218</v>
      </c>
      <c r="B816" s="198" t="s">
        <v>13968</v>
      </c>
      <c r="C816" s="196" t="s">
        <v>33</v>
      </c>
      <c r="D816" s="197">
        <v>25.16</v>
      </c>
    </row>
    <row r="817" spans="1:4" ht="42.75">
      <c r="A817" s="198">
        <v>152219</v>
      </c>
      <c r="B817" s="198" t="s">
        <v>13969</v>
      </c>
      <c r="C817" s="196" t="s">
        <v>33</v>
      </c>
      <c r="D817" s="197">
        <v>29.35</v>
      </c>
    </row>
    <row r="818" spans="1:4" ht="42.75">
      <c r="A818" s="198">
        <v>152220</v>
      </c>
      <c r="B818" s="198" t="s">
        <v>13970</v>
      </c>
      <c r="C818" s="196" t="s">
        <v>33</v>
      </c>
      <c r="D818" s="197">
        <v>33.54</v>
      </c>
    </row>
    <row r="819" spans="1:4" ht="42.75">
      <c r="A819" s="198">
        <v>152221</v>
      </c>
      <c r="B819" s="198" t="s">
        <v>13971</v>
      </c>
      <c r="C819" s="196" t="s">
        <v>33</v>
      </c>
      <c r="D819" s="197">
        <v>37.74</v>
      </c>
    </row>
    <row r="820" spans="1:4" ht="42.75">
      <c r="A820" s="198">
        <v>152222</v>
      </c>
      <c r="B820" s="198" t="s">
        <v>13972</v>
      </c>
      <c r="C820" s="196" t="s">
        <v>33</v>
      </c>
      <c r="D820" s="197">
        <v>18.87</v>
      </c>
    </row>
    <row r="821" spans="1:4" ht="42.75">
      <c r="A821" s="198">
        <v>152223</v>
      </c>
      <c r="B821" s="198" t="s">
        <v>13973</v>
      </c>
      <c r="C821" s="196" t="s">
        <v>33</v>
      </c>
      <c r="D821" s="197">
        <v>10.48</v>
      </c>
    </row>
    <row r="822" spans="1:4" ht="42.75">
      <c r="A822" s="198">
        <v>152224</v>
      </c>
      <c r="B822" s="198" t="s">
        <v>13974</v>
      </c>
      <c r="C822" s="196" t="s">
        <v>33</v>
      </c>
      <c r="D822" s="197">
        <v>37.74</v>
      </c>
    </row>
    <row r="823" spans="1:4" ht="42.75">
      <c r="A823" s="198">
        <v>152225</v>
      </c>
      <c r="B823" s="198" t="s">
        <v>13975</v>
      </c>
      <c r="C823" s="196" t="s">
        <v>33</v>
      </c>
      <c r="D823" s="197">
        <v>37.74</v>
      </c>
    </row>
    <row r="824" spans="1:4" ht="42.75">
      <c r="A824" s="198">
        <v>152226</v>
      </c>
      <c r="B824" s="198" t="s">
        <v>13976</v>
      </c>
      <c r="C824" s="196" t="s">
        <v>33</v>
      </c>
      <c r="D824" s="197">
        <v>18.87</v>
      </c>
    </row>
    <row r="825" spans="1:4" ht="42.75">
      <c r="A825" s="198">
        <v>152227</v>
      </c>
      <c r="B825" s="198" t="s">
        <v>13977</v>
      </c>
      <c r="C825" s="196" t="s">
        <v>33</v>
      </c>
      <c r="D825" s="197">
        <v>18.87</v>
      </c>
    </row>
    <row r="826" spans="1:4" ht="42.75">
      <c r="A826" s="198">
        <v>152228</v>
      </c>
      <c r="B826" s="198" t="s">
        <v>13978</v>
      </c>
      <c r="C826" s="196" t="s">
        <v>33</v>
      </c>
      <c r="D826" s="197">
        <v>6.82</v>
      </c>
    </row>
    <row r="827" spans="1:4" ht="42.75">
      <c r="A827" s="198">
        <v>152229</v>
      </c>
      <c r="B827" s="198" t="s">
        <v>13979</v>
      </c>
      <c r="C827" s="196" t="s">
        <v>33</v>
      </c>
      <c r="D827" s="197">
        <v>1.59</v>
      </c>
    </row>
    <row r="828" spans="1:4" ht="28.5">
      <c r="A828" s="198">
        <v>152230</v>
      </c>
      <c r="B828" s="198" t="s">
        <v>13980</v>
      </c>
      <c r="C828" s="196" t="s">
        <v>33</v>
      </c>
      <c r="D828" s="197">
        <v>11.37</v>
      </c>
    </row>
    <row r="829" spans="1:4" ht="28.5">
      <c r="A829" s="198">
        <v>152231</v>
      </c>
      <c r="B829" s="198" t="s">
        <v>13981</v>
      </c>
      <c r="C829" s="196" t="s">
        <v>33</v>
      </c>
      <c r="D829" s="197">
        <v>22.74</v>
      </c>
    </row>
    <row r="830" spans="1:4" ht="28.5">
      <c r="A830" s="198">
        <v>152232</v>
      </c>
      <c r="B830" s="198" t="s">
        <v>13982</v>
      </c>
      <c r="C830" s="196" t="s">
        <v>33</v>
      </c>
      <c r="D830" s="197">
        <v>45.48</v>
      </c>
    </row>
    <row r="831" spans="1:4" ht="57">
      <c r="A831" s="198">
        <v>152233</v>
      </c>
      <c r="B831" s="198" t="s">
        <v>13983</v>
      </c>
      <c r="C831" s="196" t="s">
        <v>33</v>
      </c>
      <c r="D831" s="197">
        <v>337.88</v>
      </c>
    </row>
    <row r="832" spans="1:4" ht="57">
      <c r="A832" s="198">
        <v>152234</v>
      </c>
      <c r="B832" s="198" t="s">
        <v>13984</v>
      </c>
      <c r="C832" s="196" t="s">
        <v>33</v>
      </c>
      <c r="D832" s="197">
        <v>520.38</v>
      </c>
    </row>
    <row r="833" spans="1:4" ht="57">
      <c r="A833" s="198">
        <v>152235</v>
      </c>
      <c r="B833" s="198" t="s">
        <v>13985</v>
      </c>
      <c r="C833" s="196" t="s">
        <v>33</v>
      </c>
      <c r="D833" s="199">
        <v>1113.94</v>
      </c>
    </row>
    <row r="834" spans="1:4" ht="42.75">
      <c r="A834" s="198">
        <v>152236</v>
      </c>
      <c r="B834" s="198" t="s">
        <v>13986</v>
      </c>
      <c r="C834" s="196" t="s">
        <v>51</v>
      </c>
      <c r="D834" s="197">
        <v>2.1</v>
      </c>
    </row>
    <row r="835" spans="1:4" ht="42.75">
      <c r="A835" s="198">
        <v>152238</v>
      </c>
      <c r="B835" s="198" t="s">
        <v>13987</v>
      </c>
      <c r="C835" s="196" t="s">
        <v>33</v>
      </c>
      <c r="D835" s="197">
        <v>8.39</v>
      </c>
    </row>
    <row r="836" spans="1:4" ht="15">
      <c r="A836" s="195">
        <v>16</v>
      </c>
      <c r="B836" s="195" t="s">
        <v>2049</v>
      </c>
      <c r="C836" s="196"/>
      <c r="D836" s="197"/>
    </row>
    <row r="837" spans="1:4" ht="15">
      <c r="A837" s="195">
        <v>1601</v>
      </c>
      <c r="B837" s="195" t="s">
        <v>2050</v>
      </c>
      <c r="C837" s="196"/>
      <c r="D837" s="197"/>
    </row>
    <row r="838" spans="1:4" ht="57">
      <c r="A838" s="198">
        <v>160105</v>
      </c>
      <c r="B838" s="198" t="s">
        <v>607</v>
      </c>
      <c r="C838" s="196" t="s">
        <v>33</v>
      </c>
      <c r="D838" s="199">
        <v>1640.22</v>
      </c>
    </row>
    <row r="839" spans="1:4" ht="71.25">
      <c r="A839" s="198">
        <v>160106</v>
      </c>
      <c r="B839" s="198" t="s">
        <v>608</v>
      </c>
      <c r="C839" s="196" t="s">
        <v>33</v>
      </c>
      <c r="D839" s="197">
        <v>501.57</v>
      </c>
    </row>
    <row r="840" spans="1:4" ht="42.75">
      <c r="A840" s="198">
        <v>160108</v>
      </c>
      <c r="B840" s="198" t="s">
        <v>609</v>
      </c>
      <c r="C840" s="196" t="s">
        <v>33</v>
      </c>
      <c r="D840" s="197">
        <v>140.47999999999999</v>
      </c>
    </row>
    <row r="841" spans="1:4" ht="42.75">
      <c r="A841" s="198">
        <v>160110</v>
      </c>
      <c r="B841" s="198" t="s">
        <v>610</v>
      </c>
      <c r="C841" s="196" t="s">
        <v>33</v>
      </c>
      <c r="D841" s="197">
        <v>452.79</v>
      </c>
    </row>
    <row r="842" spans="1:4" ht="71.25">
      <c r="A842" s="198">
        <v>160111</v>
      </c>
      <c r="B842" s="198" t="s">
        <v>611</v>
      </c>
      <c r="C842" s="196" t="s">
        <v>33</v>
      </c>
      <c r="D842" s="199">
        <v>1173.3399999999999</v>
      </c>
    </row>
    <row r="843" spans="1:4" ht="28.5">
      <c r="A843" s="198">
        <v>160115</v>
      </c>
      <c r="B843" s="198" t="s">
        <v>612</v>
      </c>
      <c r="C843" s="196" t="s">
        <v>51</v>
      </c>
      <c r="D843" s="197">
        <v>24.86</v>
      </c>
    </row>
    <row r="844" spans="1:4" ht="28.5">
      <c r="A844" s="198">
        <v>160120</v>
      </c>
      <c r="B844" s="198" t="s">
        <v>613</v>
      </c>
      <c r="C844" s="196" t="s">
        <v>33</v>
      </c>
      <c r="D844" s="197">
        <v>75.180000000000007</v>
      </c>
    </row>
    <row r="845" spans="1:4" ht="42.75">
      <c r="A845" s="198">
        <v>160121</v>
      </c>
      <c r="B845" s="198" t="s">
        <v>13988</v>
      </c>
      <c r="C845" s="196" t="s">
        <v>33</v>
      </c>
      <c r="D845" s="197">
        <v>783.59</v>
      </c>
    </row>
    <row r="846" spans="1:4" ht="42.75">
      <c r="A846" s="198">
        <v>160122</v>
      </c>
      <c r="B846" s="198" t="s">
        <v>13989</v>
      </c>
      <c r="C846" s="196" t="s">
        <v>33</v>
      </c>
      <c r="D846" s="199">
        <v>1713.6</v>
      </c>
    </row>
    <row r="847" spans="1:4" ht="42.75">
      <c r="A847" s="198">
        <v>160123</v>
      </c>
      <c r="B847" s="198" t="s">
        <v>13990</v>
      </c>
      <c r="C847" s="196" t="s">
        <v>33</v>
      </c>
      <c r="D847" s="199">
        <v>2291.4</v>
      </c>
    </row>
    <row r="848" spans="1:4" ht="28.5">
      <c r="A848" s="198">
        <v>160124</v>
      </c>
      <c r="B848" s="198" t="s">
        <v>13991</v>
      </c>
      <c r="C848" s="196" t="s">
        <v>51</v>
      </c>
      <c r="D848" s="197">
        <v>19.32</v>
      </c>
    </row>
    <row r="849" spans="1:4" ht="28.5">
      <c r="A849" s="198">
        <v>160125</v>
      </c>
      <c r="B849" s="198" t="s">
        <v>13992</v>
      </c>
      <c r="C849" s="196" t="s">
        <v>51</v>
      </c>
      <c r="D849" s="197">
        <v>92.78</v>
      </c>
    </row>
    <row r="850" spans="1:4" ht="28.5">
      <c r="A850" s="198">
        <v>160126</v>
      </c>
      <c r="B850" s="198" t="s">
        <v>13993</v>
      </c>
      <c r="C850" s="196" t="s">
        <v>51</v>
      </c>
      <c r="D850" s="197">
        <v>39.67</v>
      </c>
    </row>
    <row r="851" spans="1:4" ht="15">
      <c r="A851" s="195">
        <v>1602</v>
      </c>
      <c r="B851" s="195" t="s">
        <v>2051</v>
      </c>
      <c r="C851" s="196"/>
      <c r="D851" s="197"/>
    </row>
    <row r="852" spans="1:4" ht="99.75">
      <c r="A852" s="198">
        <v>160207</v>
      </c>
      <c r="B852" s="198" t="s">
        <v>2052</v>
      </c>
      <c r="C852" s="196" t="s">
        <v>33</v>
      </c>
      <c r="D852" s="199">
        <v>8519.4699999999993</v>
      </c>
    </row>
    <row r="853" spans="1:4" ht="99.75">
      <c r="A853" s="198">
        <v>160208</v>
      </c>
      <c r="B853" s="198" t="s">
        <v>614</v>
      </c>
      <c r="C853" s="196" t="s">
        <v>33</v>
      </c>
      <c r="D853" s="199">
        <v>15362.54</v>
      </c>
    </row>
    <row r="854" spans="1:4" ht="15">
      <c r="A854" s="195">
        <v>1603</v>
      </c>
      <c r="B854" s="195" t="s">
        <v>2053</v>
      </c>
      <c r="C854" s="196"/>
      <c r="D854" s="197"/>
    </row>
    <row r="855" spans="1:4" ht="57">
      <c r="A855" s="198">
        <v>160303</v>
      </c>
      <c r="B855" s="198" t="s">
        <v>615</v>
      </c>
      <c r="C855" s="196" t="s">
        <v>33</v>
      </c>
      <c r="D855" s="197">
        <v>468.04</v>
      </c>
    </row>
    <row r="856" spans="1:4" ht="99.75">
      <c r="A856" s="198">
        <v>160304</v>
      </c>
      <c r="B856" s="198" t="s">
        <v>616</v>
      </c>
      <c r="C856" s="196" t="s">
        <v>33</v>
      </c>
      <c r="D856" s="197">
        <v>938.93</v>
      </c>
    </row>
    <row r="857" spans="1:4" ht="57">
      <c r="A857" s="198">
        <v>160305</v>
      </c>
      <c r="B857" s="198" t="s">
        <v>617</v>
      </c>
      <c r="C857" s="196" t="s">
        <v>51</v>
      </c>
      <c r="D857" s="197">
        <v>91.84</v>
      </c>
    </row>
    <row r="858" spans="1:4" ht="57">
      <c r="A858" s="198">
        <v>160308</v>
      </c>
      <c r="B858" s="198" t="s">
        <v>618</v>
      </c>
      <c r="C858" s="196" t="s">
        <v>51</v>
      </c>
      <c r="D858" s="197">
        <v>70.290000000000006</v>
      </c>
    </row>
    <row r="859" spans="1:4" ht="99.75">
      <c r="A859" s="198">
        <v>160309</v>
      </c>
      <c r="B859" s="198" t="s">
        <v>12494</v>
      </c>
      <c r="C859" s="196" t="s">
        <v>33</v>
      </c>
      <c r="D859" s="197">
        <v>128.46</v>
      </c>
    </row>
    <row r="860" spans="1:4" ht="57">
      <c r="A860" s="198">
        <v>160310</v>
      </c>
      <c r="B860" s="198" t="s">
        <v>619</v>
      </c>
      <c r="C860" s="196" t="s">
        <v>33</v>
      </c>
      <c r="D860" s="197">
        <v>66.22</v>
      </c>
    </row>
    <row r="861" spans="1:4" ht="28.5">
      <c r="A861" s="198">
        <v>160311</v>
      </c>
      <c r="B861" s="198" t="s">
        <v>557</v>
      </c>
      <c r="C861" s="196" t="s">
        <v>33</v>
      </c>
      <c r="D861" s="197">
        <v>236.2</v>
      </c>
    </row>
    <row r="862" spans="1:4" ht="85.5">
      <c r="A862" s="198">
        <v>160312</v>
      </c>
      <c r="B862" s="198" t="s">
        <v>2054</v>
      </c>
      <c r="C862" s="196" t="s">
        <v>33</v>
      </c>
      <c r="D862" s="197">
        <v>50.67</v>
      </c>
    </row>
    <row r="863" spans="1:4" ht="99.75">
      <c r="A863" s="198">
        <v>160313</v>
      </c>
      <c r="B863" s="198" t="s">
        <v>620</v>
      </c>
      <c r="C863" s="196" t="s">
        <v>33</v>
      </c>
      <c r="D863" s="197">
        <v>60.2</v>
      </c>
    </row>
    <row r="864" spans="1:4" ht="114">
      <c r="A864" s="198">
        <v>160314</v>
      </c>
      <c r="B864" s="198" t="s">
        <v>621</v>
      </c>
      <c r="C864" s="196" t="s">
        <v>33</v>
      </c>
      <c r="D864" s="197">
        <v>937.1</v>
      </c>
    </row>
    <row r="865" spans="1:4" ht="114">
      <c r="A865" s="198">
        <v>160315</v>
      </c>
      <c r="B865" s="198" t="s">
        <v>622</v>
      </c>
      <c r="C865" s="196" t="s">
        <v>33</v>
      </c>
      <c r="D865" s="199">
        <v>1272.3699999999999</v>
      </c>
    </row>
    <row r="866" spans="1:4" ht="71.25">
      <c r="A866" s="198">
        <v>160316</v>
      </c>
      <c r="B866" s="198" t="s">
        <v>623</v>
      </c>
      <c r="C866" s="196" t="s">
        <v>33</v>
      </c>
      <c r="D866" s="197">
        <v>92.94</v>
      </c>
    </row>
    <row r="867" spans="1:4" ht="42.75">
      <c r="A867" s="198">
        <v>160317</v>
      </c>
      <c r="B867" s="198" t="s">
        <v>624</v>
      </c>
      <c r="C867" s="196" t="s">
        <v>51</v>
      </c>
      <c r="D867" s="197">
        <v>70.290000000000006</v>
      </c>
    </row>
    <row r="868" spans="1:4" ht="42.75">
      <c r="A868" s="198">
        <v>160318</v>
      </c>
      <c r="B868" s="198" t="s">
        <v>625</v>
      </c>
      <c r="C868" s="196" t="s">
        <v>51</v>
      </c>
      <c r="D868" s="197">
        <v>43.77</v>
      </c>
    </row>
    <row r="869" spans="1:4" ht="85.5">
      <c r="A869" s="198">
        <v>160319</v>
      </c>
      <c r="B869" s="198" t="s">
        <v>626</v>
      </c>
      <c r="C869" s="196" t="s">
        <v>33</v>
      </c>
      <c r="D869" s="197">
        <v>11.05</v>
      </c>
    </row>
    <row r="870" spans="1:4" ht="57">
      <c r="A870" s="198">
        <v>160321</v>
      </c>
      <c r="B870" s="198" t="s">
        <v>627</v>
      </c>
      <c r="C870" s="196" t="s">
        <v>33</v>
      </c>
      <c r="D870" s="197">
        <v>146.37</v>
      </c>
    </row>
    <row r="871" spans="1:4" ht="57">
      <c r="A871" s="198">
        <v>160322</v>
      </c>
      <c r="B871" s="198" t="s">
        <v>628</v>
      </c>
      <c r="C871" s="196" t="s">
        <v>33</v>
      </c>
      <c r="D871" s="197">
        <v>6.38</v>
      </c>
    </row>
    <row r="872" spans="1:4" ht="42.75">
      <c r="A872" s="198">
        <v>160323</v>
      </c>
      <c r="B872" s="198" t="s">
        <v>629</v>
      </c>
      <c r="C872" s="196" t="s">
        <v>33</v>
      </c>
      <c r="D872" s="197">
        <v>12.09</v>
      </c>
    </row>
    <row r="873" spans="1:4" ht="99.75">
      <c r="A873" s="198">
        <v>160324</v>
      </c>
      <c r="B873" s="198" t="s">
        <v>630</v>
      </c>
      <c r="C873" s="196" t="s">
        <v>33</v>
      </c>
      <c r="D873" s="197">
        <v>266.8</v>
      </c>
    </row>
    <row r="874" spans="1:4" ht="99.75">
      <c r="A874" s="198">
        <v>160325</v>
      </c>
      <c r="B874" s="198" t="s">
        <v>631</v>
      </c>
      <c r="C874" s="196" t="s">
        <v>33</v>
      </c>
      <c r="D874" s="197">
        <v>630.91</v>
      </c>
    </row>
    <row r="875" spans="1:4" ht="71.25">
      <c r="A875" s="198">
        <v>160326</v>
      </c>
      <c r="B875" s="198" t="s">
        <v>632</v>
      </c>
      <c r="C875" s="196" t="s">
        <v>51</v>
      </c>
      <c r="D875" s="197">
        <v>39.869999999999997</v>
      </c>
    </row>
    <row r="876" spans="1:4" ht="71.25">
      <c r="A876" s="198">
        <v>160327</v>
      </c>
      <c r="B876" s="198" t="s">
        <v>633</v>
      </c>
      <c r="C876" s="196" t="s">
        <v>51</v>
      </c>
      <c r="D876" s="197">
        <v>43.81</v>
      </c>
    </row>
    <row r="877" spans="1:4" ht="57">
      <c r="A877" s="198">
        <v>160328</v>
      </c>
      <c r="B877" s="198" t="s">
        <v>634</v>
      </c>
      <c r="C877" s="196" t="s">
        <v>33</v>
      </c>
      <c r="D877" s="197">
        <v>26.78</v>
      </c>
    </row>
    <row r="878" spans="1:4" ht="57">
      <c r="A878" s="198">
        <v>160329</v>
      </c>
      <c r="B878" s="198" t="s">
        <v>635</v>
      </c>
      <c r="C878" s="196" t="s">
        <v>33</v>
      </c>
      <c r="D878" s="197">
        <v>20.6</v>
      </c>
    </row>
    <row r="879" spans="1:4" ht="85.5">
      <c r="A879" s="198">
        <v>160330</v>
      </c>
      <c r="B879" s="198" t="s">
        <v>636</v>
      </c>
      <c r="C879" s="196" t="s">
        <v>33</v>
      </c>
      <c r="D879" s="197">
        <v>12.75</v>
      </c>
    </row>
    <row r="880" spans="1:4" ht="57">
      <c r="A880" s="198">
        <v>160331</v>
      </c>
      <c r="B880" s="198" t="s">
        <v>637</v>
      </c>
      <c r="C880" s="196" t="s">
        <v>33</v>
      </c>
      <c r="D880" s="197">
        <v>41.62</v>
      </c>
    </row>
    <row r="881" spans="1:4" ht="71.25">
      <c r="A881" s="198">
        <v>160332</v>
      </c>
      <c r="B881" s="198" t="s">
        <v>638</v>
      </c>
      <c r="C881" s="196" t="s">
        <v>51</v>
      </c>
      <c r="D881" s="197">
        <v>35.83</v>
      </c>
    </row>
    <row r="882" spans="1:4" ht="85.5">
      <c r="A882" s="198">
        <v>160333</v>
      </c>
      <c r="B882" s="198" t="s">
        <v>639</v>
      </c>
      <c r="C882" s="196" t="s">
        <v>51</v>
      </c>
      <c r="D882" s="197">
        <v>83.22</v>
      </c>
    </row>
    <row r="883" spans="1:4" ht="57">
      <c r="A883" s="198">
        <v>160334</v>
      </c>
      <c r="B883" s="198" t="s">
        <v>640</v>
      </c>
      <c r="C883" s="196" t="s">
        <v>33</v>
      </c>
      <c r="D883" s="197">
        <v>42.48</v>
      </c>
    </row>
    <row r="884" spans="1:4" ht="71.25">
      <c r="A884" s="198">
        <v>160335</v>
      </c>
      <c r="B884" s="198" t="s">
        <v>12495</v>
      </c>
      <c r="C884" s="196" t="s">
        <v>51</v>
      </c>
      <c r="D884" s="197">
        <v>59.19</v>
      </c>
    </row>
    <row r="885" spans="1:4" ht="15">
      <c r="A885" s="195">
        <v>1606</v>
      </c>
      <c r="B885" s="195" t="s">
        <v>2055</v>
      </c>
      <c r="C885" s="196"/>
      <c r="D885" s="197"/>
    </row>
    <row r="886" spans="1:4" ht="85.5">
      <c r="A886" s="198">
        <v>160602</v>
      </c>
      <c r="B886" s="198" t="s">
        <v>641</v>
      </c>
      <c r="C886" s="196" t="s">
        <v>33</v>
      </c>
      <c r="D886" s="199">
        <v>1951.11</v>
      </c>
    </row>
    <row r="887" spans="1:4" ht="71.25">
      <c r="A887" s="198">
        <v>160603</v>
      </c>
      <c r="B887" s="198" t="s">
        <v>642</v>
      </c>
      <c r="C887" s="196" t="s">
        <v>33</v>
      </c>
      <c r="D887" s="197">
        <v>801.05</v>
      </c>
    </row>
    <row r="888" spans="1:4" ht="71.25">
      <c r="A888" s="198">
        <v>160604</v>
      </c>
      <c r="B888" s="198" t="s">
        <v>643</v>
      </c>
      <c r="C888" s="196" t="s">
        <v>33</v>
      </c>
      <c r="D888" s="197">
        <v>219.52</v>
      </c>
    </row>
    <row r="889" spans="1:4" ht="85.5">
      <c r="A889" s="198">
        <v>160605</v>
      </c>
      <c r="B889" s="198" t="s">
        <v>644</v>
      </c>
      <c r="C889" s="196" t="s">
        <v>33</v>
      </c>
      <c r="D889" s="197">
        <v>218</v>
      </c>
    </row>
    <row r="890" spans="1:4" ht="71.25">
      <c r="A890" s="198">
        <v>160606</v>
      </c>
      <c r="B890" s="198" t="s">
        <v>645</v>
      </c>
      <c r="C890" s="196" t="s">
        <v>33</v>
      </c>
      <c r="D890" s="197">
        <v>712.69</v>
      </c>
    </row>
    <row r="891" spans="1:4" ht="85.5">
      <c r="A891" s="198">
        <v>160607</v>
      </c>
      <c r="B891" s="198" t="s">
        <v>646</v>
      </c>
      <c r="C891" s="196" t="s">
        <v>33</v>
      </c>
      <c r="D891" s="197">
        <v>199.86</v>
      </c>
    </row>
    <row r="892" spans="1:4" ht="99.75">
      <c r="A892" s="198">
        <v>160608</v>
      </c>
      <c r="B892" s="198" t="s">
        <v>647</v>
      </c>
      <c r="C892" s="196" t="s">
        <v>33</v>
      </c>
      <c r="D892" s="197">
        <v>337.51</v>
      </c>
    </row>
    <row r="893" spans="1:4" ht="71.25">
      <c r="A893" s="198">
        <v>160612</v>
      </c>
      <c r="B893" s="198" t="s">
        <v>648</v>
      </c>
      <c r="C893" s="196" t="s">
        <v>33</v>
      </c>
      <c r="D893" s="197">
        <v>27.27</v>
      </c>
    </row>
    <row r="894" spans="1:4" ht="57">
      <c r="A894" s="198">
        <v>160613</v>
      </c>
      <c r="B894" s="198" t="s">
        <v>649</v>
      </c>
      <c r="C894" s="196" t="s">
        <v>33</v>
      </c>
      <c r="D894" s="197">
        <v>242.05</v>
      </c>
    </row>
    <row r="895" spans="1:4" ht="99.75">
      <c r="A895" s="198">
        <v>160625</v>
      </c>
      <c r="B895" s="198" t="s">
        <v>650</v>
      </c>
      <c r="C895" s="196" t="s">
        <v>33</v>
      </c>
      <c r="D895" s="197">
        <v>825.22</v>
      </c>
    </row>
    <row r="896" spans="1:4" ht="114">
      <c r="A896" s="198">
        <v>160626</v>
      </c>
      <c r="B896" s="198" t="s">
        <v>13994</v>
      </c>
      <c r="C896" s="196" t="s">
        <v>33</v>
      </c>
      <c r="D896" s="199">
        <v>1525.22</v>
      </c>
    </row>
    <row r="897" spans="1:4" ht="114">
      <c r="A897" s="198">
        <v>160627</v>
      </c>
      <c r="B897" s="198" t="s">
        <v>13995</v>
      </c>
      <c r="C897" s="196" t="s">
        <v>33</v>
      </c>
      <c r="D897" s="199">
        <v>1530.44</v>
      </c>
    </row>
    <row r="898" spans="1:4" ht="114">
      <c r="A898" s="198">
        <v>160628</v>
      </c>
      <c r="B898" s="198" t="s">
        <v>13996</v>
      </c>
      <c r="C898" s="196" t="s">
        <v>33</v>
      </c>
      <c r="D898" s="199">
        <v>1799.55</v>
      </c>
    </row>
    <row r="899" spans="1:4" ht="42.75">
      <c r="A899" s="198">
        <v>160629</v>
      </c>
      <c r="B899" s="198" t="s">
        <v>13997</v>
      </c>
      <c r="C899" s="196" t="s">
        <v>51</v>
      </c>
      <c r="D899" s="197">
        <v>114.78</v>
      </c>
    </row>
    <row r="900" spans="1:4" ht="42.75">
      <c r="A900" s="198">
        <v>160630</v>
      </c>
      <c r="B900" s="198" t="s">
        <v>13998</v>
      </c>
      <c r="C900" s="196" t="s">
        <v>51</v>
      </c>
      <c r="D900" s="197">
        <v>132.58000000000001</v>
      </c>
    </row>
    <row r="901" spans="1:4" ht="42.75">
      <c r="A901" s="198">
        <v>160631</v>
      </c>
      <c r="B901" s="198" t="s">
        <v>13999</v>
      </c>
      <c r="C901" s="196" t="s">
        <v>51</v>
      </c>
      <c r="D901" s="197">
        <v>159.68</v>
      </c>
    </row>
    <row r="902" spans="1:4" ht="42.75">
      <c r="A902" s="198">
        <v>160632</v>
      </c>
      <c r="B902" s="198" t="s">
        <v>14000</v>
      </c>
      <c r="C902" s="196" t="s">
        <v>51</v>
      </c>
      <c r="D902" s="197">
        <v>253.51</v>
      </c>
    </row>
    <row r="903" spans="1:4" ht="28.5">
      <c r="A903" s="198">
        <v>160633</v>
      </c>
      <c r="B903" s="198" t="s">
        <v>14001</v>
      </c>
      <c r="C903" s="196" t="s">
        <v>33</v>
      </c>
      <c r="D903" s="197">
        <v>223.7</v>
      </c>
    </row>
    <row r="904" spans="1:4" ht="28.5">
      <c r="A904" s="198">
        <v>160634</v>
      </c>
      <c r="B904" s="198" t="s">
        <v>14002</v>
      </c>
      <c r="C904" s="196" t="s">
        <v>33</v>
      </c>
      <c r="D904" s="197">
        <v>423.28</v>
      </c>
    </row>
    <row r="905" spans="1:4" ht="28.5">
      <c r="A905" s="198">
        <v>160635</v>
      </c>
      <c r="B905" s="198" t="s">
        <v>14003</v>
      </c>
      <c r="C905" s="196" t="s">
        <v>33</v>
      </c>
      <c r="D905" s="197">
        <v>603.92999999999995</v>
      </c>
    </row>
    <row r="906" spans="1:4" ht="28.5">
      <c r="A906" s="198">
        <v>160636</v>
      </c>
      <c r="B906" s="198" t="s">
        <v>14004</v>
      </c>
      <c r="C906" s="196" t="s">
        <v>33</v>
      </c>
      <c r="D906" s="197">
        <v>928.8</v>
      </c>
    </row>
    <row r="907" spans="1:4" ht="28.5">
      <c r="A907" s="198">
        <v>160637</v>
      </c>
      <c r="B907" s="198" t="s">
        <v>14005</v>
      </c>
      <c r="C907" s="196" t="s">
        <v>33</v>
      </c>
      <c r="D907" s="197">
        <v>86.54</v>
      </c>
    </row>
    <row r="908" spans="1:4" ht="28.5">
      <c r="A908" s="198">
        <v>160638</v>
      </c>
      <c r="B908" s="198" t="s">
        <v>14006</v>
      </c>
      <c r="C908" s="196" t="s">
        <v>33</v>
      </c>
      <c r="D908" s="197">
        <v>125.9</v>
      </c>
    </row>
    <row r="909" spans="1:4" ht="28.5">
      <c r="A909" s="198">
        <v>160639</v>
      </c>
      <c r="B909" s="198" t="s">
        <v>14007</v>
      </c>
      <c r="C909" s="196" t="s">
        <v>33</v>
      </c>
      <c r="D909" s="197">
        <v>196.86</v>
      </c>
    </row>
    <row r="910" spans="1:4" ht="28.5">
      <c r="A910" s="198">
        <v>160640</v>
      </c>
      <c r="B910" s="198" t="s">
        <v>14008</v>
      </c>
      <c r="C910" s="196" t="s">
        <v>33</v>
      </c>
      <c r="D910" s="197">
        <v>347.44</v>
      </c>
    </row>
    <row r="911" spans="1:4" ht="28.5">
      <c r="A911" s="198">
        <v>160641</v>
      </c>
      <c r="B911" s="198" t="s">
        <v>14009</v>
      </c>
      <c r="C911" s="196" t="s">
        <v>33</v>
      </c>
      <c r="D911" s="197">
        <v>68.31</v>
      </c>
    </row>
    <row r="912" spans="1:4" ht="28.5">
      <c r="A912" s="198">
        <v>160642</v>
      </c>
      <c r="B912" s="198" t="s">
        <v>14010</v>
      </c>
      <c r="C912" s="196" t="s">
        <v>33</v>
      </c>
      <c r="D912" s="197">
        <v>99.84</v>
      </c>
    </row>
    <row r="913" spans="1:4" ht="28.5">
      <c r="A913" s="198">
        <v>160643</v>
      </c>
      <c r="B913" s="198" t="s">
        <v>14011</v>
      </c>
      <c r="C913" s="196" t="s">
        <v>33</v>
      </c>
      <c r="D913" s="197">
        <v>159.77000000000001</v>
      </c>
    </row>
    <row r="914" spans="1:4" ht="28.5">
      <c r="A914" s="198">
        <v>160644</v>
      </c>
      <c r="B914" s="198" t="s">
        <v>14012</v>
      </c>
      <c r="C914" s="196" t="s">
        <v>33</v>
      </c>
      <c r="D914" s="197">
        <v>269.82</v>
      </c>
    </row>
    <row r="915" spans="1:4" ht="28.5">
      <c r="A915" s="198">
        <v>160645</v>
      </c>
      <c r="B915" s="198" t="s">
        <v>14013</v>
      </c>
      <c r="C915" s="196" t="s">
        <v>33</v>
      </c>
      <c r="D915" s="197">
        <v>69.180000000000007</v>
      </c>
    </row>
    <row r="916" spans="1:4" ht="28.5">
      <c r="A916" s="198">
        <v>160646</v>
      </c>
      <c r="B916" s="198" t="s">
        <v>14014</v>
      </c>
      <c r="C916" s="196" t="s">
        <v>33</v>
      </c>
      <c r="D916" s="197">
        <v>106.11</v>
      </c>
    </row>
    <row r="917" spans="1:4" ht="28.5">
      <c r="A917" s="198">
        <v>160647</v>
      </c>
      <c r="B917" s="198" t="s">
        <v>14015</v>
      </c>
      <c r="C917" s="196" t="s">
        <v>33</v>
      </c>
      <c r="D917" s="197">
        <v>168.55</v>
      </c>
    </row>
    <row r="918" spans="1:4" ht="28.5">
      <c r="A918" s="198">
        <v>160648</v>
      </c>
      <c r="B918" s="198" t="s">
        <v>14016</v>
      </c>
      <c r="C918" s="196" t="s">
        <v>33</v>
      </c>
      <c r="D918" s="197">
        <v>277.69</v>
      </c>
    </row>
    <row r="919" spans="1:4" ht="28.5">
      <c r="A919" s="198">
        <v>160649</v>
      </c>
      <c r="B919" s="198" t="s">
        <v>14017</v>
      </c>
      <c r="C919" s="196" t="s">
        <v>33</v>
      </c>
      <c r="D919" s="197">
        <v>418.84</v>
      </c>
    </row>
    <row r="920" spans="1:4" ht="28.5">
      <c r="A920" s="198">
        <v>160650</v>
      </c>
      <c r="B920" s="198" t="s">
        <v>14018</v>
      </c>
      <c r="C920" s="196" t="s">
        <v>33</v>
      </c>
      <c r="D920" s="197">
        <v>712.4</v>
      </c>
    </row>
    <row r="921" spans="1:4" ht="28.5">
      <c r="A921" s="198">
        <v>160651</v>
      </c>
      <c r="B921" s="198" t="s">
        <v>14019</v>
      </c>
      <c r="C921" s="196" t="s">
        <v>33</v>
      </c>
      <c r="D921" s="197">
        <v>967.88</v>
      </c>
    </row>
    <row r="922" spans="1:4" ht="28.5">
      <c r="A922" s="198">
        <v>160652</v>
      </c>
      <c r="B922" s="198" t="s">
        <v>14020</v>
      </c>
      <c r="C922" s="196" t="s">
        <v>33</v>
      </c>
      <c r="D922" s="199">
        <v>1393.44</v>
      </c>
    </row>
    <row r="923" spans="1:4" ht="28.5">
      <c r="A923" s="198">
        <v>160653</v>
      </c>
      <c r="B923" s="198" t="s">
        <v>14021</v>
      </c>
      <c r="C923" s="196" t="s">
        <v>33</v>
      </c>
      <c r="D923" s="197">
        <v>267.3</v>
      </c>
    </row>
    <row r="924" spans="1:4" ht="28.5">
      <c r="A924" s="198">
        <v>160654</v>
      </c>
      <c r="B924" s="198" t="s">
        <v>14022</v>
      </c>
      <c r="C924" s="196" t="s">
        <v>33</v>
      </c>
      <c r="D924" s="197">
        <v>454.87</v>
      </c>
    </row>
    <row r="925" spans="1:4" ht="28.5">
      <c r="A925" s="198">
        <v>160655</v>
      </c>
      <c r="B925" s="198" t="s">
        <v>14023</v>
      </c>
      <c r="C925" s="196" t="s">
        <v>33</v>
      </c>
      <c r="D925" s="197">
        <v>593.83000000000004</v>
      </c>
    </row>
    <row r="926" spans="1:4" ht="28.5">
      <c r="A926" s="198">
        <v>160656</v>
      </c>
      <c r="B926" s="198" t="s">
        <v>14024</v>
      </c>
      <c r="C926" s="196" t="s">
        <v>33</v>
      </c>
      <c r="D926" s="197">
        <v>979.59</v>
      </c>
    </row>
    <row r="927" spans="1:4" ht="71.25">
      <c r="A927" s="198">
        <v>160657</v>
      </c>
      <c r="B927" s="198" t="s">
        <v>14025</v>
      </c>
      <c r="C927" s="196" t="s">
        <v>33</v>
      </c>
      <c r="D927" s="197">
        <v>161.94</v>
      </c>
    </row>
    <row r="928" spans="1:4" ht="71.25">
      <c r="A928" s="198">
        <v>160658</v>
      </c>
      <c r="B928" s="198" t="s">
        <v>14026</v>
      </c>
      <c r="C928" s="196" t="s">
        <v>33</v>
      </c>
      <c r="D928" s="197">
        <v>179.02</v>
      </c>
    </row>
    <row r="929" spans="1:4" ht="71.25">
      <c r="A929" s="198">
        <v>160659</v>
      </c>
      <c r="B929" s="198" t="s">
        <v>14027</v>
      </c>
      <c r="C929" s="196" t="s">
        <v>33</v>
      </c>
      <c r="D929" s="197">
        <v>183.82</v>
      </c>
    </row>
    <row r="930" spans="1:4" ht="57">
      <c r="A930" s="198">
        <v>160660</v>
      </c>
      <c r="B930" s="198" t="s">
        <v>14028</v>
      </c>
      <c r="C930" s="196" t="s">
        <v>33</v>
      </c>
      <c r="D930" s="197">
        <v>135.05000000000001</v>
      </c>
    </row>
    <row r="931" spans="1:4" ht="57">
      <c r="A931" s="198">
        <v>160661</v>
      </c>
      <c r="B931" s="198" t="s">
        <v>14029</v>
      </c>
      <c r="C931" s="196" t="s">
        <v>33</v>
      </c>
      <c r="D931" s="197">
        <v>139.83000000000001</v>
      </c>
    </row>
    <row r="932" spans="1:4" ht="28.5">
      <c r="A932" s="198">
        <v>160662</v>
      </c>
      <c r="B932" s="198" t="s">
        <v>14030</v>
      </c>
      <c r="C932" s="196" t="s">
        <v>33</v>
      </c>
      <c r="D932" s="197">
        <v>809.85</v>
      </c>
    </row>
    <row r="933" spans="1:4" ht="57">
      <c r="A933" s="198">
        <v>160663</v>
      </c>
      <c r="B933" s="198" t="s">
        <v>651</v>
      </c>
      <c r="C933" s="196" t="s">
        <v>33</v>
      </c>
      <c r="D933" s="197">
        <v>542.39</v>
      </c>
    </row>
    <row r="934" spans="1:4" ht="114">
      <c r="A934" s="198">
        <v>160665</v>
      </c>
      <c r="B934" s="198" t="s">
        <v>2056</v>
      </c>
      <c r="C934" s="196" t="s">
        <v>33</v>
      </c>
      <c r="D934" s="199">
        <v>2541.71</v>
      </c>
    </row>
    <row r="935" spans="1:4" ht="85.5">
      <c r="A935" s="198">
        <v>160671</v>
      </c>
      <c r="B935" s="198" t="s">
        <v>652</v>
      </c>
      <c r="C935" s="196" t="s">
        <v>33</v>
      </c>
      <c r="D935" s="199">
        <v>2487.86</v>
      </c>
    </row>
    <row r="936" spans="1:4" ht="85.5">
      <c r="A936" s="198">
        <v>160673</v>
      </c>
      <c r="B936" s="198" t="s">
        <v>2057</v>
      </c>
      <c r="C936" s="196" t="s">
        <v>33</v>
      </c>
      <c r="D936" s="199">
        <v>2122.5500000000002</v>
      </c>
    </row>
    <row r="937" spans="1:4" ht="57">
      <c r="A937" s="198">
        <v>160674</v>
      </c>
      <c r="B937" s="198" t="s">
        <v>653</v>
      </c>
      <c r="C937" s="196" t="s">
        <v>33</v>
      </c>
      <c r="D937" s="197">
        <v>119.63</v>
      </c>
    </row>
    <row r="938" spans="1:4" ht="57">
      <c r="A938" s="198">
        <v>160675</v>
      </c>
      <c r="B938" s="198" t="s">
        <v>654</v>
      </c>
      <c r="C938" s="196" t="s">
        <v>33</v>
      </c>
      <c r="D938" s="197">
        <v>155.47</v>
      </c>
    </row>
    <row r="939" spans="1:4" ht="28.5">
      <c r="A939" s="198">
        <v>160676</v>
      </c>
      <c r="B939" s="198" t="s">
        <v>655</v>
      </c>
      <c r="C939" s="196" t="s">
        <v>33</v>
      </c>
      <c r="D939" s="197">
        <v>114.6</v>
      </c>
    </row>
    <row r="940" spans="1:4" ht="15">
      <c r="A940" s="195">
        <v>1607</v>
      </c>
      <c r="B940" s="195" t="s">
        <v>2058</v>
      </c>
      <c r="C940" s="196"/>
      <c r="D940" s="197"/>
    </row>
    <row r="941" spans="1:4" ht="57">
      <c r="A941" s="198">
        <v>160702</v>
      </c>
      <c r="B941" s="198" t="s">
        <v>656</v>
      </c>
      <c r="C941" s="196" t="s">
        <v>35</v>
      </c>
      <c r="D941" s="197">
        <v>7.08</v>
      </c>
    </row>
    <row r="942" spans="1:4" ht="57">
      <c r="A942" s="198">
        <v>160704</v>
      </c>
      <c r="B942" s="198" t="s">
        <v>657</v>
      </c>
      <c r="C942" s="196" t="s">
        <v>44</v>
      </c>
      <c r="D942" s="199">
        <v>2557.19</v>
      </c>
    </row>
    <row r="943" spans="1:4" ht="57">
      <c r="A943" s="198">
        <v>160707</v>
      </c>
      <c r="B943" s="198" t="s">
        <v>658</v>
      </c>
      <c r="C943" s="196" t="s">
        <v>35</v>
      </c>
      <c r="D943" s="197">
        <v>27.12</v>
      </c>
    </row>
    <row r="944" spans="1:4" ht="57">
      <c r="A944" s="198">
        <v>160708</v>
      </c>
      <c r="B944" s="198" t="s">
        <v>659</v>
      </c>
      <c r="C944" s="196" t="s">
        <v>35</v>
      </c>
      <c r="D944" s="197">
        <v>27.17</v>
      </c>
    </row>
    <row r="945" spans="1:4" ht="42.75">
      <c r="A945" s="198">
        <v>160709</v>
      </c>
      <c r="B945" s="198" t="s">
        <v>660</v>
      </c>
      <c r="C945" s="196" t="s">
        <v>35</v>
      </c>
      <c r="D945" s="199">
        <v>1614.56</v>
      </c>
    </row>
    <row r="946" spans="1:4" ht="99.75">
      <c r="A946" s="198">
        <v>160710</v>
      </c>
      <c r="B946" s="198" t="s">
        <v>661</v>
      </c>
      <c r="C946" s="196" t="s">
        <v>35</v>
      </c>
      <c r="D946" s="197">
        <v>68.97</v>
      </c>
    </row>
    <row r="947" spans="1:4" ht="57">
      <c r="A947" s="198">
        <v>160711</v>
      </c>
      <c r="B947" s="198" t="s">
        <v>662</v>
      </c>
      <c r="C947" s="196" t="s">
        <v>35</v>
      </c>
      <c r="D947" s="197">
        <v>57.86</v>
      </c>
    </row>
    <row r="948" spans="1:4" ht="57">
      <c r="A948" s="198">
        <v>160712</v>
      </c>
      <c r="B948" s="198" t="s">
        <v>663</v>
      </c>
      <c r="C948" s="196" t="s">
        <v>35</v>
      </c>
      <c r="D948" s="197">
        <v>214.47</v>
      </c>
    </row>
    <row r="949" spans="1:4" ht="71.25">
      <c r="A949" s="198">
        <v>160713</v>
      </c>
      <c r="B949" s="198" t="s">
        <v>664</v>
      </c>
      <c r="C949" s="196" t="s">
        <v>35</v>
      </c>
      <c r="D949" s="197">
        <v>466.94</v>
      </c>
    </row>
    <row r="950" spans="1:4" ht="42.75">
      <c r="A950" s="198">
        <v>160714</v>
      </c>
      <c r="B950" s="198" t="s">
        <v>665</v>
      </c>
      <c r="C950" s="196" t="s">
        <v>35</v>
      </c>
      <c r="D950" s="197">
        <v>81.3</v>
      </c>
    </row>
    <row r="951" spans="1:4" ht="99.75">
      <c r="A951" s="198">
        <v>160715</v>
      </c>
      <c r="B951" s="198" t="s">
        <v>666</v>
      </c>
      <c r="C951" s="196" t="s">
        <v>35</v>
      </c>
      <c r="D951" s="197">
        <v>266.89999999999998</v>
      </c>
    </row>
    <row r="952" spans="1:4" ht="42.75">
      <c r="A952" s="198">
        <v>160716</v>
      </c>
      <c r="B952" s="198" t="s">
        <v>667</v>
      </c>
      <c r="C952" s="196" t="s">
        <v>44</v>
      </c>
      <c r="D952" s="197">
        <v>679.71</v>
      </c>
    </row>
    <row r="953" spans="1:4" ht="57">
      <c r="A953" s="198">
        <v>160718</v>
      </c>
      <c r="B953" s="198" t="s">
        <v>668</v>
      </c>
      <c r="C953" s="196" t="s">
        <v>35</v>
      </c>
      <c r="D953" s="197">
        <v>25.52</v>
      </c>
    </row>
    <row r="954" spans="1:4" ht="15">
      <c r="A954" s="195">
        <v>1608</v>
      </c>
      <c r="B954" s="195" t="s">
        <v>12642</v>
      </c>
      <c r="C954" s="196"/>
      <c r="D954" s="197"/>
    </row>
    <row r="955" spans="1:4" ht="28.5">
      <c r="A955" s="198">
        <v>160806</v>
      </c>
      <c r="B955" s="198" t="s">
        <v>2059</v>
      </c>
      <c r="C955" s="196" t="s">
        <v>33</v>
      </c>
      <c r="D955" s="197">
        <v>21.16</v>
      </c>
    </row>
    <row r="956" spans="1:4" ht="14.25">
      <c r="A956" s="198">
        <v>160807</v>
      </c>
      <c r="B956" s="198" t="s">
        <v>669</v>
      </c>
      <c r="C956" s="196" t="s">
        <v>33</v>
      </c>
      <c r="D956" s="197">
        <v>11.34</v>
      </c>
    </row>
    <row r="957" spans="1:4" ht="42.75">
      <c r="A957" s="198">
        <v>160808</v>
      </c>
      <c r="B957" s="198" t="s">
        <v>2060</v>
      </c>
      <c r="C957" s="196" t="s">
        <v>51</v>
      </c>
      <c r="D957" s="197">
        <v>3.98</v>
      </c>
    </row>
    <row r="958" spans="1:4" ht="42.75">
      <c r="A958" s="198">
        <v>160809</v>
      </c>
      <c r="B958" s="198" t="s">
        <v>14031</v>
      </c>
      <c r="C958" s="196" t="s">
        <v>33</v>
      </c>
      <c r="D958" s="197">
        <v>518.83000000000004</v>
      </c>
    </row>
    <row r="959" spans="1:4" ht="42.75">
      <c r="A959" s="198">
        <v>160810</v>
      </c>
      <c r="B959" s="198" t="s">
        <v>14032</v>
      </c>
      <c r="C959" s="196" t="s">
        <v>33</v>
      </c>
      <c r="D959" s="197">
        <v>576.74</v>
      </c>
    </row>
    <row r="960" spans="1:4" ht="42.75">
      <c r="A960" s="198">
        <v>160811</v>
      </c>
      <c r="B960" s="198" t="s">
        <v>14033</v>
      </c>
      <c r="C960" s="196" t="s">
        <v>33</v>
      </c>
      <c r="D960" s="197">
        <v>744.18</v>
      </c>
    </row>
    <row r="961" spans="1:4" ht="42.75">
      <c r="A961" s="198">
        <v>160812</v>
      </c>
      <c r="B961" s="198" t="s">
        <v>14034</v>
      </c>
      <c r="C961" s="196" t="s">
        <v>33</v>
      </c>
      <c r="D961" s="197">
        <v>818.64</v>
      </c>
    </row>
    <row r="962" spans="1:4" ht="42.75">
      <c r="A962" s="198">
        <v>160813</v>
      </c>
      <c r="B962" s="198" t="s">
        <v>14035</v>
      </c>
      <c r="C962" s="196" t="s">
        <v>33</v>
      </c>
      <c r="D962" s="199">
        <v>1773.83</v>
      </c>
    </row>
    <row r="963" spans="1:4" ht="42.75">
      <c r="A963" s="198">
        <v>160814</v>
      </c>
      <c r="B963" s="198" t="s">
        <v>14036</v>
      </c>
      <c r="C963" s="196" t="s">
        <v>33</v>
      </c>
      <c r="D963" s="199">
        <v>2061.69</v>
      </c>
    </row>
    <row r="964" spans="1:4" ht="42.75">
      <c r="A964" s="198">
        <v>160815</v>
      </c>
      <c r="B964" s="198" t="s">
        <v>14037</v>
      </c>
      <c r="C964" s="196" t="s">
        <v>33</v>
      </c>
      <c r="D964" s="199">
        <v>2227.9499999999998</v>
      </c>
    </row>
    <row r="965" spans="1:4" ht="42.75">
      <c r="A965" s="198">
        <v>160816</v>
      </c>
      <c r="B965" s="198" t="s">
        <v>14038</v>
      </c>
      <c r="C965" s="196" t="s">
        <v>33</v>
      </c>
      <c r="D965" s="199">
        <v>2502.6</v>
      </c>
    </row>
    <row r="966" spans="1:4" ht="57">
      <c r="A966" s="198">
        <v>160822</v>
      </c>
      <c r="B966" s="198" t="s">
        <v>14039</v>
      </c>
      <c r="C966" s="196" t="s">
        <v>33</v>
      </c>
      <c r="D966" s="197">
        <v>96.85</v>
      </c>
    </row>
    <row r="967" spans="1:4" ht="57">
      <c r="A967" s="198">
        <v>160823</v>
      </c>
      <c r="B967" s="198" t="s">
        <v>14040</v>
      </c>
      <c r="C967" s="196" t="s">
        <v>33</v>
      </c>
      <c r="D967" s="197">
        <v>106.35</v>
      </c>
    </row>
    <row r="968" spans="1:4" ht="42.75">
      <c r="A968" s="198">
        <v>160825</v>
      </c>
      <c r="B968" s="198" t="s">
        <v>14041</v>
      </c>
      <c r="C968" s="196" t="s">
        <v>33</v>
      </c>
      <c r="D968" s="197">
        <v>30.98</v>
      </c>
    </row>
    <row r="969" spans="1:4" ht="42.75">
      <c r="A969" s="198">
        <v>160826</v>
      </c>
      <c r="B969" s="198" t="s">
        <v>14042</v>
      </c>
      <c r="C969" s="196" t="s">
        <v>33</v>
      </c>
      <c r="D969" s="197">
        <v>44.78</v>
      </c>
    </row>
    <row r="970" spans="1:4" ht="42.75">
      <c r="A970" s="198">
        <v>160827</v>
      </c>
      <c r="B970" s="198" t="s">
        <v>14043</v>
      </c>
      <c r="C970" s="196" t="s">
        <v>33</v>
      </c>
      <c r="D970" s="197">
        <v>209.16</v>
      </c>
    </row>
    <row r="971" spans="1:4" ht="42.75">
      <c r="A971" s="198">
        <v>160828</v>
      </c>
      <c r="B971" s="198" t="s">
        <v>14044</v>
      </c>
      <c r="C971" s="196" t="s">
        <v>33</v>
      </c>
      <c r="D971" s="197">
        <v>250.64</v>
      </c>
    </row>
    <row r="972" spans="1:4" ht="28.5">
      <c r="A972" s="198">
        <v>160829</v>
      </c>
      <c r="B972" s="198" t="s">
        <v>14045</v>
      </c>
      <c r="C972" s="196" t="s">
        <v>33</v>
      </c>
      <c r="D972" s="197">
        <v>15.42</v>
      </c>
    </row>
    <row r="973" spans="1:4" ht="28.5">
      <c r="A973" s="198">
        <v>160830</v>
      </c>
      <c r="B973" s="198" t="s">
        <v>18903</v>
      </c>
      <c r="C973" s="196" t="s">
        <v>33</v>
      </c>
      <c r="D973" s="197">
        <v>23.14</v>
      </c>
    </row>
    <row r="974" spans="1:4" ht="42.75">
      <c r="A974" s="198">
        <v>160831</v>
      </c>
      <c r="B974" s="198" t="s">
        <v>14046</v>
      </c>
      <c r="C974" s="196" t="s">
        <v>33</v>
      </c>
      <c r="D974" s="197">
        <v>60.96</v>
      </c>
    </row>
    <row r="975" spans="1:4" ht="42.75">
      <c r="A975" s="198">
        <v>160832</v>
      </c>
      <c r="B975" s="198" t="s">
        <v>18904</v>
      </c>
      <c r="C975" s="196" t="s">
        <v>33</v>
      </c>
      <c r="D975" s="197">
        <v>75.510000000000005</v>
      </c>
    </row>
    <row r="976" spans="1:4" ht="42.75">
      <c r="A976" s="198">
        <v>160833</v>
      </c>
      <c r="B976" s="198" t="s">
        <v>14047</v>
      </c>
      <c r="C976" s="196" t="s">
        <v>33</v>
      </c>
      <c r="D976" s="197">
        <v>111.83</v>
      </c>
    </row>
    <row r="977" spans="1:4" ht="42.75">
      <c r="A977" s="198">
        <v>160834</v>
      </c>
      <c r="B977" s="198" t="s">
        <v>14048</v>
      </c>
      <c r="C977" s="196" t="s">
        <v>33</v>
      </c>
      <c r="D977" s="197">
        <v>201.28</v>
      </c>
    </row>
    <row r="978" spans="1:4" ht="42.75">
      <c r="A978" s="198">
        <v>160835</v>
      </c>
      <c r="B978" s="198" t="s">
        <v>14049</v>
      </c>
      <c r="C978" s="196" t="s">
        <v>33</v>
      </c>
      <c r="D978" s="197">
        <v>287.07</v>
      </c>
    </row>
    <row r="979" spans="1:4" ht="42.75">
      <c r="A979" s="198">
        <v>160836</v>
      </c>
      <c r="B979" s="198" t="s">
        <v>14050</v>
      </c>
      <c r="C979" s="196" t="s">
        <v>33</v>
      </c>
      <c r="D979" s="197">
        <v>476.75</v>
      </c>
    </row>
    <row r="980" spans="1:4" ht="42.75">
      <c r="A980" s="198">
        <v>160837</v>
      </c>
      <c r="B980" s="198" t="s">
        <v>14051</v>
      </c>
      <c r="C980" s="196" t="s">
        <v>33</v>
      </c>
      <c r="D980" s="197">
        <v>310.20999999999998</v>
      </c>
    </row>
    <row r="981" spans="1:4" ht="28.5">
      <c r="A981" s="198">
        <v>160838</v>
      </c>
      <c r="B981" s="198" t="s">
        <v>14052</v>
      </c>
      <c r="C981" s="196" t="s">
        <v>33</v>
      </c>
      <c r="D981" s="197">
        <v>90.12</v>
      </c>
    </row>
    <row r="982" spans="1:4" ht="14.25">
      <c r="A982" s="198">
        <v>160839</v>
      </c>
      <c r="B982" s="198" t="s">
        <v>14053</v>
      </c>
      <c r="C982" s="196" t="s">
        <v>51</v>
      </c>
      <c r="D982" s="197">
        <v>5.32</v>
      </c>
    </row>
    <row r="983" spans="1:4" ht="42.75">
      <c r="A983" s="198">
        <v>160840</v>
      </c>
      <c r="B983" s="198" t="s">
        <v>14054</v>
      </c>
      <c r="C983" s="196" t="s">
        <v>33</v>
      </c>
      <c r="D983" s="197">
        <v>345.81</v>
      </c>
    </row>
    <row r="984" spans="1:4" ht="42.75">
      <c r="A984" s="198">
        <v>160841</v>
      </c>
      <c r="B984" s="198" t="s">
        <v>14055</v>
      </c>
      <c r="C984" s="196" t="s">
        <v>33</v>
      </c>
      <c r="D984" s="197">
        <v>345.81</v>
      </c>
    </row>
    <row r="985" spans="1:4" ht="42.75">
      <c r="A985" s="198">
        <v>160842</v>
      </c>
      <c r="B985" s="198" t="s">
        <v>14056</v>
      </c>
      <c r="C985" s="196" t="s">
        <v>33</v>
      </c>
      <c r="D985" s="197">
        <v>619.39</v>
      </c>
    </row>
    <row r="986" spans="1:4" ht="42.75">
      <c r="A986" s="198">
        <v>160844</v>
      </c>
      <c r="B986" s="198" t="s">
        <v>14057</v>
      </c>
      <c r="C986" s="196" t="s">
        <v>33</v>
      </c>
      <c r="D986" s="197">
        <v>645.54999999999995</v>
      </c>
    </row>
    <row r="987" spans="1:4" ht="28.5">
      <c r="A987" s="198">
        <v>160845</v>
      </c>
      <c r="B987" s="198" t="s">
        <v>14058</v>
      </c>
      <c r="C987" s="196" t="s">
        <v>33</v>
      </c>
      <c r="D987" s="197">
        <v>25.12</v>
      </c>
    </row>
    <row r="988" spans="1:4" ht="28.5">
      <c r="A988" s="198">
        <v>160846</v>
      </c>
      <c r="B988" s="198" t="s">
        <v>14059</v>
      </c>
      <c r="C988" s="196" t="s">
        <v>33</v>
      </c>
      <c r="D988" s="197">
        <v>44.71</v>
      </c>
    </row>
    <row r="989" spans="1:4" ht="28.5">
      <c r="A989" s="198">
        <v>160847</v>
      </c>
      <c r="B989" s="198" t="s">
        <v>14060</v>
      </c>
      <c r="C989" s="196" t="s">
        <v>33</v>
      </c>
      <c r="D989" s="197">
        <v>38.32</v>
      </c>
    </row>
    <row r="990" spans="1:4" ht="28.5">
      <c r="A990" s="198">
        <v>160848</v>
      </c>
      <c r="B990" s="198" t="s">
        <v>14061</v>
      </c>
      <c r="C990" s="196" t="s">
        <v>33</v>
      </c>
      <c r="D990" s="197">
        <v>48.71</v>
      </c>
    </row>
    <row r="991" spans="1:4" ht="42.75">
      <c r="A991" s="198">
        <v>160851</v>
      </c>
      <c r="B991" s="198" t="s">
        <v>14062</v>
      </c>
      <c r="C991" s="196" t="s">
        <v>51</v>
      </c>
      <c r="D991" s="197">
        <v>5.25</v>
      </c>
    </row>
    <row r="992" spans="1:4" ht="42.75">
      <c r="A992" s="198">
        <v>160864</v>
      </c>
      <c r="B992" s="198" t="s">
        <v>14063</v>
      </c>
      <c r="C992" s="196" t="s">
        <v>33</v>
      </c>
      <c r="D992" s="199">
        <v>1015.81</v>
      </c>
    </row>
    <row r="993" spans="1:4" ht="42.75">
      <c r="A993" s="198">
        <v>160865</v>
      </c>
      <c r="B993" s="198" t="s">
        <v>14064</v>
      </c>
      <c r="C993" s="196" t="s">
        <v>33</v>
      </c>
      <c r="D993" s="199">
        <v>3825.36</v>
      </c>
    </row>
    <row r="994" spans="1:4" ht="71.25">
      <c r="A994" s="198">
        <v>160866</v>
      </c>
      <c r="B994" s="198" t="s">
        <v>14065</v>
      </c>
      <c r="C994" s="196" t="s">
        <v>33</v>
      </c>
      <c r="D994" s="199">
        <v>2472.0500000000002</v>
      </c>
    </row>
    <row r="995" spans="1:4" ht="71.25">
      <c r="A995" s="198">
        <v>160867</v>
      </c>
      <c r="B995" s="198" t="s">
        <v>14066</v>
      </c>
      <c r="C995" s="196" t="s">
        <v>33</v>
      </c>
      <c r="D995" s="199">
        <v>4987.93</v>
      </c>
    </row>
    <row r="996" spans="1:4" ht="57">
      <c r="A996" s="198">
        <v>160869</v>
      </c>
      <c r="B996" s="198" t="s">
        <v>14067</v>
      </c>
      <c r="C996" s="196" t="s">
        <v>33</v>
      </c>
      <c r="D996" s="197">
        <v>40.93</v>
      </c>
    </row>
    <row r="997" spans="1:4" ht="57">
      <c r="A997" s="198">
        <v>160870</v>
      </c>
      <c r="B997" s="198" t="s">
        <v>14068</v>
      </c>
      <c r="C997" s="196" t="s">
        <v>33</v>
      </c>
      <c r="D997" s="197">
        <v>27.29</v>
      </c>
    </row>
    <row r="998" spans="1:4" ht="28.5">
      <c r="A998" s="198">
        <v>160871</v>
      </c>
      <c r="B998" s="198" t="s">
        <v>14069</v>
      </c>
      <c r="C998" s="196" t="s">
        <v>33</v>
      </c>
      <c r="D998" s="197">
        <v>29.86</v>
      </c>
    </row>
    <row r="999" spans="1:4" ht="28.5">
      <c r="A999" s="198">
        <v>160872</v>
      </c>
      <c r="B999" s="198" t="s">
        <v>14070</v>
      </c>
      <c r="C999" s="196" t="s">
        <v>33</v>
      </c>
      <c r="D999" s="197">
        <v>22.78</v>
      </c>
    </row>
    <row r="1000" spans="1:4" ht="28.5">
      <c r="A1000" s="198">
        <v>160873</v>
      </c>
      <c r="B1000" s="198" t="s">
        <v>14071</v>
      </c>
      <c r="C1000" s="196" t="s">
        <v>33</v>
      </c>
      <c r="D1000" s="197">
        <v>35.81</v>
      </c>
    </row>
    <row r="1001" spans="1:4" ht="42.75">
      <c r="A1001" s="198">
        <v>160874</v>
      </c>
      <c r="B1001" s="198" t="s">
        <v>18756</v>
      </c>
      <c r="C1001" s="196" t="s">
        <v>33</v>
      </c>
      <c r="D1001" s="197">
        <v>713.48</v>
      </c>
    </row>
    <row r="1002" spans="1:4" ht="30">
      <c r="A1002" s="195">
        <v>1610</v>
      </c>
      <c r="B1002" s="195" t="s">
        <v>14072</v>
      </c>
      <c r="C1002" s="196"/>
      <c r="D1002" s="197"/>
    </row>
    <row r="1003" spans="1:4" ht="28.5">
      <c r="A1003" s="198">
        <v>161001</v>
      </c>
      <c r="B1003" s="198" t="s">
        <v>14073</v>
      </c>
      <c r="C1003" s="196" t="s">
        <v>51</v>
      </c>
      <c r="D1003" s="197">
        <v>24.01</v>
      </c>
    </row>
    <row r="1004" spans="1:4" ht="28.5">
      <c r="A1004" s="198">
        <v>161002</v>
      </c>
      <c r="B1004" s="198" t="s">
        <v>14074</v>
      </c>
      <c r="C1004" s="196" t="s">
        <v>51</v>
      </c>
      <c r="D1004" s="197">
        <v>33.4</v>
      </c>
    </row>
    <row r="1005" spans="1:4" ht="28.5">
      <c r="A1005" s="198">
        <v>161003</v>
      </c>
      <c r="B1005" s="198" t="s">
        <v>14075</v>
      </c>
      <c r="C1005" s="196" t="s">
        <v>51</v>
      </c>
      <c r="D1005" s="197">
        <v>42.86</v>
      </c>
    </row>
    <row r="1006" spans="1:4" ht="28.5">
      <c r="A1006" s="198">
        <v>161004</v>
      </c>
      <c r="B1006" s="198" t="s">
        <v>14076</v>
      </c>
      <c r="C1006" s="196" t="s">
        <v>51</v>
      </c>
      <c r="D1006" s="197">
        <v>51.94</v>
      </c>
    </row>
    <row r="1007" spans="1:4" ht="28.5">
      <c r="A1007" s="198">
        <v>161005</v>
      </c>
      <c r="B1007" s="198" t="s">
        <v>14077</v>
      </c>
      <c r="C1007" s="196" t="s">
        <v>51</v>
      </c>
      <c r="D1007" s="197">
        <v>62.29</v>
      </c>
    </row>
    <row r="1008" spans="1:4" ht="28.5">
      <c r="A1008" s="198">
        <v>161006</v>
      </c>
      <c r="B1008" s="198" t="s">
        <v>14078</v>
      </c>
      <c r="C1008" s="196" t="s">
        <v>51</v>
      </c>
      <c r="D1008" s="197">
        <v>90.33</v>
      </c>
    </row>
    <row r="1009" spans="1:4" ht="28.5">
      <c r="A1009" s="198">
        <v>161007</v>
      </c>
      <c r="B1009" s="198" t="s">
        <v>14079</v>
      </c>
      <c r="C1009" s="196" t="s">
        <v>51</v>
      </c>
      <c r="D1009" s="197">
        <v>93.62</v>
      </c>
    </row>
    <row r="1010" spans="1:4" ht="28.5">
      <c r="A1010" s="198">
        <v>161008</v>
      </c>
      <c r="B1010" s="198" t="s">
        <v>14080</v>
      </c>
      <c r="C1010" s="196" t="s">
        <v>51</v>
      </c>
      <c r="D1010" s="197">
        <v>114.95</v>
      </c>
    </row>
    <row r="1011" spans="1:4" ht="28.5">
      <c r="A1011" s="198">
        <v>161009</v>
      </c>
      <c r="B1011" s="198" t="s">
        <v>14081</v>
      </c>
      <c r="C1011" s="196" t="s">
        <v>51</v>
      </c>
      <c r="D1011" s="197">
        <v>146.69</v>
      </c>
    </row>
    <row r="1012" spans="1:4" ht="42.75">
      <c r="A1012" s="198">
        <v>161010</v>
      </c>
      <c r="B1012" s="198" t="s">
        <v>14082</v>
      </c>
      <c r="C1012" s="196" t="s">
        <v>33</v>
      </c>
      <c r="D1012" s="197">
        <v>18.2</v>
      </c>
    </row>
    <row r="1013" spans="1:4" ht="42.75">
      <c r="A1013" s="198">
        <v>161011</v>
      </c>
      <c r="B1013" s="198" t="s">
        <v>14083</v>
      </c>
      <c r="C1013" s="196" t="s">
        <v>33</v>
      </c>
      <c r="D1013" s="197">
        <v>30.26</v>
      </c>
    </row>
    <row r="1014" spans="1:4" ht="42.75">
      <c r="A1014" s="198">
        <v>161012</v>
      </c>
      <c r="B1014" s="198" t="s">
        <v>14084</v>
      </c>
      <c r="C1014" s="196" t="s">
        <v>33</v>
      </c>
      <c r="D1014" s="197">
        <v>51.85</v>
      </c>
    </row>
    <row r="1015" spans="1:4" ht="14.25">
      <c r="A1015" s="198">
        <v>161013</v>
      </c>
      <c r="B1015" s="198" t="s">
        <v>14085</v>
      </c>
      <c r="C1015" s="196" t="s">
        <v>166</v>
      </c>
      <c r="D1015" s="197">
        <v>61.92</v>
      </c>
    </row>
    <row r="1016" spans="1:4" ht="14.25">
      <c r="A1016" s="198">
        <v>161014</v>
      </c>
      <c r="B1016" s="198" t="s">
        <v>14086</v>
      </c>
      <c r="C1016" s="196" t="s">
        <v>166</v>
      </c>
      <c r="D1016" s="197">
        <v>73.98</v>
      </c>
    </row>
    <row r="1017" spans="1:4" ht="14.25">
      <c r="A1017" s="198">
        <v>161015</v>
      </c>
      <c r="B1017" s="198" t="s">
        <v>14087</v>
      </c>
      <c r="C1017" s="196" t="s">
        <v>166</v>
      </c>
      <c r="D1017" s="197">
        <v>72.599999999999994</v>
      </c>
    </row>
    <row r="1018" spans="1:4" ht="114">
      <c r="A1018" s="198">
        <v>161016</v>
      </c>
      <c r="B1018" s="198" t="s">
        <v>14088</v>
      </c>
      <c r="C1018" s="196" t="s">
        <v>51</v>
      </c>
      <c r="D1018" s="197">
        <v>110.08</v>
      </c>
    </row>
    <row r="1019" spans="1:4" ht="42.75">
      <c r="A1019" s="198">
        <v>161017</v>
      </c>
      <c r="B1019" s="198" t="s">
        <v>14089</v>
      </c>
      <c r="C1019" s="196" t="s">
        <v>35</v>
      </c>
      <c r="D1019" s="197">
        <v>258.44</v>
      </c>
    </row>
    <row r="1020" spans="1:4" ht="42.75">
      <c r="A1020" s="198">
        <v>161018</v>
      </c>
      <c r="B1020" s="198" t="s">
        <v>14090</v>
      </c>
      <c r="C1020" s="196" t="s">
        <v>35</v>
      </c>
      <c r="D1020" s="197">
        <v>216.77</v>
      </c>
    </row>
    <row r="1021" spans="1:4" ht="42.75">
      <c r="A1021" s="198">
        <v>161019</v>
      </c>
      <c r="B1021" s="198" t="s">
        <v>14091</v>
      </c>
      <c r="C1021" s="196" t="s">
        <v>35</v>
      </c>
      <c r="D1021" s="197">
        <v>176.06</v>
      </c>
    </row>
    <row r="1022" spans="1:4" ht="15">
      <c r="A1022" s="195">
        <v>17</v>
      </c>
      <c r="B1022" s="195" t="s">
        <v>2061</v>
      </c>
      <c r="C1022" s="196"/>
      <c r="D1022" s="197"/>
    </row>
    <row r="1023" spans="1:4" ht="15">
      <c r="A1023" s="195">
        <v>1701</v>
      </c>
      <c r="B1023" s="195" t="s">
        <v>2062</v>
      </c>
      <c r="C1023" s="196"/>
      <c r="D1023" s="197"/>
    </row>
    <row r="1024" spans="1:4" ht="71.25">
      <c r="A1024" s="198">
        <v>170101</v>
      </c>
      <c r="B1024" s="198" t="s">
        <v>670</v>
      </c>
      <c r="C1024" s="196" t="s">
        <v>33</v>
      </c>
      <c r="D1024" s="197">
        <v>616.16999999999996</v>
      </c>
    </row>
    <row r="1025" spans="1:4" ht="57">
      <c r="A1025" s="198">
        <v>170107</v>
      </c>
      <c r="B1025" s="198" t="s">
        <v>671</v>
      </c>
      <c r="C1025" s="196" t="s">
        <v>33</v>
      </c>
      <c r="D1025" s="197">
        <v>604.23</v>
      </c>
    </row>
    <row r="1026" spans="1:4" ht="42.75">
      <c r="A1026" s="198">
        <v>170110</v>
      </c>
      <c r="B1026" s="198" t="s">
        <v>672</v>
      </c>
      <c r="C1026" s="196" t="s">
        <v>33</v>
      </c>
      <c r="D1026" s="197">
        <v>77.66</v>
      </c>
    </row>
    <row r="1027" spans="1:4" ht="57">
      <c r="A1027" s="198">
        <v>170114</v>
      </c>
      <c r="B1027" s="198" t="s">
        <v>673</v>
      </c>
      <c r="C1027" s="196" t="s">
        <v>33</v>
      </c>
      <c r="D1027" s="199">
        <v>1087.45</v>
      </c>
    </row>
    <row r="1028" spans="1:4" ht="71.25">
      <c r="A1028" s="198">
        <v>170115</v>
      </c>
      <c r="B1028" s="198" t="s">
        <v>674</v>
      </c>
      <c r="C1028" s="196" t="s">
        <v>33</v>
      </c>
      <c r="D1028" s="197">
        <v>337.43</v>
      </c>
    </row>
    <row r="1029" spans="1:4" ht="71.25">
      <c r="A1029" s="198">
        <v>170116</v>
      </c>
      <c r="B1029" s="198" t="s">
        <v>675</v>
      </c>
      <c r="C1029" s="196" t="s">
        <v>33</v>
      </c>
      <c r="D1029" s="197">
        <v>573.4</v>
      </c>
    </row>
    <row r="1030" spans="1:4" ht="71.25">
      <c r="A1030" s="198">
        <v>170117</v>
      </c>
      <c r="B1030" s="198" t="s">
        <v>676</v>
      </c>
      <c r="C1030" s="196" t="s">
        <v>33</v>
      </c>
      <c r="D1030" s="197">
        <v>254.81</v>
      </c>
    </row>
    <row r="1031" spans="1:4" ht="42.75">
      <c r="A1031" s="198">
        <v>170119</v>
      </c>
      <c r="B1031" s="198" t="s">
        <v>677</v>
      </c>
      <c r="C1031" s="196" t="s">
        <v>33</v>
      </c>
      <c r="D1031" s="197">
        <v>67.61</v>
      </c>
    </row>
    <row r="1032" spans="1:4" ht="71.25">
      <c r="A1032" s="198">
        <v>170120</v>
      </c>
      <c r="B1032" s="198" t="s">
        <v>678</v>
      </c>
      <c r="C1032" s="196" t="s">
        <v>33</v>
      </c>
      <c r="D1032" s="197">
        <v>381.53</v>
      </c>
    </row>
    <row r="1033" spans="1:4" ht="85.5">
      <c r="A1033" s="198">
        <v>170121</v>
      </c>
      <c r="B1033" s="198" t="s">
        <v>679</v>
      </c>
      <c r="C1033" s="196" t="s">
        <v>33</v>
      </c>
      <c r="D1033" s="197">
        <v>325.38</v>
      </c>
    </row>
    <row r="1034" spans="1:4" ht="57">
      <c r="A1034" s="198">
        <v>170122</v>
      </c>
      <c r="B1034" s="198" t="s">
        <v>680</v>
      </c>
      <c r="C1034" s="196" t="s">
        <v>33</v>
      </c>
      <c r="D1034" s="197">
        <v>355.29</v>
      </c>
    </row>
    <row r="1035" spans="1:4" ht="57">
      <c r="A1035" s="198">
        <v>170123</v>
      </c>
      <c r="B1035" s="198" t="s">
        <v>681</v>
      </c>
      <c r="C1035" s="196" t="s">
        <v>33</v>
      </c>
      <c r="D1035" s="197">
        <v>155.79</v>
      </c>
    </row>
    <row r="1036" spans="1:4" ht="57">
      <c r="A1036" s="198">
        <v>170124</v>
      </c>
      <c r="B1036" s="198" t="s">
        <v>682</v>
      </c>
      <c r="C1036" s="196" t="s">
        <v>33</v>
      </c>
      <c r="D1036" s="197">
        <v>587.14</v>
      </c>
    </row>
    <row r="1037" spans="1:4" ht="114">
      <c r="A1037" s="198">
        <v>170126</v>
      </c>
      <c r="B1037" s="198" t="s">
        <v>683</v>
      </c>
      <c r="C1037" s="196" t="s">
        <v>33</v>
      </c>
      <c r="D1037" s="199">
        <v>3333.66</v>
      </c>
    </row>
    <row r="1038" spans="1:4" ht="99.75">
      <c r="A1038" s="198">
        <v>170128</v>
      </c>
      <c r="B1038" s="198" t="s">
        <v>684</v>
      </c>
      <c r="C1038" s="196" t="s">
        <v>33</v>
      </c>
      <c r="D1038" s="199">
        <v>1413.8</v>
      </c>
    </row>
    <row r="1039" spans="1:4" ht="42.75">
      <c r="A1039" s="198">
        <v>170129</v>
      </c>
      <c r="B1039" s="198" t="s">
        <v>685</v>
      </c>
      <c r="C1039" s="196" t="s">
        <v>33</v>
      </c>
      <c r="D1039" s="197">
        <v>640.48</v>
      </c>
    </row>
    <row r="1040" spans="1:4" ht="57">
      <c r="A1040" s="198">
        <v>170130</v>
      </c>
      <c r="B1040" s="198" t="s">
        <v>686</v>
      </c>
      <c r="C1040" s="196" t="s">
        <v>33</v>
      </c>
      <c r="D1040" s="197">
        <v>781.86</v>
      </c>
    </row>
    <row r="1041" spans="1:4" ht="71.25">
      <c r="A1041" s="198">
        <v>170131</v>
      </c>
      <c r="B1041" s="198" t="s">
        <v>687</v>
      </c>
      <c r="C1041" s="196" t="s">
        <v>33</v>
      </c>
      <c r="D1041" s="199">
        <v>1413.84</v>
      </c>
    </row>
    <row r="1042" spans="1:4" ht="71.25">
      <c r="A1042" s="198">
        <v>170132</v>
      </c>
      <c r="B1042" s="198" t="s">
        <v>688</v>
      </c>
      <c r="C1042" s="196" t="s">
        <v>33</v>
      </c>
      <c r="D1042" s="199">
        <v>2039.97</v>
      </c>
    </row>
    <row r="1043" spans="1:4" ht="57">
      <c r="A1043" s="198">
        <v>170133</v>
      </c>
      <c r="B1043" s="198" t="s">
        <v>689</v>
      </c>
      <c r="C1043" s="196" t="s">
        <v>33</v>
      </c>
      <c r="D1043" s="197">
        <v>352.83</v>
      </c>
    </row>
    <row r="1044" spans="1:4" ht="71.25">
      <c r="A1044" s="198">
        <v>170134</v>
      </c>
      <c r="B1044" s="198" t="s">
        <v>690</v>
      </c>
      <c r="C1044" s="196" t="s">
        <v>33</v>
      </c>
      <c r="D1044" s="197">
        <v>672.29</v>
      </c>
    </row>
    <row r="1045" spans="1:4" ht="99.75">
      <c r="A1045" s="198">
        <v>170135</v>
      </c>
      <c r="B1045" s="198" t="s">
        <v>691</v>
      </c>
      <c r="C1045" s="196" t="s">
        <v>33</v>
      </c>
      <c r="D1045" s="199">
        <v>3334.17</v>
      </c>
    </row>
    <row r="1046" spans="1:4" ht="85.5">
      <c r="A1046" s="198">
        <v>170136</v>
      </c>
      <c r="B1046" s="198" t="s">
        <v>692</v>
      </c>
      <c r="C1046" s="196" t="s">
        <v>33</v>
      </c>
      <c r="D1046" s="199">
        <v>1091.51</v>
      </c>
    </row>
    <row r="1047" spans="1:4" ht="15">
      <c r="A1047" s="195">
        <v>1702</v>
      </c>
      <c r="B1047" s="195" t="s">
        <v>2063</v>
      </c>
      <c r="C1047" s="196"/>
      <c r="D1047" s="197"/>
    </row>
    <row r="1048" spans="1:4" ht="14.25">
      <c r="A1048" s="198">
        <v>170205</v>
      </c>
      <c r="B1048" s="198" t="s">
        <v>693</v>
      </c>
      <c r="C1048" s="196" t="s">
        <v>35</v>
      </c>
      <c r="D1048" s="197">
        <v>520.07000000000005</v>
      </c>
    </row>
    <row r="1049" spans="1:4" ht="28.5">
      <c r="A1049" s="198">
        <v>170220</v>
      </c>
      <c r="B1049" s="198" t="s">
        <v>694</v>
      </c>
      <c r="C1049" s="196" t="s">
        <v>35</v>
      </c>
      <c r="D1049" s="197">
        <v>383.15</v>
      </c>
    </row>
    <row r="1050" spans="1:4" ht="42.75">
      <c r="A1050" s="198">
        <v>170221</v>
      </c>
      <c r="B1050" s="198" t="s">
        <v>695</v>
      </c>
      <c r="C1050" s="196" t="s">
        <v>35</v>
      </c>
      <c r="D1050" s="197">
        <v>23.06</v>
      </c>
    </row>
    <row r="1051" spans="1:4" ht="99.75">
      <c r="A1051" s="198">
        <v>170222</v>
      </c>
      <c r="B1051" s="198" t="s">
        <v>696</v>
      </c>
      <c r="C1051" s="196" t="s">
        <v>33</v>
      </c>
      <c r="D1051" s="199">
        <v>1883.61</v>
      </c>
    </row>
    <row r="1052" spans="1:4" ht="30">
      <c r="A1052" s="195">
        <v>1703</v>
      </c>
      <c r="B1052" s="195" t="s">
        <v>2064</v>
      </c>
      <c r="C1052" s="196"/>
      <c r="D1052" s="197"/>
    </row>
    <row r="1053" spans="1:4" ht="42.75">
      <c r="A1053" s="198">
        <v>170304</v>
      </c>
      <c r="B1053" s="198" t="s">
        <v>697</v>
      </c>
      <c r="C1053" s="196" t="s">
        <v>33</v>
      </c>
      <c r="D1053" s="197">
        <v>176.69</v>
      </c>
    </row>
    <row r="1054" spans="1:4" ht="42.75">
      <c r="A1054" s="198">
        <v>170306</v>
      </c>
      <c r="B1054" s="198" t="s">
        <v>698</v>
      </c>
      <c r="C1054" s="196" t="s">
        <v>33</v>
      </c>
      <c r="D1054" s="197">
        <v>217.98</v>
      </c>
    </row>
    <row r="1055" spans="1:4" ht="42.75">
      <c r="A1055" s="198">
        <v>170309</v>
      </c>
      <c r="B1055" s="198" t="s">
        <v>699</v>
      </c>
      <c r="C1055" s="196" t="s">
        <v>33</v>
      </c>
      <c r="D1055" s="197">
        <v>115.98</v>
      </c>
    </row>
    <row r="1056" spans="1:4" ht="42.75">
      <c r="A1056" s="198">
        <v>170310</v>
      </c>
      <c r="B1056" s="198" t="s">
        <v>700</v>
      </c>
      <c r="C1056" s="196" t="s">
        <v>33</v>
      </c>
      <c r="D1056" s="197">
        <v>161.99</v>
      </c>
    </row>
    <row r="1057" spans="1:4" ht="42.75">
      <c r="A1057" s="198">
        <v>170311</v>
      </c>
      <c r="B1057" s="198" t="s">
        <v>701</v>
      </c>
      <c r="C1057" s="196" t="s">
        <v>33</v>
      </c>
      <c r="D1057" s="197">
        <v>55.5</v>
      </c>
    </row>
    <row r="1058" spans="1:4" ht="42.75">
      <c r="A1058" s="198">
        <v>170313</v>
      </c>
      <c r="B1058" s="198" t="s">
        <v>702</v>
      </c>
      <c r="C1058" s="196" t="s">
        <v>33</v>
      </c>
      <c r="D1058" s="197">
        <v>217.98</v>
      </c>
    </row>
    <row r="1059" spans="1:4" ht="42.75">
      <c r="A1059" s="198">
        <v>170315</v>
      </c>
      <c r="B1059" s="198" t="s">
        <v>703</v>
      </c>
      <c r="C1059" s="196" t="s">
        <v>33</v>
      </c>
      <c r="D1059" s="197">
        <v>228.44</v>
      </c>
    </row>
    <row r="1060" spans="1:4" ht="57">
      <c r="A1060" s="198">
        <v>170316</v>
      </c>
      <c r="B1060" s="198" t="s">
        <v>704</v>
      </c>
      <c r="C1060" s="196" t="s">
        <v>33</v>
      </c>
      <c r="D1060" s="197">
        <v>114.05</v>
      </c>
    </row>
    <row r="1061" spans="1:4" ht="57">
      <c r="A1061" s="198">
        <v>170317</v>
      </c>
      <c r="B1061" s="198" t="s">
        <v>705</v>
      </c>
      <c r="C1061" s="196" t="s">
        <v>33</v>
      </c>
      <c r="D1061" s="197">
        <v>127.13</v>
      </c>
    </row>
    <row r="1062" spans="1:4" ht="28.5">
      <c r="A1062" s="198">
        <v>170318</v>
      </c>
      <c r="B1062" s="198" t="s">
        <v>14775</v>
      </c>
      <c r="C1062" s="196" t="s">
        <v>33</v>
      </c>
      <c r="D1062" s="197">
        <v>63.58</v>
      </c>
    </row>
    <row r="1063" spans="1:4" ht="28.5">
      <c r="A1063" s="198">
        <v>170319</v>
      </c>
      <c r="B1063" s="198" t="s">
        <v>706</v>
      </c>
      <c r="C1063" s="196" t="s">
        <v>33</v>
      </c>
      <c r="D1063" s="197">
        <v>55.11</v>
      </c>
    </row>
    <row r="1064" spans="1:4" ht="28.5">
      <c r="A1064" s="198">
        <v>170320</v>
      </c>
      <c r="B1064" s="198" t="s">
        <v>707</v>
      </c>
      <c r="C1064" s="196" t="s">
        <v>33</v>
      </c>
      <c r="D1064" s="197">
        <v>64.81</v>
      </c>
    </row>
    <row r="1065" spans="1:4" ht="28.5">
      <c r="A1065" s="198">
        <v>170321</v>
      </c>
      <c r="B1065" s="198" t="s">
        <v>708</v>
      </c>
      <c r="C1065" s="196" t="s">
        <v>33</v>
      </c>
      <c r="D1065" s="197">
        <v>84.42</v>
      </c>
    </row>
    <row r="1066" spans="1:4" ht="28.5">
      <c r="A1066" s="198">
        <v>170322</v>
      </c>
      <c r="B1066" s="198" t="s">
        <v>709</v>
      </c>
      <c r="C1066" s="196" t="s">
        <v>33</v>
      </c>
      <c r="D1066" s="197">
        <v>123.83</v>
      </c>
    </row>
    <row r="1067" spans="1:4" ht="28.5">
      <c r="A1067" s="198">
        <v>170323</v>
      </c>
      <c r="B1067" s="198" t="s">
        <v>710</v>
      </c>
      <c r="C1067" s="196" t="s">
        <v>33</v>
      </c>
      <c r="D1067" s="197">
        <v>149.38</v>
      </c>
    </row>
    <row r="1068" spans="1:4" ht="28.5">
      <c r="A1068" s="198">
        <v>170324</v>
      </c>
      <c r="B1068" s="198" t="s">
        <v>711</v>
      </c>
      <c r="C1068" s="196" t="s">
        <v>33</v>
      </c>
      <c r="D1068" s="197">
        <v>220.93</v>
      </c>
    </row>
    <row r="1069" spans="1:4" ht="28.5">
      <c r="A1069" s="198">
        <v>170325</v>
      </c>
      <c r="B1069" s="198" t="s">
        <v>712</v>
      </c>
      <c r="C1069" s="196" t="s">
        <v>33</v>
      </c>
      <c r="D1069" s="197">
        <v>417.74</v>
      </c>
    </row>
    <row r="1070" spans="1:4" ht="28.5">
      <c r="A1070" s="198">
        <v>170326</v>
      </c>
      <c r="B1070" s="198" t="s">
        <v>713</v>
      </c>
      <c r="C1070" s="196" t="s">
        <v>33</v>
      </c>
      <c r="D1070" s="197">
        <v>595.72</v>
      </c>
    </row>
    <row r="1071" spans="1:4" ht="57">
      <c r="A1071" s="198">
        <v>170327</v>
      </c>
      <c r="B1071" s="198" t="s">
        <v>714</v>
      </c>
      <c r="C1071" s="196" t="s">
        <v>33</v>
      </c>
      <c r="D1071" s="197">
        <v>113.29</v>
      </c>
    </row>
    <row r="1072" spans="1:4" ht="57">
      <c r="A1072" s="198">
        <v>170328</v>
      </c>
      <c r="B1072" s="198" t="s">
        <v>715</v>
      </c>
      <c r="C1072" s="196" t="s">
        <v>33</v>
      </c>
      <c r="D1072" s="197">
        <v>121.03</v>
      </c>
    </row>
    <row r="1073" spans="1:4" ht="57">
      <c r="A1073" s="198">
        <v>170329</v>
      </c>
      <c r="B1073" s="198" t="s">
        <v>716</v>
      </c>
      <c r="C1073" s="196" t="s">
        <v>33</v>
      </c>
      <c r="D1073" s="197">
        <v>163.21</v>
      </c>
    </row>
    <row r="1074" spans="1:4" ht="57">
      <c r="A1074" s="198">
        <v>170330</v>
      </c>
      <c r="B1074" s="198" t="s">
        <v>717</v>
      </c>
      <c r="C1074" s="196" t="s">
        <v>33</v>
      </c>
      <c r="D1074" s="197">
        <v>220.15</v>
      </c>
    </row>
    <row r="1075" spans="1:4" ht="57">
      <c r="A1075" s="198">
        <v>170331</v>
      </c>
      <c r="B1075" s="198" t="s">
        <v>718</v>
      </c>
      <c r="C1075" s="196" t="s">
        <v>33</v>
      </c>
      <c r="D1075" s="197">
        <v>241.79</v>
      </c>
    </row>
    <row r="1076" spans="1:4" ht="28.5">
      <c r="A1076" s="198">
        <v>170332</v>
      </c>
      <c r="B1076" s="198" t="s">
        <v>719</v>
      </c>
      <c r="C1076" s="196" t="s">
        <v>33</v>
      </c>
      <c r="D1076" s="197">
        <v>98.05</v>
      </c>
    </row>
    <row r="1077" spans="1:4" ht="28.5">
      <c r="A1077" s="198">
        <v>170333</v>
      </c>
      <c r="B1077" s="198" t="s">
        <v>720</v>
      </c>
      <c r="C1077" s="196" t="s">
        <v>33</v>
      </c>
      <c r="D1077" s="197">
        <v>115.58</v>
      </c>
    </row>
    <row r="1078" spans="1:4" ht="28.5">
      <c r="A1078" s="198">
        <v>170334</v>
      </c>
      <c r="B1078" s="198" t="s">
        <v>721</v>
      </c>
      <c r="C1078" s="196" t="s">
        <v>33</v>
      </c>
      <c r="D1078" s="197">
        <v>130.82</v>
      </c>
    </row>
    <row r="1079" spans="1:4" ht="28.5">
      <c r="A1079" s="198">
        <v>170335</v>
      </c>
      <c r="B1079" s="198" t="s">
        <v>722</v>
      </c>
      <c r="C1079" s="196" t="s">
        <v>33</v>
      </c>
      <c r="D1079" s="197">
        <v>218.44</v>
      </c>
    </row>
    <row r="1080" spans="1:4" ht="28.5">
      <c r="A1080" s="198">
        <v>170336</v>
      </c>
      <c r="B1080" s="198" t="s">
        <v>723</v>
      </c>
      <c r="C1080" s="196" t="s">
        <v>33</v>
      </c>
      <c r="D1080" s="197">
        <v>250.63</v>
      </c>
    </row>
    <row r="1081" spans="1:4" ht="28.5">
      <c r="A1081" s="198">
        <v>170337</v>
      </c>
      <c r="B1081" s="198" t="s">
        <v>724</v>
      </c>
      <c r="C1081" s="196" t="s">
        <v>33</v>
      </c>
      <c r="D1081" s="197">
        <v>343.07</v>
      </c>
    </row>
    <row r="1082" spans="1:4" ht="28.5">
      <c r="A1082" s="198">
        <v>170338</v>
      </c>
      <c r="B1082" s="198" t="s">
        <v>725</v>
      </c>
      <c r="C1082" s="196" t="s">
        <v>33</v>
      </c>
      <c r="D1082" s="197">
        <v>583.64</v>
      </c>
    </row>
    <row r="1083" spans="1:4" ht="28.5">
      <c r="A1083" s="198">
        <v>170339</v>
      </c>
      <c r="B1083" s="198" t="s">
        <v>726</v>
      </c>
      <c r="C1083" s="196" t="s">
        <v>33</v>
      </c>
      <c r="D1083" s="197">
        <v>780.86</v>
      </c>
    </row>
    <row r="1084" spans="1:4" ht="57">
      <c r="A1084" s="198">
        <v>170345</v>
      </c>
      <c r="B1084" s="198" t="s">
        <v>727</v>
      </c>
      <c r="C1084" s="196" t="s">
        <v>33</v>
      </c>
      <c r="D1084" s="197">
        <v>394.86</v>
      </c>
    </row>
    <row r="1085" spans="1:4" ht="57">
      <c r="A1085" s="198">
        <v>170346</v>
      </c>
      <c r="B1085" s="198" t="s">
        <v>728</v>
      </c>
      <c r="C1085" s="196" t="s">
        <v>33</v>
      </c>
      <c r="D1085" s="197">
        <v>394.86</v>
      </c>
    </row>
    <row r="1086" spans="1:4" ht="42.75">
      <c r="A1086" s="198">
        <v>170347</v>
      </c>
      <c r="B1086" s="198" t="s">
        <v>729</v>
      </c>
      <c r="C1086" s="196" t="s">
        <v>33</v>
      </c>
      <c r="D1086" s="197">
        <v>16.45</v>
      </c>
    </row>
    <row r="1087" spans="1:4" ht="42.75">
      <c r="A1087" s="198">
        <v>170348</v>
      </c>
      <c r="B1087" s="198" t="s">
        <v>730</v>
      </c>
      <c r="C1087" s="196" t="s">
        <v>33</v>
      </c>
      <c r="D1087" s="197">
        <v>18.190000000000001</v>
      </c>
    </row>
    <row r="1088" spans="1:4" ht="42.75">
      <c r="A1088" s="198">
        <v>170349</v>
      </c>
      <c r="B1088" s="198" t="s">
        <v>731</v>
      </c>
      <c r="C1088" s="196" t="s">
        <v>33</v>
      </c>
      <c r="D1088" s="197">
        <v>66.69</v>
      </c>
    </row>
    <row r="1089" spans="1:4" ht="28.5">
      <c r="A1089" s="198">
        <v>170350</v>
      </c>
      <c r="B1089" s="198" t="s">
        <v>732</v>
      </c>
      <c r="C1089" s="196" t="s">
        <v>33</v>
      </c>
      <c r="D1089" s="197">
        <v>22.47</v>
      </c>
    </row>
    <row r="1090" spans="1:4" ht="57">
      <c r="A1090" s="198">
        <v>170351</v>
      </c>
      <c r="B1090" s="198" t="s">
        <v>733</v>
      </c>
      <c r="C1090" s="196" t="s">
        <v>33</v>
      </c>
      <c r="D1090" s="197">
        <v>420.77</v>
      </c>
    </row>
    <row r="1091" spans="1:4" ht="57">
      <c r="A1091" s="198">
        <v>170352</v>
      </c>
      <c r="B1091" s="198" t="s">
        <v>734</v>
      </c>
      <c r="C1091" s="196" t="s">
        <v>33</v>
      </c>
      <c r="D1091" s="197">
        <v>555.80999999999995</v>
      </c>
    </row>
    <row r="1092" spans="1:4" ht="42.75">
      <c r="A1092" s="198">
        <v>170353</v>
      </c>
      <c r="B1092" s="198" t="s">
        <v>735</v>
      </c>
      <c r="C1092" s="196" t="s">
        <v>33</v>
      </c>
      <c r="D1092" s="197">
        <v>540.22</v>
      </c>
    </row>
    <row r="1093" spans="1:4" ht="42.75">
      <c r="A1093" s="198">
        <v>170354</v>
      </c>
      <c r="B1093" s="198" t="s">
        <v>736</v>
      </c>
      <c r="C1093" s="196" t="s">
        <v>33</v>
      </c>
      <c r="D1093" s="199">
        <v>1316.42</v>
      </c>
    </row>
    <row r="1094" spans="1:4" ht="42.75">
      <c r="A1094" s="198">
        <v>170357</v>
      </c>
      <c r="B1094" s="198" t="s">
        <v>737</v>
      </c>
      <c r="C1094" s="196" t="s">
        <v>33</v>
      </c>
      <c r="D1094" s="199">
        <v>1156.6600000000001</v>
      </c>
    </row>
    <row r="1095" spans="1:4" ht="15">
      <c r="A1095" s="195">
        <v>1705</v>
      </c>
      <c r="B1095" s="195" t="s">
        <v>2065</v>
      </c>
      <c r="C1095" s="196"/>
      <c r="D1095" s="197"/>
    </row>
    <row r="1096" spans="1:4" ht="42.75">
      <c r="A1096" s="198">
        <v>170502</v>
      </c>
      <c r="B1096" s="198" t="s">
        <v>738</v>
      </c>
      <c r="C1096" s="196" t="s">
        <v>33</v>
      </c>
      <c r="D1096" s="197">
        <v>181.66</v>
      </c>
    </row>
    <row r="1097" spans="1:4" ht="57">
      <c r="A1097" s="198">
        <v>170506</v>
      </c>
      <c r="B1097" s="198" t="s">
        <v>739</v>
      </c>
      <c r="C1097" s="196" t="s">
        <v>33</v>
      </c>
      <c r="D1097" s="197">
        <v>705.81</v>
      </c>
    </row>
    <row r="1098" spans="1:4" ht="99.75">
      <c r="A1098" s="198">
        <v>170507</v>
      </c>
      <c r="B1098" s="198" t="s">
        <v>740</v>
      </c>
      <c r="C1098" s="196" t="s">
        <v>51</v>
      </c>
      <c r="D1098" s="199">
        <v>1509.77</v>
      </c>
    </row>
    <row r="1099" spans="1:4" ht="114">
      <c r="A1099" s="198">
        <v>170508</v>
      </c>
      <c r="B1099" s="198" t="s">
        <v>741</v>
      </c>
      <c r="C1099" s="196" t="s">
        <v>51</v>
      </c>
      <c r="D1099" s="199">
        <v>1509.77</v>
      </c>
    </row>
    <row r="1100" spans="1:4" ht="57">
      <c r="A1100" s="198">
        <v>170509</v>
      </c>
      <c r="B1100" s="198" t="s">
        <v>742</v>
      </c>
      <c r="C1100" s="196" t="s">
        <v>33</v>
      </c>
      <c r="D1100" s="199">
        <v>1835.78</v>
      </c>
    </row>
    <row r="1101" spans="1:4" ht="85.5">
      <c r="A1101" s="198">
        <v>170510</v>
      </c>
      <c r="B1101" s="198" t="s">
        <v>743</v>
      </c>
      <c r="C1101" s="196" t="s">
        <v>33</v>
      </c>
      <c r="D1101" s="199">
        <v>5432.22</v>
      </c>
    </row>
    <row r="1102" spans="1:4" ht="71.25">
      <c r="A1102" s="198">
        <v>170511</v>
      </c>
      <c r="B1102" s="198" t="s">
        <v>744</v>
      </c>
      <c r="C1102" s="196" t="s">
        <v>33</v>
      </c>
      <c r="D1102" s="199">
        <v>2413.13</v>
      </c>
    </row>
    <row r="1103" spans="1:4" ht="85.5">
      <c r="A1103" s="198">
        <v>170512</v>
      </c>
      <c r="B1103" s="198" t="s">
        <v>745</v>
      </c>
      <c r="C1103" s="196" t="s">
        <v>33</v>
      </c>
      <c r="D1103" s="197">
        <v>660.66</v>
      </c>
    </row>
    <row r="1104" spans="1:4" ht="85.5">
      <c r="A1104" s="198">
        <v>170514</v>
      </c>
      <c r="B1104" s="198" t="s">
        <v>746</v>
      </c>
      <c r="C1104" s="196" t="s">
        <v>33</v>
      </c>
      <c r="D1104" s="199">
        <v>1493.23</v>
      </c>
    </row>
    <row r="1105" spans="1:4" ht="85.5">
      <c r="A1105" s="198">
        <v>170515</v>
      </c>
      <c r="B1105" s="198" t="s">
        <v>747</v>
      </c>
      <c r="C1105" s="196" t="s">
        <v>33</v>
      </c>
      <c r="D1105" s="199">
        <v>1720.45</v>
      </c>
    </row>
    <row r="1106" spans="1:4" ht="71.25">
      <c r="A1106" s="198">
        <v>170516</v>
      </c>
      <c r="B1106" s="198" t="s">
        <v>748</v>
      </c>
      <c r="C1106" s="196" t="s">
        <v>33</v>
      </c>
      <c r="D1106" s="199">
        <v>2840.43</v>
      </c>
    </row>
    <row r="1107" spans="1:4" ht="57">
      <c r="A1107" s="198">
        <v>170519</v>
      </c>
      <c r="B1107" s="198" t="s">
        <v>749</v>
      </c>
      <c r="C1107" s="196" t="s">
        <v>33</v>
      </c>
      <c r="D1107" s="197">
        <v>310.5</v>
      </c>
    </row>
    <row r="1108" spans="1:4" ht="57">
      <c r="A1108" s="198">
        <v>170524</v>
      </c>
      <c r="B1108" s="198" t="s">
        <v>750</v>
      </c>
      <c r="C1108" s="196" t="s">
        <v>33</v>
      </c>
      <c r="D1108" s="197">
        <v>70.180000000000007</v>
      </c>
    </row>
    <row r="1109" spans="1:4" ht="57">
      <c r="A1109" s="198">
        <v>170528</v>
      </c>
      <c r="B1109" s="198" t="s">
        <v>751</v>
      </c>
      <c r="C1109" s="196" t="s">
        <v>33</v>
      </c>
      <c r="D1109" s="199">
        <v>3728.83</v>
      </c>
    </row>
    <row r="1110" spans="1:4" ht="85.5">
      <c r="A1110" s="198">
        <v>170530</v>
      </c>
      <c r="B1110" s="198" t="s">
        <v>752</v>
      </c>
      <c r="C1110" s="196" t="s">
        <v>33</v>
      </c>
      <c r="D1110" s="197">
        <v>600.59</v>
      </c>
    </row>
    <row r="1111" spans="1:4" ht="57">
      <c r="A1111" s="198">
        <v>170533</v>
      </c>
      <c r="B1111" s="198" t="s">
        <v>753</v>
      </c>
      <c r="C1111" s="196" t="s">
        <v>33</v>
      </c>
      <c r="D1111" s="199">
        <v>1675.82</v>
      </c>
    </row>
    <row r="1112" spans="1:4" ht="57">
      <c r="A1112" s="198">
        <v>170534</v>
      </c>
      <c r="B1112" s="198" t="s">
        <v>754</v>
      </c>
      <c r="C1112" s="196" t="s">
        <v>33</v>
      </c>
      <c r="D1112" s="199">
        <v>2878.19</v>
      </c>
    </row>
    <row r="1113" spans="1:4" ht="57">
      <c r="A1113" s="198">
        <v>170535</v>
      </c>
      <c r="B1113" s="198" t="s">
        <v>755</v>
      </c>
      <c r="C1113" s="196" t="s">
        <v>33</v>
      </c>
      <c r="D1113" s="199">
        <v>1951.11</v>
      </c>
    </row>
    <row r="1114" spans="1:4" ht="57">
      <c r="A1114" s="198">
        <v>170536</v>
      </c>
      <c r="B1114" s="198" t="s">
        <v>756</v>
      </c>
      <c r="C1114" s="196" t="s">
        <v>33</v>
      </c>
      <c r="D1114" s="199">
        <v>2624.35</v>
      </c>
    </row>
    <row r="1115" spans="1:4" ht="42.75">
      <c r="A1115" s="198">
        <v>170537</v>
      </c>
      <c r="B1115" s="198" t="s">
        <v>757</v>
      </c>
      <c r="C1115" s="196" t="s">
        <v>33</v>
      </c>
      <c r="D1115" s="197">
        <v>55.19</v>
      </c>
    </row>
    <row r="1116" spans="1:4" ht="28.5">
      <c r="A1116" s="198">
        <v>170538</v>
      </c>
      <c r="B1116" s="198" t="s">
        <v>758</v>
      </c>
      <c r="C1116" s="196" t="s">
        <v>33</v>
      </c>
      <c r="D1116" s="197">
        <v>27.74</v>
      </c>
    </row>
    <row r="1117" spans="1:4" ht="57">
      <c r="A1117" s="198">
        <v>170539</v>
      </c>
      <c r="B1117" s="198" t="s">
        <v>759</v>
      </c>
      <c r="C1117" s="196" t="s">
        <v>33</v>
      </c>
      <c r="D1117" s="197">
        <v>646.34</v>
      </c>
    </row>
    <row r="1118" spans="1:4" ht="57">
      <c r="A1118" s="198">
        <v>170540</v>
      </c>
      <c r="B1118" s="198" t="s">
        <v>760</v>
      </c>
      <c r="C1118" s="196" t="s">
        <v>33</v>
      </c>
      <c r="D1118" s="197">
        <v>770.18</v>
      </c>
    </row>
    <row r="1119" spans="1:4" ht="42.75">
      <c r="A1119" s="198">
        <v>170541</v>
      </c>
      <c r="B1119" s="198" t="s">
        <v>761</v>
      </c>
      <c r="C1119" s="196" t="s">
        <v>33</v>
      </c>
      <c r="D1119" s="197">
        <v>203.96</v>
      </c>
    </row>
    <row r="1120" spans="1:4" ht="114">
      <c r="A1120" s="198">
        <v>170545</v>
      </c>
      <c r="B1120" s="198" t="s">
        <v>762</v>
      </c>
      <c r="C1120" s="196" t="s">
        <v>51</v>
      </c>
      <c r="D1120" s="199">
        <v>1556.86</v>
      </c>
    </row>
    <row r="1121" spans="1:4" ht="42.75">
      <c r="A1121" s="198">
        <v>170546</v>
      </c>
      <c r="B1121" s="198" t="s">
        <v>763</v>
      </c>
      <c r="C1121" s="196" t="s">
        <v>33</v>
      </c>
      <c r="D1121" s="197">
        <v>378.7</v>
      </c>
    </row>
    <row r="1122" spans="1:4" ht="57">
      <c r="A1122" s="198">
        <v>170547</v>
      </c>
      <c r="B1122" s="198" t="s">
        <v>764</v>
      </c>
      <c r="C1122" s="196" t="s">
        <v>33</v>
      </c>
      <c r="D1122" s="197">
        <v>591.67999999999995</v>
      </c>
    </row>
    <row r="1123" spans="1:4" ht="57">
      <c r="A1123" s="198">
        <v>170548</v>
      </c>
      <c r="B1123" s="198" t="s">
        <v>765</v>
      </c>
      <c r="C1123" s="196" t="s">
        <v>33</v>
      </c>
      <c r="D1123" s="199">
        <v>1586.36</v>
      </c>
    </row>
    <row r="1124" spans="1:4" ht="57">
      <c r="A1124" s="198">
        <v>170549</v>
      </c>
      <c r="B1124" s="198" t="s">
        <v>766</v>
      </c>
      <c r="C1124" s="196" t="s">
        <v>33</v>
      </c>
      <c r="D1124" s="199">
        <v>2326.75</v>
      </c>
    </row>
    <row r="1125" spans="1:4" ht="57">
      <c r="A1125" s="198">
        <v>170550</v>
      </c>
      <c r="B1125" s="198" t="s">
        <v>767</v>
      </c>
      <c r="C1125" s="196" t="s">
        <v>33</v>
      </c>
      <c r="D1125" s="199">
        <v>1682.14</v>
      </c>
    </row>
    <row r="1126" spans="1:4" ht="42.75">
      <c r="A1126" s="198">
        <v>170555</v>
      </c>
      <c r="B1126" s="198" t="s">
        <v>768</v>
      </c>
      <c r="C1126" s="196" t="s">
        <v>33</v>
      </c>
      <c r="D1126" s="197">
        <v>258.85000000000002</v>
      </c>
    </row>
    <row r="1127" spans="1:4" ht="99.75">
      <c r="A1127" s="198">
        <v>170557</v>
      </c>
      <c r="B1127" s="198" t="s">
        <v>769</v>
      </c>
      <c r="C1127" s="196" t="s">
        <v>51</v>
      </c>
      <c r="D1127" s="199">
        <v>1888.76</v>
      </c>
    </row>
    <row r="1128" spans="1:4" ht="57">
      <c r="A1128" s="198">
        <v>170561</v>
      </c>
      <c r="B1128" s="198" t="s">
        <v>770</v>
      </c>
      <c r="C1128" s="196" t="s">
        <v>33</v>
      </c>
      <c r="D1128" s="199">
        <v>11491.62</v>
      </c>
    </row>
    <row r="1129" spans="1:4" ht="57">
      <c r="A1129" s="198">
        <v>170562</v>
      </c>
      <c r="B1129" s="198" t="s">
        <v>771</v>
      </c>
      <c r="C1129" s="196" t="s">
        <v>33</v>
      </c>
      <c r="D1129" s="199">
        <v>3619.47</v>
      </c>
    </row>
    <row r="1130" spans="1:4" ht="128.25">
      <c r="A1130" s="198">
        <v>170563</v>
      </c>
      <c r="B1130" s="198" t="s">
        <v>18757</v>
      </c>
      <c r="C1130" s="196" t="s">
        <v>33</v>
      </c>
      <c r="D1130" s="199">
        <v>15775.65</v>
      </c>
    </row>
    <row r="1131" spans="1:4" ht="15">
      <c r="A1131" s="195">
        <v>1706</v>
      </c>
      <c r="B1131" s="195" t="s">
        <v>14092</v>
      </c>
      <c r="C1131" s="196"/>
      <c r="D1131" s="197"/>
    </row>
    <row r="1132" spans="1:4" ht="57">
      <c r="A1132" s="198">
        <v>170601</v>
      </c>
      <c r="B1132" s="198" t="s">
        <v>14093</v>
      </c>
      <c r="C1132" s="196" t="s">
        <v>33</v>
      </c>
      <c r="D1132" s="197">
        <v>122.05</v>
      </c>
    </row>
    <row r="1133" spans="1:4" ht="57">
      <c r="A1133" s="198">
        <v>170602</v>
      </c>
      <c r="B1133" s="198" t="s">
        <v>14094</v>
      </c>
      <c r="C1133" s="196" t="s">
        <v>33</v>
      </c>
      <c r="D1133" s="197">
        <v>142.99</v>
      </c>
    </row>
    <row r="1134" spans="1:4" ht="57">
      <c r="A1134" s="198">
        <v>170603</v>
      </c>
      <c r="B1134" s="198" t="s">
        <v>14095</v>
      </c>
      <c r="C1134" s="196" t="s">
        <v>33</v>
      </c>
      <c r="D1134" s="197">
        <v>169.95</v>
      </c>
    </row>
    <row r="1135" spans="1:4" ht="57">
      <c r="A1135" s="198">
        <v>170604</v>
      </c>
      <c r="B1135" s="198" t="s">
        <v>14096</v>
      </c>
      <c r="C1135" s="196" t="s">
        <v>33</v>
      </c>
      <c r="D1135" s="197">
        <v>176.51</v>
      </c>
    </row>
    <row r="1136" spans="1:4" ht="57">
      <c r="A1136" s="198">
        <v>170607</v>
      </c>
      <c r="B1136" s="198" t="s">
        <v>14097</v>
      </c>
      <c r="C1136" s="196" t="s">
        <v>33</v>
      </c>
      <c r="D1136" s="197">
        <v>383.26</v>
      </c>
    </row>
    <row r="1137" spans="1:4" ht="114">
      <c r="A1137" s="198">
        <v>170608</v>
      </c>
      <c r="B1137" s="198" t="s">
        <v>14098</v>
      </c>
      <c r="C1137" s="196" t="s">
        <v>33</v>
      </c>
      <c r="D1137" s="199">
        <v>1610.18</v>
      </c>
    </row>
    <row r="1138" spans="1:4" ht="99.75">
      <c r="A1138" s="198">
        <v>170609</v>
      </c>
      <c r="B1138" s="198" t="s">
        <v>14099</v>
      </c>
      <c r="C1138" s="196" t="s">
        <v>33</v>
      </c>
      <c r="D1138" s="199">
        <v>1610.18</v>
      </c>
    </row>
    <row r="1139" spans="1:4" ht="71.25">
      <c r="A1139" s="198">
        <v>170610</v>
      </c>
      <c r="B1139" s="198" t="s">
        <v>14100</v>
      </c>
      <c r="C1139" s="196" t="s">
        <v>33</v>
      </c>
      <c r="D1139" s="199">
        <v>1736.21</v>
      </c>
    </row>
    <row r="1140" spans="1:4" ht="71.25">
      <c r="A1140" s="198">
        <v>170611</v>
      </c>
      <c r="B1140" s="198" t="s">
        <v>14101</v>
      </c>
      <c r="C1140" s="196" t="s">
        <v>33</v>
      </c>
      <c r="D1140" s="199">
        <v>1756.96</v>
      </c>
    </row>
    <row r="1141" spans="1:4" ht="99.75">
      <c r="A1141" s="198">
        <v>170612</v>
      </c>
      <c r="B1141" s="198" t="s">
        <v>14102</v>
      </c>
      <c r="C1141" s="196" t="s">
        <v>33</v>
      </c>
      <c r="D1141" s="199">
        <v>1413.8</v>
      </c>
    </row>
    <row r="1142" spans="1:4" ht="85.5">
      <c r="A1142" s="198">
        <v>170613</v>
      </c>
      <c r="B1142" s="198" t="s">
        <v>14103</v>
      </c>
      <c r="C1142" s="196" t="s">
        <v>33</v>
      </c>
      <c r="D1142" s="199">
        <v>2039.97</v>
      </c>
    </row>
    <row r="1143" spans="1:4" ht="85.5">
      <c r="A1143" s="198">
        <v>170614</v>
      </c>
      <c r="B1143" s="198" t="s">
        <v>14104</v>
      </c>
      <c r="C1143" s="196" t="s">
        <v>33</v>
      </c>
      <c r="D1143" s="197">
        <v>226.5</v>
      </c>
    </row>
    <row r="1144" spans="1:4" ht="57">
      <c r="A1144" s="198">
        <v>170615</v>
      </c>
      <c r="B1144" s="198" t="s">
        <v>14105</v>
      </c>
      <c r="C1144" s="196" t="s">
        <v>33</v>
      </c>
      <c r="D1144" s="197">
        <v>159.01</v>
      </c>
    </row>
    <row r="1145" spans="1:4" ht="15">
      <c r="A1145" s="195">
        <v>18</v>
      </c>
      <c r="B1145" s="195" t="s">
        <v>1425</v>
      </c>
      <c r="C1145" s="196"/>
      <c r="D1145" s="197"/>
    </row>
    <row r="1146" spans="1:4" ht="15">
      <c r="A1146" s="195">
        <v>1801</v>
      </c>
      <c r="B1146" s="195" t="s">
        <v>2066</v>
      </c>
      <c r="C1146" s="196"/>
      <c r="D1146" s="197"/>
    </row>
    <row r="1147" spans="1:4" ht="57">
      <c r="A1147" s="198">
        <v>180107</v>
      </c>
      <c r="B1147" s="198" t="s">
        <v>772</v>
      </c>
      <c r="C1147" s="196" t="s">
        <v>33</v>
      </c>
      <c r="D1147" s="197">
        <v>531.03</v>
      </c>
    </row>
    <row r="1148" spans="1:4" ht="28.5">
      <c r="A1148" s="198">
        <v>180110</v>
      </c>
      <c r="B1148" s="198" t="s">
        <v>773</v>
      </c>
      <c r="C1148" s="196" t="s">
        <v>33</v>
      </c>
      <c r="D1148" s="197">
        <v>109.23</v>
      </c>
    </row>
    <row r="1149" spans="1:4" ht="28.5">
      <c r="A1149" s="198">
        <v>180115</v>
      </c>
      <c r="B1149" s="198" t="s">
        <v>774</v>
      </c>
      <c r="C1149" s="196" t="s">
        <v>33</v>
      </c>
      <c r="D1149" s="197">
        <v>72.09</v>
      </c>
    </row>
    <row r="1150" spans="1:4" ht="15">
      <c r="A1150" s="195">
        <v>1802</v>
      </c>
      <c r="B1150" s="195" t="s">
        <v>2067</v>
      </c>
      <c r="C1150" s="196"/>
      <c r="D1150" s="197"/>
    </row>
    <row r="1151" spans="1:4" ht="42.75">
      <c r="A1151" s="198">
        <v>180201</v>
      </c>
      <c r="B1151" s="198" t="s">
        <v>775</v>
      </c>
      <c r="C1151" s="196" t="s">
        <v>33</v>
      </c>
      <c r="D1151" s="197">
        <v>37.08</v>
      </c>
    </row>
    <row r="1152" spans="1:4" ht="42.75">
      <c r="A1152" s="198">
        <v>180202</v>
      </c>
      <c r="B1152" s="198" t="s">
        <v>776</v>
      </c>
      <c r="C1152" s="196" t="s">
        <v>33</v>
      </c>
      <c r="D1152" s="197">
        <v>42.53</v>
      </c>
    </row>
    <row r="1153" spans="1:4" ht="28.5">
      <c r="A1153" s="198">
        <v>180204</v>
      </c>
      <c r="B1153" s="198" t="s">
        <v>777</v>
      </c>
      <c r="C1153" s="196" t="s">
        <v>33</v>
      </c>
      <c r="D1153" s="197">
        <v>33.22</v>
      </c>
    </row>
    <row r="1154" spans="1:4" ht="28.5">
      <c r="A1154" s="198">
        <v>180205</v>
      </c>
      <c r="B1154" s="198" t="s">
        <v>778</v>
      </c>
      <c r="C1154" s="196" t="s">
        <v>33</v>
      </c>
      <c r="D1154" s="197">
        <v>55.45</v>
      </c>
    </row>
    <row r="1155" spans="1:4" ht="28.5">
      <c r="A1155" s="198">
        <v>180206</v>
      </c>
      <c r="B1155" s="198" t="s">
        <v>779</v>
      </c>
      <c r="C1155" s="196" t="s">
        <v>33</v>
      </c>
      <c r="D1155" s="197">
        <v>41.16</v>
      </c>
    </row>
    <row r="1156" spans="1:4" ht="71.25">
      <c r="A1156" s="198">
        <v>180207</v>
      </c>
      <c r="B1156" s="198" t="s">
        <v>780</v>
      </c>
      <c r="C1156" s="196" t="s">
        <v>33</v>
      </c>
      <c r="D1156" s="197">
        <v>59.31</v>
      </c>
    </row>
    <row r="1157" spans="1:4" ht="42.75">
      <c r="A1157" s="198">
        <v>180208</v>
      </c>
      <c r="B1157" s="198" t="s">
        <v>781</v>
      </c>
      <c r="C1157" s="196" t="s">
        <v>33</v>
      </c>
      <c r="D1157" s="197">
        <v>81.540000000000006</v>
      </c>
    </row>
    <row r="1158" spans="1:4" ht="28.5">
      <c r="A1158" s="198">
        <v>180209</v>
      </c>
      <c r="B1158" s="198" t="s">
        <v>782</v>
      </c>
      <c r="C1158" s="196" t="s">
        <v>33</v>
      </c>
      <c r="D1158" s="197">
        <v>35.299999999999997</v>
      </c>
    </row>
    <row r="1159" spans="1:4" ht="28.5">
      <c r="A1159" s="198">
        <v>180210</v>
      </c>
      <c r="B1159" s="198" t="s">
        <v>783</v>
      </c>
      <c r="C1159" s="196" t="s">
        <v>33</v>
      </c>
      <c r="D1159" s="197">
        <v>42.62</v>
      </c>
    </row>
    <row r="1160" spans="1:4" ht="42.75">
      <c r="A1160" s="198">
        <v>180211</v>
      </c>
      <c r="B1160" s="198" t="s">
        <v>784</v>
      </c>
      <c r="C1160" s="196" t="s">
        <v>33</v>
      </c>
      <c r="D1160" s="197">
        <v>133.72</v>
      </c>
    </row>
    <row r="1161" spans="1:4" ht="28.5">
      <c r="A1161" s="198">
        <v>180212</v>
      </c>
      <c r="B1161" s="198" t="s">
        <v>785</v>
      </c>
      <c r="C1161" s="196" t="s">
        <v>33</v>
      </c>
      <c r="D1161" s="197">
        <v>77.680000000000007</v>
      </c>
    </row>
    <row r="1162" spans="1:4" ht="28.5">
      <c r="A1162" s="198">
        <v>180217</v>
      </c>
      <c r="B1162" s="198" t="s">
        <v>786</v>
      </c>
      <c r="C1162" s="196" t="s">
        <v>33</v>
      </c>
      <c r="D1162" s="197">
        <v>8.9</v>
      </c>
    </row>
    <row r="1163" spans="1:4" ht="28.5">
      <c r="A1163" s="198">
        <v>180218</v>
      </c>
      <c r="B1163" s="198" t="s">
        <v>787</v>
      </c>
      <c r="C1163" s="196" t="s">
        <v>33</v>
      </c>
      <c r="D1163" s="197">
        <v>18.39</v>
      </c>
    </row>
    <row r="1164" spans="1:4" ht="14.25">
      <c r="A1164" s="198">
        <v>180220</v>
      </c>
      <c r="B1164" s="198" t="s">
        <v>788</v>
      </c>
      <c r="C1164" s="196" t="s">
        <v>33</v>
      </c>
      <c r="D1164" s="197">
        <v>47.01</v>
      </c>
    </row>
    <row r="1165" spans="1:4" ht="15">
      <c r="A1165" s="195">
        <v>1803</v>
      </c>
      <c r="B1165" s="195" t="s">
        <v>2068</v>
      </c>
      <c r="C1165" s="196"/>
      <c r="D1165" s="197"/>
    </row>
    <row r="1166" spans="1:4" ht="28.5">
      <c r="A1166" s="198">
        <v>180301</v>
      </c>
      <c r="B1166" s="198" t="s">
        <v>2069</v>
      </c>
      <c r="C1166" s="196" t="s">
        <v>33</v>
      </c>
      <c r="D1166" s="199">
        <v>4660.1899999999996</v>
      </c>
    </row>
    <row r="1167" spans="1:4" ht="28.5">
      <c r="A1167" s="198">
        <v>180302</v>
      </c>
      <c r="B1167" s="198" t="s">
        <v>789</v>
      </c>
      <c r="C1167" s="196" t="s">
        <v>33</v>
      </c>
      <c r="D1167" s="199">
        <v>1161.67</v>
      </c>
    </row>
    <row r="1168" spans="1:4" ht="28.5">
      <c r="A1168" s="198">
        <v>180303</v>
      </c>
      <c r="B1168" s="198" t="s">
        <v>790</v>
      </c>
      <c r="C1168" s="196" t="s">
        <v>33</v>
      </c>
      <c r="D1168" s="199">
        <v>1634.32</v>
      </c>
    </row>
    <row r="1169" spans="1:4" ht="14.25">
      <c r="A1169" s="198">
        <v>180304</v>
      </c>
      <c r="B1169" s="198" t="s">
        <v>791</v>
      </c>
      <c r="C1169" s="196" t="s">
        <v>33</v>
      </c>
      <c r="D1169" s="199">
        <v>1865.22</v>
      </c>
    </row>
    <row r="1170" spans="1:4" ht="28.5">
      <c r="A1170" s="198">
        <v>180305</v>
      </c>
      <c r="B1170" s="198" t="s">
        <v>792</v>
      </c>
      <c r="C1170" s="196" t="s">
        <v>33</v>
      </c>
      <c r="D1170" s="199">
        <v>1729.19</v>
      </c>
    </row>
    <row r="1171" spans="1:4" ht="15">
      <c r="A1171" s="195">
        <v>1804</v>
      </c>
      <c r="B1171" s="195" t="s">
        <v>1288</v>
      </c>
      <c r="C1171" s="196"/>
      <c r="D1171" s="197"/>
    </row>
    <row r="1172" spans="1:4" ht="114">
      <c r="A1172" s="198">
        <v>180405</v>
      </c>
      <c r="B1172" s="198" t="s">
        <v>18758</v>
      </c>
      <c r="C1172" s="196" t="s">
        <v>33</v>
      </c>
      <c r="D1172" s="199">
        <v>5001.17</v>
      </c>
    </row>
    <row r="1173" spans="1:4" ht="15">
      <c r="A1173" s="195">
        <v>1806</v>
      </c>
      <c r="B1173" s="195" t="s">
        <v>14106</v>
      </c>
      <c r="C1173" s="196"/>
      <c r="D1173" s="197"/>
    </row>
    <row r="1174" spans="1:4" ht="99.75">
      <c r="A1174" s="198">
        <v>180602</v>
      </c>
      <c r="B1174" s="198" t="s">
        <v>14107</v>
      </c>
      <c r="C1174" s="196" t="s">
        <v>33</v>
      </c>
      <c r="D1174" s="199">
        <v>2316.0500000000002</v>
      </c>
    </row>
    <row r="1175" spans="1:4" ht="99.75">
      <c r="A1175" s="198">
        <v>180603</v>
      </c>
      <c r="B1175" s="198" t="s">
        <v>14108</v>
      </c>
      <c r="C1175" s="196" t="s">
        <v>33</v>
      </c>
      <c r="D1175" s="199">
        <v>2615.54</v>
      </c>
    </row>
    <row r="1176" spans="1:4" ht="99.75">
      <c r="A1176" s="198">
        <v>180604</v>
      </c>
      <c r="B1176" s="198" t="s">
        <v>14109</v>
      </c>
      <c r="C1176" s="196" t="s">
        <v>33</v>
      </c>
      <c r="D1176" s="199">
        <v>3663.08</v>
      </c>
    </row>
    <row r="1177" spans="1:4" ht="99.75">
      <c r="A1177" s="198">
        <v>180605</v>
      </c>
      <c r="B1177" s="198" t="s">
        <v>14110</v>
      </c>
      <c r="C1177" s="196" t="s">
        <v>33</v>
      </c>
      <c r="D1177" s="199">
        <v>4240.1400000000003</v>
      </c>
    </row>
    <row r="1178" spans="1:4" ht="99.75">
      <c r="A1178" s="198">
        <v>180606</v>
      </c>
      <c r="B1178" s="198" t="s">
        <v>14111</v>
      </c>
      <c r="C1178" s="196" t="s">
        <v>33</v>
      </c>
      <c r="D1178" s="199">
        <v>4719.59</v>
      </c>
    </row>
    <row r="1179" spans="1:4" ht="114">
      <c r="A1179" s="198">
        <v>180607</v>
      </c>
      <c r="B1179" s="198" t="s">
        <v>14112</v>
      </c>
      <c r="C1179" s="196" t="s">
        <v>33</v>
      </c>
      <c r="D1179" s="199">
        <v>6324.58</v>
      </c>
    </row>
    <row r="1180" spans="1:4" ht="114">
      <c r="A1180" s="198">
        <v>180608</v>
      </c>
      <c r="B1180" s="198" t="s">
        <v>14113</v>
      </c>
      <c r="C1180" s="196" t="s">
        <v>33</v>
      </c>
      <c r="D1180" s="199">
        <v>10156.68</v>
      </c>
    </row>
    <row r="1181" spans="1:4" ht="114">
      <c r="A1181" s="198">
        <v>180609</v>
      </c>
      <c r="B1181" s="198" t="s">
        <v>14114</v>
      </c>
      <c r="C1181" s="196" t="s">
        <v>33</v>
      </c>
      <c r="D1181" s="199">
        <v>12516.91</v>
      </c>
    </row>
    <row r="1182" spans="1:4" ht="15">
      <c r="A1182" s="195">
        <v>1807</v>
      </c>
      <c r="B1182" s="195" t="s">
        <v>2070</v>
      </c>
      <c r="C1182" s="196"/>
      <c r="D1182" s="197"/>
    </row>
    <row r="1183" spans="1:4" ht="71.25">
      <c r="A1183" s="198">
        <v>180702</v>
      </c>
      <c r="B1183" s="198" t="s">
        <v>793</v>
      </c>
      <c r="C1183" s="196" t="s">
        <v>33</v>
      </c>
      <c r="D1183" s="197">
        <v>311.05</v>
      </c>
    </row>
    <row r="1184" spans="1:4" ht="15">
      <c r="A1184" s="195">
        <v>1808</v>
      </c>
      <c r="B1184" s="195" t="s">
        <v>2065</v>
      </c>
      <c r="C1184" s="196"/>
      <c r="D1184" s="197"/>
    </row>
    <row r="1185" spans="1:4" ht="28.5">
      <c r="A1185" s="198">
        <v>180803</v>
      </c>
      <c r="B1185" s="198" t="s">
        <v>794</v>
      </c>
      <c r="C1185" s="196" t="s">
        <v>33</v>
      </c>
      <c r="D1185" s="197">
        <v>168.49</v>
      </c>
    </row>
    <row r="1186" spans="1:4" ht="28.5">
      <c r="A1186" s="198">
        <v>180804</v>
      </c>
      <c r="B1186" s="198" t="s">
        <v>795</v>
      </c>
      <c r="C1186" s="196" t="s">
        <v>33</v>
      </c>
      <c r="D1186" s="197">
        <v>876.22</v>
      </c>
    </row>
    <row r="1187" spans="1:4" ht="28.5">
      <c r="A1187" s="198">
        <v>180809</v>
      </c>
      <c r="B1187" s="198" t="s">
        <v>796</v>
      </c>
      <c r="C1187" s="196" t="s">
        <v>33</v>
      </c>
      <c r="D1187" s="197">
        <v>100.14</v>
      </c>
    </row>
    <row r="1188" spans="1:4" ht="15">
      <c r="A1188" s="195">
        <v>1810</v>
      </c>
      <c r="B1188" s="195" t="s">
        <v>12496</v>
      </c>
      <c r="C1188" s="196"/>
      <c r="D1188" s="197"/>
    </row>
    <row r="1189" spans="1:4" ht="99.75">
      <c r="A1189" s="198">
        <v>181001</v>
      </c>
      <c r="B1189" s="198" t="s">
        <v>14776</v>
      </c>
      <c r="C1189" s="196" t="s">
        <v>33</v>
      </c>
      <c r="D1189" s="197">
        <v>175.8</v>
      </c>
    </row>
    <row r="1190" spans="1:4" ht="114">
      <c r="A1190" s="198">
        <v>181002</v>
      </c>
      <c r="B1190" s="198" t="s">
        <v>14777</v>
      </c>
      <c r="C1190" s="196" t="s">
        <v>33</v>
      </c>
      <c r="D1190" s="197">
        <v>225.51</v>
      </c>
    </row>
    <row r="1191" spans="1:4" ht="99.75">
      <c r="A1191" s="198">
        <v>181003</v>
      </c>
      <c r="B1191" s="198" t="s">
        <v>14778</v>
      </c>
      <c r="C1191" s="196" t="s">
        <v>33</v>
      </c>
      <c r="D1191" s="197">
        <v>155.91</v>
      </c>
    </row>
    <row r="1192" spans="1:4" ht="114">
      <c r="A1192" s="198">
        <v>181004</v>
      </c>
      <c r="B1192" s="198" t="s">
        <v>14779</v>
      </c>
      <c r="C1192" s="196" t="s">
        <v>33</v>
      </c>
      <c r="D1192" s="197">
        <v>217.31</v>
      </c>
    </row>
    <row r="1193" spans="1:4" ht="114">
      <c r="A1193" s="198">
        <v>181005</v>
      </c>
      <c r="B1193" s="198" t="s">
        <v>14780</v>
      </c>
      <c r="C1193" s="196" t="s">
        <v>33</v>
      </c>
      <c r="D1193" s="197">
        <v>299.43</v>
      </c>
    </row>
    <row r="1194" spans="1:4" ht="99.75">
      <c r="A1194" s="198">
        <v>181007</v>
      </c>
      <c r="B1194" s="198" t="s">
        <v>12497</v>
      </c>
      <c r="C1194" s="196" t="s">
        <v>33</v>
      </c>
      <c r="D1194" s="197">
        <v>293.22000000000003</v>
      </c>
    </row>
    <row r="1195" spans="1:4" ht="15">
      <c r="A1195" s="195">
        <v>19</v>
      </c>
      <c r="B1195" s="195" t="s">
        <v>2071</v>
      </c>
      <c r="C1195" s="196"/>
      <c r="D1195" s="197"/>
    </row>
    <row r="1196" spans="1:4" ht="15">
      <c r="A1196" s="195">
        <v>1901</v>
      </c>
      <c r="B1196" s="195" t="s">
        <v>2072</v>
      </c>
      <c r="C1196" s="196"/>
      <c r="D1196" s="197"/>
    </row>
    <row r="1197" spans="1:4" ht="99.75">
      <c r="A1197" s="198">
        <v>190101</v>
      </c>
      <c r="B1197" s="198" t="s">
        <v>18759</v>
      </c>
      <c r="C1197" s="196" t="s">
        <v>35</v>
      </c>
      <c r="D1197" s="197">
        <v>17.5</v>
      </c>
    </row>
    <row r="1198" spans="1:4" ht="57">
      <c r="A1198" s="198">
        <v>190102</v>
      </c>
      <c r="B1198" s="198" t="s">
        <v>797</v>
      </c>
      <c r="C1198" s="196" t="s">
        <v>35</v>
      </c>
      <c r="D1198" s="197">
        <v>23.5</v>
      </c>
    </row>
    <row r="1199" spans="1:4" ht="57">
      <c r="A1199" s="198">
        <v>190103</v>
      </c>
      <c r="B1199" s="198" t="s">
        <v>798</v>
      </c>
      <c r="C1199" s="196" t="s">
        <v>35</v>
      </c>
      <c r="D1199" s="197">
        <v>19.48</v>
      </c>
    </row>
    <row r="1200" spans="1:4" ht="114">
      <c r="A1200" s="198">
        <v>190104</v>
      </c>
      <c r="B1200" s="198" t="s">
        <v>18760</v>
      </c>
      <c r="C1200" s="196" t="s">
        <v>35</v>
      </c>
      <c r="D1200" s="197">
        <v>27.11</v>
      </c>
    </row>
    <row r="1201" spans="1:4" ht="128.25">
      <c r="A1201" s="198">
        <v>190105</v>
      </c>
      <c r="B1201" s="198" t="s">
        <v>18761</v>
      </c>
      <c r="C1201" s="196" t="s">
        <v>35</v>
      </c>
      <c r="D1201" s="197">
        <v>32.549999999999997</v>
      </c>
    </row>
    <row r="1202" spans="1:4" ht="99.75">
      <c r="A1202" s="198">
        <v>190106</v>
      </c>
      <c r="B1202" s="198" t="s">
        <v>18762</v>
      </c>
      <c r="C1202" s="196" t="s">
        <v>35</v>
      </c>
      <c r="D1202" s="197">
        <v>27.17</v>
      </c>
    </row>
    <row r="1203" spans="1:4" ht="28.5">
      <c r="A1203" s="198">
        <v>190107</v>
      </c>
      <c r="B1203" s="198" t="s">
        <v>799</v>
      </c>
      <c r="C1203" s="196" t="s">
        <v>35</v>
      </c>
      <c r="D1203" s="197">
        <v>3.97</v>
      </c>
    </row>
    <row r="1204" spans="1:4" ht="28.5">
      <c r="A1204" s="198">
        <v>190108</v>
      </c>
      <c r="B1204" s="198" t="s">
        <v>18763</v>
      </c>
      <c r="C1204" s="196" t="s">
        <v>35</v>
      </c>
      <c r="D1204" s="197">
        <v>11.55</v>
      </c>
    </row>
    <row r="1205" spans="1:4" ht="71.25">
      <c r="A1205" s="198">
        <v>190109</v>
      </c>
      <c r="B1205" s="198" t="s">
        <v>18764</v>
      </c>
      <c r="C1205" s="196" t="s">
        <v>33</v>
      </c>
      <c r="D1205" s="197">
        <v>100.37</v>
      </c>
    </row>
    <row r="1206" spans="1:4" ht="71.25">
      <c r="A1206" s="198">
        <v>190114</v>
      </c>
      <c r="B1206" s="198" t="s">
        <v>18765</v>
      </c>
      <c r="C1206" s="196" t="s">
        <v>35</v>
      </c>
      <c r="D1206" s="197">
        <v>2.65</v>
      </c>
    </row>
    <row r="1207" spans="1:4" ht="114">
      <c r="A1207" s="198">
        <v>190115</v>
      </c>
      <c r="B1207" s="198" t="s">
        <v>18766</v>
      </c>
      <c r="C1207" s="196" t="s">
        <v>35</v>
      </c>
      <c r="D1207" s="197">
        <v>21.92</v>
      </c>
    </row>
    <row r="1208" spans="1:4" ht="114">
      <c r="A1208" s="198">
        <v>190116</v>
      </c>
      <c r="B1208" s="198" t="s">
        <v>18767</v>
      </c>
      <c r="C1208" s="196" t="s">
        <v>35</v>
      </c>
      <c r="D1208" s="197">
        <v>25.73</v>
      </c>
    </row>
    <row r="1209" spans="1:4" ht="114">
      <c r="A1209" s="198">
        <v>190117</v>
      </c>
      <c r="B1209" s="198" t="s">
        <v>18768</v>
      </c>
      <c r="C1209" s="196" t="s">
        <v>35</v>
      </c>
      <c r="D1209" s="197">
        <v>21.78</v>
      </c>
    </row>
    <row r="1210" spans="1:4" ht="71.25">
      <c r="A1210" s="198">
        <v>190121</v>
      </c>
      <c r="B1210" s="198" t="s">
        <v>18769</v>
      </c>
      <c r="C1210" s="196" t="s">
        <v>35</v>
      </c>
      <c r="D1210" s="197">
        <v>2.82</v>
      </c>
    </row>
    <row r="1211" spans="1:4" ht="30">
      <c r="A1211" s="195">
        <v>1902</v>
      </c>
      <c r="B1211" s="195" t="s">
        <v>2073</v>
      </c>
      <c r="C1211" s="196"/>
      <c r="D1211" s="197"/>
    </row>
    <row r="1212" spans="1:4" ht="99.75">
      <c r="A1212" s="198">
        <v>190201</v>
      </c>
      <c r="B1212" s="198" t="s">
        <v>18770</v>
      </c>
      <c r="C1212" s="196" t="s">
        <v>35</v>
      </c>
      <c r="D1212" s="197">
        <v>15.75</v>
      </c>
    </row>
    <row r="1213" spans="1:4" ht="71.25">
      <c r="A1213" s="198">
        <v>190202</v>
      </c>
      <c r="B1213" s="198" t="s">
        <v>18771</v>
      </c>
      <c r="C1213" s="196" t="s">
        <v>35</v>
      </c>
      <c r="D1213" s="197">
        <v>19.82</v>
      </c>
    </row>
    <row r="1214" spans="1:4" ht="114">
      <c r="A1214" s="198">
        <v>190203</v>
      </c>
      <c r="B1214" s="198" t="s">
        <v>18772</v>
      </c>
      <c r="C1214" s="196" t="s">
        <v>35</v>
      </c>
      <c r="D1214" s="197">
        <v>25.93</v>
      </c>
    </row>
    <row r="1215" spans="1:4" ht="114">
      <c r="A1215" s="198">
        <v>190204</v>
      </c>
      <c r="B1215" s="198" t="s">
        <v>18773</v>
      </c>
      <c r="C1215" s="196" t="s">
        <v>35</v>
      </c>
      <c r="D1215" s="197">
        <v>32.44</v>
      </c>
    </row>
    <row r="1216" spans="1:4" ht="42.75">
      <c r="A1216" s="198">
        <v>190205</v>
      </c>
      <c r="B1216" s="198" t="s">
        <v>18774</v>
      </c>
      <c r="C1216" s="196" t="s">
        <v>35</v>
      </c>
      <c r="D1216" s="197">
        <v>11.67</v>
      </c>
    </row>
    <row r="1217" spans="1:4" ht="114">
      <c r="A1217" s="198">
        <v>190211</v>
      </c>
      <c r="B1217" s="198" t="s">
        <v>18775</v>
      </c>
      <c r="C1217" s="196" t="s">
        <v>35</v>
      </c>
      <c r="D1217" s="197">
        <v>21.92</v>
      </c>
    </row>
    <row r="1218" spans="1:4" ht="15">
      <c r="A1218" s="195">
        <v>1903</v>
      </c>
      <c r="B1218" s="195" t="s">
        <v>2074</v>
      </c>
      <c r="C1218" s="196"/>
      <c r="D1218" s="197"/>
    </row>
    <row r="1219" spans="1:4" ht="114">
      <c r="A1219" s="198">
        <v>190301</v>
      </c>
      <c r="B1219" s="198" t="s">
        <v>18776</v>
      </c>
      <c r="C1219" s="196" t="s">
        <v>35</v>
      </c>
      <c r="D1219" s="197">
        <v>50.59</v>
      </c>
    </row>
    <row r="1220" spans="1:4" ht="99.75">
      <c r="A1220" s="198">
        <v>190302</v>
      </c>
      <c r="B1220" s="198" t="s">
        <v>18777</v>
      </c>
      <c r="C1220" s="196" t="s">
        <v>35</v>
      </c>
      <c r="D1220" s="197">
        <v>45.99</v>
      </c>
    </row>
    <row r="1221" spans="1:4" ht="85.5">
      <c r="A1221" s="198">
        <v>190303</v>
      </c>
      <c r="B1221" s="198" t="s">
        <v>18778</v>
      </c>
      <c r="C1221" s="196" t="s">
        <v>35</v>
      </c>
      <c r="D1221" s="197">
        <v>28.53</v>
      </c>
    </row>
    <row r="1222" spans="1:4" ht="85.5">
      <c r="A1222" s="198">
        <v>190306</v>
      </c>
      <c r="B1222" s="198" t="s">
        <v>18779</v>
      </c>
      <c r="C1222" s="196" t="s">
        <v>35</v>
      </c>
      <c r="D1222" s="197">
        <v>24.79</v>
      </c>
    </row>
    <row r="1223" spans="1:4" ht="71.25">
      <c r="A1223" s="198">
        <v>190307</v>
      </c>
      <c r="B1223" s="198" t="s">
        <v>18780</v>
      </c>
      <c r="C1223" s="196" t="s">
        <v>35</v>
      </c>
      <c r="D1223" s="197">
        <v>28.44</v>
      </c>
    </row>
    <row r="1224" spans="1:4" ht="15">
      <c r="A1224" s="195">
        <v>1904</v>
      </c>
      <c r="B1224" s="195" t="s">
        <v>2075</v>
      </c>
      <c r="C1224" s="196"/>
      <c r="D1224" s="197"/>
    </row>
    <row r="1225" spans="1:4" ht="71.25">
      <c r="A1225" s="198">
        <v>190417</v>
      </c>
      <c r="B1225" s="198" t="s">
        <v>18781</v>
      </c>
      <c r="C1225" s="196" t="s">
        <v>35</v>
      </c>
      <c r="D1225" s="197">
        <v>46.48</v>
      </c>
    </row>
    <row r="1226" spans="1:4" ht="42.75">
      <c r="A1226" s="198">
        <v>190418</v>
      </c>
      <c r="B1226" s="198" t="s">
        <v>800</v>
      </c>
      <c r="C1226" s="196" t="s">
        <v>35</v>
      </c>
      <c r="D1226" s="197">
        <v>44.34</v>
      </c>
    </row>
    <row r="1227" spans="1:4" ht="15">
      <c r="A1227" s="195">
        <v>1905</v>
      </c>
      <c r="B1227" s="195" t="s">
        <v>2076</v>
      </c>
      <c r="C1227" s="196"/>
      <c r="D1227" s="197"/>
    </row>
    <row r="1228" spans="1:4" ht="99.75">
      <c r="A1228" s="198">
        <v>190501</v>
      </c>
      <c r="B1228" s="198" t="s">
        <v>18782</v>
      </c>
      <c r="C1228" s="196" t="s">
        <v>33</v>
      </c>
      <c r="D1228" s="197">
        <v>5.58</v>
      </c>
    </row>
    <row r="1229" spans="1:4" ht="15">
      <c r="A1229" s="195">
        <v>1906</v>
      </c>
      <c r="B1229" s="195" t="s">
        <v>2077</v>
      </c>
      <c r="C1229" s="196"/>
      <c r="D1229" s="197"/>
    </row>
    <row r="1230" spans="1:4" ht="85.5">
      <c r="A1230" s="198">
        <v>190601</v>
      </c>
      <c r="B1230" s="198" t="s">
        <v>18783</v>
      </c>
      <c r="C1230" s="196" t="s">
        <v>51</v>
      </c>
      <c r="D1230" s="197">
        <v>9.44</v>
      </c>
    </row>
    <row r="1231" spans="1:4" ht="85.5">
      <c r="A1231" s="198">
        <v>190602</v>
      </c>
      <c r="B1231" s="198" t="s">
        <v>18784</v>
      </c>
      <c r="C1231" s="196" t="s">
        <v>35</v>
      </c>
      <c r="D1231" s="197">
        <v>18.93</v>
      </c>
    </row>
    <row r="1232" spans="1:4" ht="57">
      <c r="A1232" s="198">
        <v>190603</v>
      </c>
      <c r="B1232" s="198" t="s">
        <v>2078</v>
      </c>
      <c r="C1232" s="196" t="s">
        <v>35</v>
      </c>
      <c r="D1232" s="197">
        <v>21.65</v>
      </c>
    </row>
    <row r="1233" spans="1:4" ht="85.5">
      <c r="A1233" s="198">
        <v>190604</v>
      </c>
      <c r="B1233" s="198" t="s">
        <v>18785</v>
      </c>
      <c r="C1233" s="196" t="s">
        <v>51</v>
      </c>
      <c r="D1233" s="197">
        <v>10.55</v>
      </c>
    </row>
    <row r="1234" spans="1:4" ht="85.5">
      <c r="A1234" s="198">
        <v>190605</v>
      </c>
      <c r="B1234" s="198" t="s">
        <v>2079</v>
      </c>
      <c r="C1234" s="196" t="s">
        <v>35</v>
      </c>
      <c r="D1234" s="197">
        <v>63.1</v>
      </c>
    </row>
    <row r="1235" spans="1:4" ht="30">
      <c r="A1235" s="195">
        <v>20</v>
      </c>
      <c r="B1235" s="195" t="s">
        <v>2080</v>
      </c>
      <c r="C1235" s="196"/>
      <c r="D1235" s="197"/>
    </row>
    <row r="1236" spans="1:4" ht="15">
      <c r="A1236" s="195">
        <v>2001</v>
      </c>
      <c r="B1236" s="195" t="s">
        <v>2081</v>
      </c>
      <c r="C1236" s="196"/>
      <c r="D1236" s="197"/>
    </row>
    <row r="1237" spans="1:4" ht="85.5">
      <c r="A1237" s="198">
        <v>200101</v>
      </c>
      <c r="B1237" s="198" t="s">
        <v>801</v>
      </c>
      <c r="C1237" s="196" t="s">
        <v>35</v>
      </c>
      <c r="D1237" s="197">
        <v>217.07</v>
      </c>
    </row>
    <row r="1238" spans="1:4" ht="57">
      <c r="A1238" s="198">
        <v>200104</v>
      </c>
      <c r="B1238" s="198" t="s">
        <v>802</v>
      </c>
      <c r="C1238" s="196" t="s">
        <v>51</v>
      </c>
      <c r="D1238" s="197">
        <v>327.81</v>
      </c>
    </row>
    <row r="1239" spans="1:4" ht="99.75">
      <c r="A1239" s="198">
        <v>200105</v>
      </c>
      <c r="B1239" s="198" t="s">
        <v>803</v>
      </c>
      <c r="C1239" s="196" t="s">
        <v>51</v>
      </c>
      <c r="D1239" s="197">
        <v>246.3</v>
      </c>
    </row>
    <row r="1240" spans="1:4" ht="71.25">
      <c r="A1240" s="198">
        <v>200107</v>
      </c>
      <c r="B1240" s="198" t="s">
        <v>804</v>
      </c>
      <c r="C1240" s="196" t="s">
        <v>51</v>
      </c>
      <c r="D1240" s="197">
        <v>136.53</v>
      </c>
    </row>
    <row r="1241" spans="1:4" ht="57">
      <c r="A1241" s="198">
        <v>200108</v>
      </c>
      <c r="B1241" s="198" t="s">
        <v>805</v>
      </c>
      <c r="C1241" s="196" t="s">
        <v>44</v>
      </c>
      <c r="D1241" s="199">
        <v>1092.83</v>
      </c>
    </row>
    <row r="1242" spans="1:4" ht="114">
      <c r="A1242" s="198">
        <v>200120</v>
      </c>
      <c r="B1242" s="198" t="s">
        <v>806</v>
      </c>
      <c r="C1242" s="196" t="s">
        <v>51</v>
      </c>
      <c r="D1242" s="197">
        <v>228.27</v>
      </c>
    </row>
    <row r="1243" spans="1:4" ht="114">
      <c r="A1243" s="198">
        <v>200124</v>
      </c>
      <c r="B1243" s="198" t="s">
        <v>807</v>
      </c>
      <c r="C1243" s="196" t="s">
        <v>51</v>
      </c>
      <c r="D1243" s="197">
        <v>930.45</v>
      </c>
    </row>
    <row r="1244" spans="1:4" ht="85.5">
      <c r="A1244" s="198">
        <v>200128</v>
      </c>
      <c r="B1244" s="198" t="s">
        <v>808</v>
      </c>
      <c r="C1244" s="196" t="s">
        <v>35</v>
      </c>
      <c r="D1244" s="197">
        <v>250.51</v>
      </c>
    </row>
    <row r="1245" spans="1:4" ht="71.25">
      <c r="A1245" s="198">
        <v>200129</v>
      </c>
      <c r="B1245" s="198" t="s">
        <v>809</v>
      </c>
      <c r="C1245" s="196" t="s">
        <v>51</v>
      </c>
      <c r="D1245" s="197">
        <v>117.05</v>
      </c>
    </row>
    <row r="1246" spans="1:4" ht="71.25">
      <c r="A1246" s="198">
        <v>200130</v>
      </c>
      <c r="B1246" s="198" t="s">
        <v>810</v>
      </c>
      <c r="C1246" s="196" t="s">
        <v>51</v>
      </c>
      <c r="D1246" s="197">
        <v>901.01</v>
      </c>
    </row>
    <row r="1247" spans="1:4" ht="71.25">
      <c r="A1247" s="198">
        <v>200131</v>
      </c>
      <c r="B1247" s="198" t="s">
        <v>811</v>
      </c>
      <c r="C1247" s="196" t="s">
        <v>51</v>
      </c>
      <c r="D1247" s="199">
        <v>1693.92</v>
      </c>
    </row>
    <row r="1248" spans="1:4" ht="99.75">
      <c r="A1248" s="198">
        <v>200132</v>
      </c>
      <c r="B1248" s="198" t="s">
        <v>18786</v>
      </c>
      <c r="C1248" s="196" t="s">
        <v>33</v>
      </c>
      <c r="D1248" s="199">
        <v>7454.88</v>
      </c>
    </row>
    <row r="1249" spans="1:4" ht="99.75">
      <c r="A1249" s="198">
        <v>200133</v>
      </c>
      <c r="B1249" s="198" t="s">
        <v>18787</v>
      </c>
      <c r="C1249" s="196" t="s">
        <v>33</v>
      </c>
      <c r="D1249" s="199">
        <v>2961.81</v>
      </c>
    </row>
    <row r="1250" spans="1:4" ht="99.75">
      <c r="A1250" s="198">
        <v>200134</v>
      </c>
      <c r="B1250" s="198" t="s">
        <v>18788</v>
      </c>
      <c r="C1250" s="196" t="s">
        <v>35</v>
      </c>
      <c r="D1250" s="197">
        <v>416.38</v>
      </c>
    </row>
    <row r="1251" spans="1:4" ht="15">
      <c r="A1251" s="195">
        <v>2002</v>
      </c>
      <c r="B1251" s="195" t="s">
        <v>2082</v>
      </c>
      <c r="C1251" s="196"/>
      <c r="D1251" s="197"/>
    </row>
    <row r="1252" spans="1:4" ht="57">
      <c r="A1252" s="198">
        <v>200202</v>
      </c>
      <c r="B1252" s="198" t="s">
        <v>812</v>
      </c>
      <c r="C1252" s="196" t="s">
        <v>51</v>
      </c>
      <c r="D1252" s="197">
        <v>62.16</v>
      </c>
    </row>
    <row r="1253" spans="1:4" ht="99.75">
      <c r="A1253" s="198">
        <v>200206</v>
      </c>
      <c r="B1253" s="198" t="s">
        <v>18789</v>
      </c>
      <c r="C1253" s="196" t="s">
        <v>35</v>
      </c>
      <c r="D1253" s="197">
        <v>100.05</v>
      </c>
    </row>
    <row r="1254" spans="1:4" ht="71.25">
      <c r="A1254" s="198">
        <v>200209</v>
      </c>
      <c r="B1254" s="198" t="s">
        <v>813</v>
      </c>
      <c r="C1254" s="196" t="s">
        <v>35</v>
      </c>
      <c r="D1254" s="197">
        <v>153.16</v>
      </c>
    </row>
    <row r="1255" spans="1:4" ht="85.5">
      <c r="A1255" s="198">
        <v>200214</v>
      </c>
      <c r="B1255" s="198" t="s">
        <v>814</v>
      </c>
      <c r="C1255" s="196" t="s">
        <v>35</v>
      </c>
      <c r="D1255" s="197">
        <v>122.15</v>
      </c>
    </row>
    <row r="1256" spans="1:4" ht="42.75">
      <c r="A1256" s="198">
        <v>200223</v>
      </c>
      <c r="B1256" s="198" t="s">
        <v>815</v>
      </c>
      <c r="C1256" s="196" t="s">
        <v>44</v>
      </c>
      <c r="D1256" s="197">
        <v>273.14</v>
      </c>
    </row>
    <row r="1257" spans="1:4" ht="71.25">
      <c r="A1257" s="198">
        <v>200229</v>
      </c>
      <c r="B1257" s="198" t="s">
        <v>816</v>
      </c>
      <c r="C1257" s="196" t="s">
        <v>51</v>
      </c>
      <c r="D1257" s="197">
        <v>82.02</v>
      </c>
    </row>
    <row r="1258" spans="1:4" ht="85.5">
      <c r="A1258" s="198">
        <v>200237</v>
      </c>
      <c r="B1258" s="198" t="s">
        <v>817</v>
      </c>
      <c r="C1258" s="196" t="s">
        <v>35</v>
      </c>
      <c r="D1258" s="197">
        <v>85.67</v>
      </c>
    </row>
    <row r="1259" spans="1:4" ht="99.75">
      <c r="A1259" s="198">
        <v>200243</v>
      </c>
      <c r="B1259" s="198" t="s">
        <v>818</v>
      </c>
      <c r="C1259" s="196" t="s">
        <v>51</v>
      </c>
      <c r="D1259" s="197">
        <v>259.11</v>
      </c>
    </row>
    <row r="1260" spans="1:4" ht="85.5">
      <c r="A1260" s="198">
        <v>200253</v>
      </c>
      <c r="B1260" s="198" t="s">
        <v>819</v>
      </c>
      <c r="C1260" s="196" t="s">
        <v>35</v>
      </c>
      <c r="D1260" s="197">
        <v>85.9</v>
      </c>
    </row>
    <row r="1261" spans="1:4" ht="85.5">
      <c r="A1261" s="198">
        <v>200254</v>
      </c>
      <c r="B1261" s="198" t="s">
        <v>820</v>
      </c>
      <c r="C1261" s="196" t="s">
        <v>35</v>
      </c>
      <c r="D1261" s="197">
        <v>85.9</v>
      </c>
    </row>
    <row r="1262" spans="1:4" ht="15">
      <c r="A1262" s="195">
        <v>2003</v>
      </c>
      <c r="B1262" s="195" t="s">
        <v>1269</v>
      </c>
      <c r="C1262" s="196"/>
      <c r="D1262" s="197"/>
    </row>
    <row r="1263" spans="1:4" ht="57">
      <c r="A1263" s="198">
        <v>200303</v>
      </c>
      <c r="B1263" s="198" t="s">
        <v>821</v>
      </c>
      <c r="C1263" s="196" t="s">
        <v>35</v>
      </c>
      <c r="D1263" s="197">
        <v>14.9</v>
      </c>
    </row>
    <row r="1264" spans="1:4" ht="28.5">
      <c r="A1264" s="198">
        <v>200305</v>
      </c>
      <c r="B1264" s="198" t="s">
        <v>822</v>
      </c>
      <c r="C1264" s="196" t="s">
        <v>44</v>
      </c>
      <c r="D1264" s="197">
        <v>217.21</v>
      </c>
    </row>
    <row r="1265" spans="1:4" ht="28.5">
      <c r="A1265" s="198">
        <v>200306</v>
      </c>
      <c r="B1265" s="198" t="s">
        <v>823</v>
      </c>
      <c r="C1265" s="196" t="s">
        <v>44</v>
      </c>
      <c r="D1265" s="197">
        <v>219.92</v>
      </c>
    </row>
    <row r="1266" spans="1:4" ht="28.5">
      <c r="A1266" s="198">
        <v>200307</v>
      </c>
      <c r="B1266" s="198" t="s">
        <v>824</v>
      </c>
      <c r="C1266" s="196" t="s">
        <v>44</v>
      </c>
      <c r="D1266" s="197">
        <v>246.8</v>
      </c>
    </row>
    <row r="1267" spans="1:4" ht="28.5">
      <c r="A1267" s="198">
        <v>200323</v>
      </c>
      <c r="B1267" s="198" t="s">
        <v>825</v>
      </c>
      <c r="C1267" s="196" t="s">
        <v>44</v>
      </c>
      <c r="D1267" s="197">
        <v>187.02</v>
      </c>
    </row>
    <row r="1268" spans="1:4" ht="42.75">
      <c r="A1268" s="198">
        <v>200326</v>
      </c>
      <c r="B1268" s="198" t="s">
        <v>826</v>
      </c>
      <c r="C1268" s="196" t="s">
        <v>35</v>
      </c>
      <c r="D1268" s="197">
        <v>30.94</v>
      </c>
    </row>
    <row r="1269" spans="1:4" ht="30">
      <c r="A1269" s="195">
        <v>2004</v>
      </c>
      <c r="B1269" s="195" t="s">
        <v>2083</v>
      </c>
      <c r="C1269" s="196"/>
      <c r="D1269" s="197"/>
    </row>
    <row r="1270" spans="1:4" ht="14.25">
      <c r="A1270" s="198">
        <v>200401</v>
      </c>
      <c r="B1270" s="198" t="s">
        <v>2084</v>
      </c>
      <c r="C1270" s="196" t="s">
        <v>35</v>
      </c>
      <c r="D1270" s="197">
        <v>11.82</v>
      </c>
    </row>
    <row r="1271" spans="1:4" ht="28.5">
      <c r="A1271" s="198">
        <v>200402</v>
      </c>
      <c r="B1271" s="198" t="s">
        <v>827</v>
      </c>
      <c r="C1271" s="196" t="s">
        <v>35</v>
      </c>
      <c r="D1271" s="197">
        <v>1.18</v>
      </c>
    </row>
    <row r="1272" spans="1:4" ht="28.5">
      <c r="A1272" s="198">
        <v>200404</v>
      </c>
      <c r="B1272" s="198" t="s">
        <v>828</v>
      </c>
      <c r="C1272" s="196" t="s">
        <v>35</v>
      </c>
      <c r="D1272" s="197">
        <v>23.99</v>
      </c>
    </row>
    <row r="1273" spans="1:4" ht="15">
      <c r="A1273" s="195">
        <v>2005</v>
      </c>
      <c r="B1273" s="195" t="s">
        <v>2085</v>
      </c>
      <c r="C1273" s="196"/>
      <c r="D1273" s="197"/>
    </row>
    <row r="1274" spans="1:4" ht="57">
      <c r="A1274" s="198">
        <v>200511</v>
      </c>
      <c r="B1274" s="198" t="s">
        <v>829</v>
      </c>
      <c r="C1274" s="196" t="s">
        <v>33</v>
      </c>
      <c r="D1274" s="197">
        <v>154.02000000000001</v>
      </c>
    </row>
    <row r="1275" spans="1:4" ht="99.75">
      <c r="A1275" s="198">
        <v>200512</v>
      </c>
      <c r="B1275" s="198" t="s">
        <v>830</v>
      </c>
      <c r="C1275" s="196" t="s">
        <v>33</v>
      </c>
      <c r="D1275" s="197">
        <v>457.51</v>
      </c>
    </row>
    <row r="1276" spans="1:4" ht="71.25">
      <c r="A1276" s="198">
        <v>200513</v>
      </c>
      <c r="B1276" s="198" t="s">
        <v>18905</v>
      </c>
      <c r="C1276" s="196" t="s">
        <v>33</v>
      </c>
      <c r="D1276" s="199">
        <v>1603.91</v>
      </c>
    </row>
    <row r="1277" spans="1:4" ht="42.75">
      <c r="A1277" s="198">
        <v>200562</v>
      </c>
      <c r="B1277" s="198" t="s">
        <v>831</v>
      </c>
      <c r="C1277" s="196" t="s">
        <v>33</v>
      </c>
      <c r="D1277" s="197">
        <v>446.3</v>
      </c>
    </row>
    <row r="1278" spans="1:4" ht="71.25">
      <c r="A1278" s="198">
        <v>200563</v>
      </c>
      <c r="B1278" s="198" t="s">
        <v>832</v>
      </c>
      <c r="C1278" s="196" t="s">
        <v>51</v>
      </c>
      <c r="D1278" s="197">
        <v>163.36000000000001</v>
      </c>
    </row>
    <row r="1279" spans="1:4" ht="42.75">
      <c r="A1279" s="198">
        <v>200572</v>
      </c>
      <c r="B1279" s="198" t="s">
        <v>833</v>
      </c>
      <c r="C1279" s="196" t="s">
        <v>33</v>
      </c>
      <c r="D1279" s="199">
        <v>3061.57</v>
      </c>
    </row>
    <row r="1280" spans="1:4" ht="57">
      <c r="A1280" s="198">
        <v>200573</v>
      </c>
      <c r="B1280" s="198" t="s">
        <v>834</v>
      </c>
      <c r="C1280" s="196" t="s">
        <v>51</v>
      </c>
      <c r="D1280" s="197">
        <v>223.01</v>
      </c>
    </row>
    <row r="1281" spans="1:4" ht="57">
      <c r="A1281" s="198">
        <v>200576</v>
      </c>
      <c r="B1281" s="198" t="s">
        <v>835</v>
      </c>
      <c r="C1281" s="196" t="s">
        <v>33</v>
      </c>
      <c r="D1281" s="197">
        <v>585.34</v>
      </c>
    </row>
    <row r="1282" spans="1:4" ht="57">
      <c r="A1282" s="198">
        <v>200581</v>
      </c>
      <c r="B1282" s="198" t="s">
        <v>18790</v>
      </c>
      <c r="C1282" s="196" t="s">
        <v>33</v>
      </c>
      <c r="D1282" s="197">
        <v>186.64</v>
      </c>
    </row>
    <row r="1283" spans="1:4" ht="57">
      <c r="A1283" s="198">
        <v>200582</v>
      </c>
      <c r="B1283" s="198" t="s">
        <v>18791</v>
      </c>
      <c r="C1283" s="196" t="s">
        <v>33</v>
      </c>
      <c r="D1283" s="197">
        <v>277.08</v>
      </c>
    </row>
    <row r="1284" spans="1:4" ht="30">
      <c r="A1284" s="195">
        <v>2007</v>
      </c>
      <c r="B1284" s="195" t="s">
        <v>2086</v>
      </c>
      <c r="C1284" s="196"/>
      <c r="D1284" s="197"/>
    </row>
    <row r="1285" spans="1:4" ht="114">
      <c r="A1285" s="198">
        <v>200702</v>
      </c>
      <c r="B1285" s="198" t="s">
        <v>836</v>
      </c>
      <c r="C1285" s="196" t="s">
        <v>35</v>
      </c>
      <c r="D1285" s="197">
        <v>135.82</v>
      </c>
    </row>
    <row r="1286" spans="1:4" ht="71.25">
      <c r="A1286" s="198">
        <v>200703</v>
      </c>
      <c r="B1286" s="198" t="s">
        <v>837</v>
      </c>
      <c r="C1286" s="196" t="s">
        <v>51</v>
      </c>
      <c r="D1286" s="197">
        <v>35.61</v>
      </c>
    </row>
    <row r="1287" spans="1:4" ht="57">
      <c r="A1287" s="198">
        <v>200704</v>
      </c>
      <c r="B1287" s="198" t="s">
        <v>838</v>
      </c>
      <c r="C1287" s="196" t="s">
        <v>35</v>
      </c>
      <c r="D1287" s="197">
        <v>38.26</v>
      </c>
    </row>
    <row r="1288" spans="1:4" ht="42.75">
      <c r="A1288" s="198">
        <v>200705</v>
      </c>
      <c r="B1288" s="198" t="s">
        <v>839</v>
      </c>
      <c r="C1288" s="196" t="s">
        <v>33</v>
      </c>
      <c r="D1288" s="197">
        <v>207.32</v>
      </c>
    </row>
    <row r="1289" spans="1:4" ht="57">
      <c r="A1289" s="198">
        <v>200706</v>
      </c>
      <c r="B1289" s="198" t="s">
        <v>840</v>
      </c>
      <c r="C1289" s="196" t="s">
        <v>33</v>
      </c>
      <c r="D1289" s="199">
        <v>3624.02</v>
      </c>
    </row>
    <row r="1290" spans="1:4" ht="42.75">
      <c r="A1290" s="198">
        <v>200707</v>
      </c>
      <c r="B1290" s="198" t="s">
        <v>841</v>
      </c>
      <c r="C1290" s="196" t="s">
        <v>33</v>
      </c>
      <c r="D1290" s="199">
        <v>1739.17</v>
      </c>
    </row>
    <row r="1291" spans="1:4" ht="71.25">
      <c r="A1291" s="198">
        <v>200708</v>
      </c>
      <c r="B1291" s="198" t="s">
        <v>842</v>
      </c>
      <c r="C1291" s="196" t="s">
        <v>33</v>
      </c>
      <c r="D1291" s="199">
        <v>1605.69</v>
      </c>
    </row>
    <row r="1292" spans="1:4" ht="28.5">
      <c r="A1292" s="198">
        <v>200709</v>
      </c>
      <c r="B1292" s="198" t="s">
        <v>843</v>
      </c>
      <c r="C1292" s="196" t="s">
        <v>33</v>
      </c>
      <c r="D1292" s="197">
        <v>990.56</v>
      </c>
    </row>
    <row r="1293" spans="1:4" ht="85.5">
      <c r="A1293" s="198">
        <v>200711</v>
      </c>
      <c r="B1293" s="198" t="s">
        <v>844</v>
      </c>
      <c r="C1293" s="196" t="s">
        <v>35</v>
      </c>
      <c r="D1293" s="197">
        <v>283.17</v>
      </c>
    </row>
    <row r="1294" spans="1:4" ht="14.25">
      <c r="A1294" s="198">
        <v>200713</v>
      </c>
      <c r="B1294" s="198" t="s">
        <v>845</v>
      </c>
      <c r="C1294" s="196" t="s">
        <v>33</v>
      </c>
      <c r="D1294" s="197">
        <v>153.71</v>
      </c>
    </row>
    <row r="1295" spans="1:4" ht="57">
      <c r="A1295" s="198">
        <v>200714</v>
      </c>
      <c r="B1295" s="198" t="s">
        <v>846</v>
      </c>
      <c r="C1295" s="196" t="s">
        <v>35</v>
      </c>
      <c r="D1295" s="197">
        <v>16.71</v>
      </c>
    </row>
    <row r="1296" spans="1:4" ht="85.5">
      <c r="A1296" s="198">
        <v>200715</v>
      </c>
      <c r="B1296" s="198" t="s">
        <v>847</v>
      </c>
      <c r="C1296" s="196" t="s">
        <v>35</v>
      </c>
      <c r="D1296" s="197">
        <v>180.95</v>
      </c>
    </row>
    <row r="1297" spans="1:4" ht="85.5">
      <c r="A1297" s="198">
        <v>200716</v>
      </c>
      <c r="B1297" s="198" t="s">
        <v>848</v>
      </c>
      <c r="C1297" s="196" t="s">
        <v>35</v>
      </c>
      <c r="D1297" s="197">
        <v>149.91999999999999</v>
      </c>
    </row>
    <row r="1298" spans="1:4" ht="42.75">
      <c r="A1298" s="198">
        <v>200717</v>
      </c>
      <c r="B1298" s="198" t="s">
        <v>849</v>
      </c>
      <c r="C1298" s="196" t="s">
        <v>51</v>
      </c>
      <c r="D1298" s="197">
        <v>5.65</v>
      </c>
    </row>
    <row r="1299" spans="1:4" ht="114">
      <c r="A1299" s="198">
        <v>200720</v>
      </c>
      <c r="B1299" s="198" t="s">
        <v>850</v>
      </c>
      <c r="C1299" s="196" t="s">
        <v>35</v>
      </c>
      <c r="D1299" s="197">
        <v>55.25</v>
      </c>
    </row>
    <row r="1300" spans="1:4" ht="42.75">
      <c r="A1300" s="198">
        <v>200721</v>
      </c>
      <c r="B1300" s="198" t="s">
        <v>851</v>
      </c>
      <c r="C1300" s="196" t="s">
        <v>35</v>
      </c>
      <c r="D1300" s="197">
        <v>18.54</v>
      </c>
    </row>
    <row r="1301" spans="1:4" ht="71.25">
      <c r="A1301" s="198">
        <v>200725</v>
      </c>
      <c r="B1301" s="198" t="s">
        <v>852</v>
      </c>
      <c r="C1301" s="196" t="s">
        <v>51</v>
      </c>
      <c r="D1301" s="197">
        <v>56.97</v>
      </c>
    </row>
    <row r="1302" spans="1:4" ht="57">
      <c r="A1302" s="198">
        <v>200726</v>
      </c>
      <c r="B1302" s="198" t="s">
        <v>853</v>
      </c>
      <c r="C1302" s="196" t="s">
        <v>35</v>
      </c>
      <c r="D1302" s="197">
        <v>164.51</v>
      </c>
    </row>
    <row r="1303" spans="1:4" ht="99.75">
      <c r="A1303" s="198">
        <v>200728</v>
      </c>
      <c r="B1303" s="198" t="s">
        <v>854</v>
      </c>
      <c r="C1303" s="196" t="s">
        <v>35</v>
      </c>
      <c r="D1303" s="197">
        <v>195.2</v>
      </c>
    </row>
    <row r="1304" spans="1:4" ht="99.75">
      <c r="A1304" s="198">
        <v>200738</v>
      </c>
      <c r="B1304" s="198" t="s">
        <v>855</v>
      </c>
      <c r="C1304" s="196" t="s">
        <v>166</v>
      </c>
      <c r="D1304" s="197">
        <v>34.68</v>
      </c>
    </row>
    <row r="1305" spans="1:4" ht="30">
      <c r="A1305" s="195">
        <v>21</v>
      </c>
      <c r="B1305" s="195" t="s">
        <v>2087</v>
      </c>
      <c r="C1305" s="196"/>
      <c r="D1305" s="197"/>
    </row>
    <row r="1306" spans="1:4" ht="15">
      <c r="A1306" s="195">
        <v>2101</v>
      </c>
      <c r="B1306" s="195" t="s">
        <v>2088</v>
      </c>
      <c r="C1306" s="196"/>
      <c r="D1306" s="197"/>
    </row>
    <row r="1307" spans="1:4" ht="28.5">
      <c r="A1307" s="198">
        <v>210105</v>
      </c>
      <c r="B1307" s="198" t="s">
        <v>856</v>
      </c>
      <c r="C1307" s="196" t="s">
        <v>35</v>
      </c>
      <c r="D1307" s="197">
        <v>139.51</v>
      </c>
    </row>
    <row r="1308" spans="1:4" ht="57">
      <c r="A1308" s="198">
        <v>210109</v>
      </c>
      <c r="B1308" s="198" t="s">
        <v>857</v>
      </c>
      <c r="C1308" s="196" t="s">
        <v>33</v>
      </c>
      <c r="D1308" s="197">
        <v>564.45000000000005</v>
      </c>
    </row>
    <row r="1309" spans="1:4" ht="99.75">
      <c r="A1309" s="198">
        <v>210114</v>
      </c>
      <c r="B1309" s="198" t="s">
        <v>12643</v>
      </c>
      <c r="C1309" s="196" t="s">
        <v>33</v>
      </c>
      <c r="D1309" s="199">
        <v>5782.16</v>
      </c>
    </row>
    <row r="1310" spans="1:4" ht="15">
      <c r="A1310" s="195">
        <v>2102</v>
      </c>
      <c r="B1310" s="195" t="s">
        <v>2089</v>
      </c>
      <c r="C1310" s="196"/>
      <c r="D1310" s="197"/>
    </row>
    <row r="1311" spans="1:4" ht="28.5">
      <c r="A1311" s="198">
        <v>210210</v>
      </c>
      <c r="B1311" s="198" t="s">
        <v>858</v>
      </c>
      <c r="C1311" s="196" t="s">
        <v>35</v>
      </c>
      <c r="D1311" s="197">
        <v>408.75</v>
      </c>
    </row>
    <row r="1312" spans="1:4" ht="15">
      <c r="A1312" s="195">
        <v>2103</v>
      </c>
      <c r="B1312" s="195" t="s">
        <v>2090</v>
      </c>
      <c r="C1312" s="196"/>
      <c r="D1312" s="197"/>
    </row>
    <row r="1313" spans="1:4" ht="42.75">
      <c r="A1313" s="198">
        <v>210301</v>
      </c>
      <c r="B1313" s="198" t="s">
        <v>859</v>
      </c>
      <c r="C1313" s="196" t="s">
        <v>51</v>
      </c>
      <c r="D1313" s="197">
        <v>347.02</v>
      </c>
    </row>
    <row r="1314" spans="1:4" ht="57">
      <c r="A1314" s="198">
        <v>210302</v>
      </c>
      <c r="B1314" s="198" t="s">
        <v>12644</v>
      </c>
      <c r="C1314" s="196" t="s">
        <v>51</v>
      </c>
      <c r="D1314" s="197">
        <v>251.93</v>
      </c>
    </row>
    <row r="1315" spans="1:4" ht="71.25">
      <c r="A1315" s="198">
        <v>210304</v>
      </c>
      <c r="B1315" s="198" t="s">
        <v>860</v>
      </c>
      <c r="C1315" s="196" t="s">
        <v>51</v>
      </c>
      <c r="D1315" s="197">
        <v>215.84</v>
      </c>
    </row>
    <row r="1316" spans="1:4" ht="71.25">
      <c r="A1316" s="198">
        <v>210316</v>
      </c>
      <c r="B1316" s="198" t="s">
        <v>861</v>
      </c>
      <c r="C1316" s="196" t="s">
        <v>33</v>
      </c>
      <c r="D1316" s="197">
        <v>698.57</v>
      </c>
    </row>
    <row r="1317" spans="1:4" ht="57">
      <c r="A1317" s="198">
        <v>210321</v>
      </c>
      <c r="B1317" s="198" t="s">
        <v>862</v>
      </c>
      <c r="C1317" s="196" t="s">
        <v>33</v>
      </c>
      <c r="D1317" s="197">
        <v>171.05</v>
      </c>
    </row>
    <row r="1318" spans="1:4" ht="42.75">
      <c r="A1318" s="198">
        <v>210322</v>
      </c>
      <c r="B1318" s="198" t="s">
        <v>863</v>
      </c>
      <c r="C1318" s="196" t="s">
        <v>51</v>
      </c>
      <c r="D1318" s="197">
        <v>144.58000000000001</v>
      </c>
    </row>
    <row r="1319" spans="1:4" ht="15">
      <c r="A1319" s="195">
        <v>22</v>
      </c>
      <c r="B1319" s="195" t="s">
        <v>2091</v>
      </c>
      <c r="C1319" s="196"/>
      <c r="D1319" s="197"/>
    </row>
    <row r="1320" spans="1:4" ht="60">
      <c r="A1320" s="195">
        <v>2208</v>
      </c>
      <c r="B1320" s="195" t="s">
        <v>2092</v>
      </c>
      <c r="C1320" s="196"/>
      <c r="D1320" s="197"/>
    </row>
    <row r="1321" spans="1:4" ht="114">
      <c r="A1321" s="198">
        <v>220803</v>
      </c>
      <c r="B1321" s="198" t="s">
        <v>18792</v>
      </c>
      <c r="C1321" s="196" t="s">
        <v>102</v>
      </c>
      <c r="D1321" s="199">
        <v>3951.25</v>
      </c>
    </row>
    <row r="1322" spans="1:4" ht="15">
      <c r="A1322" s="195">
        <v>31</v>
      </c>
      <c r="B1322" s="195" t="s">
        <v>2093</v>
      </c>
      <c r="C1322" s="196"/>
      <c r="D1322" s="197"/>
    </row>
    <row r="1323" spans="1:4" ht="30">
      <c r="A1323" s="195">
        <v>3106</v>
      </c>
      <c r="B1323" s="195" t="s">
        <v>2094</v>
      </c>
      <c r="C1323" s="196"/>
      <c r="D1323" s="197"/>
    </row>
    <row r="1324" spans="1:4" ht="28.5">
      <c r="A1324" s="198">
        <v>310601</v>
      </c>
      <c r="B1324" s="198" t="s">
        <v>864</v>
      </c>
      <c r="C1324" s="196" t="s">
        <v>865</v>
      </c>
      <c r="D1324" s="199">
        <v>1308.51</v>
      </c>
    </row>
    <row r="1325" spans="1:4" ht="45">
      <c r="A1325" s="195">
        <v>3108</v>
      </c>
      <c r="B1325" s="195" t="s">
        <v>2095</v>
      </c>
      <c r="C1325" s="196"/>
      <c r="D1325" s="197"/>
    </row>
    <row r="1326" spans="1:4" ht="14.25">
      <c r="A1326" s="198">
        <v>310801</v>
      </c>
      <c r="B1326" s="198" t="s">
        <v>866</v>
      </c>
      <c r="C1326" s="196" t="s">
        <v>33</v>
      </c>
      <c r="D1326" s="197">
        <v>12.67</v>
      </c>
    </row>
    <row r="1327" spans="1:4" ht="14.25">
      <c r="A1327" s="198">
        <v>310802</v>
      </c>
      <c r="B1327" s="198" t="s">
        <v>867</v>
      </c>
      <c r="C1327" s="196" t="s">
        <v>33</v>
      </c>
      <c r="D1327" s="197">
        <v>140.68</v>
      </c>
    </row>
    <row r="1328" spans="1:4" ht="14.25">
      <c r="A1328" s="198">
        <v>310803</v>
      </c>
      <c r="B1328" s="198" t="s">
        <v>868</v>
      </c>
      <c r="C1328" s="196" t="s">
        <v>33</v>
      </c>
      <c r="D1328" s="197">
        <v>29.05</v>
      </c>
    </row>
    <row r="1329" spans="1:4" ht="14.25">
      <c r="A1329" s="198">
        <v>310804</v>
      </c>
      <c r="B1329" s="198" t="s">
        <v>869</v>
      </c>
      <c r="C1329" s="196" t="s">
        <v>33</v>
      </c>
      <c r="D1329" s="197">
        <v>62.09</v>
      </c>
    </row>
    <row r="1330" spans="1:4" ht="14.25">
      <c r="A1330" s="198">
        <v>310805</v>
      </c>
      <c r="B1330" s="198" t="s">
        <v>870</v>
      </c>
      <c r="C1330" s="196" t="s">
        <v>33</v>
      </c>
      <c r="D1330" s="197">
        <v>4.54</v>
      </c>
    </row>
    <row r="1331" spans="1:4" ht="14.25">
      <c r="A1331" s="198">
        <v>310806</v>
      </c>
      <c r="B1331" s="198" t="s">
        <v>871</v>
      </c>
      <c r="C1331" s="196" t="s">
        <v>33</v>
      </c>
      <c r="D1331" s="197">
        <v>14.01</v>
      </c>
    </row>
    <row r="1332" spans="1:4" ht="14.25">
      <c r="A1332" s="198">
        <v>310807</v>
      </c>
      <c r="B1332" s="198" t="s">
        <v>872</v>
      </c>
      <c r="C1332" s="196" t="s">
        <v>33</v>
      </c>
      <c r="D1332" s="197">
        <v>26.79</v>
      </c>
    </row>
    <row r="1333" spans="1:4" ht="14.25">
      <c r="A1333" s="198">
        <v>310808</v>
      </c>
      <c r="B1333" s="198" t="s">
        <v>873</v>
      </c>
      <c r="C1333" s="196" t="s">
        <v>33</v>
      </c>
      <c r="D1333" s="197">
        <v>2.3199999999999998</v>
      </c>
    </row>
    <row r="1334" spans="1:4" ht="14.25">
      <c r="A1334" s="198">
        <v>310809</v>
      </c>
      <c r="B1334" s="198" t="s">
        <v>874</v>
      </c>
      <c r="C1334" s="196" t="s">
        <v>33</v>
      </c>
      <c r="D1334" s="197">
        <v>129.86000000000001</v>
      </c>
    </row>
    <row r="1335" spans="1:4" ht="30">
      <c r="A1335" s="195">
        <v>3109</v>
      </c>
      <c r="B1335" s="195" t="s">
        <v>2096</v>
      </c>
      <c r="C1335" s="196"/>
      <c r="D1335" s="197"/>
    </row>
    <row r="1336" spans="1:4" ht="14.25">
      <c r="A1336" s="198">
        <v>310901</v>
      </c>
      <c r="B1336" s="198" t="s">
        <v>875</v>
      </c>
      <c r="C1336" s="196" t="s">
        <v>33</v>
      </c>
      <c r="D1336" s="197">
        <v>115.45</v>
      </c>
    </row>
    <row r="1337" spans="1:4" ht="14.25">
      <c r="A1337" s="198">
        <v>310902</v>
      </c>
      <c r="B1337" s="198" t="s">
        <v>876</v>
      </c>
      <c r="C1337" s="196" t="s">
        <v>33</v>
      </c>
      <c r="D1337" s="197">
        <v>49.01</v>
      </c>
    </row>
    <row r="1338" spans="1:4" ht="14.25">
      <c r="A1338" s="198">
        <v>310903</v>
      </c>
      <c r="B1338" s="198" t="s">
        <v>877</v>
      </c>
      <c r="C1338" s="196" t="s">
        <v>33</v>
      </c>
      <c r="D1338" s="197">
        <v>53.76</v>
      </c>
    </row>
    <row r="1339" spans="1:4" ht="14.25">
      <c r="A1339" s="198">
        <v>310904</v>
      </c>
      <c r="B1339" s="198" t="s">
        <v>878</v>
      </c>
      <c r="C1339" s="196" t="s">
        <v>33</v>
      </c>
      <c r="D1339" s="197">
        <v>83.17</v>
      </c>
    </row>
    <row r="1340" spans="1:4" ht="14.25">
      <c r="A1340" s="198">
        <v>310905</v>
      </c>
      <c r="B1340" s="198" t="s">
        <v>879</v>
      </c>
      <c r="C1340" s="196" t="s">
        <v>33</v>
      </c>
      <c r="D1340" s="197">
        <v>39.17</v>
      </c>
    </row>
    <row r="1341" spans="1:4" ht="14.25">
      <c r="A1341" s="198">
        <v>310906</v>
      </c>
      <c r="B1341" s="198" t="s">
        <v>880</v>
      </c>
      <c r="C1341" s="196" t="s">
        <v>33</v>
      </c>
      <c r="D1341" s="197">
        <v>41.57</v>
      </c>
    </row>
    <row r="1342" spans="1:4" ht="14.25">
      <c r="A1342" s="198">
        <v>310907</v>
      </c>
      <c r="B1342" s="198" t="s">
        <v>881</v>
      </c>
      <c r="C1342" s="196" t="s">
        <v>33</v>
      </c>
      <c r="D1342" s="197">
        <v>43.71</v>
      </c>
    </row>
    <row r="1343" spans="1:4" ht="14.25">
      <c r="A1343" s="198">
        <v>310908</v>
      </c>
      <c r="B1343" s="198" t="s">
        <v>882</v>
      </c>
      <c r="C1343" s="196" t="s">
        <v>33</v>
      </c>
      <c r="D1343" s="197">
        <v>163.52000000000001</v>
      </c>
    </row>
    <row r="1344" spans="1:4" ht="14.25">
      <c r="A1344" s="198">
        <v>310909</v>
      </c>
      <c r="B1344" s="198" t="s">
        <v>883</v>
      </c>
      <c r="C1344" s="196" t="s">
        <v>33</v>
      </c>
      <c r="D1344" s="197">
        <v>66.94</v>
      </c>
    </row>
    <row r="1345" spans="1:4" ht="14.25">
      <c r="A1345" s="198">
        <v>310910</v>
      </c>
      <c r="B1345" s="198" t="s">
        <v>884</v>
      </c>
      <c r="C1345" s="196" t="s">
        <v>33</v>
      </c>
      <c r="D1345" s="197">
        <v>48.61</v>
      </c>
    </row>
    <row r="1346" spans="1:4" ht="14.25">
      <c r="A1346" s="198">
        <v>310911</v>
      </c>
      <c r="B1346" s="198" t="s">
        <v>885</v>
      </c>
      <c r="C1346" s="196" t="s">
        <v>33</v>
      </c>
      <c r="D1346" s="197">
        <v>71</v>
      </c>
    </row>
    <row r="1347" spans="1:4" ht="14.25">
      <c r="A1347" s="198">
        <v>310912</v>
      </c>
      <c r="B1347" s="198" t="s">
        <v>886</v>
      </c>
      <c r="C1347" s="196" t="s">
        <v>33</v>
      </c>
      <c r="D1347" s="197">
        <v>504.27</v>
      </c>
    </row>
    <row r="1348" spans="1:4" ht="14.25">
      <c r="A1348" s="198">
        <v>310913</v>
      </c>
      <c r="B1348" s="198" t="s">
        <v>887</v>
      </c>
      <c r="C1348" s="196" t="s">
        <v>33</v>
      </c>
      <c r="D1348" s="197">
        <v>763.2</v>
      </c>
    </row>
    <row r="1349" spans="1:4" ht="14.25">
      <c r="A1349" s="198">
        <v>310914</v>
      </c>
      <c r="B1349" s="198" t="s">
        <v>888</v>
      </c>
      <c r="C1349" s="196" t="s">
        <v>33</v>
      </c>
      <c r="D1349" s="197">
        <v>252.5</v>
      </c>
    </row>
    <row r="1350" spans="1:4" ht="30">
      <c r="A1350" s="195">
        <v>3130</v>
      </c>
      <c r="B1350" s="195" t="s">
        <v>18793</v>
      </c>
      <c r="C1350" s="196"/>
      <c r="D1350" s="197"/>
    </row>
    <row r="1351" spans="1:4" ht="28.5">
      <c r="A1351" s="198">
        <v>313001</v>
      </c>
      <c r="B1351" s="198" t="s">
        <v>18794</v>
      </c>
      <c r="C1351" s="196" t="s">
        <v>18795</v>
      </c>
      <c r="D1351" s="199">
        <v>10793.15</v>
      </c>
    </row>
    <row r="1352" spans="1:4" ht="28.5">
      <c r="A1352" s="198">
        <v>313002</v>
      </c>
      <c r="B1352" s="198" t="s">
        <v>18796</v>
      </c>
      <c r="C1352" s="196" t="s">
        <v>18795</v>
      </c>
      <c r="D1352" s="199">
        <v>28277.23</v>
      </c>
    </row>
    <row r="1353" spans="1:4" ht="28.5">
      <c r="A1353" s="198">
        <v>313003</v>
      </c>
      <c r="B1353" s="198" t="s">
        <v>18797</v>
      </c>
      <c r="C1353" s="196" t="s">
        <v>18795</v>
      </c>
      <c r="D1353" s="199">
        <v>11752.7</v>
      </c>
    </row>
    <row r="1354" spans="1:4" ht="28.5">
      <c r="A1354" s="198">
        <v>313004</v>
      </c>
      <c r="B1354" s="198" t="s">
        <v>18798</v>
      </c>
      <c r="C1354" s="196" t="s">
        <v>18795</v>
      </c>
      <c r="D1354" s="199">
        <v>3589.66</v>
      </c>
    </row>
    <row r="1355" spans="1:4" ht="28.5">
      <c r="A1355" s="198">
        <v>313005</v>
      </c>
      <c r="B1355" s="198" t="s">
        <v>18799</v>
      </c>
      <c r="C1355" s="196" t="s">
        <v>18795</v>
      </c>
      <c r="D1355" s="199">
        <v>20222.919999999998</v>
      </c>
    </row>
    <row r="1356" spans="1:4" ht="28.5">
      <c r="A1356" s="198">
        <v>313006</v>
      </c>
      <c r="B1356" s="198" t="s">
        <v>18800</v>
      </c>
      <c r="C1356" s="196" t="s">
        <v>18795</v>
      </c>
      <c r="D1356" s="199">
        <v>8634.73</v>
      </c>
    </row>
    <row r="1357" spans="1:4" ht="28.5">
      <c r="A1357" s="198">
        <v>313007</v>
      </c>
      <c r="B1357" s="198" t="s">
        <v>18801</v>
      </c>
      <c r="C1357" s="196" t="s">
        <v>18795</v>
      </c>
      <c r="D1357" s="199">
        <v>6906.65</v>
      </c>
    </row>
    <row r="1358" spans="1:4" ht="28.5">
      <c r="A1358" s="198">
        <v>313008</v>
      </c>
      <c r="B1358" s="198" t="s">
        <v>18802</v>
      </c>
      <c r="C1358" s="196" t="s">
        <v>18795</v>
      </c>
      <c r="D1358" s="199">
        <v>16153.49</v>
      </c>
    </row>
    <row r="1359" spans="1:4" ht="28.5">
      <c r="A1359" s="198">
        <v>313009</v>
      </c>
      <c r="B1359" s="198" t="s">
        <v>18803</v>
      </c>
      <c r="C1359" s="196" t="s">
        <v>18795</v>
      </c>
      <c r="D1359" s="199">
        <v>13374.95</v>
      </c>
    </row>
    <row r="1360" spans="1:4" ht="28.5">
      <c r="A1360" s="198">
        <v>313010</v>
      </c>
      <c r="B1360" s="198" t="s">
        <v>18804</v>
      </c>
      <c r="C1360" s="196" t="s">
        <v>18795</v>
      </c>
      <c r="D1360" s="199">
        <v>13374.95</v>
      </c>
    </row>
    <row r="1361" spans="1:4" ht="28.5">
      <c r="A1361" s="198">
        <v>313011</v>
      </c>
      <c r="B1361" s="198" t="s">
        <v>18805</v>
      </c>
      <c r="C1361" s="196" t="s">
        <v>18795</v>
      </c>
      <c r="D1361" s="199">
        <v>12391.24</v>
      </c>
    </row>
    <row r="1362" spans="1:4" ht="28.5">
      <c r="A1362" s="198">
        <v>313012</v>
      </c>
      <c r="B1362" s="198" t="s">
        <v>18806</v>
      </c>
      <c r="C1362" s="196" t="s">
        <v>18795</v>
      </c>
      <c r="D1362" s="199">
        <v>12520.68</v>
      </c>
    </row>
    <row r="1363" spans="1:4" ht="28.5">
      <c r="A1363" s="198">
        <v>313013</v>
      </c>
      <c r="B1363" s="198" t="s">
        <v>18807</v>
      </c>
      <c r="C1363" s="196" t="s">
        <v>18795</v>
      </c>
      <c r="D1363" s="199">
        <v>13374.95</v>
      </c>
    </row>
    <row r="1364" spans="1:4" ht="42.75">
      <c r="A1364" s="198">
        <v>313014</v>
      </c>
      <c r="B1364" s="198" t="s">
        <v>18808</v>
      </c>
      <c r="C1364" s="196" t="s">
        <v>18795</v>
      </c>
      <c r="D1364" s="199">
        <v>28950.3</v>
      </c>
    </row>
    <row r="1365" spans="1:4" ht="14.25">
      <c r="A1365" s="198">
        <v>313015</v>
      </c>
      <c r="B1365" s="198" t="s">
        <v>18809</v>
      </c>
      <c r="C1365" s="196" t="s">
        <v>18795</v>
      </c>
      <c r="D1365" s="199">
        <v>7179.33</v>
      </c>
    </row>
    <row r="1366" spans="1:4" ht="28.5">
      <c r="A1366" s="198">
        <v>313016</v>
      </c>
      <c r="B1366" s="198" t="s">
        <v>18810</v>
      </c>
      <c r="C1366" s="196" t="s">
        <v>18795</v>
      </c>
      <c r="D1366" s="199">
        <v>16153.49</v>
      </c>
    </row>
    <row r="1367" spans="1:4" ht="28.5">
      <c r="A1367" s="198">
        <v>313017</v>
      </c>
      <c r="B1367" s="198" t="s">
        <v>18811</v>
      </c>
      <c r="C1367" s="196" t="s">
        <v>18795</v>
      </c>
      <c r="D1367" s="199">
        <v>24219.88</v>
      </c>
    </row>
    <row r="1368" spans="1:4" ht="14.25">
      <c r="A1368" s="198">
        <v>313018</v>
      </c>
      <c r="B1368" s="198" t="s">
        <v>18812</v>
      </c>
      <c r="C1368" s="196" t="s">
        <v>18795</v>
      </c>
      <c r="D1368" s="199">
        <v>3356.34</v>
      </c>
    </row>
    <row r="1369" spans="1:4" ht="28.5">
      <c r="A1369" s="198">
        <v>313019</v>
      </c>
      <c r="B1369" s="198" t="s">
        <v>18813</v>
      </c>
      <c r="C1369" s="196" t="s">
        <v>18795</v>
      </c>
      <c r="D1369" s="199">
        <v>6071.02</v>
      </c>
    </row>
    <row r="1370" spans="1:4" ht="14.25">
      <c r="A1370" s="198">
        <v>313020</v>
      </c>
      <c r="B1370" s="198" t="s">
        <v>18814</v>
      </c>
      <c r="C1370" s="196" t="s">
        <v>18795</v>
      </c>
      <c r="D1370" s="199">
        <v>2490.67</v>
      </c>
    </row>
    <row r="1371" spans="1:4" ht="28.5">
      <c r="A1371" s="198">
        <v>313021</v>
      </c>
      <c r="B1371" s="198" t="s">
        <v>18815</v>
      </c>
      <c r="C1371" s="196" t="s">
        <v>18795</v>
      </c>
      <c r="D1371" s="199">
        <v>2490.67</v>
      </c>
    </row>
    <row r="1372" spans="1:4" ht="30">
      <c r="A1372" s="195">
        <v>3131</v>
      </c>
      <c r="B1372" s="195" t="s">
        <v>18816</v>
      </c>
      <c r="C1372" s="196"/>
      <c r="D1372" s="197"/>
    </row>
    <row r="1373" spans="1:4" ht="28.5">
      <c r="A1373" s="198">
        <v>313101</v>
      </c>
      <c r="B1373" s="198" t="s">
        <v>18817</v>
      </c>
      <c r="C1373" s="196" t="s">
        <v>18795</v>
      </c>
      <c r="D1373" s="199">
        <v>9310.33</v>
      </c>
    </row>
    <row r="1374" spans="1:4" ht="28.5">
      <c r="A1374" s="198">
        <v>313102</v>
      </c>
      <c r="B1374" s="198" t="s">
        <v>18818</v>
      </c>
      <c r="C1374" s="196" t="s">
        <v>18795</v>
      </c>
      <c r="D1374" s="199">
        <v>24392.35</v>
      </c>
    </row>
    <row r="1375" spans="1:4" ht="28.5">
      <c r="A1375" s="198">
        <v>313103</v>
      </c>
      <c r="B1375" s="198" t="s">
        <v>18819</v>
      </c>
      <c r="C1375" s="196" t="s">
        <v>18795</v>
      </c>
      <c r="D1375" s="199">
        <v>10138.049999999999</v>
      </c>
    </row>
    <row r="1376" spans="1:4" ht="28.5">
      <c r="A1376" s="198">
        <v>313104</v>
      </c>
      <c r="B1376" s="198" t="s">
        <v>18820</v>
      </c>
      <c r="C1376" s="196" t="s">
        <v>18795</v>
      </c>
      <c r="D1376" s="199">
        <v>3096.5</v>
      </c>
    </row>
    <row r="1377" spans="1:4" ht="28.5">
      <c r="A1377" s="198">
        <v>313105</v>
      </c>
      <c r="B1377" s="198" t="s">
        <v>18821</v>
      </c>
      <c r="C1377" s="196" t="s">
        <v>18795</v>
      </c>
      <c r="D1377" s="199">
        <v>17444.59</v>
      </c>
    </row>
    <row r="1378" spans="1:4" ht="28.5">
      <c r="A1378" s="198">
        <v>313106</v>
      </c>
      <c r="B1378" s="198" t="s">
        <v>18822</v>
      </c>
      <c r="C1378" s="196" t="s">
        <v>18795</v>
      </c>
      <c r="D1378" s="199">
        <v>7448.44</v>
      </c>
    </row>
    <row r="1379" spans="1:4" ht="28.5">
      <c r="A1379" s="198">
        <v>313107</v>
      </c>
      <c r="B1379" s="198" t="s">
        <v>18823</v>
      </c>
      <c r="C1379" s="196" t="s">
        <v>18795</v>
      </c>
      <c r="D1379" s="199">
        <v>5957.78</v>
      </c>
    </row>
    <row r="1380" spans="1:4" ht="28.5">
      <c r="A1380" s="198">
        <v>313108</v>
      </c>
      <c r="B1380" s="198" t="s">
        <v>18824</v>
      </c>
      <c r="C1380" s="196" t="s">
        <v>18795</v>
      </c>
      <c r="D1380" s="199">
        <v>13934.23</v>
      </c>
    </row>
    <row r="1381" spans="1:4" ht="28.5">
      <c r="A1381" s="198">
        <v>313109</v>
      </c>
      <c r="B1381" s="198" t="s">
        <v>18825</v>
      </c>
      <c r="C1381" s="196" t="s">
        <v>18795</v>
      </c>
      <c r="D1381" s="199">
        <v>11537.43</v>
      </c>
    </row>
    <row r="1382" spans="1:4" ht="28.5">
      <c r="A1382" s="198">
        <v>313110</v>
      </c>
      <c r="B1382" s="198" t="s">
        <v>18826</v>
      </c>
      <c r="C1382" s="196" t="s">
        <v>18795</v>
      </c>
      <c r="D1382" s="199">
        <v>11537.43</v>
      </c>
    </row>
    <row r="1383" spans="1:4" ht="28.5">
      <c r="A1383" s="198">
        <v>313111</v>
      </c>
      <c r="B1383" s="198" t="s">
        <v>18827</v>
      </c>
      <c r="C1383" s="196" t="s">
        <v>18795</v>
      </c>
      <c r="D1383" s="199">
        <v>10688.87</v>
      </c>
    </row>
    <row r="1384" spans="1:4" ht="28.5">
      <c r="A1384" s="198">
        <v>313112</v>
      </c>
      <c r="B1384" s="198" t="s">
        <v>18828</v>
      </c>
      <c r="C1384" s="196" t="s">
        <v>18795</v>
      </c>
      <c r="D1384" s="199">
        <v>10800.52</v>
      </c>
    </row>
    <row r="1385" spans="1:4" ht="28.5">
      <c r="A1385" s="198">
        <v>313113</v>
      </c>
      <c r="B1385" s="198" t="s">
        <v>18829</v>
      </c>
      <c r="C1385" s="196" t="s">
        <v>18795</v>
      </c>
      <c r="D1385" s="199">
        <v>11537.43</v>
      </c>
    </row>
    <row r="1386" spans="1:4" ht="42.75">
      <c r="A1386" s="198">
        <v>313114</v>
      </c>
      <c r="B1386" s="198" t="s">
        <v>18830</v>
      </c>
      <c r="C1386" s="196" t="s">
        <v>18795</v>
      </c>
      <c r="D1386" s="199">
        <v>24972.94</v>
      </c>
    </row>
    <row r="1387" spans="1:4" ht="14.25">
      <c r="A1387" s="198">
        <v>313115</v>
      </c>
      <c r="B1387" s="198" t="s">
        <v>18831</v>
      </c>
      <c r="C1387" s="196" t="s">
        <v>18795</v>
      </c>
      <c r="D1387" s="199">
        <v>6192.99</v>
      </c>
    </row>
    <row r="1388" spans="1:4" ht="28.5">
      <c r="A1388" s="198">
        <v>313116</v>
      </c>
      <c r="B1388" s="198" t="s">
        <v>18832</v>
      </c>
      <c r="C1388" s="196" t="s">
        <v>18795</v>
      </c>
      <c r="D1388" s="199">
        <v>13934.23</v>
      </c>
    </row>
    <row r="1389" spans="1:4" ht="28.5">
      <c r="A1389" s="198">
        <v>313117</v>
      </c>
      <c r="B1389" s="198" t="s">
        <v>18833</v>
      </c>
      <c r="C1389" s="196" t="s">
        <v>18795</v>
      </c>
      <c r="D1389" s="199">
        <v>20892.419999999998</v>
      </c>
    </row>
    <row r="1390" spans="1:4" ht="14.25">
      <c r="A1390" s="198">
        <v>313118</v>
      </c>
      <c r="B1390" s="198" t="s">
        <v>18834</v>
      </c>
      <c r="C1390" s="196" t="s">
        <v>18795</v>
      </c>
      <c r="D1390" s="199">
        <v>2895.22</v>
      </c>
    </row>
    <row r="1391" spans="1:4" ht="28.5">
      <c r="A1391" s="198">
        <v>313119</v>
      </c>
      <c r="B1391" s="198" t="s">
        <v>18835</v>
      </c>
      <c r="C1391" s="196" t="s">
        <v>18795</v>
      </c>
      <c r="D1391" s="199">
        <v>5236.95</v>
      </c>
    </row>
    <row r="1392" spans="1:4" ht="14.25">
      <c r="A1392" s="198">
        <v>313120</v>
      </c>
      <c r="B1392" s="198" t="s">
        <v>18836</v>
      </c>
      <c r="C1392" s="196" t="s">
        <v>18795</v>
      </c>
      <c r="D1392" s="199">
        <v>2148.4899999999998</v>
      </c>
    </row>
    <row r="1393" spans="1:4" ht="28.5">
      <c r="A1393" s="198">
        <v>313121</v>
      </c>
      <c r="B1393" s="198" t="s">
        <v>18837</v>
      </c>
      <c r="C1393" s="196" t="s">
        <v>18795</v>
      </c>
      <c r="D1393" s="199">
        <v>2148.4899999999998</v>
      </c>
    </row>
    <row r="1394" spans="1:4" ht="28.5">
      <c r="A1394" s="198">
        <v>313122</v>
      </c>
      <c r="B1394" s="198" t="s">
        <v>18838</v>
      </c>
      <c r="C1394" s="196" t="s">
        <v>18795</v>
      </c>
      <c r="D1394" s="199">
        <v>4028.42</v>
      </c>
    </row>
    <row r="1395" spans="1:4" ht="30">
      <c r="A1395" s="195">
        <v>3132</v>
      </c>
      <c r="B1395" s="195" t="s">
        <v>18839</v>
      </c>
      <c r="C1395" s="196"/>
      <c r="D1395" s="197"/>
    </row>
    <row r="1396" spans="1:4" ht="28.5">
      <c r="A1396" s="198">
        <v>313201</v>
      </c>
      <c r="B1396" s="198" t="s">
        <v>18840</v>
      </c>
      <c r="C1396" s="196" t="s">
        <v>18795</v>
      </c>
      <c r="D1396" s="199">
        <v>9323.4599999999991</v>
      </c>
    </row>
    <row r="1397" spans="1:4" ht="28.5">
      <c r="A1397" s="198">
        <v>313202</v>
      </c>
      <c r="B1397" s="198" t="s">
        <v>18841</v>
      </c>
      <c r="C1397" s="196" t="s">
        <v>18795</v>
      </c>
      <c r="D1397" s="199">
        <v>24426.76</v>
      </c>
    </row>
    <row r="1398" spans="1:4" ht="28.5">
      <c r="A1398" s="198">
        <v>313203</v>
      </c>
      <c r="B1398" s="198" t="s">
        <v>18842</v>
      </c>
      <c r="C1398" s="196" t="s">
        <v>18795</v>
      </c>
      <c r="D1398" s="199">
        <v>10152.35</v>
      </c>
    </row>
    <row r="1399" spans="1:4" ht="28.5">
      <c r="A1399" s="198">
        <v>313204</v>
      </c>
      <c r="B1399" s="198" t="s">
        <v>18843</v>
      </c>
      <c r="C1399" s="196" t="s">
        <v>18795</v>
      </c>
      <c r="D1399" s="199">
        <v>3100.86</v>
      </c>
    </row>
    <row r="1400" spans="1:4" ht="28.5">
      <c r="A1400" s="198">
        <v>313205</v>
      </c>
      <c r="B1400" s="198" t="s">
        <v>18844</v>
      </c>
      <c r="C1400" s="196" t="s">
        <v>18795</v>
      </c>
      <c r="D1400" s="199">
        <v>17469.189999999999</v>
      </c>
    </row>
    <row r="1401" spans="1:4" ht="28.5">
      <c r="A1401" s="198">
        <v>313206</v>
      </c>
      <c r="B1401" s="198" t="s">
        <v>18845</v>
      </c>
      <c r="C1401" s="196" t="s">
        <v>18795</v>
      </c>
      <c r="D1401" s="199">
        <v>7458.95</v>
      </c>
    </row>
    <row r="1402" spans="1:4" ht="28.5">
      <c r="A1402" s="198">
        <v>313207</v>
      </c>
      <c r="B1402" s="198" t="s">
        <v>18846</v>
      </c>
      <c r="C1402" s="196" t="s">
        <v>18795</v>
      </c>
      <c r="D1402" s="199">
        <v>5966.18</v>
      </c>
    </row>
    <row r="1403" spans="1:4" ht="28.5">
      <c r="A1403" s="198">
        <v>313208</v>
      </c>
      <c r="B1403" s="198" t="s">
        <v>18847</v>
      </c>
      <c r="C1403" s="196" t="s">
        <v>18795</v>
      </c>
      <c r="D1403" s="199">
        <v>13953.89</v>
      </c>
    </row>
    <row r="1404" spans="1:4" ht="28.5">
      <c r="A1404" s="198">
        <v>313209</v>
      </c>
      <c r="B1404" s="198" t="s">
        <v>18848</v>
      </c>
      <c r="C1404" s="196" t="s">
        <v>18795</v>
      </c>
      <c r="D1404" s="199">
        <v>11553.7</v>
      </c>
    </row>
    <row r="1405" spans="1:4" ht="28.5">
      <c r="A1405" s="198">
        <v>313210</v>
      </c>
      <c r="B1405" s="198" t="s">
        <v>18849</v>
      </c>
      <c r="C1405" s="196" t="s">
        <v>18795</v>
      </c>
      <c r="D1405" s="199">
        <v>11553.7</v>
      </c>
    </row>
    <row r="1406" spans="1:4" ht="28.5">
      <c r="A1406" s="198">
        <v>313211</v>
      </c>
      <c r="B1406" s="198" t="s">
        <v>18850</v>
      </c>
      <c r="C1406" s="196" t="s">
        <v>18795</v>
      </c>
      <c r="D1406" s="199">
        <v>10703.94</v>
      </c>
    </row>
    <row r="1407" spans="1:4" ht="28.5">
      <c r="A1407" s="198">
        <v>313212</v>
      </c>
      <c r="B1407" s="198" t="s">
        <v>18851</v>
      </c>
      <c r="C1407" s="196" t="s">
        <v>18795</v>
      </c>
      <c r="D1407" s="199">
        <v>10815.75</v>
      </c>
    </row>
    <row r="1408" spans="1:4" ht="28.5">
      <c r="A1408" s="198">
        <v>313213</v>
      </c>
      <c r="B1408" s="198" t="s">
        <v>18852</v>
      </c>
      <c r="C1408" s="196" t="s">
        <v>18795</v>
      </c>
      <c r="D1408" s="199">
        <v>11553.7</v>
      </c>
    </row>
    <row r="1409" spans="1:4" ht="42.75">
      <c r="A1409" s="198">
        <v>313214</v>
      </c>
      <c r="B1409" s="198" t="s">
        <v>18853</v>
      </c>
      <c r="C1409" s="196" t="s">
        <v>18795</v>
      </c>
      <c r="D1409" s="199">
        <v>25008.17</v>
      </c>
    </row>
    <row r="1410" spans="1:4" ht="14.25">
      <c r="A1410" s="198">
        <v>313215</v>
      </c>
      <c r="B1410" s="198" t="s">
        <v>18854</v>
      </c>
      <c r="C1410" s="196" t="s">
        <v>18795</v>
      </c>
      <c r="D1410" s="199">
        <v>6201.73</v>
      </c>
    </row>
    <row r="1411" spans="1:4" ht="28.5">
      <c r="A1411" s="198">
        <v>313216</v>
      </c>
      <c r="B1411" s="198" t="s">
        <v>18855</v>
      </c>
      <c r="C1411" s="196" t="s">
        <v>18795</v>
      </c>
      <c r="D1411" s="199">
        <v>13953.89</v>
      </c>
    </row>
    <row r="1412" spans="1:4" ht="28.5">
      <c r="A1412" s="198">
        <v>313217</v>
      </c>
      <c r="B1412" s="198" t="s">
        <v>18856</v>
      </c>
      <c r="C1412" s="196" t="s">
        <v>18795</v>
      </c>
      <c r="D1412" s="199">
        <v>20921.89</v>
      </c>
    </row>
    <row r="1413" spans="1:4" ht="28.5">
      <c r="A1413" s="198">
        <v>313218</v>
      </c>
      <c r="B1413" s="198" t="s">
        <v>18857</v>
      </c>
      <c r="C1413" s="196" t="s">
        <v>18795</v>
      </c>
      <c r="D1413" s="199">
        <v>2722.2</v>
      </c>
    </row>
    <row r="1414" spans="1:4" ht="28.5">
      <c r="A1414" s="198">
        <v>313219</v>
      </c>
      <c r="B1414" s="198" t="s">
        <v>18858</v>
      </c>
      <c r="C1414" s="196" t="s">
        <v>18795</v>
      </c>
      <c r="D1414" s="199">
        <v>4924.5600000000004</v>
      </c>
    </row>
    <row r="1415" spans="1:4" ht="14.25">
      <c r="A1415" s="198">
        <v>313220</v>
      </c>
      <c r="B1415" s="198" t="s">
        <v>18859</v>
      </c>
      <c r="C1415" s="196" t="s">
        <v>18795</v>
      </c>
      <c r="D1415" s="199">
        <v>2020.33</v>
      </c>
    </row>
    <row r="1416" spans="1:4" ht="28.5">
      <c r="A1416" s="198">
        <v>313221</v>
      </c>
      <c r="B1416" s="198" t="s">
        <v>18860</v>
      </c>
      <c r="C1416" s="196" t="s">
        <v>18795</v>
      </c>
      <c r="D1416" s="199">
        <v>2020.33</v>
      </c>
    </row>
    <row r="1417" spans="1:4" ht="28.5">
      <c r="A1417" s="198">
        <v>313222</v>
      </c>
      <c r="B1417" s="198" t="s">
        <v>18861</v>
      </c>
      <c r="C1417" s="196" t="s">
        <v>18795</v>
      </c>
      <c r="D1417" s="199">
        <v>3788.12</v>
      </c>
    </row>
    <row r="1418" spans="1:4" ht="28.5">
      <c r="A1418" s="198">
        <v>313223</v>
      </c>
      <c r="B1418" s="198" t="s">
        <v>18862</v>
      </c>
      <c r="C1418" s="196" t="s">
        <v>18795</v>
      </c>
      <c r="D1418" s="199">
        <v>4773.54</v>
      </c>
    </row>
    <row r="1419" spans="1:4" ht="30">
      <c r="A1419" s="195">
        <v>3133</v>
      </c>
      <c r="B1419" s="195" t="s">
        <v>18863</v>
      </c>
      <c r="C1419" s="196"/>
      <c r="D1419" s="197"/>
    </row>
    <row r="1420" spans="1:4" ht="28.5">
      <c r="A1420" s="198">
        <v>313301</v>
      </c>
      <c r="B1420" s="198" t="s">
        <v>18864</v>
      </c>
      <c r="C1420" s="196" t="s">
        <v>18795</v>
      </c>
      <c r="D1420" s="199">
        <v>10815.04</v>
      </c>
    </row>
    <row r="1421" spans="1:4" ht="28.5">
      <c r="A1421" s="198">
        <v>313302</v>
      </c>
      <c r="B1421" s="198" t="s">
        <v>18865</v>
      </c>
      <c r="C1421" s="196" t="s">
        <v>18795</v>
      </c>
      <c r="D1421" s="199">
        <v>28334.58</v>
      </c>
    </row>
    <row r="1422" spans="1:4" ht="28.5">
      <c r="A1422" s="198">
        <v>313303</v>
      </c>
      <c r="B1422" s="198" t="s">
        <v>18866</v>
      </c>
      <c r="C1422" s="196" t="s">
        <v>18795</v>
      </c>
      <c r="D1422" s="199">
        <v>11776.53</v>
      </c>
    </row>
    <row r="1423" spans="1:4" ht="28.5">
      <c r="A1423" s="198">
        <v>313304</v>
      </c>
      <c r="B1423" s="198" t="s">
        <v>18867</v>
      </c>
      <c r="C1423" s="196" t="s">
        <v>18795</v>
      </c>
      <c r="D1423" s="199">
        <v>3596.94</v>
      </c>
    </row>
    <row r="1424" spans="1:4" ht="28.5">
      <c r="A1424" s="198">
        <v>313305</v>
      </c>
      <c r="B1424" s="198" t="s">
        <v>18868</v>
      </c>
      <c r="C1424" s="196" t="s">
        <v>18795</v>
      </c>
      <c r="D1424" s="199">
        <v>20263.939999999999</v>
      </c>
    </row>
    <row r="1425" spans="1:4" ht="28.5">
      <c r="A1425" s="198">
        <v>313306</v>
      </c>
      <c r="B1425" s="198" t="s">
        <v>18869</v>
      </c>
      <c r="C1425" s="196" t="s">
        <v>18795</v>
      </c>
      <c r="D1425" s="199">
        <v>8652.24</v>
      </c>
    </row>
    <row r="1426" spans="1:4" ht="28.5">
      <c r="A1426" s="198">
        <v>313307</v>
      </c>
      <c r="B1426" s="198" t="s">
        <v>18870</v>
      </c>
      <c r="C1426" s="196" t="s">
        <v>18795</v>
      </c>
      <c r="D1426" s="199">
        <v>6920.66</v>
      </c>
    </row>
    <row r="1427" spans="1:4" ht="28.5">
      <c r="A1427" s="198">
        <v>313308</v>
      </c>
      <c r="B1427" s="198" t="s">
        <v>18871</v>
      </c>
      <c r="C1427" s="196" t="s">
        <v>18795</v>
      </c>
      <c r="D1427" s="199">
        <v>16186.25</v>
      </c>
    </row>
    <row r="1428" spans="1:4" ht="28.5">
      <c r="A1428" s="198">
        <v>313309</v>
      </c>
      <c r="B1428" s="198" t="s">
        <v>18872</v>
      </c>
      <c r="C1428" s="196" t="s">
        <v>18795</v>
      </c>
      <c r="D1428" s="199">
        <v>13402.08</v>
      </c>
    </row>
    <row r="1429" spans="1:4" ht="28.5">
      <c r="A1429" s="198">
        <v>313310</v>
      </c>
      <c r="B1429" s="198" t="s">
        <v>18873</v>
      </c>
      <c r="C1429" s="196" t="s">
        <v>18795</v>
      </c>
      <c r="D1429" s="199">
        <v>13402.08</v>
      </c>
    </row>
    <row r="1430" spans="1:4" ht="28.5">
      <c r="A1430" s="198">
        <v>313311</v>
      </c>
      <c r="B1430" s="198" t="s">
        <v>18874</v>
      </c>
      <c r="C1430" s="196" t="s">
        <v>18795</v>
      </c>
      <c r="D1430" s="199">
        <v>12416.37</v>
      </c>
    </row>
    <row r="1431" spans="1:4" ht="28.5">
      <c r="A1431" s="198">
        <v>313312</v>
      </c>
      <c r="B1431" s="198" t="s">
        <v>18875</v>
      </c>
      <c r="C1431" s="196" t="s">
        <v>18795</v>
      </c>
      <c r="D1431" s="199">
        <v>12546.07</v>
      </c>
    </row>
    <row r="1432" spans="1:4" ht="28.5">
      <c r="A1432" s="198">
        <v>313313</v>
      </c>
      <c r="B1432" s="198" t="s">
        <v>18876</v>
      </c>
      <c r="C1432" s="196" t="s">
        <v>18795</v>
      </c>
      <c r="D1432" s="199">
        <v>13402.08</v>
      </c>
    </row>
    <row r="1433" spans="1:4" ht="28.5">
      <c r="A1433" s="198">
        <v>313314</v>
      </c>
      <c r="B1433" s="198" t="s">
        <v>18877</v>
      </c>
      <c r="C1433" s="196" t="s">
        <v>18795</v>
      </c>
      <c r="D1433" s="199">
        <v>29009.01</v>
      </c>
    </row>
    <row r="1434" spans="1:4" ht="14.25">
      <c r="A1434" s="198">
        <v>313315</v>
      </c>
      <c r="B1434" s="198" t="s">
        <v>18878</v>
      </c>
      <c r="C1434" s="196" t="s">
        <v>18795</v>
      </c>
      <c r="D1434" s="199">
        <v>7193.89</v>
      </c>
    </row>
    <row r="1435" spans="1:4" ht="28.5">
      <c r="A1435" s="198">
        <v>313316</v>
      </c>
      <c r="B1435" s="198" t="s">
        <v>18879</v>
      </c>
      <c r="C1435" s="196" t="s">
        <v>18795</v>
      </c>
      <c r="D1435" s="199">
        <v>16186.25</v>
      </c>
    </row>
    <row r="1436" spans="1:4" ht="28.5">
      <c r="A1436" s="198">
        <v>313317</v>
      </c>
      <c r="B1436" s="198" t="s">
        <v>18880</v>
      </c>
      <c r="C1436" s="196" t="s">
        <v>18795</v>
      </c>
      <c r="D1436" s="199">
        <v>24269</v>
      </c>
    </row>
    <row r="1437" spans="1:4" ht="28.5">
      <c r="A1437" s="198">
        <v>313318</v>
      </c>
      <c r="B1437" s="198" t="s">
        <v>18881</v>
      </c>
      <c r="C1437" s="196" t="s">
        <v>18795</v>
      </c>
      <c r="D1437" s="199">
        <v>3157.7</v>
      </c>
    </row>
    <row r="1438" spans="1:4" ht="28.5">
      <c r="A1438" s="198">
        <v>313319</v>
      </c>
      <c r="B1438" s="198" t="s">
        <v>18882</v>
      </c>
      <c r="C1438" s="196" t="s">
        <v>18795</v>
      </c>
      <c r="D1438" s="199">
        <v>5712.4</v>
      </c>
    </row>
    <row r="1439" spans="1:4" ht="14.25">
      <c r="A1439" s="198">
        <v>313320</v>
      </c>
      <c r="B1439" s="198" t="s">
        <v>18883</v>
      </c>
      <c r="C1439" s="196" t="s">
        <v>18795</v>
      </c>
      <c r="D1439" s="199">
        <v>2343.5500000000002</v>
      </c>
    </row>
    <row r="1440" spans="1:4" ht="28.5">
      <c r="A1440" s="198">
        <v>313321</v>
      </c>
      <c r="B1440" s="198" t="s">
        <v>18884</v>
      </c>
      <c r="C1440" s="196" t="s">
        <v>18795</v>
      </c>
      <c r="D1440" s="199">
        <v>2343.5500000000002</v>
      </c>
    </row>
    <row r="1441" spans="1:4" ht="28.5">
      <c r="A1441" s="198">
        <v>313322</v>
      </c>
      <c r="B1441" s="198" t="s">
        <v>18885</v>
      </c>
      <c r="C1441" s="196" t="s">
        <v>18795</v>
      </c>
      <c r="D1441" s="199">
        <v>4394.1499999999996</v>
      </c>
    </row>
    <row r="1442" spans="1:4" ht="28.5">
      <c r="A1442" s="198">
        <v>313323</v>
      </c>
      <c r="B1442" s="198" t="s">
        <v>18886</v>
      </c>
      <c r="C1442" s="196" t="s">
        <v>18795</v>
      </c>
      <c r="D1442" s="199">
        <v>5537.22</v>
      </c>
    </row>
  </sheetData>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9"/>
  <sheetViews>
    <sheetView workbookViewId="0">
      <pane xSplit="3" ySplit="2" topLeftCell="D3" activePane="bottomRight" state="frozen"/>
      <selection pane="topRight" activeCell="D1" sqref="D1"/>
      <selection pane="bottomLeft" activeCell="A3" sqref="A3"/>
      <selection pane="bottomRight" activeCell="L13" sqref="L13"/>
    </sheetView>
  </sheetViews>
  <sheetFormatPr defaultRowHeight="15"/>
  <cols>
    <col min="1" max="1" width="5.625" style="291" customWidth="1"/>
    <col min="2" max="2" width="25.625" style="291" customWidth="1"/>
    <col min="3" max="3" width="12.625" style="291" customWidth="1"/>
    <col min="4" max="4" width="5.625" style="291" customWidth="1"/>
    <col min="5" max="5" width="8.625" style="291" customWidth="1"/>
    <col min="6" max="7" width="5.625" style="291" customWidth="1"/>
    <col min="8" max="9" width="15.625" style="291" customWidth="1"/>
    <col min="10" max="10" width="5.625" style="291" customWidth="1"/>
    <col min="11" max="12" width="10.625" style="291" customWidth="1"/>
    <col min="13" max="13" width="5.625" style="291" customWidth="1"/>
    <col min="14" max="14" width="10.625" style="291" customWidth="1"/>
    <col min="15" max="16384" width="9" style="291"/>
  </cols>
  <sheetData>
    <row r="1" spans="1:14" ht="30" customHeight="1">
      <c r="A1" s="419" t="s">
        <v>14499</v>
      </c>
      <c r="B1" s="419"/>
      <c r="C1" s="419"/>
      <c r="D1" s="419"/>
      <c r="E1" s="419"/>
      <c r="F1" s="419"/>
      <c r="G1" s="419"/>
      <c r="H1" s="419"/>
      <c r="I1" s="419"/>
      <c r="J1" s="419"/>
      <c r="K1" s="419"/>
      <c r="L1" s="419"/>
      <c r="M1" s="419"/>
      <c r="N1" s="419"/>
    </row>
    <row r="2" spans="1:14" ht="45">
      <c r="A2" s="275" t="s">
        <v>922</v>
      </c>
      <c r="B2" s="275" t="s">
        <v>934</v>
      </c>
      <c r="C2" s="275" t="s">
        <v>14501</v>
      </c>
      <c r="D2" s="276" t="s">
        <v>7264</v>
      </c>
      <c r="E2" s="276" t="s">
        <v>14546</v>
      </c>
      <c r="F2" s="276" t="s">
        <v>14631</v>
      </c>
      <c r="G2" s="276" t="s">
        <v>14629</v>
      </c>
      <c r="H2" s="276" t="s">
        <v>14718</v>
      </c>
      <c r="I2" s="276" t="s">
        <v>14719</v>
      </c>
      <c r="J2" s="276" t="s">
        <v>14720</v>
      </c>
      <c r="K2" s="276" t="s">
        <v>14721</v>
      </c>
      <c r="L2" s="276" t="s">
        <v>14722</v>
      </c>
      <c r="M2" s="276" t="s">
        <v>14723</v>
      </c>
      <c r="N2" s="276" t="s">
        <v>14724</v>
      </c>
    </row>
    <row r="3" spans="1:14">
      <c r="A3" s="281">
        <v>1</v>
      </c>
      <c r="B3" s="296" t="s">
        <v>14716</v>
      </c>
      <c r="C3" s="297" t="s">
        <v>14717</v>
      </c>
      <c r="D3" s="281" t="s">
        <v>1855</v>
      </c>
      <c r="E3" s="281">
        <f>SUM(F3:N3)</f>
        <v>23</v>
      </c>
      <c r="F3" s="281">
        <v>1</v>
      </c>
      <c r="G3" s="281">
        <v>1</v>
      </c>
      <c r="H3" s="281">
        <v>6</v>
      </c>
      <c r="I3" s="281">
        <v>8</v>
      </c>
      <c r="J3" s="281">
        <v>1</v>
      </c>
      <c r="K3" s="281">
        <v>2</v>
      </c>
      <c r="L3" s="281">
        <v>3</v>
      </c>
      <c r="M3" s="281">
        <v>1</v>
      </c>
      <c r="N3" s="299" t="s">
        <v>7251</v>
      </c>
    </row>
    <row r="4" spans="1:14">
      <c r="A4" s="281">
        <v>2</v>
      </c>
      <c r="B4" s="283" t="s">
        <v>14551</v>
      </c>
      <c r="C4" s="281" t="s">
        <v>14552</v>
      </c>
      <c r="D4" s="281" t="s">
        <v>1855</v>
      </c>
      <c r="E4" s="281">
        <f>SUM(F4:N4)</f>
        <v>41</v>
      </c>
      <c r="F4" s="281" t="s">
        <v>7251</v>
      </c>
      <c r="G4" s="281">
        <v>3</v>
      </c>
      <c r="H4" s="292">
        <f>4*6</f>
        <v>24</v>
      </c>
      <c r="I4" s="299" t="s">
        <v>7251</v>
      </c>
      <c r="J4" s="299" t="s">
        <v>7251</v>
      </c>
      <c r="K4" s="281">
        <v>4</v>
      </c>
      <c r="L4" s="281">
        <f>2*3</f>
        <v>6</v>
      </c>
      <c r="M4" s="292">
        <v>4</v>
      </c>
      <c r="N4" s="299" t="s">
        <v>7251</v>
      </c>
    </row>
    <row r="5" spans="1:14">
      <c r="A5" s="281">
        <v>3</v>
      </c>
      <c r="B5" s="283" t="s">
        <v>14553</v>
      </c>
      <c r="C5" s="281" t="s">
        <v>14552</v>
      </c>
      <c r="D5" s="281" t="s">
        <v>1855</v>
      </c>
      <c r="E5" s="281">
        <f>SUM(F5:N5)</f>
        <v>43</v>
      </c>
      <c r="F5" s="281">
        <v>3</v>
      </c>
      <c r="G5" s="299" t="s">
        <v>7251</v>
      </c>
      <c r="H5" s="299" t="s">
        <v>7251</v>
      </c>
      <c r="I5" s="299">
        <f>3*8</f>
        <v>24</v>
      </c>
      <c r="J5" s="292">
        <v>2</v>
      </c>
      <c r="K5" s="299">
        <v>4</v>
      </c>
      <c r="L5" s="281">
        <v>3</v>
      </c>
      <c r="M5" s="292">
        <v>1</v>
      </c>
      <c r="N5" s="292">
        <v>6</v>
      </c>
    </row>
    <row r="6" spans="1:14">
      <c r="A6" s="281">
        <v>4</v>
      </c>
      <c r="B6" s="283" t="s">
        <v>14555</v>
      </c>
      <c r="C6" s="281" t="s">
        <v>14560</v>
      </c>
      <c r="D6" s="281" t="s">
        <v>1855</v>
      </c>
      <c r="E6" s="281">
        <f>SUM(F6:N6)</f>
        <v>1</v>
      </c>
      <c r="F6" s="281" t="s">
        <v>7251</v>
      </c>
      <c r="G6" s="281">
        <v>1</v>
      </c>
      <c r="H6" s="299" t="s">
        <v>7251</v>
      </c>
      <c r="I6" s="299" t="s">
        <v>7251</v>
      </c>
      <c r="J6" s="299" t="s">
        <v>7251</v>
      </c>
      <c r="K6" s="299" t="s">
        <v>7251</v>
      </c>
      <c r="L6" s="299" t="s">
        <v>7251</v>
      </c>
      <c r="M6" s="299" t="s">
        <v>7251</v>
      </c>
      <c r="N6" s="299" t="s">
        <v>7251</v>
      </c>
    </row>
    <row r="7" spans="1:14">
      <c r="A7" s="281">
        <v>5</v>
      </c>
      <c r="B7" s="283" t="s">
        <v>14558</v>
      </c>
      <c r="C7" s="281" t="s">
        <v>14552</v>
      </c>
      <c r="D7" s="281" t="s">
        <v>1855</v>
      </c>
      <c r="E7" s="281">
        <f>SUM(F7:N7)</f>
        <v>75</v>
      </c>
      <c r="F7" s="281">
        <v>3</v>
      </c>
      <c r="G7" s="281">
        <v>2</v>
      </c>
      <c r="H7" s="281">
        <f>2*6</f>
        <v>12</v>
      </c>
      <c r="I7" s="281">
        <f>5*8</f>
        <v>40</v>
      </c>
      <c r="J7" s="281">
        <v>2</v>
      </c>
      <c r="K7" s="281">
        <v>3</v>
      </c>
      <c r="L7" s="281">
        <v>3</v>
      </c>
      <c r="M7" s="281">
        <v>4</v>
      </c>
      <c r="N7" s="299">
        <v>6</v>
      </c>
    </row>
    <row r="8" spans="1:14">
      <c r="A8" s="281"/>
      <c r="B8" s="282" t="s">
        <v>14544</v>
      </c>
      <c r="C8" s="281" t="s">
        <v>14552</v>
      </c>
      <c r="D8" s="281" t="s">
        <v>6</v>
      </c>
      <c r="E8" s="281">
        <f>ROUNDUP(SUM(F8:N8),0)</f>
        <v>145</v>
      </c>
      <c r="F8" s="281">
        <f>0.8+6</f>
        <v>6.8</v>
      </c>
      <c r="G8" s="281">
        <v>2.7</v>
      </c>
      <c r="H8" s="281">
        <f>2.2*6</f>
        <v>13.200000000000001</v>
      </c>
      <c r="I8" s="281">
        <f>10*8</f>
        <v>80</v>
      </c>
      <c r="J8" s="281">
        <v>2</v>
      </c>
      <c r="K8" s="281">
        <f>(3.5+2.35+0.15)*2</f>
        <v>12</v>
      </c>
      <c r="L8" s="281">
        <f>4*3</f>
        <v>12</v>
      </c>
      <c r="M8" s="281">
        <f>5.6*2</f>
        <v>11.2</v>
      </c>
      <c r="N8" s="281">
        <v>4.7</v>
      </c>
    </row>
    <row r="9" spans="1:14">
      <c r="A9" s="300" t="s">
        <v>14725</v>
      </c>
    </row>
  </sheetData>
  <mergeCells count="1">
    <mergeCell ref="A1:N1"/>
  </mergeCells>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9265"/>
  <sheetViews>
    <sheetView workbookViewId="0">
      <selection activeCell="A4191" sqref="A4191:XFD4191"/>
    </sheetView>
  </sheetViews>
  <sheetFormatPr defaultRowHeight="11.25"/>
  <cols>
    <col min="1" max="1" width="9.75" style="12" customWidth="1"/>
    <col min="2" max="2" width="29.25" style="12" customWidth="1"/>
    <col min="3" max="3" width="4.25" style="12" customWidth="1"/>
    <col min="4" max="4" width="4" style="12" customWidth="1"/>
    <col min="5" max="5" width="16.75" style="12" bestFit="1" customWidth="1"/>
    <col min="6" max="1024" width="8.375" style="12" customWidth="1"/>
    <col min="1025" max="16384" width="9" style="12"/>
  </cols>
  <sheetData>
    <row r="1" spans="1:5">
      <c r="A1" s="17" t="s">
        <v>1944</v>
      </c>
      <c r="B1" s="35">
        <v>45261</v>
      </c>
    </row>
    <row r="2" spans="1:5">
      <c r="A2" s="12">
        <v>1</v>
      </c>
      <c r="B2" s="12">
        <v>2</v>
      </c>
      <c r="C2" s="12">
        <v>3</v>
      </c>
      <c r="D2" s="12">
        <v>5</v>
      </c>
      <c r="E2" s="12">
        <v>5</v>
      </c>
    </row>
    <row r="3" spans="1:5">
      <c r="A3" s="12" t="s">
        <v>18</v>
      </c>
      <c r="B3" s="12" t="s">
        <v>19</v>
      </c>
      <c r="C3" s="12" t="s">
        <v>5</v>
      </c>
      <c r="D3" s="12" t="s">
        <v>20</v>
      </c>
      <c r="E3" s="12" t="s">
        <v>21</v>
      </c>
    </row>
    <row r="4" spans="1:5" ht="14.25">
      <c r="A4">
        <v>38605</v>
      </c>
      <c r="B4" t="s">
        <v>12647</v>
      </c>
      <c r="C4" t="s">
        <v>2102</v>
      </c>
      <c r="D4" t="s">
        <v>2103</v>
      </c>
      <c r="E4" s="183">
        <v>68.59</v>
      </c>
    </row>
    <row r="5" spans="1:5" ht="14.25">
      <c r="A5">
        <v>11270</v>
      </c>
      <c r="B5" t="s">
        <v>12648</v>
      </c>
      <c r="C5" t="s">
        <v>2102</v>
      </c>
      <c r="D5" t="s">
        <v>2105</v>
      </c>
      <c r="E5" s="183">
        <v>2.59</v>
      </c>
    </row>
    <row r="6" spans="1:5" ht="14.25">
      <c r="A6">
        <v>412</v>
      </c>
      <c r="B6" t="s">
        <v>12649</v>
      </c>
      <c r="C6" t="s">
        <v>2102</v>
      </c>
      <c r="D6" t="s">
        <v>2103</v>
      </c>
      <c r="E6" s="183">
        <v>1.18</v>
      </c>
    </row>
    <row r="7" spans="1:5" ht="14.25">
      <c r="A7">
        <v>414</v>
      </c>
      <c r="B7" t="s">
        <v>12650</v>
      </c>
      <c r="C7" t="s">
        <v>2102</v>
      </c>
      <c r="D7" t="s">
        <v>2103</v>
      </c>
      <c r="E7" s="183">
        <v>7.0000000000000007E-2</v>
      </c>
    </row>
    <row r="8" spans="1:5" ht="14.25">
      <c r="A8">
        <v>410</v>
      </c>
      <c r="B8" t="s">
        <v>12651</v>
      </c>
      <c r="C8" t="s">
        <v>2102</v>
      </c>
      <c r="D8" t="s">
        <v>2103</v>
      </c>
      <c r="E8" s="183">
        <v>0.18</v>
      </c>
    </row>
    <row r="9" spans="1:5" ht="14.25">
      <c r="A9">
        <v>411</v>
      </c>
      <c r="B9" t="s">
        <v>12652</v>
      </c>
      <c r="C9" t="s">
        <v>2102</v>
      </c>
      <c r="D9" t="s">
        <v>2107</v>
      </c>
      <c r="E9" s="183">
        <v>0.23</v>
      </c>
    </row>
    <row r="10" spans="1:5" ht="14.25">
      <c r="A10">
        <v>408</v>
      </c>
      <c r="B10" t="s">
        <v>12653</v>
      </c>
      <c r="C10" t="s">
        <v>2102</v>
      </c>
      <c r="D10" t="s">
        <v>2103</v>
      </c>
      <c r="E10" s="183">
        <v>1.1399999999999999</v>
      </c>
    </row>
    <row r="11" spans="1:5" ht="14.25">
      <c r="A11">
        <v>39131</v>
      </c>
      <c r="B11" t="s">
        <v>12654</v>
      </c>
      <c r="C11" t="s">
        <v>2102</v>
      </c>
      <c r="D11" t="s">
        <v>2103</v>
      </c>
      <c r="E11" s="183">
        <v>3.71</v>
      </c>
    </row>
    <row r="12" spans="1:5" ht="14.25">
      <c r="A12">
        <v>394</v>
      </c>
      <c r="B12" t="s">
        <v>12655</v>
      </c>
      <c r="C12" t="s">
        <v>2102</v>
      </c>
      <c r="D12" t="s">
        <v>2103</v>
      </c>
      <c r="E12" s="183">
        <v>3.75</v>
      </c>
    </row>
    <row r="13" spans="1:5" ht="14.25">
      <c r="A13">
        <v>39130</v>
      </c>
      <c r="B13" t="s">
        <v>12656</v>
      </c>
      <c r="C13" t="s">
        <v>2102</v>
      </c>
      <c r="D13" t="s">
        <v>2103</v>
      </c>
      <c r="E13" s="183">
        <v>3.38</v>
      </c>
    </row>
    <row r="14" spans="1:5" ht="14.25">
      <c r="A14">
        <v>395</v>
      </c>
      <c r="B14" t="s">
        <v>12657</v>
      </c>
      <c r="C14" t="s">
        <v>2102</v>
      </c>
      <c r="D14" t="s">
        <v>2103</v>
      </c>
      <c r="E14" s="183">
        <v>3.61</v>
      </c>
    </row>
    <row r="15" spans="1:5" ht="14.25">
      <c r="A15">
        <v>39127</v>
      </c>
      <c r="B15" t="s">
        <v>12658</v>
      </c>
      <c r="C15" t="s">
        <v>2102</v>
      </c>
      <c r="D15" t="s">
        <v>2103</v>
      </c>
      <c r="E15" s="183">
        <v>1.78</v>
      </c>
    </row>
    <row r="16" spans="1:5" ht="14.25">
      <c r="A16">
        <v>392</v>
      </c>
      <c r="B16" t="s">
        <v>12659</v>
      </c>
      <c r="C16" t="s">
        <v>2102</v>
      </c>
      <c r="D16" t="s">
        <v>2103</v>
      </c>
      <c r="E16" s="183">
        <v>1.83</v>
      </c>
    </row>
    <row r="17" spans="1:5" ht="14.25">
      <c r="A17">
        <v>39129</v>
      </c>
      <c r="B17" t="s">
        <v>12660</v>
      </c>
      <c r="C17" t="s">
        <v>2102</v>
      </c>
      <c r="D17" t="s">
        <v>2103</v>
      </c>
      <c r="E17" s="183">
        <v>2.08</v>
      </c>
    </row>
    <row r="18" spans="1:5" ht="14.25">
      <c r="A18">
        <v>393</v>
      </c>
      <c r="B18" t="s">
        <v>12661</v>
      </c>
      <c r="C18" t="s">
        <v>2102</v>
      </c>
      <c r="D18" t="s">
        <v>2107</v>
      </c>
      <c r="E18" s="183">
        <v>2.1800000000000002</v>
      </c>
    </row>
    <row r="19" spans="1:5" ht="14.25">
      <c r="A19">
        <v>39133</v>
      </c>
      <c r="B19" t="s">
        <v>12662</v>
      </c>
      <c r="C19" t="s">
        <v>2102</v>
      </c>
      <c r="D19" t="s">
        <v>2103</v>
      </c>
      <c r="E19" s="183">
        <v>4.87</v>
      </c>
    </row>
    <row r="20" spans="1:5" ht="14.25">
      <c r="A20">
        <v>397</v>
      </c>
      <c r="B20" t="s">
        <v>12663</v>
      </c>
      <c r="C20" t="s">
        <v>2102</v>
      </c>
      <c r="D20" t="s">
        <v>2103</v>
      </c>
      <c r="E20" s="183">
        <v>5.38</v>
      </c>
    </row>
    <row r="21" spans="1:5" ht="14.25">
      <c r="A21">
        <v>39132</v>
      </c>
      <c r="B21" t="s">
        <v>12664</v>
      </c>
      <c r="C21" t="s">
        <v>2102</v>
      </c>
      <c r="D21" t="s">
        <v>2103</v>
      </c>
      <c r="E21" s="183">
        <v>3.89</v>
      </c>
    </row>
    <row r="22" spans="1:5" ht="14.25">
      <c r="A22">
        <v>396</v>
      </c>
      <c r="B22" t="s">
        <v>12665</v>
      </c>
      <c r="C22" t="s">
        <v>2102</v>
      </c>
      <c r="D22" t="s">
        <v>2103</v>
      </c>
      <c r="E22" s="183">
        <v>4.17</v>
      </c>
    </row>
    <row r="23" spans="1:5" ht="14.25">
      <c r="A23">
        <v>39135</v>
      </c>
      <c r="B23" t="s">
        <v>12666</v>
      </c>
      <c r="C23" t="s">
        <v>2102</v>
      </c>
      <c r="D23" t="s">
        <v>2103</v>
      </c>
      <c r="E23" s="183">
        <v>7.79</v>
      </c>
    </row>
    <row r="24" spans="1:5" ht="14.25">
      <c r="A24">
        <v>39128</v>
      </c>
      <c r="B24" t="s">
        <v>12667</v>
      </c>
      <c r="C24" t="s">
        <v>2102</v>
      </c>
      <c r="D24" t="s">
        <v>2103</v>
      </c>
      <c r="E24" s="183">
        <v>1.94</v>
      </c>
    </row>
    <row r="25" spans="1:5" ht="14.25">
      <c r="A25">
        <v>400</v>
      </c>
      <c r="B25" t="s">
        <v>12668</v>
      </c>
      <c r="C25" t="s">
        <v>2102</v>
      </c>
      <c r="D25" t="s">
        <v>2103</v>
      </c>
      <c r="E25" s="183">
        <v>1.9</v>
      </c>
    </row>
    <row r="26" spans="1:5" ht="14.25">
      <c r="A26">
        <v>39125</v>
      </c>
      <c r="B26" t="s">
        <v>12669</v>
      </c>
      <c r="C26" t="s">
        <v>2102</v>
      </c>
      <c r="D26" t="s">
        <v>2103</v>
      </c>
      <c r="E26" s="183">
        <v>1.94</v>
      </c>
    </row>
    <row r="27" spans="1:5" ht="14.25">
      <c r="A27">
        <v>39134</v>
      </c>
      <c r="B27" t="s">
        <v>12670</v>
      </c>
      <c r="C27" t="s">
        <v>2102</v>
      </c>
      <c r="D27" t="s">
        <v>2103</v>
      </c>
      <c r="E27" s="183">
        <v>6.49</v>
      </c>
    </row>
    <row r="28" spans="1:5" ht="14.25">
      <c r="A28">
        <v>398</v>
      </c>
      <c r="B28" t="s">
        <v>12671</v>
      </c>
      <c r="C28" t="s">
        <v>2102</v>
      </c>
      <c r="D28" t="s">
        <v>2103</v>
      </c>
      <c r="E28" s="183">
        <v>5.98</v>
      </c>
    </row>
    <row r="29" spans="1:5" ht="14.25">
      <c r="A29">
        <v>39126</v>
      </c>
      <c r="B29" t="s">
        <v>12672</v>
      </c>
      <c r="C29" t="s">
        <v>2102</v>
      </c>
      <c r="D29" t="s">
        <v>2103</v>
      </c>
      <c r="E29" s="183">
        <v>8.76</v>
      </c>
    </row>
    <row r="30" spans="1:5" ht="14.25">
      <c r="A30">
        <v>399</v>
      </c>
      <c r="B30" t="s">
        <v>12673</v>
      </c>
      <c r="C30" t="s">
        <v>2102</v>
      </c>
      <c r="D30" t="s">
        <v>2103</v>
      </c>
      <c r="E30" s="183">
        <v>7.72</v>
      </c>
    </row>
    <row r="31" spans="1:5" ht="14.25">
      <c r="A31">
        <v>39158</v>
      </c>
      <c r="B31" t="s">
        <v>12674</v>
      </c>
      <c r="C31" t="s">
        <v>2102</v>
      </c>
      <c r="D31" t="s">
        <v>2103</v>
      </c>
      <c r="E31" s="183">
        <v>20.73</v>
      </c>
    </row>
    <row r="32" spans="1:5" ht="14.25">
      <c r="A32">
        <v>39141</v>
      </c>
      <c r="B32" t="s">
        <v>12675</v>
      </c>
      <c r="C32" t="s">
        <v>2102</v>
      </c>
      <c r="D32" t="s">
        <v>2103</v>
      </c>
      <c r="E32" s="183">
        <v>1.5</v>
      </c>
    </row>
    <row r="33" spans="1:5" ht="14.25">
      <c r="A33">
        <v>39140</v>
      </c>
      <c r="B33" t="s">
        <v>12676</v>
      </c>
      <c r="C33" t="s">
        <v>2102</v>
      </c>
      <c r="D33" t="s">
        <v>2103</v>
      </c>
      <c r="E33" s="183">
        <v>1.36</v>
      </c>
    </row>
    <row r="34" spans="1:5" ht="14.25">
      <c r="A34">
        <v>39137</v>
      </c>
      <c r="B34" t="s">
        <v>12677</v>
      </c>
      <c r="C34" t="s">
        <v>2102</v>
      </c>
      <c r="D34" t="s">
        <v>2103</v>
      </c>
      <c r="E34" s="183">
        <v>0.78</v>
      </c>
    </row>
    <row r="35" spans="1:5" ht="14.25">
      <c r="A35">
        <v>39139</v>
      </c>
      <c r="B35" t="s">
        <v>12678</v>
      </c>
      <c r="C35" t="s">
        <v>2102</v>
      </c>
      <c r="D35" t="s">
        <v>2103</v>
      </c>
      <c r="E35" s="183">
        <v>1.1299999999999999</v>
      </c>
    </row>
    <row r="36" spans="1:5" ht="14.25">
      <c r="A36">
        <v>39143</v>
      </c>
      <c r="B36" t="s">
        <v>12679</v>
      </c>
      <c r="C36" t="s">
        <v>2102</v>
      </c>
      <c r="D36" t="s">
        <v>2103</v>
      </c>
      <c r="E36" s="183">
        <v>3.1</v>
      </c>
    </row>
    <row r="37" spans="1:5" ht="14.25">
      <c r="A37">
        <v>39142</v>
      </c>
      <c r="B37" t="s">
        <v>12680</v>
      </c>
      <c r="C37" t="s">
        <v>2102</v>
      </c>
      <c r="D37" t="s">
        <v>2103</v>
      </c>
      <c r="E37" s="183">
        <v>2.2200000000000002</v>
      </c>
    </row>
    <row r="38" spans="1:5" ht="14.25">
      <c r="A38">
        <v>39138</v>
      </c>
      <c r="B38" t="s">
        <v>12681</v>
      </c>
      <c r="C38" t="s">
        <v>2102</v>
      </c>
      <c r="D38" t="s">
        <v>2103</v>
      </c>
      <c r="E38" s="183">
        <v>0.83</v>
      </c>
    </row>
    <row r="39" spans="1:5" ht="14.25">
      <c r="A39">
        <v>39136</v>
      </c>
      <c r="B39" t="s">
        <v>12682</v>
      </c>
      <c r="C39" t="s">
        <v>2102</v>
      </c>
      <c r="D39" t="s">
        <v>2103</v>
      </c>
      <c r="E39" s="183">
        <v>0.55000000000000004</v>
      </c>
    </row>
    <row r="40" spans="1:5" ht="14.25">
      <c r="A40">
        <v>39144</v>
      </c>
      <c r="B40" t="s">
        <v>12683</v>
      </c>
      <c r="C40" t="s">
        <v>2102</v>
      </c>
      <c r="D40" t="s">
        <v>2103</v>
      </c>
      <c r="E40" s="183">
        <v>3.61</v>
      </c>
    </row>
    <row r="41" spans="1:5" ht="14.25">
      <c r="A41">
        <v>39145</v>
      </c>
      <c r="B41" t="s">
        <v>12684</v>
      </c>
      <c r="C41" t="s">
        <v>2102</v>
      </c>
      <c r="D41" t="s">
        <v>2103</v>
      </c>
      <c r="E41" s="183">
        <v>5.96</v>
      </c>
    </row>
    <row r="42" spans="1:5" ht="14.25">
      <c r="A42">
        <v>12615</v>
      </c>
      <c r="B42" t="s">
        <v>18153</v>
      </c>
      <c r="C42" t="s">
        <v>2102</v>
      </c>
      <c r="D42" t="s">
        <v>2103</v>
      </c>
      <c r="E42" s="183">
        <v>15.4</v>
      </c>
    </row>
    <row r="43" spans="1:5" ht="14.25">
      <c r="A43">
        <v>11927</v>
      </c>
      <c r="B43" t="s">
        <v>12685</v>
      </c>
      <c r="C43" t="s">
        <v>2102</v>
      </c>
      <c r="D43" t="s">
        <v>2105</v>
      </c>
      <c r="E43" s="183">
        <v>7.73</v>
      </c>
    </row>
    <row r="44" spans="1:5" ht="14.25">
      <c r="A44">
        <v>11928</v>
      </c>
      <c r="B44" t="s">
        <v>12686</v>
      </c>
      <c r="C44" t="s">
        <v>2102</v>
      </c>
      <c r="D44" t="s">
        <v>2105</v>
      </c>
      <c r="E44" s="183">
        <v>8.86</v>
      </c>
    </row>
    <row r="45" spans="1:5" ht="14.25">
      <c r="A45">
        <v>11929</v>
      </c>
      <c r="B45" t="s">
        <v>12687</v>
      </c>
      <c r="C45" t="s">
        <v>2102</v>
      </c>
      <c r="D45" t="s">
        <v>2105</v>
      </c>
      <c r="E45" s="183">
        <v>13.71</v>
      </c>
    </row>
    <row r="46" spans="1:5" ht="14.25">
      <c r="A46">
        <v>36801</v>
      </c>
      <c r="B46" t="s">
        <v>15154</v>
      </c>
      <c r="C46" t="s">
        <v>2102</v>
      </c>
      <c r="D46" t="s">
        <v>2103</v>
      </c>
      <c r="E46" s="183">
        <v>27.31</v>
      </c>
    </row>
    <row r="47" spans="1:5" ht="14.25">
      <c r="A47">
        <v>36246</v>
      </c>
      <c r="B47" t="s">
        <v>12688</v>
      </c>
      <c r="C47" t="s">
        <v>2109</v>
      </c>
      <c r="D47" t="s">
        <v>2103</v>
      </c>
      <c r="E47" s="183">
        <v>3.52</v>
      </c>
    </row>
    <row r="48" spans="1:5" ht="14.25">
      <c r="A48">
        <v>37600</v>
      </c>
      <c r="B48" t="s">
        <v>12689</v>
      </c>
      <c r="C48" t="s">
        <v>2102</v>
      </c>
      <c r="D48" t="s">
        <v>2105</v>
      </c>
      <c r="E48" s="183">
        <v>104.86</v>
      </c>
    </row>
    <row r="49" spans="1:5" ht="14.25">
      <c r="A49">
        <v>37599</v>
      </c>
      <c r="B49" t="s">
        <v>12690</v>
      </c>
      <c r="C49" t="s">
        <v>2102</v>
      </c>
      <c r="D49" t="s">
        <v>2105</v>
      </c>
      <c r="E49" s="183">
        <v>97.6</v>
      </c>
    </row>
    <row r="50" spans="1:5" ht="14.25">
      <c r="A50">
        <v>1</v>
      </c>
      <c r="B50" t="s">
        <v>15155</v>
      </c>
      <c r="C50" t="s">
        <v>2110</v>
      </c>
      <c r="D50" t="s">
        <v>2107</v>
      </c>
      <c r="E50" s="183">
        <v>89</v>
      </c>
    </row>
    <row r="51" spans="1:5" ht="14.25">
      <c r="A51">
        <v>3</v>
      </c>
      <c r="B51" t="s">
        <v>12691</v>
      </c>
      <c r="C51" t="s">
        <v>2117</v>
      </c>
      <c r="D51" t="s">
        <v>2103</v>
      </c>
      <c r="E51" s="183">
        <v>14.78</v>
      </c>
    </row>
    <row r="52" spans="1:5" ht="14.25">
      <c r="A52">
        <v>43054</v>
      </c>
      <c r="B52" t="s">
        <v>12692</v>
      </c>
      <c r="C52" t="s">
        <v>2110</v>
      </c>
      <c r="D52" t="s">
        <v>2103</v>
      </c>
      <c r="E52" s="183">
        <v>11.89</v>
      </c>
    </row>
    <row r="53" spans="1:5" ht="14.25">
      <c r="A53">
        <v>42402</v>
      </c>
      <c r="B53" t="s">
        <v>12693</v>
      </c>
      <c r="C53" t="s">
        <v>2110</v>
      </c>
      <c r="D53" t="s">
        <v>2103</v>
      </c>
      <c r="E53" s="183">
        <v>11.37</v>
      </c>
    </row>
    <row r="54" spans="1:5" ht="14.25">
      <c r="A54">
        <v>42403</v>
      </c>
      <c r="B54" t="s">
        <v>12694</v>
      </c>
      <c r="C54" t="s">
        <v>2110</v>
      </c>
      <c r="D54" t="s">
        <v>2103</v>
      </c>
      <c r="E54" s="183">
        <v>14.58</v>
      </c>
    </row>
    <row r="55" spans="1:5" ht="14.25">
      <c r="A55">
        <v>42404</v>
      </c>
      <c r="B55" t="s">
        <v>12695</v>
      </c>
      <c r="C55" t="s">
        <v>2110</v>
      </c>
      <c r="D55" t="s">
        <v>2103</v>
      </c>
      <c r="E55" s="183">
        <v>14.5</v>
      </c>
    </row>
    <row r="56" spans="1:5" ht="14.25">
      <c r="A56">
        <v>42405</v>
      </c>
      <c r="B56" t="s">
        <v>12696</v>
      </c>
      <c r="C56" t="s">
        <v>2110</v>
      </c>
      <c r="D56" t="s">
        <v>2103</v>
      </c>
      <c r="E56" s="183">
        <v>15.45</v>
      </c>
    </row>
    <row r="57" spans="1:5" ht="14.25">
      <c r="A57">
        <v>34341</v>
      </c>
      <c r="B57" t="s">
        <v>12697</v>
      </c>
      <c r="C57" t="s">
        <v>2110</v>
      </c>
      <c r="D57" t="s">
        <v>2103</v>
      </c>
      <c r="E57" s="183">
        <v>13.41</v>
      </c>
    </row>
    <row r="58" spans="1:5" ht="14.25">
      <c r="A58">
        <v>43053</v>
      </c>
      <c r="B58" t="s">
        <v>12698</v>
      </c>
      <c r="C58" t="s">
        <v>2110</v>
      </c>
      <c r="D58" t="s">
        <v>2103</v>
      </c>
      <c r="E58" s="183">
        <v>10.63</v>
      </c>
    </row>
    <row r="59" spans="1:5" ht="14.25">
      <c r="A59">
        <v>43058</v>
      </c>
      <c r="B59" t="s">
        <v>12699</v>
      </c>
      <c r="C59" t="s">
        <v>2110</v>
      </c>
      <c r="D59" t="s">
        <v>2103</v>
      </c>
      <c r="E59" s="183">
        <v>11.02</v>
      </c>
    </row>
    <row r="60" spans="1:5" ht="14.25">
      <c r="A60">
        <v>34</v>
      </c>
      <c r="B60" t="s">
        <v>12700</v>
      </c>
      <c r="C60" t="s">
        <v>2110</v>
      </c>
      <c r="D60" t="s">
        <v>2103</v>
      </c>
      <c r="E60" s="183">
        <v>11.07</v>
      </c>
    </row>
    <row r="61" spans="1:5" ht="14.25">
      <c r="A61">
        <v>43055</v>
      </c>
      <c r="B61" t="s">
        <v>12701</v>
      </c>
      <c r="C61" t="s">
        <v>2110</v>
      </c>
      <c r="D61" t="s">
        <v>2107</v>
      </c>
      <c r="E61" s="183">
        <v>9.59</v>
      </c>
    </row>
    <row r="62" spans="1:5" ht="14.25">
      <c r="A62">
        <v>43056</v>
      </c>
      <c r="B62" t="s">
        <v>12702</v>
      </c>
      <c r="C62" t="s">
        <v>2110</v>
      </c>
      <c r="D62" t="s">
        <v>2103</v>
      </c>
      <c r="E62" s="183">
        <v>11.06</v>
      </c>
    </row>
    <row r="63" spans="1:5" ht="14.25">
      <c r="A63">
        <v>43057</v>
      </c>
      <c r="B63" t="s">
        <v>12703</v>
      </c>
      <c r="C63" t="s">
        <v>2110</v>
      </c>
      <c r="D63" t="s">
        <v>2103</v>
      </c>
      <c r="E63" s="183">
        <v>12.15</v>
      </c>
    </row>
    <row r="64" spans="1:5" ht="14.25">
      <c r="A64">
        <v>34449</v>
      </c>
      <c r="B64" t="s">
        <v>12704</v>
      </c>
      <c r="C64" t="s">
        <v>2110</v>
      </c>
      <c r="D64" t="s">
        <v>2103</v>
      </c>
      <c r="E64" s="183">
        <v>12.99</v>
      </c>
    </row>
    <row r="65" spans="1:5" ht="14.25">
      <c r="A65">
        <v>32</v>
      </c>
      <c r="B65" t="s">
        <v>12705</v>
      </c>
      <c r="C65" t="s">
        <v>2110</v>
      </c>
      <c r="D65" t="s">
        <v>2103</v>
      </c>
      <c r="E65" s="183">
        <v>11.68</v>
      </c>
    </row>
    <row r="66" spans="1:5" ht="14.25">
      <c r="A66">
        <v>33</v>
      </c>
      <c r="B66" t="s">
        <v>12706</v>
      </c>
      <c r="C66" t="s">
        <v>2110</v>
      </c>
      <c r="D66" t="s">
        <v>2103</v>
      </c>
      <c r="E66" s="183">
        <v>11.75</v>
      </c>
    </row>
    <row r="67" spans="1:5" ht="14.25">
      <c r="A67">
        <v>43061</v>
      </c>
      <c r="B67" t="s">
        <v>12707</v>
      </c>
      <c r="C67" t="s">
        <v>2110</v>
      </c>
      <c r="D67" t="s">
        <v>2103</v>
      </c>
      <c r="E67" s="183">
        <v>10.98</v>
      </c>
    </row>
    <row r="68" spans="1:5" ht="14.25">
      <c r="A68">
        <v>43059</v>
      </c>
      <c r="B68" t="s">
        <v>12708</v>
      </c>
      <c r="C68" t="s">
        <v>2110</v>
      </c>
      <c r="D68" t="s">
        <v>2103</v>
      </c>
      <c r="E68" s="183">
        <v>10.48</v>
      </c>
    </row>
    <row r="69" spans="1:5" ht="14.25">
      <c r="A69">
        <v>43062</v>
      </c>
      <c r="B69" t="s">
        <v>12709</v>
      </c>
      <c r="C69" t="s">
        <v>2110</v>
      </c>
      <c r="D69" t="s">
        <v>2103</v>
      </c>
      <c r="E69" s="183">
        <v>11.61</v>
      </c>
    </row>
    <row r="70" spans="1:5" ht="14.25">
      <c r="A70">
        <v>43060</v>
      </c>
      <c r="B70" t="s">
        <v>12710</v>
      </c>
      <c r="C70" t="s">
        <v>2110</v>
      </c>
      <c r="D70" t="s">
        <v>2103</v>
      </c>
      <c r="E70" s="183">
        <v>9.1300000000000008</v>
      </c>
    </row>
    <row r="71" spans="1:5" ht="14.25">
      <c r="A71">
        <v>40410</v>
      </c>
      <c r="B71" t="s">
        <v>12711</v>
      </c>
      <c r="C71" t="s">
        <v>2102</v>
      </c>
      <c r="D71" t="s">
        <v>2105</v>
      </c>
      <c r="E71" s="183">
        <v>23.72</v>
      </c>
    </row>
    <row r="72" spans="1:5" ht="14.25">
      <c r="A72">
        <v>40411</v>
      </c>
      <c r="B72" t="s">
        <v>12712</v>
      </c>
      <c r="C72" t="s">
        <v>2102</v>
      </c>
      <c r="D72" t="s">
        <v>2105</v>
      </c>
      <c r="E72" s="183">
        <v>25.74</v>
      </c>
    </row>
    <row r="73" spans="1:5" ht="14.25">
      <c r="A73">
        <v>40412</v>
      </c>
      <c r="B73" t="s">
        <v>12713</v>
      </c>
      <c r="C73" t="s">
        <v>2102</v>
      </c>
      <c r="D73" t="s">
        <v>2105</v>
      </c>
      <c r="E73" s="183">
        <v>28.89</v>
      </c>
    </row>
    <row r="74" spans="1:5" ht="14.25">
      <c r="A74">
        <v>44254</v>
      </c>
      <c r="B74" t="s">
        <v>18154</v>
      </c>
      <c r="C74" t="s">
        <v>2102</v>
      </c>
      <c r="D74" t="s">
        <v>2103</v>
      </c>
      <c r="E74" s="183">
        <v>31.15</v>
      </c>
    </row>
    <row r="75" spans="1:5" ht="14.25">
      <c r="A75">
        <v>44255</v>
      </c>
      <c r="B75" t="s">
        <v>18155</v>
      </c>
      <c r="C75" t="s">
        <v>2102</v>
      </c>
      <c r="D75" t="s">
        <v>2103</v>
      </c>
      <c r="E75" s="183">
        <v>34.53</v>
      </c>
    </row>
    <row r="76" spans="1:5" ht="14.25">
      <c r="A76">
        <v>44256</v>
      </c>
      <c r="B76" t="s">
        <v>18156</v>
      </c>
      <c r="C76" t="s">
        <v>2102</v>
      </c>
      <c r="D76" t="s">
        <v>2103</v>
      </c>
      <c r="E76" s="183">
        <v>39</v>
      </c>
    </row>
    <row r="77" spans="1:5" ht="14.25">
      <c r="A77">
        <v>44257</v>
      </c>
      <c r="B77" t="s">
        <v>18157</v>
      </c>
      <c r="C77" t="s">
        <v>2102</v>
      </c>
      <c r="D77" t="s">
        <v>2103</v>
      </c>
      <c r="E77" s="183">
        <v>61.69</v>
      </c>
    </row>
    <row r="78" spans="1:5" ht="14.25">
      <c r="A78">
        <v>44258</v>
      </c>
      <c r="B78" t="s">
        <v>18158</v>
      </c>
      <c r="C78" t="s">
        <v>2102</v>
      </c>
      <c r="D78" t="s">
        <v>2103</v>
      </c>
      <c r="E78" s="183">
        <v>70.510000000000005</v>
      </c>
    </row>
    <row r="79" spans="1:5" ht="14.25">
      <c r="A79">
        <v>44259</v>
      </c>
      <c r="B79" t="s">
        <v>18159</v>
      </c>
      <c r="C79" t="s">
        <v>2102</v>
      </c>
      <c r="D79" t="s">
        <v>2103</v>
      </c>
      <c r="E79" s="183">
        <v>96.78</v>
      </c>
    </row>
    <row r="80" spans="1:5" ht="14.25">
      <c r="A80">
        <v>37997</v>
      </c>
      <c r="B80" t="s">
        <v>18160</v>
      </c>
      <c r="C80" t="s">
        <v>2102</v>
      </c>
      <c r="D80" t="s">
        <v>2103</v>
      </c>
      <c r="E80" s="183">
        <v>18.559999999999999</v>
      </c>
    </row>
    <row r="81" spans="1:5" ht="14.25">
      <c r="A81">
        <v>37998</v>
      </c>
      <c r="B81" t="s">
        <v>18161</v>
      </c>
      <c r="C81" t="s">
        <v>2102</v>
      </c>
      <c r="D81" t="s">
        <v>2103</v>
      </c>
      <c r="E81" s="183">
        <v>24.84</v>
      </c>
    </row>
    <row r="82" spans="1:5" ht="14.25">
      <c r="A82">
        <v>55</v>
      </c>
      <c r="B82" t="s">
        <v>12714</v>
      </c>
      <c r="C82" t="s">
        <v>2102</v>
      </c>
      <c r="D82" t="s">
        <v>2105</v>
      </c>
      <c r="E82" s="183">
        <v>4.2</v>
      </c>
    </row>
    <row r="83" spans="1:5" ht="14.25">
      <c r="A83">
        <v>61</v>
      </c>
      <c r="B83" t="s">
        <v>12715</v>
      </c>
      <c r="C83" t="s">
        <v>2102</v>
      </c>
      <c r="D83" t="s">
        <v>2105</v>
      </c>
      <c r="E83" s="183">
        <v>3.97</v>
      </c>
    </row>
    <row r="84" spans="1:5" ht="14.25">
      <c r="A84">
        <v>62</v>
      </c>
      <c r="B84" t="s">
        <v>12716</v>
      </c>
      <c r="C84" t="s">
        <v>2102</v>
      </c>
      <c r="D84" t="s">
        <v>2105</v>
      </c>
      <c r="E84" s="183">
        <v>8.23</v>
      </c>
    </row>
    <row r="85" spans="1:5" ht="14.25">
      <c r="A85">
        <v>10899</v>
      </c>
      <c r="B85" t="s">
        <v>18162</v>
      </c>
      <c r="C85" t="s">
        <v>2102</v>
      </c>
      <c r="D85" t="s">
        <v>2103</v>
      </c>
      <c r="E85" s="183">
        <v>83.23</v>
      </c>
    </row>
    <row r="86" spans="1:5" ht="14.25">
      <c r="A86">
        <v>10900</v>
      </c>
      <c r="B86" t="s">
        <v>18163</v>
      </c>
      <c r="C86" t="s">
        <v>2102</v>
      </c>
      <c r="D86" t="s">
        <v>2103</v>
      </c>
      <c r="E86" s="183">
        <v>65.14</v>
      </c>
    </row>
    <row r="87" spans="1:5" ht="14.25">
      <c r="A87">
        <v>103</v>
      </c>
      <c r="B87" t="s">
        <v>12717</v>
      </c>
      <c r="C87" t="s">
        <v>2102</v>
      </c>
      <c r="D87" t="s">
        <v>2103</v>
      </c>
      <c r="E87" s="183">
        <v>57.7</v>
      </c>
    </row>
    <row r="88" spans="1:5" ht="14.25">
      <c r="A88">
        <v>107</v>
      </c>
      <c r="B88" t="s">
        <v>12718</v>
      </c>
      <c r="C88" t="s">
        <v>2102</v>
      </c>
      <c r="D88" t="s">
        <v>2103</v>
      </c>
      <c r="E88" s="183">
        <v>1.08</v>
      </c>
    </row>
    <row r="89" spans="1:5" ht="14.25">
      <c r="A89">
        <v>65</v>
      </c>
      <c r="B89" t="s">
        <v>12719</v>
      </c>
      <c r="C89" t="s">
        <v>2102</v>
      </c>
      <c r="D89" t="s">
        <v>2103</v>
      </c>
      <c r="E89" s="183">
        <v>1.19</v>
      </c>
    </row>
    <row r="90" spans="1:5" ht="14.25">
      <c r="A90">
        <v>108</v>
      </c>
      <c r="B90" t="s">
        <v>12720</v>
      </c>
      <c r="C90" t="s">
        <v>2102</v>
      </c>
      <c r="D90" t="s">
        <v>2103</v>
      </c>
      <c r="E90" s="183">
        <v>2.39</v>
      </c>
    </row>
    <row r="91" spans="1:5" ht="14.25">
      <c r="A91">
        <v>110</v>
      </c>
      <c r="B91" t="s">
        <v>12721</v>
      </c>
      <c r="C91" t="s">
        <v>2102</v>
      </c>
      <c r="D91" t="s">
        <v>2103</v>
      </c>
      <c r="E91" s="183">
        <v>8.3000000000000007</v>
      </c>
    </row>
    <row r="92" spans="1:5" ht="14.25">
      <c r="A92">
        <v>109</v>
      </c>
      <c r="B92" t="s">
        <v>12722</v>
      </c>
      <c r="C92" t="s">
        <v>2102</v>
      </c>
      <c r="D92" t="s">
        <v>2103</v>
      </c>
      <c r="E92" s="183">
        <v>4.9400000000000004</v>
      </c>
    </row>
    <row r="93" spans="1:5" ht="14.25">
      <c r="A93">
        <v>111</v>
      </c>
      <c r="B93" t="s">
        <v>12723</v>
      </c>
      <c r="C93" t="s">
        <v>2102</v>
      </c>
      <c r="D93" t="s">
        <v>2103</v>
      </c>
      <c r="E93" s="183">
        <v>11.23</v>
      </c>
    </row>
    <row r="94" spans="1:5" ht="14.25">
      <c r="A94">
        <v>112</v>
      </c>
      <c r="B94" t="s">
        <v>12724</v>
      </c>
      <c r="C94" t="s">
        <v>2102</v>
      </c>
      <c r="D94" t="s">
        <v>2103</v>
      </c>
      <c r="E94" s="183">
        <v>5.95</v>
      </c>
    </row>
    <row r="95" spans="1:5" ht="14.25">
      <c r="A95">
        <v>113</v>
      </c>
      <c r="B95" t="s">
        <v>12725</v>
      </c>
      <c r="C95" t="s">
        <v>2102</v>
      </c>
      <c r="D95" t="s">
        <v>2103</v>
      </c>
      <c r="E95" s="183">
        <v>14.9</v>
      </c>
    </row>
    <row r="96" spans="1:5" ht="14.25">
      <c r="A96">
        <v>104</v>
      </c>
      <c r="B96" t="s">
        <v>12726</v>
      </c>
      <c r="C96" t="s">
        <v>2102</v>
      </c>
      <c r="D96" t="s">
        <v>2103</v>
      </c>
      <c r="E96" s="183">
        <v>25.93</v>
      </c>
    </row>
    <row r="97" spans="1:5" ht="14.25">
      <c r="A97">
        <v>102</v>
      </c>
      <c r="B97" t="s">
        <v>12727</v>
      </c>
      <c r="C97" t="s">
        <v>2102</v>
      </c>
      <c r="D97" t="s">
        <v>2103</v>
      </c>
      <c r="E97" s="183">
        <v>35.75</v>
      </c>
    </row>
    <row r="98" spans="1:5" ht="14.25">
      <c r="A98">
        <v>95</v>
      </c>
      <c r="B98" t="s">
        <v>12728</v>
      </c>
      <c r="C98" t="s">
        <v>2102</v>
      </c>
      <c r="D98" t="s">
        <v>2103</v>
      </c>
      <c r="E98" s="183">
        <v>15.11</v>
      </c>
    </row>
    <row r="99" spans="1:5" ht="14.25">
      <c r="A99">
        <v>96</v>
      </c>
      <c r="B99" t="s">
        <v>12729</v>
      </c>
      <c r="C99" t="s">
        <v>2102</v>
      </c>
      <c r="D99" t="s">
        <v>2103</v>
      </c>
      <c r="E99" s="183">
        <v>16.440000000000001</v>
      </c>
    </row>
    <row r="100" spans="1:5" ht="14.25">
      <c r="A100">
        <v>97</v>
      </c>
      <c r="B100" t="s">
        <v>12730</v>
      </c>
      <c r="C100" t="s">
        <v>2102</v>
      </c>
      <c r="D100" t="s">
        <v>2103</v>
      </c>
      <c r="E100" s="183">
        <v>24.73</v>
      </c>
    </row>
    <row r="101" spans="1:5" ht="14.25">
      <c r="A101">
        <v>98</v>
      </c>
      <c r="B101" t="s">
        <v>12731</v>
      </c>
      <c r="C101" t="s">
        <v>2102</v>
      </c>
      <c r="D101" t="s">
        <v>2103</v>
      </c>
      <c r="E101" s="183">
        <v>37.01</v>
      </c>
    </row>
    <row r="102" spans="1:5" ht="14.25">
      <c r="A102">
        <v>99</v>
      </c>
      <c r="B102" t="s">
        <v>12732</v>
      </c>
      <c r="C102" t="s">
        <v>2102</v>
      </c>
      <c r="D102" t="s">
        <v>2103</v>
      </c>
      <c r="E102" s="183">
        <v>34.979999999999997</v>
      </c>
    </row>
    <row r="103" spans="1:5" ht="14.25">
      <c r="A103">
        <v>100</v>
      </c>
      <c r="B103" t="s">
        <v>12733</v>
      </c>
      <c r="C103" t="s">
        <v>2102</v>
      </c>
      <c r="D103" t="s">
        <v>2103</v>
      </c>
      <c r="E103" s="183">
        <v>61.12</v>
      </c>
    </row>
    <row r="104" spans="1:5" ht="14.25">
      <c r="A104">
        <v>75</v>
      </c>
      <c r="B104" t="s">
        <v>12734</v>
      </c>
      <c r="C104" t="s">
        <v>2102</v>
      </c>
      <c r="D104" t="s">
        <v>2103</v>
      </c>
      <c r="E104" s="183">
        <v>356.34</v>
      </c>
    </row>
    <row r="105" spans="1:5" ht="14.25">
      <c r="A105">
        <v>83</v>
      </c>
      <c r="B105" t="s">
        <v>12735</v>
      </c>
      <c r="C105" t="s">
        <v>2102</v>
      </c>
      <c r="D105" t="s">
        <v>2103</v>
      </c>
      <c r="E105" s="183">
        <v>284.88</v>
      </c>
    </row>
    <row r="106" spans="1:5" ht="14.25">
      <c r="A106">
        <v>74</v>
      </c>
      <c r="B106" t="s">
        <v>12736</v>
      </c>
      <c r="C106" t="s">
        <v>2102</v>
      </c>
      <c r="D106" t="s">
        <v>2103</v>
      </c>
      <c r="E106" s="183">
        <v>407.3</v>
      </c>
    </row>
    <row r="107" spans="1:5" ht="14.25">
      <c r="A107">
        <v>106</v>
      </c>
      <c r="B107" t="s">
        <v>12737</v>
      </c>
      <c r="C107" t="s">
        <v>2102</v>
      </c>
      <c r="D107" t="s">
        <v>2103</v>
      </c>
      <c r="E107" s="183">
        <v>515.04</v>
      </c>
    </row>
    <row r="108" spans="1:5" ht="14.25">
      <c r="A108">
        <v>88</v>
      </c>
      <c r="B108" t="s">
        <v>12738</v>
      </c>
      <c r="C108" t="s">
        <v>2102</v>
      </c>
      <c r="D108" t="s">
        <v>2103</v>
      </c>
      <c r="E108" s="183">
        <v>14.47</v>
      </c>
    </row>
    <row r="109" spans="1:5" ht="14.25">
      <c r="A109">
        <v>82</v>
      </c>
      <c r="B109" t="s">
        <v>12739</v>
      </c>
      <c r="C109" t="s">
        <v>2102</v>
      </c>
      <c r="D109" t="s">
        <v>2103</v>
      </c>
      <c r="E109" s="183">
        <v>271.04000000000002</v>
      </c>
    </row>
    <row r="110" spans="1:5" ht="14.25">
      <c r="A110">
        <v>105</v>
      </c>
      <c r="B110" t="s">
        <v>12740</v>
      </c>
      <c r="C110" t="s">
        <v>2102</v>
      </c>
      <c r="D110" t="s">
        <v>2103</v>
      </c>
      <c r="E110" s="183">
        <v>384.06</v>
      </c>
    </row>
    <row r="111" spans="1:5" ht="14.25">
      <c r="A111">
        <v>60</v>
      </c>
      <c r="B111" t="s">
        <v>12741</v>
      </c>
      <c r="C111" t="s">
        <v>2102</v>
      </c>
      <c r="D111" t="s">
        <v>2105</v>
      </c>
      <c r="E111" s="183">
        <v>5.45</v>
      </c>
    </row>
    <row r="112" spans="1:5" ht="14.25">
      <c r="A112">
        <v>72</v>
      </c>
      <c r="B112" t="s">
        <v>12742</v>
      </c>
      <c r="C112" t="s">
        <v>2102</v>
      </c>
      <c r="D112" t="s">
        <v>2103</v>
      </c>
      <c r="E112" s="183">
        <v>67.09</v>
      </c>
    </row>
    <row r="113" spans="1:5" ht="14.25">
      <c r="A113">
        <v>67</v>
      </c>
      <c r="B113" t="s">
        <v>18164</v>
      </c>
      <c r="C113" t="s">
        <v>2102</v>
      </c>
      <c r="D113" t="s">
        <v>2103</v>
      </c>
      <c r="E113" s="183">
        <v>21.69</v>
      </c>
    </row>
    <row r="114" spans="1:5" ht="14.25">
      <c r="A114">
        <v>71</v>
      </c>
      <c r="B114" t="s">
        <v>18165</v>
      </c>
      <c r="C114" t="s">
        <v>2102</v>
      </c>
      <c r="D114" t="s">
        <v>2103</v>
      </c>
      <c r="E114" s="183">
        <v>41.44</v>
      </c>
    </row>
    <row r="115" spans="1:5" ht="14.25">
      <c r="A115">
        <v>73</v>
      </c>
      <c r="B115" t="s">
        <v>18166</v>
      </c>
      <c r="C115" t="s">
        <v>2102</v>
      </c>
      <c r="D115" t="s">
        <v>2103</v>
      </c>
      <c r="E115" s="183">
        <v>20.76</v>
      </c>
    </row>
    <row r="116" spans="1:5" ht="14.25">
      <c r="A116">
        <v>46</v>
      </c>
      <c r="B116" t="s">
        <v>12743</v>
      </c>
      <c r="C116" t="s">
        <v>2102</v>
      </c>
      <c r="D116" t="s">
        <v>2105</v>
      </c>
      <c r="E116" s="183">
        <v>39.090000000000003</v>
      </c>
    </row>
    <row r="117" spans="1:5" ht="14.25">
      <c r="A117">
        <v>47</v>
      </c>
      <c r="B117" t="s">
        <v>12744</v>
      </c>
      <c r="C117" t="s">
        <v>2102</v>
      </c>
      <c r="D117" t="s">
        <v>2105</v>
      </c>
      <c r="E117" s="183">
        <v>66.84</v>
      </c>
    </row>
    <row r="118" spans="1:5" ht="14.25">
      <c r="A118">
        <v>48</v>
      </c>
      <c r="B118" t="s">
        <v>12745</v>
      </c>
      <c r="C118" t="s">
        <v>2102</v>
      </c>
      <c r="D118" t="s">
        <v>2105</v>
      </c>
      <c r="E118" s="183">
        <v>17.43</v>
      </c>
    </row>
    <row r="119" spans="1:5" ht="14.25">
      <c r="A119">
        <v>52</v>
      </c>
      <c r="B119" t="s">
        <v>12746</v>
      </c>
      <c r="C119" t="s">
        <v>2102</v>
      </c>
      <c r="D119" t="s">
        <v>2105</v>
      </c>
      <c r="E119" s="183">
        <v>13.24</v>
      </c>
    </row>
    <row r="120" spans="1:5" ht="14.25">
      <c r="A120">
        <v>43</v>
      </c>
      <c r="B120" t="s">
        <v>12747</v>
      </c>
      <c r="C120" t="s">
        <v>2102</v>
      </c>
      <c r="D120" t="s">
        <v>2105</v>
      </c>
      <c r="E120" s="183">
        <v>44.7</v>
      </c>
    </row>
    <row r="121" spans="1:5" ht="14.25">
      <c r="A121">
        <v>39719</v>
      </c>
      <c r="B121" t="s">
        <v>12748</v>
      </c>
      <c r="C121" t="s">
        <v>2117</v>
      </c>
      <c r="D121" t="s">
        <v>2103</v>
      </c>
      <c r="E121" s="183">
        <v>171.33</v>
      </c>
    </row>
    <row r="122" spans="1:5" ht="14.25">
      <c r="A122">
        <v>3410</v>
      </c>
      <c r="B122" t="s">
        <v>12749</v>
      </c>
      <c r="C122" t="s">
        <v>2110</v>
      </c>
      <c r="D122" t="s">
        <v>2103</v>
      </c>
      <c r="E122" s="183">
        <v>38.54</v>
      </c>
    </row>
    <row r="123" spans="1:5" ht="14.25">
      <c r="A123">
        <v>4791</v>
      </c>
      <c r="B123" t="s">
        <v>12750</v>
      </c>
      <c r="C123" t="s">
        <v>2110</v>
      </c>
      <c r="D123" t="s">
        <v>2103</v>
      </c>
      <c r="E123" s="183">
        <v>53.85</v>
      </c>
    </row>
    <row r="124" spans="1:5" ht="14.25">
      <c r="A124">
        <v>157</v>
      </c>
      <c r="B124" t="s">
        <v>12751</v>
      </c>
      <c r="C124" t="s">
        <v>2110</v>
      </c>
      <c r="D124" t="s">
        <v>2103</v>
      </c>
      <c r="E124" s="183">
        <v>134.47</v>
      </c>
    </row>
    <row r="125" spans="1:5" ht="14.25">
      <c r="A125">
        <v>156</v>
      </c>
      <c r="B125" t="s">
        <v>12752</v>
      </c>
      <c r="C125" t="s">
        <v>2110</v>
      </c>
      <c r="D125" t="s">
        <v>2103</v>
      </c>
      <c r="E125" s="183">
        <v>47.88</v>
      </c>
    </row>
    <row r="126" spans="1:5" ht="14.25">
      <c r="A126">
        <v>131</v>
      </c>
      <c r="B126" t="s">
        <v>12753</v>
      </c>
      <c r="C126" t="s">
        <v>2110</v>
      </c>
      <c r="D126" t="s">
        <v>2103</v>
      </c>
      <c r="E126" s="183">
        <v>40.94</v>
      </c>
    </row>
    <row r="127" spans="1:5" ht="14.25">
      <c r="A127">
        <v>21114</v>
      </c>
      <c r="B127" t="s">
        <v>12754</v>
      </c>
      <c r="C127" t="s">
        <v>2102</v>
      </c>
      <c r="D127" t="s">
        <v>2103</v>
      </c>
      <c r="E127" s="183">
        <v>33.770000000000003</v>
      </c>
    </row>
    <row r="128" spans="1:5" ht="14.25">
      <c r="A128">
        <v>119</v>
      </c>
      <c r="B128" t="s">
        <v>12755</v>
      </c>
      <c r="C128" t="s">
        <v>2102</v>
      </c>
      <c r="D128" t="s">
        <v>2107</v>
      </c>
      <c r="E128" s="183">
        <v>8.56</v>
      </c>
    </row>
    <row r="129" spans="1:5" ht="14.25">
      <c r="A129">
        <v>122</v>
      </c>
      <c r="B129" t="s">
        <v>12756</v>
      </c>
      <c r="C129" t="s">
        <v>2102</v>
      </c>
      <c r="D129" t="s">
        <v>2103</v>
      </c>
      <c r="E129" s="183">
        <v>65.86</v>
      </c>
    </row>
    <row r="130" spans="1:5" ht="14.25">
      <c r="A130">
        <v>20080</v>
      </c>
      <c r="B130" t="s">
        <v>12757</v>
      </c>
      <c r="C130" t="s">
        <v>2102</v>
      </c>
      <c r="D130" t="s">
        <v>2103</v>
      </c>
      <c r="E130" s="183">
        <v>21.49</v>
      </c>
    </row>
    <row r="131" spans="1:5" ht="14.25">
      <c r="A131">
        <v>124</v>
      </c>
      <c r="B131" t="s">
        <v>12758</v>
      </c>
      <c r="C131" t="s">
        <v>2117</v>
      </c>
      <c r="D131" t="s">
        <v>2103</v>
      </c>
      <c r="E131" s="183">
        <v>15.79</v>
      </c>
    </row>
    <row r="132" spans="1:5" ht="14.25">
      <c r="A132">
        <v>7334</v>
      </c>
      <c r="B132" t="s">
        <v>12759</v>
      </c>
      <c r="C132" t="s">
        <v>2117</v>
      </c>
      <c r="D132" t="s">
        <v>2103</v>
      </c>
      <c r="E132" s="183">
        <v>13.37</v>
      </c>
    </row>
    <row r="133" spans="1:5" ht="14.25">
      <c r="A133">
        <v>123</v>
      </c>
      <c r="B133" t="s">
        <v>12760</v>
      </c>
      <c r="C133" t="s">
        <v>2117</v>
      </c>
      <c r="D133" t="s">
        <v>2107</v>
      </c>
      <c r="E133" s="183">
        <v>6.46</v>
      </c>
    </row>
    <row r="134" spans="1:5" ht="14.25">
      <c r="A134">
        <v>127</v>
      </c>
      <c r="B134" t="s">
        <v>12761</v>
      </c>
      <c r="C134" t="s">
        <v>2117</v>
      </c>
      <c r="D134" t="s">
        <v>2103</v>
      </c>
      <c r="E134" s="183">
        <v>15.42</v>
      </c>
    </row>
    <row r="135" spans="1:5" ht="14.25">
      <c r="A135">
        <v>41373</v>
      </c>
      <c r="B135" t="s">
        <v>12762</v>
      </c>
      <c r="C135" t="s">
        <v>2117</v>
      </c>
      <c r="D135" t="s">
        <v>2103</v>
      </c>
      <c r="E135" s="183">
        <v>21.49</v>
      </c>
    </row>
    <row r="136" spans="1:5" ht="14.25">
      <c r="A136">
        <v>133</v>
      </c>
      <c r="B136" t="s">
        <v>12763</v>
      </c>
      <c r="C136" t="s">
        <v>2117</v>
      </c>
      <c r="D136" t="s">
        <v>2103</v>
      </c>
      <c r="E136" s="183">
        <v>6.4</v>
      </c>
    </row>
    <row r="137" spans="1:5" ht="14.25">
      <c r="A137">
        <v>43617</v>
      </c>
      <c r="B137" t="s">
        <v>12764</v>
      </c>
      <c r="C137" t="s">
        <v>2117</v>
      </c>
      <c r="D137" t="s">
        <v>2103</v>
      </c>
      <c r="E137" s="183">
        <v>7.15</v>
      </c>
    </row>
    <row r="138" spans="1:5" ht="14.25">
      <c r="A138">
        <v>132</v>
      </c>
      <c r="B138" t="s">
        <v>12765</v>
      </c>
      <c r="C138" t="s">
        <v>2117</v>
      </c>
      <c r="D138" t="s">
        <v>2103</v>
      </c>
      <c r="E138" s="183">
        <v>6.64</v>
      </c>
    </row>
    <row r="139" spans="1:5" ht="14.25">
      <c r="A139">
        <v>43618</v>
      </c>
      <c r="B139" t="s">
        <v>12766</v>
      </c>
      <c r="C139" t="s">
        <v>2110</v>
      </c>
      <c r="D139" t="s">
        <v>2103</v>
      </c>
      <c r="E139" s="183">
        <v>16.72</v>
      </c>
    </row>
    <row r="140" spans="1:5" ht="14.25">
      <c r="A140">
        <v>37476</v>
      </c>
      <c r="B140" t="s">
        <v>12767</v>
      </c>
      <c r="C140" t="s">
        <v>2102</v>
      </c>
      <c r="D140" t="s">
        <v>2103</v>
      </c>
      <c r="E140" s="184">
        <v>3340.87</v>
      </c>
    </row>
    <row r="141" spans="1:5" ht="14.25">
      <c r="A141">
        <v>37478</v>
      </c>
      <c r="B141" t="s">
        <v>12768</v>
      </c>
      <c r="C141" t="s">
        <v>2102</v>
      </c>
      <c r="D141" t="s">
        <v>2103</v>
      </c>
      <c r="E141" s="184">
        <v>4184.53</v>
      </c>
    </row>
    <row r="142" spans="1:5" ht="14.25">
      <c r="A142">
        <v>37477</v>
      </c>
      <c r="B142" t="s">
        <v>12769</v>
      </c>
      <c r="C142" t="s">
        <v>2102</v>
      </c>
      <c r="D142" t="s">
        <v>2103</v>
      </c>
      <c r="E142" s="184">
        <v>5669.36</v>
      </c>
    </row>
    <row r="143" spans="1:5" ht="14.25">
      <c r="A143">
        <v>37479</v>
      </c>
      <c r="B143" t="s">
        <v>12770</v>
      </c>
      <c r="C143" t="s">
        <v>2102</v>
      </c>
      <c r="D143" t="s">
        <v>2103</v>
      </c>
      <c r="E143" s="184">
        <v>6723.93</v>
      </c>
    </row>
    <row r="144" spans="1:5" ht="14.25">
      <c r="A144">
        <v>4319</v>
      </c>
      <c r="B144" t="s">
        <v>12771</v>
      </c>
      <c r="C144" t="s">
        <v>2102</v>
      </c>
      <c r="D144" t="s">
        <v>2103</v>
      </c>
      <c r="E144" s="183">
        <v>2.19</v>
      </c>
    </row>
    <row r="145" spans="1:5" ht="14.25">
      <c r="A145">
        <v>42409</v>
      </c>
      <c r="B145" t="s">
        <v>12772</v>
      </c>
      <c r="C145" t="s">
        <v>2110</v>
      </c>
      <c r="D145" t="s">
        <v>2103</v>
      </c>
      <c r="E145" s="183">
        <v>10.52</v>
      </c>
    </row>
    <row r="146" spans="1:5" ht="14.25">
      <c r="A146">
        <v>40553</v>
      </c>
      <c r="B146" t="s">
        <v>12773</v>
      </c>
      <c r="C146" t="s">
        <v>2122</v>
      </c>
      <c r="D146" t="s">
        <v>2105</v>
      </c>
      <c r="E146" s="183">
        <v>60</v>
      </c>
    </row>
    <row r="147" spans="1:5" ht="14.25">
      <c r="A147">
        <v>6114</v>
      </c>
      <c r="B147" t="s">
        <v>15156</v>
      </c>
      <c r="C147" t="s">
        <v>2106</v>
      </c>
      <c r="D147" t="s">
        <v>2103</v>
      </c>
      <c r="E147" s="183">
        <v>16.170000000000002</v>
      </c>
    </row>
    <row r="148" spans="1:5" ht="14.25">
      <c r="A148">
        <v>40912</v>
      </c>
      <c r="B148" t="s">
        <v>12774</v>
      </c>
      <c r="C148" t="s">
        <v>2123</v>
      </c>
      <c r="D148" t="s">
        <v>2103</v>
      </c>
      <c r="E148" s="184">
        <v>2834.63</v>
      </c>
    </row>
    <row r="149" spans="1:5" ht="14.25">
      <c r="A149">
        <v>247</v>
      </c>
      <c r="B149" t="s">
        <v>15157</v>
      </c>
      <c r="C149" t="s">
        <v>2106</v>
      </c>
      <c r="D149" t="s">
        <v>2103</v>
      </c>
      <c r="E149" s="183">
        <v>16.170000000000002</v>
      </c>
    </row>
    <row r="150" spans="1:5" ht="14.25">
      <c r="A150">
        <v>40919</v>
      </c>
      <c r="B150" t="s">
        <v>12775</v>
      </c>
      <c r="C150" t="s">
        <v>2123</v>
      </c>
      <c r="D150" t="s">
        <v>2103</v>
      </c>
      <c r="E150" s="184">
        <v>2834.63</v>
      </c>
    </row>
    <row r="151" spans="1:5" ht="14.25">
      <c r="A151">
        <v>44499</v>
      </c>
      <c r="B151" t="s">
        <v>18167</v>
      </c>
      <c r="C151" t="s">
        <v>2106</v>
      </c>
      <c r="D151" t="s">
        <v>2103</v>
      </c>
      <c r="E151" s="183">
        <v>16.170000000000002</v>
      </c>
    </row>
    <row r="152" spans="1:5" ht="14.25">
      <c r="A152">
        <v>40984</v>
      </c>
      <c r="B152" t="s">
        <v>12776</v>
      </c>
      <c r="C152" t="s">
        <v>2123</v>
      </c>
      <c r="D152" t="s">
        <v>2103</v>
      </c>
      <c r="E152" s="184">
        <v>2834.63</v>
      </c>
    </row>
    <row r="153" spans="1:5" ht="14.25">
      <c r="A153">
        <v>248</v>
      </c>
      <c r="B153" t="s">
        <v>15158</v>
      </c>
      <c r="C153" t="s">
        <v>2106</v>
      </c>
      <c r="D153" t="s">
        <v>2103</v>
      </c>
      <c r="E153" s="183">
        <v>14.65</v>
      </c>
    </row>
    <row r="154" spans="1:5" ht="14.25">
      <c r="A154">
        <v>41086</v>
      </c>
      <c r="B154" t="s">
        <v>12777</v>
      </c>
      <c r="C154" t="s">
        <v>2123</v>
      </c>
      <c r="D154" t="s">
        <v>2103</v>
      </c>
      <c r="E154" s="184">
        <v>2570.25</v>
      </c>
    </row>
    <row r="155" spans="1:5" ht="14.25">
      <c r="A155">
        <v>34466</v>
      </c>
      <c r="B155" t="s">
        <v>15159</v>
      </c>
      <c r="C155" t="s">
        <v>2106</v>
      </c>
      <c r="D155" t="s">
        <v>2103</v>
      </c>
      <c r="E155" s="183">
        <v>16.170000000000002</v>
      </c>
    </row>
    <row r="156" spans="1:5" ht="14.25">
      <c r="A156">
        <v>41083</v>
      </c>
      <c r="B156" t="s">
        <v>12778</v>
      </c>
      <c r="C156" t="s">
        <v>2123</v>
      </c>
      <c r="D156" t="s">
        <v>2103</v>
      </c>
      <c r="E156" s="184">
        <v>2834.63</v>
      </c>
    </row>
    <row r="157" spans="1:5" ht="14.25">
      <c r="A157">
        <v>252</v>
      </c>
      <c r="B157" t="s">
        <v>15160</v>
      </c>
      <c r="C157" t="s">
        <v>2106</v>
      </c>
      <c r="D157" t="s">
        <v>2103</v>
      </c>
      <c r="E157" s="183">
        <v>16.170000000000002</v>
      </c>
    </row>
    <row r="158" spans="1:5" ht="14.25">
      <c r="A158">
        <v>40909</v>
      </c>
      <c r="B158" t="s">
        <v>12779</v>
      </c>
      <c r="C158" t="s">
        <v>2123</v>
      </c>
      <c r="D158" t="s">
        <v>2103</v>
      </c>
      <c r="E158" s="184">
        <v>2834.63</v>
      </c>
    </row>
    <row r="159" spans="1:5" ht="14.25">
      <c r="A159">
        <v>242</v>
      </c>
      <c r="B159" t="s">
        <v>15161</v>
      </c>
      <c r="C159" t="s">
        <v>2106</v>
      </c>
      <c r="D159" t="s">
        <v>2103</v>
      </c>
      <c r="E159" s="183">
        <v>14.65</v>
      </c>
    </row>
    <row r="160" spans="1:5" ht="14.25">
      <c r="A160">
        <v>41085</v>
      </c>
      <c r="B160" t="s">
        <v>12780</v>
      </c>
      <c r="C160" t="s">
        <v>2123</v>
      </c>
      <c r="D160" t="s">
        <v>2103</v>
      </c>
      <c r="E160" s="184">
        <v>2570.25</v>
      </c>
    </row>
    <row r="161" spans="1:5" ht="14.25">
      <c r="A161">
        <v>427</v>
      </c>
      <c r="B161" t="s">
        <v>12781</v>
      </c>
      <c r="C161" t="s">
        <v>2102</v>
      </c>
      <c r="D161" t="s">
        <v>2103</v>
      </c>
      <c r="E161" s="183">
        <v>9.3800000000000008</v>
      </c>
    </row>
    <row r="162" spans="1:5" ht="14.25">
      <c r="A162">
        <v>417</v>
      </c>
      <c r="B162" t="s">
        <v>12782</v>
      </c>
      <c r="C162" t="s">
        <v>2102</v>
      </c>
      <c r="D162" t="s">
        <v>2103</v>
      </c>
      <c r="E162" s="183">
        <v>4.42</v>
      </c>
    </row>
    <row r="163" spans="1:5" ht="14.25">
      <c r="A163">
        <v>11273</v>
      </c>
      <c r="B163" t="s">
        <v>12783</v>
      </c>
      <c r="C163" t="s">
        <v>2102</v>
      </c>
      <c r="D163" t="s">
        <v>2103</v>
      </c>
      <c r="E163" s="183">
        <v>13.73</v>
      </c>
    </row>
    <row r="164" spans="1:5" ht="14.25">
      <c r="A164">
        <v>11272</v>
      </c>
      <c r="B164" t="s">
        <v>12784</v>
      </c>
      <c r="C164" t="s">
        <v>2102</v>
      </c>
      <c r="D164" t="s">
        <v>2103</v>
      </c>
      <c r="E164" s="183">
        <v>8.2799999999999994</v>
      </c>
    </row>
    <row r="165" spans="1:5" ht="14.25">
      <c r="A165">
        <v>11275</v>
      </c>
      <c r="B165" t="s">
        <v>12785</v>
      </c>
      <c r="C165" t="s">
        <v>2102</v>
      </c>
      <c r="D165" t="s">
        <v>2103</v>
      </c>
      <c r="E165" s="183">
        <v>3.32</v>
      </c>
    </row>
    <row r="166" spans="1:5" ht="14.25">
      <c r="A166">
        <v>11274</v>
      </c>
      <c r="B166" t="s">
        <v>12786</v>
      </c>
      <c r="C166" t="s">
        <v>2102</v>
      </c>
      <c r="D166" t="s">
        <v>2103</v>
      </c>
      <c r="E166" s="183">
        <v>2.5299999999999998</v>
      </c>
    </row>
    <row r="167" spans="1:5" ht="14.25">
      <c r="A167">
        <v>38470</v>
      </c>
      <c r="B167" t="s">
        <v>12787</v>
      </c>
      <c r="C167" t="s">
        <v>2102</v>
      </c>
      <c r="D167" t="s">
        <v>2107</v>
      </c>
      <c r="E167" s="183">
        <v>48.95</v>
      </c>
    </row>
    <row r="168" spans="1:5" ht="14.25">
      <c r="A168">
        <v>38547</v>
      </c>
      <c r="B168" t="s">
        <v>12788</v>
      </c>
      <c r="C168" t="s">
        <v>2102</v>
      </c>
      <c r="D168" t="s">
        <v>2103</v>
      </c>
      <c r="E168" s="183">
        <v>133.57</v>
      </c>
    </row>
    <row r="169" spans="1:5" ht="14.25">
      <c r="A169">
        <v>38469</v>
      </c>
      <c r="B169" t="s">
        <v>12789</v>
      </c>
      <c r="C169" t="s">
        <v>2102</v>
      </c>
      <c r="D169" t="s">
        <v>2103</v>
      </c>
      <c r="E169" s="183">
        <v>143.63</v>
      </c>
    </row>
    <row r="170" spans="1:5" ht="14.25">
      <c r="A170">
        <v>38467</v>
      </c>
      <c r="B170" t="s">
        <v>12790</v>
      </c>
      <c r="C170" t="s">
        <v>2102</v>
      </c>
      <c r="D170" t="s">
        <v>2103</v>
      </c>
      <c r="E170" s="183">
        <v>80.819999999999993</v>
      </c>
    </row>
    <row r="171" spans="1:5" ht="14.25">
      <c r="A171">
        <v>38468</v>
      </c>
      <c r="B171" t="s">
        <v>12791</v>
      </c>
      <c r="C171" t="s">
        <v>2102</v>
      </c>
      <c r="D171" t="s">
        <v>2103</v>
      </c>
      <c r="E171" s="183">
        <v>88.93</v>
      </c>
    </row>
    <row r="172" spans="1:5" ht="14.25">
      <c r="A172">
        <v>38471</v>
      </c>
      <c r="B172" t="s">
        <v>12792</v>
      </c>
      <c r="C172" t="s">
        <v>2102</v>
      </c>
      <c r="D172" t="s">
        <v>2103</v>
      </c>
      <c r="E172" s="183">
        <v>115.49</v>
      </c>
    </row>
    <row r="173" spans="1:5" ht="14.25">
      <c r="A173">
        <v>37370</v>
      </c>
      <c r="B173" t="s">
        <v>18168</v>
      </c>
      <c r="C173" t="s">
        <v>2106</v>
      </c>
      <c r="D173" t="s">
        <v>2107</v>
      </c>
      <c r="E173" s="183">
        <v>0.68</v>
      </c>
    </row>
    <row r="174" spans="1:5" ht="14.25">
      <c r="A174">
        <v>40862</v>
      </c>
      <c r="B174" t="s">
        <v>18169</v>
      </c>
      <c r="C174" t="s">
        <v>2123</v>
      </c>
      <c r="D174" t="s">
        <v>2107</v>
      </c>
      <c r="E174" s="183">
        <v>127.63</v>
      </c>
    </row>
    <row r="175" spans="1:5" ht="14.25">
      <c r="A175">
        <v>10658</v>
      </c>
      <c r="B175" t="s">
        <v>12793</v>
      </c>
      <c r="C175" t="s">
        <v>2102</v>
      </c>
      <c r="D175" t="s">
        <v>2105</v>
      </c>
      <c r="E175" s="184">
        <v>7359</v>
      </c>
    </row>
    <row r="176" spans="1:5" ht="14.25">
      <c r="A176">
        <v>253</v>
      </c>
      <c r="B176" t="s">
        <v>15162</v>
      </c>
      <c r="C176" t="s">
        <v>2106</v>
      </c>
      <c r="D176" t="s">
        <v>2107</v>
      </c>
      <c r="E176" s="183">
        <v>23.24</v>
      </c>
    </row>
    <row r="177" spans="1:5" ht="14.25">
      <c r="A177">
        <v>40809</v>
      </c>
      <c r="B177" t="s">
        <v>12794</v>
      </c>
      <c r="C177" t="s">
        <v>2123</v>
      </c>
      <c r="D177" t="s">
        <v>2103</v>
      </c>
      <c r="E177" s="184">
        <v>4074.57</v>
      </c>
    </row>
    <row r="178" spans="1:5" ht="14.25">
      <c r="A178">
        <v>42428</v>
      </c>
      <c r="B178" t="s">
        <v>12795</v>
      </c>
      <c r="C178" t="s">
        <v>2102</v>
      </c>
      <c r="D178" t="s">
        <v>2105</v>
      </c>
      <c r="E178" s="184">
        <v>2271</v>
      </c>
    </row>
    <row r="179" spans="1:5" ht="14.25">
      <c r="A179">
        <v>301</v>
      </c>
      <c r="B179" t="s">
        <v>12796</v>
      </c>
      <c r="C179" t="s">
        <v>2102</v>
      </c>
      <c r="D179" t="s">
        <v>2107</v>
      </c>
      <c r="E179" s="183">
        <v>3.44</v>
      </c>
    </row>
    <row r="180" spans="1:5" ht="14.25">
      <c r="A180">
        <v>296</v>
      </c>
      <c r="B180" t="s">
        <v>12797</v>
      </c>
      <c r="C180" t="s">
        <v>2102</v>
      </c>
      <c r="D180" t="s">
        <v>2103</v>
      </c>
      <c r="E180" s="183">
        <v>1.94</v>
      </c>
    </row>
    <row r="181" spans="1:5" ht="14.25">
      <c r="A181">
        <v>297</v>
      </c>
      <c r="B181" t="s">
        <v>12798</v>
      </c>
      <c r="C181" t="s">
        <v>2102</v>
      </c>
      <c r="D181" t="s">
        <v>2103</v>
      </c>
      <c r="E181" s="183">
        <v>2.86</v>
      </c>
    </row>
    <row r="182" spans="1:5" ht="14.25">
      <c r="A182">
        <v>299</v>
      </c>
      <c r="B182" t="s">
        <v>12799</v>
      </c>
      <c r="C182" t="s">
        <v>2102</v>
      </c>
      <c r="D182" t="s">
        <v>2103</v>
      </c>
      <c r="E182" s="183">
        <v>4.03</v>
      </c>
    </row>
    <row r="183" spans="1:5" ht="14.25">
      <c r="A183">
        <v>300</v>
      </c>
      <c r="B183" t="s">
        <v>12800</v>
      </c>
      <c r="C183" t="s">
        <v>2102</v>
      </c>
      <c r="D183" t="s">
        <v>2103</v>
      </c>
      <c r="E183" s="183">
        <v>13.96</v>
      </c>
    </row>
    <row r="184" spans="1:5" ht="14.25">
      <c r="A184">
        <v>20085</v>
      </c>
      <c r="B184" t="s">
        <v>12801</v>
      </c>
      <c r="C184" t="s">
        <v>2102</v>
      </c>
      <c r="D184" t="s">
        <v>2103</v>
      </c>
      <c r="E184" s="183">
        <v>2.5499999999999998</v>
      </c>
    </row>
    <row r="185" spans="1:5" ht="14.25">
      <c r="A185">
        <v>298</v>
      </c>
      <c r="B185" t="s">
        <v>12802</v>
      </c>
      <c r="C185" t="s">
        <v>2102</v>
      </c>
      <c r="D185" t="s">
        <v>2103</v>
      </c>
      <c r="E185" s="183">
        <v>3.1</v>
      </c>
    </row>
    <row r="186" spans="1:5" ht="14.25">
      <c r="A186">
        <v>311</v>
      </c>
      <c r="B186" t="s">
        <v>12803</v>
      </c>
      <c r="C186" t="s">
        <v>2102</v>
      </c>
      <c r="D186" t="s">
        <v>2103</v>
      </c>
      <c r="E186" s="183">
        <v>11.51</v>
      </c>
    </row>
    <row r="187" spans="1:5" ht="14.25">
      <c r="A187">
        <v>318</v>
      </c>
      <c r="B187" t="s">
        <v>12804</v>
      </c>
      <c r="C187" t="s">
        <v>2102</v>
      </c>
      <c r="D187" t="s">
        <v>2103</v>
      </c>
      <c r="E187" s="183">
        <v>23.19</v>
      </c>
    </row>
    <row r="188" spans="1:5" ht="14.25">
      <c r="A188">
        <v>319</v>
      </c>
      <c r="B188" t="s">
        <v>12805</v>
      </c>
      <c r="C188" t="s">
        <v>2102</v>
      </c>
      <c r="D188" t="s">
        <v>2103</v>
      </c>
      <c r="E188" s="183">
        <v>36.36</v>
      </c>
    </row>
    <row r="189" spans="1:5" ht="14.25">
      <c r="A189">
        <v>303</v>
      </c>
      <c r="B189" t="s">
        <v>12806</v>
      </c>
      <c r="C189" t="s">
        <v>2102</v>
      </c>
      <c r="D189" t="s">
        <v>2103</v>
      </c>
      <c r="E189" s="183">
        <v>3.81</v>
      </c>
    </row>
    <row r="190" spans="1:5" ht="14.25">
      <c r="A190">
        <v>305</v>
      </c>
      <c r="B190" t="s">
        <v>12807</v>
      </c>
      <c r="C190" t="s">
        <v>2102</v>
      </c>
      <c r="D190" t="s">
        <v>2103</v>
      </c>
      <c r="E190" s="183">
        <v>11.99</v>
      </c>
    </row>
    <row r="191" spans="1:5" ht="14.25">
      <c r="A191">
        <v>306</v>
      </c>
      <c r="B191" t="s">
        <v>12808</v>
      </c>
      <c r="C191" t="s">
        <v>2102</v>
      </c>
      <c r="D191" t="s">
        <v>2103</v>
      </c>
      <c r="E191" s="183">
        <v>18.18</v>
      </c>
    </row>
    <row r="192" spans="1:5" ht="14.25">
      <c r="A192">
        <v>307</v>
      </c>
      <c r="B192" t="s">
        <v>12809</v>
      </c>
      <c r="C192" t="s">
        <v>2102</v>
      </c>
      <c r="D192" t="s">
        <v>2103</v>
      </c>
      <c r="E192" s="183">
        <v>45.93</v>
      </c>
    </row>
    <row r="193" spans="1:5" ht="14.25">
      <c r="A193">
        <v>309</v>
      </c>
      <c r="B193" t="s">
        <v>12810</v>
      </c>
      <c r="C193" t="s">
        <v>2102</v>
      </c>
      <c r="D193" t="s">
        <v>2103</v>
      </c>
      <c r="E193" s="183">
        <v>75.239999999999995</v>
      </c>
    </row>
    <row r="194" spans="1:5" ht="14.25">
      <c r="A194">
        <v>310</v>
      </c>
      <c r="B194" t="s">
        <v>12811</v>
      </c>
      <c r="C194" t="s">
        <v>2102</v>
      </c>
      <c r="D194" t="s">
        <v>2103</v>
      </c>
      <c r="E194" s="183">
        <v>104.29</v>
      </c>
    </row>
    <row r="195" spans="1:5" ht="14.25">
      <c r="A195">
        <v>328</v>
      </c>
      <c r="B195" t="s">
        <v>12812</v>
      </c>
      <c r="C195" t="s">
        <v>2102</v>
      </c>
      <c r="D195" t="s">
        <v>2103</v>
      </c>
      <c r="E195" s="183">
        <v>9.1199999999999992</v>
      </c>
    </row>
    <row r="196" spans="1:5" ht="14.25">
      <c r="A196">
        <v>325</v>
      </c>
      <c r="B196" t="s">
        <v>12813</v>
      </c>
      <c r="C196" t="s">
        <v>2102</v>
      </c>
      <c r="D196" t="s">
        <v>2103</v>
      </c>
      <c r="E196" s="183">
        <v>2.69</v>
      </c>
    </row>
    <row r="197" spans="1:5" ht="14.25">
      <c r="A197">
        <v>20326</v>
      </c>
      <c r="B197" t="s">
        <v>12814</v>
      </c>
      <c r="C197" t="s">
        <v>2102</v>
      </c>
      <c r="D197" t="s">
        <v>2103</v>
      </c>
      <c r="E197" s="183">
        <v>4.92</v>
      </c>
    </row>
    <row r="198" spans="1:5" ht="14.25">
      <c r="A198">
        <v>329</v>
      </c>
      <c r="B198" t="s">
        <v>12815</v>
      </c>
      <c r="C198" t="s">
        <v>2102</v>
      </c>
      <c r="D198" t="s">
        <v>2103</v>
      </c>
      <c r="E198" s="183">
        <v>7.62</v>
      </c>
    </row>
    <row r="199" spans="1:5" ht="14.25">
      <c r="A199">
        <v>308</v>
      </c>
      <c r="B199" t="s">
        <v>12816</v>
      </c>
      <c r="C199" t="s">
        <v>2102</v>
      </c>
      <c r="D199" t="s">
        <v>2103</v>
      </c>
      <c r="E199" s="183">
        <v>102.52</v>
      </c>
    </row>
    <row r="200" spans="1:5" ht="14.25">
      <c r="A200">
        <v>39642</v>
      </c>
      <c r="B200" t="s">
        <v>12817</v>
      </c>
      <c r="C200" t="s">
        <v>2102</v>
      </c>
      <c r="D200" t="s">
        <v>2103</v>
      </c>
      <c r="E200" s="183">
        <v>3.38</v>
      </c>
    </row>
    <row r="201" spans="1:5" ht="14.25">
      <c r="A201">
        <v>39641</v>
      </c>
      <c r="B201" t="s">
        <v>12818</v>
      </c>
      <c r="C201" t="s">
        <v>2102</v>
      </c>
      <c r="D201" t="s">
        <v>2103</v>
      </c>
      <c r="E201" s="183">
        <v>2.96</v>
      </c>
    </row>
    <row r="202" spans="1:5" ht="14.25">
      <c r="A202">
        <v>39643</v>
      </c>
      <c r="B202" t="s">
        <v>12819</v>
      </c>
      <c r="C202" t="s">
        <v>2102</v>
      </c>
      <c r="D202" t="s">
        <v>2103</v>
      </c>
      <c r="E202" s="183">
        <v>3.97</v>
      </c>
    </row>
    <row r="203" spans="1:5" ht="14.25">
      <c r="A203">
        <v>39644</v>
      </c>
      <c r="B203" t="s">
        <v>12820</v>
      </c>
      <c r="C203" t="s">
        <v>2102</v>
      </c>
      <c r="D203" t="s">
        <v>2103</v>
      </c>
      <c r="E203" s="183">
        <v>6.15</v>
      </c>
    </row>
    <row r="204" spans="1:5" ht="14.25">
      <c r="A204">
        <v>39645</v>
      </c>
      <c r="B204" t="s">
        <v>12821</v>
      </c>
      <c r="C204" t="s">
        <v>2102</v>
      </c>
      <c r="D204" t="s">
        <v>2103</v>
      </c>
      <c r="E204" s="183">
        <v>6.74</v>
      </c>
    </row>
    <row r="205" spans="1:5" ht="14.25">
      <c r="A205">
        <v>41610</v>
      </c>
      <c r="B205" t="s">
        <v>12822</v>
      </c>
      <c r="C205" t="s">
        <v>2102</v>
      </c>
      <c r="D205" t="s">
        <v>2103</v>
      </c>
      <c r="E205" s="183">
        <v>619.80999999999995</v>
      </c>
    </row>
    <row r="206" spans="1:5" ht="14.25">
      <c r="A206">
        <v>41611</v>
      </c>
      <c r="B206" t="s">
        <v>12823</v>
      </c>
      <c r="C206" t="s">
        <v>2102</v>
      </c>
      <c r="D206" t="s">
        <v>2103</v>
      </c>
      <c r="E206" s="183">
        <v>976.95</v>
      </c>
    </row>
    <row r="207" spans="1:5" ht="14.25">
      <c r="A207">
        <v>41612</v>
      </c>
      <c r="B207" t="s">
        <v>12824</v>
      </c>
      <c r="C207" t="s">
        <v>2102</v>
      </c>
      <c r="D207" t="s">
        <v>2103</v>
      </c>
      <c r="E207" s="184">
        <v>1371.78</v>
      </c>
    </row>
    <row r="208" spans="1:5" ht="14.25">
      <c r="A208">
        <v>41637</v>
      </c>
      <c r="B208" t="s">
        <v>12825</v>
      </c>
      <c r="C208" t="s">
        <v>2102</v>
      </c>
      <c r="D208" t="s">
        <v>2103</v>
      </c>
      <c r="E208" s="183">
        <v>128.22999999999999</v>
      </c>
    </row>
    <row r="209" spans="1:5" ht="14.25">
      <c r="A209">
        <v>41638</v>
      </c>
      <c r="B209" t="s">
        <v>12826</v>
      </c>
      <c r="C209" t="s">
        <v>2102</v>
      </c>
      <c r="D209" t="s">
        <v>2103</v>
      </c>
      <c r="E209" s="183">
        <v>167.04</v>
      </c>
    </row>
    <row r="210" spans="1:5" ht="14.25">
      <c r="A210">
        <v>41639</v>
      </c>
      <c r="B210" t="s">
        <v>12827</v>
      </c>
      <c r="C210" t="s">
        <v>2102</v>
      </c>
      <c r="D210" t="s">
        <v>2103</v>
      </c>
      <c r="E210" s="183">
        <v>404.11</v>
      </c>
    </row>
    <row r="211" spans="1:5" ht="14.25">
      <c r="A211">
        <v>11789</v>
      </c>
      <c r="B211" t="s">
        <v>12828</v>
      </c>
      <c r="C211" t="s">
        <v>2102</v>
      </c>
      <c r="D211" t="s">
        <v>2103</v>
      </c>
      <c r="E211" s="183">
        <v>1.25</v>
      </c>
    </row>
    <row r="212" spans="1:5" ht="14.25">
      <c r="A212">
        <v>20975</v>
      </c>
      <c r="B212" t="s">
        <v>12829</v>
      </c>
      <c r="C212" t="s">
        <v>2102</v>
      </c>
      <c r="D212" t="s">
        <v>2103</v>
      </c>
      <c r="E212" s="183">
        <v>13.05</v>
      </c>
    </row>
    <row r="213" spans="1:5" ht="14.25">
      <c r="A213">
        <v>20976</v>
      </c>
      <c r="B213" t="s">
        <v>12830</v>
      </c>
      <c r="C213" t="s">
        <v>2102</v>
      </c>
      <c r="D213" t="s">
        <v>2103</v>
      </c>
      <c r="E213" s="183">
        <v>19.72</v>
      </c>
    </row>
    <row r="214" spans="1:5" ht="14.25">
      <c r="A214">
        <v>40340</v>
      </c>
      <c r="B214" t="s">
        <v>12831</v>
      </c>
      <c r="C214" t="s">
        <v>2102</v>
      </c>
      <c r="D214" t="s">
        <v>2103</v>
      </c>
      <c r="E214" s="183">
        <v>25.3</v>
      </c>
    </row>
    <row r="215" spans="1:5" ht="14.25">
      <c r="A215">
        <v>40341</v>
      </c>
      <c r="B215" t="s">
        <v>12832</v>
      </c>
      <c r="C215" t="s">
        <v>2102</v>
      </c>
      <c r="D215" t="s">
        <v>2103</v>
      </c>
      <c r="E215" s="183">
        <v>30.2</v>
      </c>
    </row>
    <row r="216" spans="1:5" ht="14.25">
      <c r="A216">
        <v>40342</v>
      </c>
      <c r="B216" t="s">
        <v>12833</v>
      </c>
      <c r="C216" t="s">
        <v>2102</v>
      </c>
      <c r="D216" t="s">
        <v>2103</v>
      </c>
      <c r="E216" s="183">
        <v>36.020000000000003</v>
      </c>
    </row>
    <row r="217" spans="1:5" ht="14.25">
      <c r="A217">
        <v>40343</v>
      </c>
      <c r="B217" t="s">
        <v>12834</v>
      </c>
      <c r="C217" t="s">
        <v>2102</v>
      </c>
      <c r="D217" t="s">
        <v>2103</v>
      </c>
      <c r="E217" s="183">
        <v>42.72</v>
      </c>
    </row>
    <row r="218" spans="1:5" ht="14.25">
      <c r="A218">
        <v>40344</v>
      </c>
      <c r="B218" t="s">
        <v>12835</v>
      </c>
      <c r="C218" t="s">
        <v>2102</v>
      </c>
      <c r="D218" t="s">
        <v>2103</v>
      </c>
      <c r="E218" s="183">
        <v>58.24</v>
      </c>
    </row>
    <row r="219" spans="1:5" ht="14.25">
      <c r="A219">
        <v>40345</v>
      </c>
      <c r="B219" t="s">
        <v>12836</v>
      </c>
      <c r="C219" t="s">
        <v>2102</v>
      </c>
      <c r="D219" t="s">
        <v>2103</v>
      </c>
      <c r="E219" s="183">
        <v>71.760000000000005</v>
      </c>
    </row>
    <row r="220" spans="1:5" ht="14.25">
      <c r="A220">
        <v>40346</v>
      </c>
      <c r="B220" t="s">
        <v>12837</v>
      </c>
      <c r="C220" t="s">
        <v>2102</v>
      </c>
      <c r="D220" t="s">
        <v>2103</v>
      </c>
      <c r="E220" s="183">
        <v>83.24</v>
      </c>
    </row>
    <row r="221" spans="1:5" ht="14.25">
      <c r="A221">
        <v>40347</v>
      </c>
      <c r="B221" t="s">
        <v>12838</v>
      </c>
      <c r="C221" t="s">
        <v>2102</v>
      </c>
      <c r="D221" t="s">
        <v>2103</v>
      </c>
      <c r="E221" s="183">
        <v>104.59</v>
      </c>
    </row>
    <row r="222" spans="1:5" ht="14.25">
      <c r="A222">
        <v>6138</v>
      </c>
      <c r="B222" t="s">
        <v>12839</v>
      </c>
      <c r="C222" t="s">
        <v>2102</v>
      </c>
      <c r="D222" t="s">
        <v>2103</v>
      </c>
      <c r="E222" s="183">
        <v>11.95</v>
      </c>
    </row>
    <row r="223" spans="1:5" ht="14.25">
      <c r="A223">
        <v>43424</v>
      </c>
      <c r="B223" t="s">
        <v>12840</v>
      </c>
      <c r="C223" t="s">
        <v>2102</v>
      </c>
      <c r="D223" t="s">
        <v>2103</v>
      </c>
      <c r="E223" s="183">
        <v>519.29999999999995</v>
      </c>
    </row>
    <row r="224" spans="1:5" ht="14.25">
      <c r="A224">
        <v>43426</v>
      </c>
      <c r="B224" t="s">
        <v>12841</v>
      </c>
      <c r="C224" t="s">
        <v>2102</v>
      </c>
      <c r="D224" t="s">
        <v>2103</v>
      </c>
      <c r="E224" s="184">
        <v>1791.08</v>
      </c>
    </row>
    <row r="225" spans="1:5" ht="14.25">
      <c r="A225">
        <v>12565</v>
      </c>
      <c r="B225" t="s">
        <v>12842</v>
      </c>
      <c r="C225" t="s">
        <v>2102</v>
      </c>
      <c r="D225" t="s">
        <v>2103</v>
      </c>
      <c r="E225" s="183">
        <v>628.1</v>
      </c>
    </row>
    <row r="226" spans="1:5" ht="14.25">
      <c r="A226">
        <v>12567</v>
      </c>
      <c r="B226" t="s">
        <v>12843</v>
      </c>
      <c r="C226" t="s">
        <v>2102</v>
      </c>
      <c r="D226" t="s">
        <v>2103</v>
      </c>
      <c r="E226" s="183">
        <v>843.65</v>
      </c>
    </row>
    <row r="227" spans="1:5" ht="14.25">
      <c r="A227">
        <v>12568</v>
      </c>
      <c r="B227" t="s">
        <v>12844</v>
      </c>
      <c r="C227" t="s">
        <v>2102</v>
      </c>
      <c r="D227" t="s">
        <v>2103</v>
      </c>
      <c r="E227" s="184">
        <v>1181.1099999999999</v>
      </c>
    </row>
    <row r="228" spans="1:5" ht="14.25">
      <c r="A228">
        <v>43441</v>
      </c>
      <c r="B228" t="s">
        <v>12845</v>
      </c>
      <c r="C228" t="s">
        <v>2102</v>
      </c>
      <c r="D228" t="s">
        <v>2103</v>
      </c>
      <c r="E228" s="183">
        <v>151.85</v>
      </c>
    </row>
    <row r="229" spans="1:5" ht="14.25">
      <c r="A229">
        <v>43423</v>
      </c>
      <c r="B229" t="s">
        <v>12846</v>
      </c>
      <c r="C229" t="s">
        <v>2102</v>
      </c>
      <c r="D229" t="s">
        <v>2103</v>
      </c>
      <c r="E229" s="183">
        <v>70.86</v>
      </c>
    </row>
    <row r="230" spans="1:5" ht="14.25">
      <c r="A230">
        <v>12532</v>
      </c>
      <c r="B230" t="s">
        <v>12847</v>
      </c>
      <c r="C230" t="s">
        <v>2102</v>
      </c>
      <c r="D230" t="s">
        <v>2103</v>
      </c>
      <c r="E230" s="183">
        <v>109.29</v>
      </c>
    </row>
    <row r="231" spans="1:5" ht="14.25">
      <c r="A231">
        <v>43444</v>
      </c>
      <c r="B231" t="s">
        <v>12848</v>
      </c>
      <c r="C231" t="s">
        <v>2102</v>
      </c>
      <c r="D231" t="s">
        <v>2103</v>
      </c>
      <c r="E231" s="183">
        <v>366.99</v>
      </c>
    </row>
    <row r="232" spans="1:5" ht="14.25">
      <c r="A232">
        <v>12551</v>
      </c>
      <c r="B232" t="s">
        <v>12849</v>
      </c>
      <c r="C232" t="s">
        <v>2102</v>
      </c>
      <c r="D232" t="s">
        <v>2103</v>
      </c>
      <c r="E232" s="183">
        <v>261.83</v>
      </c>
    </row>
    <row r="233" spans="1:5" ht="14.25">
      <c r="A233">
        <v>43442</v>
      </c>
      <c r="B233" t="s">
        <v>12850</v>
      </c>
      <c r="C233" t="s">
        <v>2102</v>
      </c>
      <c r="D233" t="s">
        <v>2103</v>
      </c>
      <c r="E233" s="183">
        <v>202.47</v>
      </c>
    </row>
    <row r="234" spans="1:5" ht="14.25">
      <c r="A234">
        <v>43443</v>
      </c>
      <c r="B234" t="s">
        <v>12851</v>
      </c>
      <c r="C234" t="s">
        <v>2102</v>
      </c>
      <c r="D234" t="s">
        <v>2103</v>
      </c>
      <c r="E234" s="183">
        <v>265.75</v>
      </c>
    </row>
    <row r="235" spans="1:5" ht="14.25">
      <c r="A235">
        <v>12544</v>
      </c>
      <c r="B235" t="s">
        <v>12852</v>
      </c>
      <c r="C235" t="s">
        <v>2102</v>
      </c>
      <c r="D235" t="s">
        <v>2103</v>
      </c>
      <c r="E235" s="183">
        <v>143.41999999999999</v>
      </c>
    </row>
    <row r="236" spans="1:5" ht="14.25">
      <c r="A236">
        <v>12547</v>
      </c>
      <c r="B236" t="s">
        <v>12853</v>
      </c>
      <c r="C236" t="s">
        <v>2102</v>
      </c>
      <c r="D236" t="s">
        <v>2103</v>
      </c>
      <c r="E236" s="183">
        <v>192.89</v>
      </c>
    </row>
    <row r="237" spans="1:5" ht="14.25">
      <c r="A237">
        <v>43445</v>
      </c>
      <c r="B237" t="s">
        <v>12854</v>
      </c>
      <c r="C237" t="s">
        <v>2102</v>
      </c>
      <c r="D237" t="s">
        <v>2103</v>
      </c>
      <c r="E237" s="183">
        <v>506.19</v>
      </c>
    </row>
    <row r="238" spans="1:5" ht="14.25">
      <c r="A238">
        <v>12563</v>
      </c>
      <c r="B238" t="s">
        <v>12855</v>
      </c>
      <c r="C238" t="s">
        <v>2102</v>
      </c>
      <c r="D238" t="s">
        <v>2103</v>
      </c>
      <c r="E238" s="183">
        <v>362.16</v>
      </c>
    </row>
    <row r="239" spans="1:5" ht="14.25">
      <c r="A239">
        <v>43425</v>
      </c>
      <c r="B239" t="s">
        <v>12856</v>
      </c>
      <c r="C239" t="s">
        <v>2102</v>
      </c>
      <c r="D239" t="s">
        <v>2103</v>
      </c>
      <c r="E239" s="183">
        <v>227.78</v>
      </c>
    </row>
    <row r="240" spans="1:5" ht="14.25">
      <c r="A240">
        <v>43446</v>
      </c>
      <c r="B240" t="s">
        <v>12857</v>
      </c>
      <c r="C240" t="s">
        <v>2102</v>
      </c>
      <c r="D240" t="s">
        <v>2103</v>
      </c>
      <c r="E240" s="183">
        <v>480.88</v>
      </c>
    </row>
    <row r="241" spans="1:5" ht="14.25">
      <c r="A241">
        <v>43447</v>
      </c>
      <c r="B241" t="s">
        <v>12858</v>
      </c>
      <c r="C241" t="s">
        <v>2102</v>
      </c>
      <c r="D241" t="s">
        <v>2103</v>
      </c>
      <c r="E241" s="183">
        <v>590.54999999999995</v>
      </c>
    </row>
    <row r="242" spans="1:5" ht="14.25">
      <c r="A242">
        <v>43448</v>
      </c>
      <c r="B242" t="s">
        <v>12859</v>
      </c>
      <c r="C242" t="s">
        <v>2102</v>
      </c>
      <c r="D242" t="s">
        <v>2103</v>
      </c>
      <c r="E242" s="183">
        <v>826.78</v>
      </c>
    </row>
    <row r="243" spans="1:5" ht="14.25">
      <c r="A243">
        <v>13761</v>
      </c>
      <c r="B243" t="s">
        <v>12860</v>
      </c>
      <c r="C243" t="s">
        <v>2102</v>
      </c>
      <c r="D243" t="s">
        <v>2105</v>
      </c>
      <c r="E243" s="184">
        <v>2410.25</v>
      </c>
    </row>
    <row r="244" spans="1:5" ht="14.25">
      <c r="A244">
        <v>4814</v>
      </c>
      <c r="B244" t="s">
        <v>12861</v>
      </c>
      <c r="C244" t="s">
        <v>2102</v>
      </c>
      <c r="D244" t="s">
        <v>2103</v>
      </c>
      <c r="E244" s="183">
        <v>71.849999999999994</v>
      </c>
    </row>
    <row r="245" spans="1:5" ht="14.25">
      <c r="A245">
        <v>44473</v>
      </c>
      <c r="B245" t="s">
        <v>12862</v>
      </c>
      <c r="C245" t="s">
        <v>2102</v>
      </c>
      <c r="D245" t="s">
        <v>2105</v>
      </c>
      <c r="E245" s="184">
        <v>2151.0100000000002</v>
      </c>
    </row>
    <row r="246" spans="1:5" ht="14.25">
      <c r="A246">
        <v>6122</v>
      </c>
      <c r="B246" t="s">
        <v>15163</v>
      </c>
      <c r="C246" t="s">
        <v>2106</v>
      </c>
      <c r="D246" t="s">
        <v>2103</v>
      </c>
      <c r="E246" s="183">
        <v>23.65</v>
      </c>
    </row>
    <row r="247" spans="1:5" ht="14.25">
      <c r="A247">
        <v>40810</v>
      </c>
      <c r="B247" t="s">
        <v>12863</v>
      </c>
      <c r="C247" t="s">
        <v>2123</v>
      </c>
      <c r="D247" t="s">
        <v>2103</v>
      </c>
      <c r="E247" s="184">
        <v>4146.8599999999997</v>
      </c>
    </row>
    <row r="248" spans="1:5" ht="14.25">
      <c r="A248">
        <v>21100</v>
      </c>
      <c r="B248" t="s">
        <v>12864</v>
      </c>
      <c r="C248" t="s">
        <v>2102</v>
      </c>
      <c r="D248" t="s">
        <v>2105</v>
      </c>
      <c r="E248" s="184">
        <v>3845.1</v>
      </c>
    </row>
    <row r="249" spans="1:5" ht="14.25">
      <c r="A249">
        <v>11816</v>
      </c>
      <c r="B249" t="s">
        <v>12865</v>
      </c>
      <c r="C249" t="s">
        <v>2102</v>
      </c>
      <c r="D249" t="s">
        <v>2105</v>
      </c>
      <c r="E249" s="184">
        <v>4100</v>
      </c>
    </row>
    <row r="250" spans="1:5" ht="14.25">
      <c r="A250">
        <v>11814</v>
      </c>
      <c r="B250" t="s">
        <v>12866</v>
      </c>
      <c r="C250" t="s">
        <v>2102</v>
      </c>
      <c r="D250" t="s">
        <v>2105</v>
      </c>
      <c r="E250" s="184">
        <v>8924.67</v>
      </c>
    </row>
    <row r="251" spans="1:5" ht="14.25">
      <c r="A251">
        <v>14186</v>
      </c>
      <c r="B251" t="s">
        <v>12867</v>
      </c>
      <c r="C251" t="s">
        <v>2102</v>
      </c>
      <c r="D251" t="s">
        <v>2105</v>
      </c>
      <c r="E251" s="184">
        <v>11206.13</v>
      </c>
    </row>
    <row r="252" spans="1:5" ht="14.25">
      <c r="A252">
        <v>14185</v>
      </c>
      <c r="B252" t="s">
        <v>12868</v>
      </c>
      <c r="C252" t="s">
        <v>2102</v>
      </c>
      <c r="D252" t="s">
        <v>2105</v>
      </c>
      <c r="E252" s="184">
        <v>14516.3</v>
      </c>
    </row>
    <row r="253" spans="1:5" ht="14.25">
      <c r="A253">
        <v>11811</v>
      </c>
      <c r="B253" t="s">
        <v>12869</v>
      </c>
      <c r="C253" t="s">
        <v>2102</v>
      </c>
      <c r="D253" t="s">
        <v>2105</v>
      </c>
      <c r="E253" s="184">
        <v>5550.48</v>
      </c>
    </row>
    <row r="254" spans="1:5" ht="14.25">
      <c r="A254">
        <v>44498</v>
      </c>
      <c r="B254" t="s">
        <v>12870</v>
      </c>
      <c r="C254" t="s">
        <v>2102</v>
      </c>
      <c r="D254" t="s">
        <v>2105</v>
      </c>
      <c r="E254" s="184">
        <v>318204.48</v>
      </c>
    </row>
    <row r="255" spans="1:5" ht="14.25">
      <c r="A255">
        <v>34469</v>
      </c>
      <c r="B255" t="s">
        <v>12871</v>
      </c>
      <c r="C255" t="s">
        <v>2102</v>
      </c>
      <c r="D255" t="s">
        <v>2105</v>
      </c>
      <c r="E255" s="184">
        <v>11310.87</v>
      </c>
    </row>
    <row r="256" spans="1:5" ht="14.25">
      <c r="A256">
        <v>34476</v>
      </c>
      <c r="B256" t="s">
        <v>12872</v>
      </c>
      <c r="C256" t="s">
        <v>2102</v>
      </c>
      <c r="D256" t="s">
        <v>2105</v>
      </c>
      <c r="E256" s="184">
        <v>5899.09</v>
      </c>
    </row>
    <row r="257" spans="1:5" ht="14.25">
      <c r="A257">
        <v>34477</v>
      </c>
      <c r="B257" t="s">
        <v>12873</v>
      </c>
      <c r="C257" t="s">
        <v>2102</v>
      </c>
      <c r="D257" t="s">
        <v>2105</v>
      </c>
      <c r="E257" s="184">
        <v>7829.24</v>
      </c>
    </row>
    <row r="258" spans="1:5" ht="14.25">
      <c r="A258">
        <v>34482</v>
      </c>
      <c r="B258" t="s">
        <v>12874</v>
      </c>
      <c r="C258" t="s">
        <v>2102</v>
      </c>
      <c r="D258" t="s">
        <v>2105</v>
      </c>
      <c r="E258" s="184">
        <v>7312.08</v>
      </c>
    </row>
    <row r="259" spans="1:5" ht="14.25">
      <c r="A259">
        <v>34472</v>
      </c>
      <c r="B259" t="s">
        <v>12875</v>
      </c>
      <c r="C259" t="s">
        <v>2102</v>
      </c>
      <c r="D259" t="s">
        <v>2105</v>
      </c>
      <c r="E259" s="184">
        <v>3480</v>
      </c>
    </row>
    <row r="260" spans="1:5" ht="14.25">
      <c r="A260">
        <v>42425</v>
      </c>
      <c r="B260" t="s">
        <v>12876</v>
      </c>
      <c r="C260" t="s">
        <v>2102</v>
      </c>
      <c r="D260" t="s">
        <v>2103</v>
      </c>
      <c r="E260" s="184">
        <v>2515.94</v>
      </c>
    </row>
    <row r="261" spans="1:5" ht="14.25">
      <c r="A261">
        <v>42422</v>
      </c>
      <c r="B261" t="s">
        <v>12877</v>
      </c>
      <c r="C261" t="s">
        <v>2102</v>
      </c>
      <c r="D261" t="s">
        <v>2107</v>
      </c>
      <c r="E261" s="184">
        <v>3735</v>
      </c>
    </row>
    <row r="262" spans="1:5" ht="14.25">
      <c r="A262">
        <v>43184</v>
      </c>
      <c r="B262" t="s">
        <v>18170</v>
      </c>
      <c r="C262" t="s">
        <v>2102</v>
      </c>
      <c r="D262" t="s">
        <v>2103</v>
      </c>
      <c r="E262" s="184">
        <v>5162.13</v>
      </c>
    </row>
    <row r="263" spans="1:5" ht="14.25">
      <c r="A263">
        <v>42424</v>
      </c>
      <c r="B263" t="s">
        <v>12878</v>
      </c>
      <c r="C263" t="s">
        <v>2102</v>
      </c>
      <c r="D263" t="s">
        <v>2103</v>
      </c>
      <c r="E263" s="184">
        <v>2246.9499999999998</v>
      </c>
    </row>
    <row r="264" spans="1:5" ht="14.25">
      <c r="A264">
        <v>42421</v>
      </c>
      <c r="B264" t="s">
        <v>12879</v>
      </c>
      <c r="C264" t="s">
        <v>2102</v>
      </c>
      <c r="D264" t="s">
        <v>2103</v>
      </c>
      <c r="E264" s="184">
        <v>20458.28</v>
      </c>
    </row>
    <row r="265" spans="1:5" ht="14.25">
      <c r="A265">
        <v>42416</v>
      </c>
      <c r="B265" t="s">
        <v>12880</v>
      </c>
      <c r="C265" t="s">
        <v>2102</v>
      </c>
      <c r="D265" t="s">
        <v>2103</v>
      </c>
      <c r="E265" s="184">
        <v>9686.36</v>
      </c>
    </row>
    <row r="266" spans="1:5" ht="14.25">
      <c r="A266">
        <v>42417</v>
      </c>
      <c r="B266" t="s">
        <v>12881</v>
      </c>
      <c r="C266" t="s">
        <v>2102</v>
      </c>
      <c r="D266" t="s">
        <v>2103</v>
      </c>
      <c r="E266" s="184">
        <v>10859.21</v>
      </c>
    </row>
    <row r="267" spans="1:5" ht="14.25">
      <c r="A267">
        <v>42419</v>
      </c>
      <c r="B267" t="s">
        <v>12882</v>
      </c>
      <c r="C267" t="s">
        <v>2102</v>
      </c>
      <c r="D267" t="s">
        <v>2103</v>
      </c>
      <c r="E267" s="184">
        <v>12268.6</v>
      </c>
    </row>
    <row r="268" spans="1:5" ht="14.25">
      <c r="A268">
        <v>42420</v>
      </c>
      <c r="B268" t="s">
        <v>12883</v>
      </c>
      <c r="C268" t="s">
        <v>2102</v>
      </c>
      <c r="D268" t="s">
        <v>2103</v>
      </c>
      <c r="E268" s="184">
        <v>16862.28</v>
      </c>
    </row>
    <row r="269" spans="1:5" ht="14.25">
      <c r="A269">
        <v>43195</v>
      </c>
      <c r="B269" t="s">
        <v>12884</v>
      </c>
      <c r="C269" t="s">
        <v>2102</v>
      </c>
      <c r="D269" t="s">
        <v>2103</v>
      </c>
      <c r="E269" s="184">
        <v>5937.45</v>
      </c>
    </row>
    <row r="270" spans="1:5" ht="14.25">
      <c r="A270">
        <v>43196</v>
      </c>
      <c r="B270" t="s">
        <v>12885</v>
      </c>
      <c r="C270" t="s">
        <v>2102</v>
      </c>
      <c r="D270" t="s">
        <v>2103</v>
      </c>
      <c r="E270" s="184">
        <v>7358.61</v>
      </c>
    </row>
    <row r="271" spans="1:5" ht="14.25">
      <c r="A271">
        <v>43198</v>
      </c>
      <c r="B271" t="s">
        <v>12886</v>
      </c>
      <c r="C271" t="s">
        <v>2102</v>
      </c>
      <c r="D271" t="s">
        <v>2103</v>
      </c>
      <c r="E271" s="184">
        <v>10934.73</v>
      </c>
    </row>
    <row r="272" spans="1:5" ht="14.25">
      <c r="A272">
        <v>43199</v>
      </c>
      <c r="B272" t="s">
        <v>12887</v>
      </c>
      <c r="C272" t="s">
        <v>2102</v>
      </c>
      <c r="D272" t="s">
        <v>2103</v>
      </c>
      <c r="E272" s="184">
        <v>11335.41</v>
      </c>
    </row>
    <row r="273" spans="1:5" ht="14.25">
      <c r="A273">
        <v>43200</v>
      </c>
      <c r="B273" t="s">
        <v>12888</v>
      </c>
      <c r="C273" t="s">
        <v>2102</v>
      </c>
      <c r="D273" t="s">
        <v>2103</v>
      </c>
      <c r="E273" s="184">
        <v>13008.21</v>
      </c>
    </row>
    <row r="274" spans="1:5" ht="14.25">
      <c r="A274">
        <v>39556</v>
      </c>
      <c r="B274" t="s">
        <v>12889</v>
      </c>
      <c r="C274" t="s">
        <v>2102</v>
      </c>
      <c r="D274" t="s">
        <v>2103</v>
      </c>
      <c r="E274" s="184">
        <v>7104.7</v>
      </c>
    </row>
    <row r="275" spans="1:5" ht="14.25">
      <c r="A275">
        <v>39557</v>
      </c>
      <c r="B275" t="s">
        <v>12890</v>
      </c>
      <c r="C275" t="s">
        <v>2102</v>
      </c>
      <c r="D275" t="s">
        <v>2103</v>
      </c>
      <c r="E275" s="184">
        <v>7650.21</v>
      </c>
    </row>
    <row r="276" spans="1:5" ht="14.25">
      <c r="A276">
        <v>39559</v>
      </c>
      <c r="B276" t="s">
        <v>12891</v>
      </c>
      <c r="C276" t="s">
        <v>2102</v>
      </c>
      <c r="D276" t="s">
        <v>2103</v>
      </c>
      <c r="E276" s="184">
        <v>11305.54</v>
      </c>
    </row>
    <row r="277" spans="1:5" ht="14.25">
      <c r="A277">
        <v>39560</v>
      </c>
      <c r="B277" t="s">
        <v>12892</v>
      </c>
      <c r="C277" t="s">
        <v>2102</v>
      </c>
      <c r="D277" t="s">
        <v>2103</v>
      </c>
      <c r="E277" s="184">
        <v>13079.41</v>
      </c>
    </row>
    <row r="278" spans="1:5" ht="14.25">
      <c r="A278">
        <v>39561</v>
      </c>
      <c r="B278" t="s">
        <v>12893</v>
      </c>
      <c r="C278" t="s">
        <v>2102</v>
      </c>
      <c r="D278" t="s">
        <v>2103</v>
      </c>
      <c r="E278" s="184">
        <v>13682.73</v>
      </c>
    </row>
    <row r="279" spans="1:5" ht="14.25">
      <c r="A279">
        <v>43190</v>
      </c>
      <c r="B279" t="s">
        <v>12894</v>
      </c>
      <c r="C279" t="s">
        <v>2102</v>
      </c>
      <c r="D279" t="s">
        <v>2103</v>
      </c>
      <c r="E279" s="184">
        <v>2019.21</v>
      </c>
    </row>
    <row r="280" spans="1:5" ht="14.25">
      <c r="A280">
        <v>39555</v>
      </c>
      <c r="B280" t="s">
        <v>12895</v>
      </c>
      <c r="C280" t="s">
        <v>2102</v>
      </c>
      <c r="D280" t="s">
        <v>2103</v>
      </c>
      <c r="E280" s="184">
        <v>2184.2600000000002</v>
      </c>
    </row>
    <row r="281" spans="1:5" ht="14.25">
      <c r="A281">
        <v>43191</v>
      </c>
      <c r="B281" t="s">
        <v>12896</v>
      </c>
      <c r="C281" t="s">
        <v>2102</v>
      </c>
      <c r="D281" t="s">
        <v>2103</v>
      </c>
      <c r="E281" s="184">
        <v>2905.37</v>
      </c>
    </row>
    <row r="282" spans="1:5" ht="14.25">
      <c r="A282">
        <v>39548</v>
      </c>
      <c r="B282" t="s">
        <v>12897</v>
      </c>
      <c r="C282" t="s">
        <v>2102</v>
      </c>
      <c r="D282" t="s">
        <v>2103</v>
      </c>
      <c r="E282" s="184">
        <v>3239.94</v>
      </c>
    </row>
    <row r="283" spans="1:5" ht="14.25">
      <c r="A283">
        <v>43192</v>
      </c>
      <c r="B283" t="s">
        <v>12898</v>
      </c>
      <c r="C283" t="s">
        <v>2102</v>
      </c>
      <c r="D283" t="s">
        <v>2103</v>
      </c>
      <c r="E283" s="184">
        <v>3805.78</v>
      </c>
    </row>
    <row r="284" spans="1:5" ht="14.25">
      <c r="A284">
        <v>39554</v>
      </c>
      <c r="B284" t="s">
        <v>12899</v>
      </c>
      <c r="C284" t="s">
        <v>2102</v>
      </c>
      <c r="D284" t="s">
        <v>2103</v>
      </c>
      <c r="E284" s="184">
        <v>4284.33</v>
      </c>
    </row>
    <row r="285" spans="1:5" ht="14.25">
      <c r="A285">
        <v>43194</v>
      </c>
      <c r="B285" t="s">
        <v>12900</v>
      </c>
      <c r="C285" t="s">
        <v>2102</v>
      </c>
      <c r="D285" t="s">
        <v>2103</v>
      </c>
      <c r="E285" s="184">
        <v>1729.79</v>
      </c>
    </row>
    <row r="286" spans="1:5" ht="14.25">
      <c r="A286">
        <v>39551</v>
      </c>
      <c r="B286" t="s">
        <v>12901</v>
      </c>
      <c r="C286" t="s">
        <v>2102</v>
      </c>
      <c r="D286" t="s">
        <v>2103</v>
      </c>
      <c r="E286" s="184">
        <v>1904.69</v>
      </c>
    </row>
    <row r="287" spans="1:5" ht="14.25">
      <c r="A287">
        <v>43185</v>
      </c>
      <c r="B287" t="s">
        <v>12902</v>
      </c>
      <c r="C287" t="s">
        <v>2102</v>
      </c>
      <c r="D287" t="s">
        <v>2103</v>
      </c>
      <c r="E287" s="184">
        <v>5412.79</v>
      </c>
    </row>
    <row r="288" spans="1:5" ht="14.25">
      <c r="A288">
        <v>43186</v>
      </c>
      <c r="B288" t="s">
        <v>12903</v>
      </c>
      <c r="C288" t="s">
        <v>2102</v>
      </c>
      <c r="D288" t="s">
        <v>2103</v>
      </c>
      <c r="E288" s="184">
        <v>5709.4</v>
      </c>
    </row>
    <row r="289" spans="1:5" ht="14.25">
      <c r="A289">
        <v>43187</v>
      </c>
      <c r="B289" t="s">
        <v>12904</v>
      </c>
      <c r="C289" t="s">
        <v>2102</v>
      </c>
      <c r="D289" t="s">
        <v>2103</v>
      </c>
      <c r="E289" s="184">
        <v>7576.43</v>
      </c>
    </row>
    <row r="290" spans="1:5" ht="14.25">
      <c r="A290">
        <v>43188</v>
      </c>
      <c r="B290" t="s">
        <v>12905</v>
      </c>
      <c r="C290" t="s">
        <v>2102</v>
      </c>
      <c r="D290" t="s">
        <v>2103</v>
      </c>
      <c r="E290" s="184">
        <v>9179.85</v>
      </c>
    </row>
    <row r="291" spans="1:5" ht="14.25">
      <c r="A291">
        <v>43189</v>
      </c>
      <c r="B291" t="s">
        <v>12906</v>
      </c>
      <c r="C291" t="s">
        <v>2102</v>
      </c>
      <c r="D291" t="s">
        <v>2103</v>
      </c>
      <c r="E291" s="184">
        <v>10325.799999999999</v>
      </c>
    </row>
    <row r="292" spans="1:5" ht="14.25">
      <c r="A292">
        <v>39580</v>
      </c>
      <c r="B292" t="s">
        <v>12907</v>
      </c>
      <c r="C292" t="s">
        <v>2102</v>
      </c>
      <c r="D292" t="s">
        <v>2103</v>
      </c>
      <c r="E292" s="184">
        <v>81371.53</v>
      </c>
    </row>
    <row r="293" spans="1:5" ht="14.25">
      <c r="A293">
        <v>39577</v>
      </c>
      <c r="B293" t="s">
        <v>12908</v>
      </c>
      <c r="C293" t="s">
        <v>2102</v>
      </c>
      <c r="D293" t="s">
        <v>2103</v>
      </c>
      <c r="E293" s="184">
        <v>25469.11</v>
      </c>
    </row>
    <row r="294" spans="1:5" ht="14.25">
      <c r="A294">
        <v>39578</v>
      </c>
      <c r="B294" t="s">
        <v>12909</v>
      </c>
      <c r="C294" t="s">
        <v>2102</v>
      </c>
      <c r="D294" t="s">
        <v>2103</v>
      </c>
      <c r="E294" s="184">
        <v>32868.400000000001</v>
      </c>
    </row>
    <row r="295" spans="1:5" ht="14.25">
      <c r="A295">
        <v>39579</v>
      </c>
      <c r="B295" t="s">
        <v>12910</v>
      </c>
      <c r="C295" t="s">
        <v>2102</v>
      </c>
      <c r="D295" t="s">
        <v>2103</v>
      </c>
      <c r="E295" s="184">
        <v>47820.94</v>
      </c>
    </row>
    <row r="296" spans="1:5" ht="14.25">
      <c r="A296">
        <v>39826</v>
      </c>
      <c r="B296" t="s">
        <v>12911</v>
      </c>
      <c r="C296" t="s">
        <v>2102</v>
      </c>
      <c r="D296" t="s">
        <v>2103</v>
      </c>
      <c r="E296" s="184">
        <v>5873.28</v>
      </c>
    </row>
    <row r="297" spans="1:5" ht="14.25">
      <c r="A297">
        <v>10700</v>
      </c>
      <c r="B297" t="s">
        <v>12912</v>
      </c>
      <c r="C297" t="s">
        <v>2102</v>
      </c>
      <c r="D297" t="s">
        <v>2105</v>
      </c>
      <c r="E297" s="184">
        <v>24073.87</v>
      </c>
    </row>
    <row r="298" spans="1:5" ht="14.25">
      <c r="A298">
        <v>346</v>
      </c>
      <c r="B298" t="s">
        <v>12913</v>
      </c>
      <c r="C298" t="s">
        <v>2110</v>
      </c>
      <c r="D298" t="s">
        <v>2103</v>
      </c>
      <c r="E298" s="183">
        <v>31.7</v>
      </c>
    </row>
    <row r="299" spans="1:5" ht="14.25">
      <c r="A299">
        <v>3312</v>
      </c>
      <c r="B299" t="s">
        <v>12914</v>
      </c>
      <c r="C299" t="s">
        <v>2110</v>
      </c>
      <c r="D299" t="s">
        <v>2103</v>
      </c>
      <c r="E299" s="183">
        <v>28.07</v>
      </c>
    </row>
    <row r="300" spans="1:5" ht="14.25">
      <c r="A300">
        <v>339</v>
      </c>
      <c r="B300" t="s">
        <v>12915</v>
      </c>
      <c r="C300" t="s">
        <v>2109</v>
      </c>
      <c r="D300" t="s">
        <v>2103</v>
      </c>
      <c r="E300" s="183">
        <v>1.63</v>
      </c>
    </row>
    <row r="301" spans="1:5" ht="14.25">
      <c r="A301">
        <v>340</v>
      </c>
      <c r="B301" t="s">
        <v>12916</v>
      </c>
      <c r="C301" t="s">
        <v>2109</v>
      </c>
      <c r="D301" t="s">
        <v>2103</v>
      </c>
      <c r="E301" s="183">
        <v>1.47</v>
      </c>
    </row>
    <row r="302" spans="1:5" ht="14.25">
      <c r="A302">
        <v>43130</v>
      </c>
      <c r="B302" t="s">
        <v>12917</v>
      </c>
      <c r="C302" t="s">
        <v>2110</v>
      </c>
      <c r="D302" t="s">
        <v>2107</v>
      </c>
      <c r="E302" s="183">
        <v>26.76</v>
      </c>
    </row>
    <row r="303" spans="1:5" ht="14.25">
      <c r="A303">
        <v>344</v>
      </c>
      <c r="B303" t="s">
        <v>12918</v>
      </c>
      <c r="C303" t="s">
        <v>2110</v>
      </c>
      <c r="D303" t="s">
        <v>2103</v>
      </c>
      <c r="E303" s="183">
        <v>35.18</v>
      </c>
    </row>
    <row r="304" spans="1:5" ht="14.25">
      <c r="A304">
        <v>345</v>
      </c>
      <c r="B304" t="s">
        <v>12919</v>
      </c>
      <c r="C304" t="s">
        <v>2110</v>
      </c>
      <c r="D304" t="s">
        <v>2103</v>
      </c>
      <c r="E304" s="183">
        <v>38.17</v>
      </c>
    </row>
    <row r="305" spans="1:5" ht="14.25">
      <c r="A305">
        <v>43131</v>
      </c>
      <c r="B305" t="s">
        <v>12920</v>
      </c>
      <c r="C305" t="s">
        <v>2110</v>
      </c>
      <c r="D305" t="s">
        <v>2103</v>
      </c>
      <c r="E305" s="183">
        <v>31.08</v>
      </c>
    </row>
    <row r="306" spans="1:5" ht="14.25">
      <c r="A306">
        <v>3313</v>
      </c>
      <c r="B306" t="s">
        <v>12921</v>
      </c>
      <c r="C306" t="s">
        <v>2110</v>
      </c>
      <c r="D306" t="s">
        <v>2103</v>
      </c>
      <c r="E306" s="183">
        <v>36.130000000000003</v>
      </c>
    </row>
    <row r="307" spans="1:5" ht="14.25">
      <c r="A307">
        <v>43132</v>
      </c>
      <c r="B307" t="s">
        <v>12922</v>
      </c>
      <c r="C307" t="s">
        <v>2110</v>
      </c>
      <c r="D307" t="s">
        <v>2103</v>
      </c>
      <c r="E307" s="183">
        <v>26.76</v>
      </c>
    </row>
    <row r="308" spans="1:5" ht="14.25">
      <c r="A308">
        <v>366</v>
      </c>
      <c r="B308" t="s">
        <v>12923</v>
      </c>
      <c r="C308" t="s">
        <v>2122</v>
      </c>
      <c r="D308" t="s">
        <v>2107</v>
      </c>
      <c r="E308" s="183">
        <v>80.84</v>
      </c>
    </row>
    <row r="309" spans="1:5" ht="14.25">
      <c r="A309">
        <v>367</v>
      </c>
      <c r="B309" t="s">
        <v>12924</v>
      </c>
      <c r="C309" t="s">
        <v>2122</v>
      </c>
      <c r="D309" t="s">
        <v>2103</v>
      </c>
      <c r="E309" s="183">
        <v>81.89</v>
      </c>
    </row>
    <row r="310" spans="1:5" ht="14.25">
      <c r="A310">
        <v>370</v>
      </c>
      <c r="B310" t="s">
        <v>12925</v>
      </c>
      <c r="C310" t="s">
        <v>2122</v>
      </c>
      <c r="D310" t="s">
        <v>2103</v>
      </c>
      <c r="E310" s="183">
        <v>80.84</v>
      </c>
    </row>
    <row r="311" spans="1:5" ht="14.25">
      <c r="A311">
        <v>368</v>
      </c>
      <c r="B311" t="s">
        <v>12926</v>
      </c>
      <c r="C311" t="s">
        <v>2122</v>
      </c>
      <c r="D311" t="s">
        <v>2103</v>
      </c>
      <c r="E311" s="183">
        <v>40.42</v>
      </c>
    </row>
    <row r="312" spans="1:5" ht="14.25">
      <c r="A312">
        <v>11075</v>
      </c>
      <c r="B312" t="s">
        <v>12927</v>
      </c>
      <c r="C312" t="s">
        <v>2122</v>
      </c>
      <c r="D312" t="s">
        <v>2103</v>
      </c>
      <c r="E312" s="183">
        <v>927.79</v>
      </c>
    </row>
    <row r="313" spans="1:5" ht="14.25">
      <c r="A313">
        <v>1381</v>
      </c>
      <c r="B313" t="s">
        <v>12928</v>
      </c>
      <c r="C313" t="s">
        <v>2110</v>
      </c>
      <c r="D313" t="s">
        <v>2107</v>
      </c>
      <c r="E313" s="183">
        <v>0.71</v>
      </c>
    </row>
    <row r="314" spans="1:5" ht="14.25">
      <c r="A314">
        <v>34353</v>
      </c>
      <c r="B314" t="s">
        <v>12929</v>
      </c>
      <c r="C314" t="s">
        <v>2110</v>
      </c>
      <c r="D314" t="s">
        <v>2103</v>
      </c>
      <c r="E314" s="183">
        <v>1.32</v>
      </c>
    </row>
    <row r="315" spans="1:5" ht="14.25">
      <c r="A315">
        <v>37595</v>
      </c>
      <c r="B315" t="s">
        <v>12930</v>
      </c>
      <c r="C315" t="s">
        <v>2110</v>
      </c>
      <c r="D315" t="s">
        <v>2103</v>
      </c>
      <c r="E315" s="183">
        <v>2.1800000000000002</v>
      </c>
    </row>
    <row r="316" spans="1:5" ht="14.25">
      <c r="A316">
        <v>37596</v>
      </c>
      <c r="B316" t="s">
        <v>12931</v>
      </c>
      <c r="C316" t="s">
        <v>2110</v>
      </c>
      <c r="D316" t="s">
        <v>2103</v>
      </c>
      <c r="E316" s="183">
        <v>2.5</v>
      </c>
    </row>
    <row r="317" spans="1:5" ht="14.25">
      <c r="A317">
        <v>371</v>
      </c>
      <c r="B317" t="s">
        <v>12932</v>
      </c>
      <c r="C317" t="s">
        <v>2110</v>
      </c>
      <c r="D317" t="s">
        <v>2103</v>
      </c>
      <c r="E317" s="183">
        <v>0.77</v>
      </c>
    </row>
    <row r="318" spans="1:5" ht="14.25">
      <c r="A318">
        <v>37553</v>
      </c>
      <c r="B318" t="s">
        <v>12933</v>
      </c>
      <c r="C318" t="s">
        <v>2110</v>
      </c>
      <c r="D318" t="s">
        <v>2103</v>
      </c>
      <c r="E318" s="183">
        <v>1.45</v>
      </c>
    </row>
    <row r="319" spans="1:5" ht="14.25">
      <c r="A319">
        <v>37552</v>
      </c>
      <c r="B319" t="s">
        <v>12934</v>
      </c>
      <c r="C319" t="s">
        <v>2110</v>
      </c>
      <c r="D319" t="s">
        <v>2103</v>
      </c>
      <c r="E319" s="183">
        <v>2.33</v>
      </c>
    </row>
    <row r="320" spans="1:5" ht="14.25">
      <c r="A320">
        <v>36880</v>
      </c>
      <c r="B320" t="s">
        <v>12935</v>
      </c>
      <c r="C320" t="s">
        <v>2110</v>
      </c>
      <c r="D320" t="s">
        <v>2103</v>
      </c>
      <c r="E320" s="183">
        <v>2.37</v>
      </c>
    </row>
    <row r="321" spans="1:5" ht="14.25">
      <c r="A321">
        <v>34355</v>
      </c>
      <c r="B321" t="s">
        <v>12936</v>
      </c>
      <c r="C321" t="s">
        <v>2110</v>
      </c>
      <c r="D321" t="s">
        <v>2103</v>
      </c>
      <c r="E321" s="183">
        <v>2.04</v>
      </c>
    </row>
    <row r="322" spans="1:5" ht="14.25">
      <c r="A322">
        <v>130</v>
      </c>
      <c r="B322" t="s">
        <v>12937</v>
      </c>
      <c r="C322" t="s">
        <v>2110</v>
      </c>
      <c r="D322" t="s">
        <v>2103</v>
      </c>
      <c r="E322" s="183">
        <v>3.68</v>
      </c>
    </row>
    <row r="323" spans="1:5" ht="14.25">
      <c r="A323">
        <v>135</v>
      </c>
      <c r="B323" t="s">
        <v>18171</v>
      </c>
      <c r="C323" t="s">
        <v>2110</v>
      </c>
      <c r="D323" t="s">
        <v>2103</v>
      </c>
      <c r="E323" s="183">
        <v>2.96</v>
      </c>
    </row>
    <row r="324" spans="1:5" ht="14.25">
      <c r="A324">
        <v>36886</v>
      </c>
      <c r="B324" t="s">
        <v>12938</v>
      </c>
      <c r="C324" t="s">
        <v>2110</v>
      </c>
      <c r="D324" t="s">
        <v>2103</v>
      </c>
      <c r="E324" s="183">
        <v>0.73</v>
      </c>
    </row>
    <row r="325" spans="1:5" ht="14.25">
      <c r="A325">
        <v>38546</v>
      </c>
      <c r="B325" t="s">
        <v>18172</v>
      </c>
      <c r="C325" t="s">
        <v>2122</v>
      </c>
      <c r="D325" t="s">
        <v>2103</v>
      </c>
      <c r="E325" s="183">
        <v>569.58000000000004</v>
      </c>
    </row>
    <row r="326" spans="1:5" ht="14.25">
      <c r="A326">
        <v>34549</v>
      </c>
      <c r="B326" t="s">
        <v>12939</v>
      </c>
      <c r="C326" t="s">
        <v>2122</v>
      </c>
      <c r="D326" t="s">
        <v>2105</v>
      </c>
      <c r="E326" s="183">
        <v>730.33</v>
      </c>
    </row>
    <row r="327" spans="1:5" ht="14.25">
      <c r="A327">
        <v>6081</v>
      </c>
      <c r="B327" t="s">
        <v>12940</v>
      </c>
      <c r="C327" t="s">
        <v>2122</v>
      </c>
      <c r="D327" t="s">
        <v>2105</v>
      </c>
      <c r="E327" s="183">
        <v>51.12</v>
      </c>
    </row>
    <row r="328" spans="1:5" ht="14.25">
      <c r="A328">
        <v>6077</v>
      </c>
      <c r="B328" t="s">
        <v>12941</v>
      </c>
      <c r="C328" t="s">
        <v>2122</v>
      </c>
      <c r="D328" t="s">
        <v>2105</v>
      </c>
      <c r="E328" s="183">
        <v>36.51</v>
      </c>
    </row>
    <row r="329" spans="1:5" ht="14.25">
      <c r="A329">
        <v>6079</v>
      </c>
      <c r="B329" t="s">
        <v>12942</v>
      </c>
      <c r="C329" t="s">
        <v>2122</v>
      </c>
      <c r="D329" t="s">
        <v>2105</v>
      </c>
      <c r="E329" s="183">
        <v>36.51</v>
      </c>
    </row>
    <row r="330" spans="1:5" ht="14.25">
      <c r="A330">
        <v>1091</v>
      </c>
      <c r="B330" t="s">
        <v>12943</v>
      </c>
      <c r="C330" t="s">
        <v>2102</v>
      </c>
      <c r="D330" t="s">
        <v>2103</v>
      </c>
      <c r="E330" s="183">
        <v>37.380000000000003</v>
      </c>
    </row>
    <row r="331" spans="1:5" ht="14.25">
      <c r="A331">
        <v>1094</v>
      </c>
      <c r="B331" t="s">
        <v>12944</v>
      </c>
      <c r="C331" t="s">
        <v>2102</v>
      </c>
      <c r="D331" t="s">
        <v>2103</v>
      </c>
      <c r="E331" s="183">
        <v>26.15</v>
      </c>
    </row>
    <row r="332" spans="1:5" ht="14.25">
      <c r="A332">
        <v>1095</v>
      </c>
      <c r="B332" t="s">
        <v>12945</v>
      </c>
      <c r="C332" t="s">
        <v>2102</v>
      </c>
      <c r="D332" t="s">
        <v>2103</v>
      </c>
      <c r="E332" s="183">
        <v>55.57</v>
      </c>
    </row>
    <row r="333" spans="1:5" ht="14.25">
      <c r="A333">
        <v>1092</v>
      </c>
      <c r="B333" t="s">
        <v>12946</v>
      </c>
      <c r="C333" t="s">
        <v>2102</v>
      </c>
      <c r="D333" t="s">
        <v>2107</v>
      </c>
      <c r="E333" s="183">
        <v>43</v>
      </c>
    </row>
    <row r="334" spans="1:5" ht="14.25">
      <c r="A334">
        <v>1093</v>
      </c>
      <c r="B334" t="s">
        <v>12947</v>
      </c>
      <c r="C334" t="s">
        <v>2102</v>
      </c>
      <c r="D334" t="s">
        <v>2103</v>
      </c>
      <c r="E334" s="183">
        <v>100.42</v>
      </c>
    </row>
    <row r="335" spans="1:5" ht="14.25">
      <c r="A335">
        <v>1090</v>
      </c>
      <c r="B335" t="s">
        <v>12948</v>
      </c>
      <c r="C335" t="s">
        <v>2102</v>
      </c>
      <c r="D335" t="s">
        <v>2103</v>
      </c>
      <c r="E335" s="183">
        <v>71.900000000000006</v>
      </c>
    </row>
    <row r="336" spans="1:5" ht="14.25">
      <c r="A336">
        <v>1096</v>
      </c>
      <c r="B336" t="s">
        <v>12949</v>
      </c>
      <c r="C336" t="s">
        <v>2102</v>
      </c>
      <c r="D336" t="s">
        <v>2103</v>
      </c>
      <c r="E336" s="183">
        <v>129.38999999999999</v>
      </c>
    </row>
    <row r="337" spans="1:5" ht="14.25">
      <c r="A337">
        <v>1097</v>
      </c>
      <c r="B337" t="s">
        <v>12950</v>
      </c>
      <c r="C337" t="s">
        <v>2102</v>
      </c>
      <c r="D337" t="s">
        <v>2103</v>
      </c>
      <c r="E337" s="183">
        <v>109.84</v>
      </c>
    </row>
    <row r="338" spans="1:5" ht="14.25">
      <c r="A338">
        <v>378</v>
      </c>
      <c r="B338" t="s">
        <v>15164</v>
      </c>
      <c r="C338" t="s">
        <v>2106</v>
      </c>
      <c r="D338" t="s">
        <v>2103</v>
      </c>
      <c r="E338" s="183">
        <v>20.2</v>
      </c>
    </row>
    <row r="339" spans="1:5" ht="14.25">
      <c r="A339">
        <v>40911</v>
      </c>
      <c r="B339" t="s">
        <v>12951</v>
      </c>
      <c r="C339" t="s">
        <v>2123</v>
      </c>
      <c r="D339" t="s">
        <v>2103</v>
      </c>
      <c r="E339" s="184">
        <v>3541.95</v>
      </c>
    </row>
    <row r="340" spans="1:5" ht="14.25">
      <c r="A340">
        <v>33939</v>
      </c>
      <c r="B340" t="s">
        <v>18173</v>
      </c>
      <c r="C340" t="s">
        <v>2106</v>
      </c>
      <c r="D340" t="s">
        <v>2103</v>
      </c>
      <c r="E340" s="183">
        <v>99.37</v>
      </c>
    </row>
    <row r="341" spans="1:5" ht="14.25">
      <c r="A341">
        <v>40815</v>
      </c>
      <c r="B341" t="s">
        <v>12952</v>
      </c>
      <c r="C341" t="s">
        <v>2123</v>
      </c>
      <c r="D341" t="s">
        <v>2103</v>
      </c>
      <c r="E341" s="184">
        <v>17419.009999999998</v>
      </c>
    </row>
    <row r="342" spans="1:5" ht="14.25">
      <c r="A342">
        <v>33952</v>
      </c>
      <c r="B342" t="s">
        <v>18174</v>
      </c>
      <c r="C342" t="s">
        <v>2106</v>
      </c>
      <c r="D342" t="s">
        <v>2103</v>
      </c>
      <c r="E342" s="183">
        <v>113.13</v>
      </c>
    </row>
    <row r="343" spans="1:5" ht="14.25">
      <c r="A343">
        <v>40816</v>
      </c>
      <c r="B343" t="s">
        <v>12953</v>
      </c>
      <c r="C343" t="s">
        <v>2123</v>
      </c>
      <c r="D343" t="s">
        <v>2103</v>
      </c>
      <c r="E343" s="184">
        <v>19831.66</v>
      </c>
    </row>
    <row r="344" spans="1:5" ht="14.25">
      <c r="A344">
        <v>33953</v>
      </c>
      <c r="B344" t="s">
        <v>18175</v>
      </c>
      <c r="C344" t="s">
        <v>2106</v>
      </c>
      <c r="D344" t="s">
        <v>2103</v>
      </c>
      <c r="E344" s="183">
        <v>116.71</v>
      </c>
    </row>
    <row r="345" spans="1:5" ht="14.25">
      <c r="A345">
        <v>40817</v>
      </c>
      <c r="B345" t="s">
        <v>12954</v>
      </c>
      <c r="C345" t="s">
        <v>2123</v>
      </c>
      <c r="D345" t="s">
        <v>2103</v>
      </c>
      <c r="E345" s="184">
        <v>20458.240000000002</v>
      </c>
    </row>
    <row r="346" spans="1:5" ht="14.25">
      <c r="A346">
        <v>13348</v>
      </c>
      <c r="B346" t="s">
        <v>12955</v>
      </c>
      <c r="C346" t="s">
        <v>2102</v>
      </c>
      <c r="D346" t="s">
        <v>2105</v>
      </c>
      <c r="E346" s="183">
        <v>1.79</v>
      </c>
    </row>
    <row r="347" spans="1:5" ht="14.25">
      <c r="A347">
        <v>39211</v>
      </c>
      <c r="B347" t="s">
        <v>12956</v>
      </c>
      <c r="C347" t="s">
        <v>2102</v>
      </c>
      <c r="D347" t="s">
        <v>2103</v>
      </c>
      <c r="E347" s="183">
        <v>1.76</v>
      </c>
    </row>
    <row r="348" spans="1:5" ht="14.25">
      <c r="A348">
        <v>39212</v>
      </c>
      <c r="B348" t="s">
        <v>12957</v>
      </c>
      <c r="C348" t="s">
        <v>2102</v>
      </c>
      <c r="D348" t="s">
        <v>2103</v>
      </c>
      <c r="E348" s="183">
        <v>1.96</v>
      </c>
    </row>
    <row r="349" spans="1:5" ht="14.25">
      <c r="A349">
        <v>39208</v>
      </c>
      <c r="B349" t="s">
        <v>12958</v>
      </c>
      <c r="C349" t="s">
        <v>2102</v>
      </c>
      <c r="D349" t="s">
        <v>2103</v>
      </c>
      <c r="E349" s="183">
        <v>0.53</v>
      </c>
    </row>
    <row r="350" spans="1:5" ht="14.25">
      <c r="A350">
        <v>39210</v>
      </c>
      <c r="B350" t="s">
        <v>12959</v>
      </c>
      <c r="C350" t="s">
        <v>2102</v>
      </c>
      <c r="D350" t="s">
        <v>2103</v>
      </c>
      <c r="E350" s="183">
        <v>0.98</v>
      </c>
    </row>
    <row r="351" spans="1:5" ht="14.25">
      <c r="A351">
        <v>39214</v>
      </c>
      <c r="B351" t="s">
        <v>12960</v>
      </c>
      <c r="C351" t="s">
        <v>2102</v>
      </c>
      <c r="D351" t="s">
        <v>2103</v>
      </c>
      <c r="E351" s="183">
        <v>3.63</v>
      </c>
    </row>
    <row r="352" spans="1:5" ht="14.25">
      <c r="A352">
        <v>39213</v>
      </c>
      <c r="B352" t="s">
        <v>12961</v>
      </c>
      <c r="C352" t="s">
        <v>2102</v>
      </c>
      <c r="D352" t="s">
        <v>2103</v>
      </c>
      <c r="E352" s="183">
        <v>2.57</v>
      </c>
    </row>
    <row r="353" spans="1:5" ht="14.25">
      <c r="A353">
        <v>39209</v>
      </c>
      <c r="B353" t="s">
        <v>12962</v>
      </c>
      <c r="C353" t="s">
        <v>2102</v>
      </c>
      <c r="D353" t="s">
        <v>2103</v>
      </c>
      <c r="E353" s="183">
        <v>0.64</v>
      </c>
    </row>
    <row r="354" spans="1:5" ht="14.25">
      <c r="A354">
        <v>39207</v>
      </c>
      <c r="B354" t="s">
        <v>12963</v>
      </c>
      <c r="C354" t="s">
        <v>2102</v>
      </c>
      <c r="D354" t="s">
        <v>2103</v>
      </c>
      <c r="E354" s="183">
        <v>0.98</v>
      </c>
    </row>
    <row r="355" spans="1:5" ht="14.25">
      <c r="A355">
        <v>39215</v>
      </c>
      <c r="B355" t="s">
        <v>12964</v>
      </c>
      <c r="C355" t="s">
        <v>2102</v>
      </c>
      <c r="D355" t="s">
        <v>2103</v>
      </c>
      <c r="E355" s="183">
        <v>6.62</v>
      </c>
    </row>
    <row r="356" spans="1:5" ht="14.25">
      <c r="A356">
        <v>39216</v>
      </c>
      <c r="B356" t="s">
        <v>12965</v>
      </c>
      <c r="C356" t="s">
        <v>2102</v>
      </c>
      <c r="D356" t="s">
        <v>2103</v>
      </c>
      <c r="E356" s="183">
        <v>9.24</v>
      </c>
    </row>
    <row r="357" spans="1:5" ht="14.25">
      <c r="A357">
        <v>11267</v>
      </c>
      <c r="B357" t="s">
        <v>12966</v>
      </c>
      <c r="C357" t="s">
        <v>2102</v>
      </c>
      <c r="D357" t="s">
        <v>2105</v>
      </c>
      <c r="E357" s="183">
        <v>1.56</v>
      </c>
    </row>
    <row r="358" spans="1:5" ht="14.25">
      <c r="A358">
        <v>379</v>
      </c>
      <c r="B358" t="s">
        <v>12967</v>
      </c>
      <c r="C358" t="s">
        <v>2102</v>
      </c>
      <c r="D358" t="s">
        <v>2105</v>
      </c>
      <c r="E358" s="183">
        <v>1.57</v>
      </c>
    </row>
    <row r="359" spans="1:5" ht="14.25">
      <c r="A359">
        <v>510</v>
      </c>
      <c r="B359" t="s">
        <v>12968</v>
      </c>
      <c r="C359" t="s">
        <v>2110</v>
      </c>
      <c r="D359" t="s">
        <v>2103</v>
      </c>
      <c r="E359" s="183">
        <v>15.84</v>
      </c>
    </row>
    <row r="360" spans="1:5" ht="14.25">
      <c r="A360">
        <v>516</v>
      </c>
      <c r="B360" t="s">
        <v>12969</v>
      </c>
      <c r="C360" t="s">
        <v>2110</v>
      </c>
      <c r="D360" t="s">
        <v>2103</v>
      </c>
      <c r="E360" s="183">
        <v>18.77</v>
      </c>
    </row>
    <row r="361" spans="1:5" ht="14.25">
      <c r="A361">
        <v>509</v>
      </c>
      <c r="B361" t="s">
        <v>12970</v>
      </c>
      <c r="C361" t="s">
        <v>2110</v>
      </c>
      <c r="D361" t="s">
        <v>2103</v>
      </c>
      <c r="E361" s="183">
        <v>21.06</v>
      </c>
    </row>
    <row r="362" spans="1:5" ht="14.25">
      <c r="A362">
        <v>40331</v>
      </c>
      <c r="B362" t="s">
        <v>18176</v>
      </c>
      <c r="C362" t="s">
        <v>2106</v>
      </c>
      <c r="D362" t="s">
        <v>2103</v>
      </c>
      <c r="E362" s="183">
        <v>18.010000000000002</v>
      </c>
    </row>
    <row r="363" spans="1:5" ht="14.25">
      <c r="A363">
        <v>40930</v>
      </c>
      <c r="B363" t="s">
        <v>12971</v>
      </c>
      <c r="C363" t="s">
        <v>2123</v>
      </c>
      <c r="D363" t="s">
        <v>2103</v>
      </c>
      <c r="E363" s="184">
        <v>3158.41</v>
      </c>
    </row>
    <row r="364" spans="1:5" ht="14.25">
      <c r="A364">
        <v>11761</v>
      </c>
      <c r="B364" t="s">
        <v>12972</v>
      </c>
      <c r="C364" t="s">
        <v>2102</v>
      </c>
      <c r="D364" t="s">
        <v>2103</v>
      </c>
      <c r="E364" s="183">
        <v>85.82</v>
      </c>
    </row>
    <row r="365" spans="1:5" ht="14.25">
      <c r="A365">
        <v>377</v>
      </c>
      <c r="B365" t="s">
        <v>12973</v>
      </c>
      <c r="C365" t="s">
        <v>2102</v>
      </c>
      <c r="D365" t="s">
        <v>2107</v>
      </c>
      <c r="E365" s="183">
        <v>40.33</v>
      </c>
    </row>
    <row r="366" spans="1:5" ht="14.25">
      <c r="A366">
        <v>7588</v>
      </c>
      <c r="B366" t="s">
        <v>12974</v>
      </c>
      <c r="C366" t="s">
        <v>2102</v>
      </c>
      <c r="D366" t="s">
        <v>2107</v>
      </c>
      <c r="E366" s="183">
        <v>48</v>
      </c>
    </row>
    <row r="367" spans="1:5" ht="14.25">
      <c r="A367">
        <v>34392</v>
      </c>
      <c r="B367" t="s">
        <v>15165</v>
      </c>
      <c r="C367" t="s">
        <v>2106</v>
      </c>
      <c r="D367" t="s">
        <v>2103</v>
      </c>
      <c r="E367" s="183">
        <v>19.34</v>
      </c>
    </row>
    <row r="368" spans="1:5" ht="14.25">
      <c r="A368">
        <v>40908</v>
      </c>
      <c r="B368" t="s">
        <v>12975</v>
      </c>
      <c r="C368" t="s">
        <v>2123</v>
      </c>
      <c r="D368" t="s">
        <v>2103</v>
      </c>
      <c r="E368" s="184">
        <v>3392.02</v>
      </c>
    </row>
    <row r="369" spans="1:5" ht="14.25">
      <c r="A369">
        <v>34551</v>
      </c>
      <c r="B369" t="s">
        <v>15166</v>
      </c>
      <c r="C369" t="s">
        <v>2106</v>
      </c>
      <c r="D369" t="s">
        <v>2103</v>
      </c>
      <c r="E369" s="183">
        <v>12.58</v>
      </c>
    </row>
    <row r="370" spans="1:5" ht="14.25">
      <c r="A370">
        <v>41078</v>
      </c>
      <c r="B370" t="s">
        <v>12976</v>
      </c>
      <c r="C370" t="s">
        <v>2123</v>
      </c>
      <c r="D370" t="s">
        <v>2103</v>
      </c>
      <c r="E370" s="184">
        <v>2209.23</v>
      </c>
    </row>
    <row r="371" spans="1:5" ht="14.25">
      <c r="A371">
        <v>246</v>
      </c>
      <c r="B371" t="s">
        <v>15167</v>
      </c>
      <c r="C371" t="s">
        <v>2106</v>
      </c>
      <c r="D371" t="s">
        <v>2103</v>
      </c>
      <c r="E371" s="183">
        <v>16.170000000000002</v>
      </c>
    </row>
    <row r="372" spans="1:5" ht="14.25">
      <c r="A372">
        <v>40927</v>
      </c>
      <c r="B372" t="s">
        <v>12977</v>
      </c>
      <c r="C372" t="s">
        <v>2123</v>
      </c>
      <c r="D372" t="s">
        <v>2103</v>
      </c>
      <c r="E372" s="184">
        <v>2834.63</v>
      </c>
    </row>
    <row r="373" spans="1:5" ht="14.25">
      <c r="A373">
        <v>2350</v>
      </c>
      <c r="B373" t="s">
        <v>15168</v>
      </c>
      <c r="C373" t="s">
        <v>2106</v>
      </c>
      <c r="D373" t="s">
        <v>2103</v>
      </c>
      <c r="E373" s="183">
        <v>16.97</v>
      </c>
    </row>
    <row r="374" spans="1:5" ht="14.25">
      <c r="A374">
        <v>40812</v>
      </c>
      <c r="B374" t="s">
        <v>12978</v>
      </c>
      <c r="C374" t="s">
        <v>2123</v>
      </c>
      <c r="D374" t="s">
        <v>2103</v>
      </c>
      <c r="E374" s="184">
        <v>2978.73</v>
      </c>
    </row>
    <row r="375" spans="1:5" ht="14.25">
      <c r="A375">
        <v>245</v>
      </c>
      <c r="B375" t="s">
        <v>15169</v>
      </c>
      <c r="C375" t="s">
        <v>2106</v>
      </c>
      <c r="D375" t="s">
        <v>2103</v>
      </c>
      <c r="E375" s="183">
        <v>28.32</v>
      </c>
    </row>
    <row r="376" spans="1:5" ht="14.25">
      <c r="A376">
        <v>41090</v>
      </c>
      <c r="B376" t="s">
        <v>12979</v>
      </c>
      <c r="C376" t="s">
        <v>2123</v>
      </c>
      <c r="D376" t="s">
        <v>2103</v>
      </c>
      <c r="E376" s="184">
        <v>4968.07</v>
      </c>
    </row>
    <row r="377" spans="1:5" ht="14.25">
      <c r="A377">
        <v>251</v>
      </c>
      <c r="B377" t="s">
        <v>18177</v>
      </c>
      <c r="C377" t="s">
        <v>2106</v>
      </c>
      <c r="D377" t="s">
        <v>2103</v>
      </c>
      <c r="E377" s="183">
        <v>16.170000000000002</v>
      </c>
    </row>
    <row r="378" spans="1:5" ht="14.25">
      <c r="A378">
        <v>40975</v>
      </c>
      <c r="B378" t="s">
        <v>12980</v>
      </c>
      <c r="C378" t="s">
        <v>2123</v>
      </c>
      <c r="D378" t="s">
        <v>2103</v>
      </c>
      <c r="E378" s="184">
        <v>2834.63</v>
      </c>
    </row>
    <row r="379" spans="1:5" ht="14.25">
      <c r="A379">
        <v>6127</v>
      </c>
      <c r="B379" t="s">
        <v>15170</v>
      </c>
      <c r="C379" t="s">
        <v>2106</v>
      </c>
      <c r="D379" t="s">
        <v>2103</v>
      </c>
      <c r="E379" s="183">
        <v>16.170000000000002</v>
      </c>
    </row>
    <row r="380" spans="1:5" ht="14.25">
      <c r="A380">
        <v>41072</v>
      </c>
      <c r="B380" t="s">
        <v>12981</v>
      </c>
      <c r="C380" t="s">
        <v>2123</v>
      </c>
      <c r="D380" t="s">
        <v>2103</v>
      </c>
      <c r="E380" s="184">
        <v>2834.63</v>
      </c>
    </row>
    <row r="381" spans="1:5" ht="14.25">
      <c r="A381">
        <v>6121</v>
      </c>
      <c r="B381" t="s">
        <v>18178</v>
      </c>
      <c r="C381" t="s">
        <v>2106</v>
      </c>
      <c r="D381" t="s">
        <v>2103</v>
      </c>
      <c r="E381" s="183">
        <v>14.23</v>
      </c>
    </row>
    <row r="382" spans="1:5" ht="14.25">
      <c r="A382">
        <v>41071</v>
      </c>
      <c r="B382" t="s">
        <v>12982</v>
      </c>
      <c r="C382" t="s">
        <v>2123</v>
      </c>
      <c r="D382" t="s">
        <v>2103</v>
      </c>
      <c r="E382" s="184">
        <v>2495.7199999999998</v>
      </c>
    </row>
    <row r="383" spans="1:5" ht="14.25">
      <c r="A383">
        <v>244</v>
      </c>
      <c r="B383" t="s">
        <v>15171</v>
      </c>
      <c r="C383" t="s">
        <v>2106</v>
      </c>
      <c r="D383" t="s">
        <v>2103</v>
      </c>
      <c r="E383" s="183">
        <v>12.98</v>
      </c>
    </row>
    <row r="384" spans="1:5" ht="14.25">
      <c r="A384">
        <v>41093</v>
      </c>
      <c r="B384" t="s">
        <v>12983</v>
      </c>
      <c r="C384" t="s">
        <v>2123</v>
      </c>
      <c r="D384" t="s">
        <v>2103</v>
      </c>
      <c r="E384" s="184">
        <v>2278.81</v>
      </c>
    </row>
    <row r="385" spans="1:5" ht="14.25">
      <c r="A385">
        <v>532</v>
      </c>
      <c r="B385" t="s">
        <v>18179</v>
      </c>
      <c r="C385" t="s">
        <v>2106</v>
      </c>
      <c r="D385" t="s">
        <v>2103</v>
      </c>
      <c r="E385" s="183">
        <v>40.15</v>
      </c>
    </row>
    <row r="386" spans="1:5" ht="14.25">
      <c r="A386">
        <v>40931</v>
      </c>
      <c r="B386" t="s">
        <v>12984</v>
      </c>
      <c r="C386" t="s">
        <v>2123</v>
      </c>
      <c r="D386" t="s">
        <v>2103</v>
      </c>
      <c r="E386" s="184">
        <v>7041.38</v>
      </c>
    </row>
    <row r="387" spans="1:5" ht="14.25">
      <c r="A387">
        <v>36150</v>
      </c>
      <c r="B387" t="s">
        <v>12985</v>
      </c>
      <c r="C387" t="s">
        <v>2102</v>
      </c>
      <c r="D387" t="s">
        <v>2103</v>
      </c>
      <c r="E387" s="183">
        <v>44.96</v>
      </c>
    </row>
    <row r="388" spans="1:5" ht="14.25">
      <c r="A388">
        <v>4760</v>
      </c>
      <c r="B388" t="s">
        <v>15172</v>
      </c>
      <c r="C388" t="s">
        <v>2106</v>
      </c>
      <c r="D388" t="s">
        <v>2103</v>
      </c>
      <c r="E388" s="183">
        <v>20.2</v>
      </c>
    </row>
    <row r="389" spans="1:5" ht="14.25">
      <c r="A389">
        <v>41069</v>
      </c>
      <c r="B389" t="s">
        <v>12986</v>
      </c>
      <c r="C389" t="s">
        <v>2123</v>
      </c>
      <c r="D389" t="s">
        <v>2103</v>
      </c>
      <c r="E389" s="184">
        <v>3542.47</v>
      </c>
    </row>
    <row r="390" spans="1:5" ht="14.25">
      <c r="A390">
        <v>10422</v>
      </c>
      <c r="B390" t="s">
        <v>12987</v>
      </c>
      <c r="C390" t="s">
        <v>2102</v>
      </c>
      <c r="D390" t="s">
        <v>2103</v>
      </c>
      <c r="E390" s="183">
        <v>373.24</v>
      </c>
    </row>
    <row r="391" spans="1:5" ht="14.25">
      <c r="A391">
        <v>44019</v>
      </c>
      <c r="B391" t="s">
        <v>12988</v>
      </c>
      <c r="C391" t="s">
        <v>2102</v>
      </c>
      <c r="D391" t="s">
        <v>2103</v>
      </c>
      <c r="E391" s="183">
        <v>516.66</v>
      </c>
    </row>
    <row r="392" spans="1:5" ht="14.25">
      <c r="A392">
        <v>36520</v>
      </c>
      <c r="B392" t="s">
        <v>12989</v>
      </c>
      <c r="C392" t="s">
        <v>2102</v>
      </c>
      <c r="D392" t="s">
        <v>2103</v>
      </c>
      <c r="E392" s="183">
        <v>628.20000000000005</v>
      </c>
    </row>
    <row r="393" spans="1:5" ht="14.25">
      <c r="A393">
        <v>42319</v>
      </c>
      <c r="B393" t="s">
        <v>12990</v>
      </c>
      <c r="C393" t="s">
        <v>2102</v>
      </c>
      <c r="D393" t="s">
        <v>2103</v>
      </c>
      <c r="E393" s="183">
        <v>562.9</v>
      </c>
    </row>
    <row r="394" spans="1:5" ht="14.25">
      <c r="A394">
        <v>10420</v>
      </c>
      <c r="B394" t="s">
        <v>12991</v>
      </c>
      <c r="C394" t="s">
        <v>2102</v>
      </c>
      <c r="D394" t="s">
        <v>2107</v>
      </c>
      <c r="E394" s="183">
        <v>199.68</v>
      </c>
    </row>
    <row r="395" spans="1:5" ht="14.25">
      <c r="A395">
        <v>10421</v>
      </c>
      <c r="B395" t="s">
        <v>12992</v>
      </c>
      <c r="C395" t="s">
        <v>2102</v>
      </c>
      <c r="D395" t="s">
        <v>2103</v>
      </c>
      <c r="E395" s="183">
        <v>219.42</v>
      </c>
    </row>
    <row r="396" spans="1:5" ht="14.25">
      <c r="A396">
        <v>11786</v>
      </c>
      <c r="B396" t="s">
        <v>12993</v>
      </c>
      <c r="C396" t="s">
        <v>2102</v>
      </c>
      <c r="D396" t="s">
        <v>2103</v>
      </c>
      <c r="E396" s="183">
        <v>442.44</v>
      </c>
    </row>
    <row r="397" spans="1:5" ht="14.25">
      <c r="A397">
        <v>10</v>
      </c>
      <c r="B397" t="s">
        <v>12994</v>
      </c>
      <c r="C397" t="s">
        <v>2102</v>
      </c>
      <c r="D397" t="s">
        <v>2103</v>
      </c>
      <c r="E397" s="183">
        <v>12.62</v>
      </c>
    </row>
    <row r="398" spans="1:5" ht="14.25">
      <c r="A398">
        <v>4815</v>
      </c>
      <c r="B398" t="s">
        <v>12995</v>
      </c>
      <c r="C398" t="s">
        <v>2102</v>
      </c>
      <c r="D398" t="s">
        <v>2103</v>
      </c>
      <c r="E398" s="183">
        <v>6.35</v>
      </c>
    </row>
    <row r="399" spans="1:5" ht="14.25">
      <c r="A399">
        <v>541</v>
      </c>
      <c r="B399" t="s">
        <v>12996</v>
      </c>
      <c r="C399" t="s">
        <v>2102</v>
      </c>
      <c r="D399" t="s">
        <v>2107</v>
      </c>
      <c r="E399" s="183">
        <v>152</v>
      </c>
    </row>
    <row r="400" spans="1:5" ht="14.25">
      <c r="A400">
        <v>542</v>
      </c>
      <c r="B400" t="s">
        <v>12997</v>
      </c>
      <c r="C400" t="s">
        <v>2102</v>
      </c>
      <c r="D400" t="s">
        <v>2103</v>
      </c>
      <c r="E400" s="183">
        <v>190.53</v>
      </c>
    </row>
    <row r="401" spans="1:5" ht="14.25">
      <c r="A401">
        <v>540</v>
      </c>
      <c r="B401" t="s">
        <v>12998</v>
      </c>
      <c r="C401" t="s">
        <v>2102</v>
      </c>
      <c r="D401" t="s">
        <v>2103</v>
      </c>
      <c r="E401" s="183">
        <v>429.36</v>
      </c>
    </row>
    <row r="402" spans="1:5" ht="14.25">
      <c r="A402">
        <v>38364</v>
      </c>
      <c r="B402" t="s">
        <v>12999</v>
      </c>
      <c r="C402" t="s">
        <v>2102</v>
      </c>
      <c r="D402" t="s">
        <v>2103</v>
      </c>
      <c r="E402" s="183">
        <v>497.9</v>
      </c>
    </row>
    <row r="403" spans="1:5" ht="14.25">
      <c r="A403">
        <v>11692</v>
      </c>
      <c r="B403" t="s">
        <v>18180</v>
      </c>
      <c r="C403" t="s">
        <v>2104</v>
      </c>
      <c r="D403" t="s">
        <v>2103</v>
      </c>
      <c r="E403" s="183">
        <v>232.14</v>
      </c>
    </row>
    <row r="404" spans="1:5" ht="14.25">
      <c r="A404">
        <v>1746</v>
      </c>
      <c r="B404" t="s">
        <v>13000</v>
      </c>
      <c r="C404" t="s">
        <v>2102</v>
      </c>
      <c r="D404" t="s">
        <v>2107</v>
      </c>
      <c r="E404" s="183">
        <v>269.89999999999998</v>
      </c>
    </row>
    <row r="405" spans="1:5" ht="14.25">
      <c r="A405">
        <v>1748</v>
      </c>
      <c r="B405" t="s">
        <v>13001</v>
      </c>
      <c r="C405" t="s">
        <v>2102</v>
      </c>
      <c r="D405" t="s">
        <v>2103</v>
      </c>
      <c r="E405" s="183">
        <v>358.9</v>
      </c>
    </row>
    <row r="406" spans="1:5" ht="14.25">
      <c r="A406">
        <v>1749</v>
      </c>
      <c r="B406" t="s">
        <v>13002</v>
      </c>
      <c r="C406" t="s">
        <v>2102</v>
      </c>
      <c r="D406" t="s">
        <v>2103</v>
      </c>
      <c r="E406" s="183">
        <v>519.98</v>
      </c>
    </row>
    <row r="407" spans="1:5" ht="14.25">
      <c r="A407">
        <v>37412</v>
      </c>
      <c r="B407" t="s">
        <v>13003</v>
      </c>
      <c r="C407" t="s">
        <v>2102</v>
      </c>
      <c r="D407" t="s">
        <v>2103</v>
      </c>
      <c r="E407" s="183">
        <v>263.83</v>
      </c>
    </row>
    <row r="408" spans="1:5" ht="14.25">
      <c r="A408">
        <v>1745</v>
      </c>
      <c r="B408" t="s">
        <v>13004</v>
      </c>
      <c r="C408" t="s">
        <v>2102</v>
      </c>
      <c r="D408" t="s">
        <v>2103</v>
      </c>
      <c r="E408" s="183">
        <v>313.72000000000003</v>
      </c>
    </row>
    <row r="409" spans="1:5" ht="14.25">
      <c r="A409">
        <v>1750</v>
      </c>
      <c r="B409" t="s">
        <v>13005</v>
      </c>
      <c r="C409" t="s">
        <v>2102</v>
      </c>
      <c r="D409" t="s">
        <v>2103</v>
      </c>
      <c r="E409" s="183">
        <v>733.13</v>
      </c>
    </row>
    <row r="410" spans="1:5" ht="14.25">
      <c r="A410">
        <v>11687</v>
      </c>
      <c r="B410" t="s">
        <v>13006</v>
      </c>
      <c r="C410" t="s">
        <v>2109</v>
      </c>
      <c r="D410" t="s">
        <v>2103</v>
      </c>
      <c r="E410" s="184">
        <v>1168.0999999999999</v>
      </c>
    </row>
    <row r="411" spans="1:5" ht="14.25">
      <c r="A411">
        <v>11689</v>
      </c>
      <c r="B411" t="s">
        <v>13007</v>
      </c>
      <c r="C411" t="s">
        <v>2109</v>
      </c>
      <c r="D411" t="s">
        <v>2103</v>
      </c>
      <c r="E411" s="184">
        <v>1463.56</v>
      </c>
    </row>
    <row r="412" spans="1:5" ht="14.25">
      <c r="A412">
        <v>11693</v>
      </c>
      <c r="B412" t="s">
        <v>13008</v>
      </c>
      <c r="C412" t="s">
        <v>2104</v>
      </c>
      <c r="D412" t="s">
        <v>2103</v>
      </c>
      <c r="E412" s="183">
        <v>168.53</v>
      </c>
    </row>
    <row r="413" spans="1:5" ht="14.25">
      <c r="A413">
        <v>36215</v>
      </c>
      <c r="B413" t="s">
        <v>13009</v>
      </c>
      <c r="C413" t="s">
        <v>2102</v>
      </c>
      <c r="D413" t="s">
        <v>2105</v>
      </c>
      <c r="E413" s="183">
        <v>952.7</v>
      </c>
    </row>
    <row r="414" spans="1:5" ht="14.25">
      <c r="A414">
        <v>42439</v>
      </c>
      <c r="B414" t="s">
        <v>13010</v>
      </c>
      <c r="C414" t="s">
        <v>2102</v>
      </c>
      <c r="D414" t="s">
        <v>2105</v>
      </c>
      <c r="E414" s="184">
        <v>1207.8399999999999</v>
      </c>
    </row>
    <row r="415" spans="1:5" ht="14.25">
      <c r="A415">
        <v>38381</v>
      </c>
      <c r="B415" t="s">
        <v>13011</v>
      </c>
      <c r="C415" t="s">
        <v>2102</v>
      </c>
      <c r="D415" t="s">
        <v>2103</v>
      </c>
      <c r="E415" s="183">
        <v>11.3</v>
      </c>
    </row>
    <row r="416" spans="1:5" ht="14.25">
      <c r="A416">
        <v>39621</v>
      </c>
      <c r="B416" t="s">
        <v>13012</v>
      </c>
      <c r="C416" t="s">
        <v>2136</v>
      </c>
      <c r="D416" t="s">
        <v>2103</v>
      </c>
      <c r="E416" s="184">
        <v>1119.5899999999999</v>
      </c>
    </row>
    <row r="417" spans="1:5" ht="14.25">
      <c r="A417">
        <v>39624</v>
      </c>
      <c r="B417" t="s">
        <v>13013</v>
      </c>
      <c r="C417" t="s">
        <v>2136</v>
      </c>
      <c r="D417" t="s">
        <v>2103</v>
      </c>
      <c r="E417" s="184">
        <v>1235.04</v>
      </c>
    </row>
    <row r="418" spans="1:5" ht="14.25">
      <c r="A418">
        <v>39615</v>
      </c>
      <c r="B418" t="s">
        <v>13014</v>
      </c>
      <c r="C418" t="s">
        <v>2102</v>
      </c>
      <c r="D418" t="s">
        <v>2103</v>
      </c>
      <c r="E418" s="183">
        <v>499.07</v>
      </c>
    </row>
    <row r="419" spans="1:5" ht="14.25">
      <c r="A419">
        <v>39620</v>
      </c>
      <c r="B419" t="s">
        <v>13015</v>
      </c>
      <c r="C419" t="s">
        <v>2102</v>
      </c>
      <c r="D419" t="s">
        <v>2103</v>
      </c>
      <c r="E419" s="183">
        <v>762.21</v>
      </c>
    </row>
    <row r="420" spans="1:5" ht="14.25">
      <c r="A420">
        <v>39623</v>
      </c>
      <c r="B420" t="s">
        <v>13016</v>
      </c>
      <c r="C420" t="s">
        <v>2102</v>
      </c>
      <c r="D420" t="s">
        <v>2103</v>
      </c>
      <c r="E420" s="183">
        <v>816.39</v>
      </c>
    </row>
    <row r="421" spans="1:5" ht="14.25">
      <c r="A421">
        <v>546</v>
      </c>
      <c r="B421" t="s">
        <v>15173</v>
      </c>
      <c r="C421" t="s">
        <v>2110</v>
      </c>
      <c r="D421" t="s">
        <v>2107</v>
      </c>
      <c r="E421" s="183">
        <v>8.65</v>
      </c>
    </row>
    <row r="422" spans="1:5" ht="14.25">
      <c r="A422">
        <v>566</v>
      </c>
      <c r="B422" t="s">
        <v>15174</v>
      </c>
      <c r="C422" t="s">
        <v>2109</v>
      </c>
      <c r="D422" t="s">
        <v>2103</v>
      </c>
      <c r="E422" s="183">
        <v>4.0999999999999996</v>
      </c>
    </row>
    <row r="423" spans="1:5" ht="14.25">
      <c r="A423">
        <v>565</v>
      </c>
      <c r="B423" t="s">
        <v>15175</v>
      </c>
      <c r="C423" t="s">
        <v>2109</v>
      </c>
      <c r="D423" t="s">
        <v>2103</v>
      </c>
      <c r="E423" s="183">
        <v>14.96</v>
      </c>
    </row>
    <row r="424" spans="1:5" ht="14.25">
      <c r="A424">
        <v>555</v>
      </c>
      <c r="B424" t="s">
        <v>15176</v>
      </c>
      <c r="C424" t="s">
        <v>2109</v>
      </c>
      <c r="D424" t="s">
        <v>2103</v>
      </c>
      <c r="E424" s="183">
        <v>10.6</v>
      </c>
    </row>
    <row r="425" spans="1:5" ht="14.25">
      <c r="A425">
        <v>557</v>
      </c>
      <c r="B425" t="s">
        <v>15177</v>
      </c>
      <c r="C425" t="s">
        <v>2109</v>
      </c>
      <c r="D425" t="s">
        <v>2103</v>
      </c>
      <c r="E425" s="183">
        <v>33.28</v>
      </c>
    </row>
    <row r="426" spans="1:5" ht="14.25">
      <c r="A426">
        <v>552</v>
      </c>
      <c r="B426" t="s">
        <v>15178</v>
      </c>
      <c r="C426" t="s">
        <v>2109</v>
      </c>
      <c r="D426" t="s">
        <v>2103</v>
      </c>
      <c r="E426" s="183">
        <v>16.510000000000002</v>
      </c>
    </row>
    <row r="427" spans="1:5" ht="14.25">
      <c r="A427">
        <v>563</v>
      </c>
      <c r="B427" t="s">
        <v>15179</v>
      </c>
      <c r="C427" t="s">
        <v>2109</v>
      </c>
      <c r="D427" t="s">
        <v>2103</v>
      </c>
      <c r="E427" s="183">
        <v>24.81</v>
      </c>
    </row>
    <row r="428" spans="1:5" ht="14.25">
      <c r="A428">
        <v>549</v>
      </c>
      <c r="B428" t="s">
        <v>15180</v>
      </c>
      <c r="C428" t="s">
        <v>2109</v>
      </c>
      <c r="D428" t="s">
        <v>2103</v>
      </c>
      <c r="E428" s="183">
        <v>44.66</v>
      </c>
    </row>
    <row r="429" spans="1:5" ht="14.25">
      <c r="A429">
        <v>551</v>
      </c>
      <c r="B429" t="s">
        <v>15181</v>
      </c>
      <c r="C429" t="s">
        <v>2109</v>
      </c>
      <c r="D429" t="s">
        <v>2103</v>
      </c>
      <c r="E429" s="183">
        <v>88.43</v>
      </c>
    </row>
    <row r="430" spans="1:5" ht="14.25">
      <c r="A430">
        <v>559</v>
      </c>
      <c r="B430" t="s">
        <v>15182</v>
      </c>
      <c r="C430" t="s">
        <v>2109</v>
      </c>
      <c r="D430" t="s">
        <v>2103</v>
      </c>
      <c r="E430" s="183">
        <v>22.1</v>
      </c>
    </row>
    <row r="431" spans="1:5" ht="14.25">
      <c r="A431">
        <v>560</v>
      </c>
      <c r="B431" t="s">
        <v>15183</v>
      </c>
      <c r="C431" t="s">
        <v>2109</v>
      </c>
      <c r="D431" t="s">
        <v>2103</v>
      </c>
      <c r="E431" s="183">
        <v>27.65</v>
      </c>
    </row>
    <row r="432" spans="1:5" ht="14.25">
      <c r="A432">
        <v>547</v>
      </c>
      <c r="B432" t="s">
        <v>15184</v>
      </c>
      <c r="C432" t="s">
        <v>2109</v>
      </c>
      <c r="D432" t="s">
        <v>2103</v>
      </c>
      <c r="E432" s="183">
        <v>33.11</v>
      </c>
    </row>
    <row r="433" spans="1:5" ht="14.25">
      <c r="A433">
        <v>36207</v>
      </c>
      <c r="B433" t="s">
        <v>13017</v>
      </c>
      <c r="C433" t="s">
        <v>2102</v>
      </c>
      <c r="D433" t="s">
        <v>2105</v>
      </c>
      <c r="E433" s="183">
        <v>421.98</v>
      </c>
    </row>
    <row r="434" spans="1:5" ht="14.25">
      <c r="A434">
        <v>36209</v>
      </c>
      <c r="B434" t="s">
        <v>13018</v>
      </c>
      <c r="C434" t="s">
        <v>2102</v>
      </c>
      <c r="D434" t="s">
        <v>2105</v>
      </c>
      <c r="E434" s="183">
        <v>484.29</v>
      </c>
    </row>
    <row r="435" spans="1:5" ht="14.25">
      <c r="A435">
        <v>36210</v>
      </c>
      <c r="B435" t="s">
        <v>13019</v>
      </c>
      <c r="C435" t="s">
        <v>2102</v>
      </c>
      <c r="D435" t="s">
        <v>2105</v>
      </c>
      <c r="E435" s="183">
        <v>523.98</v>
      </c>
    </row>
    <row r="436" spans="1:5" ht="14.25">
      <c r="A436">
        <v>36204</v>
      </c>
      <c r="B436" t="s">
        <v>13020</v>
      </c>
      <c r="C436" t="s">
        <v>2102</v>
      </c>
      <c r="D436" t="s">
        <v>2105</v>
      </c>
      <c r="E436" s="183">
        <v>185.78</v>
      </c>
    </row>
    <row r="437" spans="1:5" ht="14.25">
      <c r="A437">
        <v>36205</v>
      </c>
      <c r="B437" t="s">
        <v>13021</v>
      </c>
      <c r="C437" t="s">
        <v>2102</v>
      </c>
      <c r="D437" t="s">
        <v>2105</v>
      </c>
      <c r="E437" s="183">
        <v>206.33</v>
      </c>
    </row>
    <row r="438" spans="1:5" ht="14.25">
      <c r="A438">
        <v>36081</v>
      </c>
      <c r="B438" t="s">
        <v>13022</v>
      </c>
      <c r="C438" t="s">
        <v>2102</v>
      </c>
      <c r="D438" t="s">
        <v>2105</v>
      </c>
      <c r="E438" s="183">
        <v>220</v>
      </c>
    </row>
    <row r="439" spans="1:5" ht="14.25">
      <c r="A439">
        <v>36206</v>
      </c>
      <c r="B439" t="s">
        <v>13023</v>
      </c>
      <c r="C439" t="s">
        <v>2102</v>
      </c>
      <c r="D439" t="s">
        <v>2105</v>
      </c>
      <c r="E439" s="183">
        <v>230.49</v>
      </c>
    </row>
    <row r="440" spans="1:5" ht="14.25">
      <c r="A440">
        <v>36218</v>
      </c>
      <c r="B440" t="s">
        <v>13024</v>
      </c>
      <c r="C440" t="s">
        <v>2102</v>
      </c>
      <c r="D440" t="s">
        <v>2105</v>
      </c>
      <c r="E440" s="183">
        <v>156.4</v>
      </c>
    </row>
    <row r="441" spans="1:5" ht="14.25">
      <c r="A441">
        <v>36220</v>
      </c>
      <c r="B441" t="s">
        <v>13025</v>
      </c>
      <c r="C441" t="s">
        <v>2102</v>
      </c>
      <c r="D441" t="s">
        <v>2105</v>
      </c>
      <c r="E441" s="183">
        <v>179.34</v>
      </c>
    </row>
    <row r="442" spans="1:5" ht="14.25">
      <c r="A442">
        <v>36080</v>
      </c>
      <c r="B442" t="s">
        <v>13026</v>
      </c>
      <c r="C442" t="s">
        <v>2102</v>
      </c>
      <c r="D442" t="s">
        <v>2105</v>
      </c>
      <c r="E442" s="183">
        <v>193.99</v>
      </c>
    </row>
    <row r="443" spans="1:5" ht="14.25">
      <c r="A443">
        <v>36223</v>
      </c>
      <c r="B443" t="s">
        <v>13027</v>
      </c>
      <c r="C443" t="s">
        <v>2102</v>
      </c>
      <c r="D443" t="s">
        <v>2105</v>
      </c>
      <c r="E443" s="183">
        <v>203.14</v>
      </c>
    </row>
    <row r="444" spans="1:5" ht="14.25">
      <c r="A444">
        <v>38127</v>
      </c>
      <c r="B444" t="s">
        <v>13028</v>
      </c>
      <c r="C444" t="s">
        <v>2102</v>
      </c>
      <c r="D444" t="s">
        <v>2103</v>
      </c>
      <c r="E444" s="183">
        <v>347.77</v>
      </c>
    </row>
    <row r="445" spans="1:5" ht="14.25">
      <c r="A445">
        <v>38060</v>
      </c>
      <c r="B445" t="s">
        <v>13029</v>
      </c>
      <c r="C445" t="s">
        <v>2102</v>
      </c>
      <c r="D445" t="s">
        <v>2103</v>
      </c>
      <c r="E445" s="183">
        <v>42.16</v>
      </c>
    </row>
    <row r="446" spans="1:5" ht="14.25">
      <c r="A446">
        <v>10956</v>
      </c>
      <c r="B446" t="s">
        <v>13030</v>
      </c>
      <c r="C446" t="s">
        <v>2102</v>
      </c>
      <c r="D446" t="s">
        <v>2103</v>
      </c>
      <c r="E446" s="183">
        <v>46.24</v>
      </c>
    </row>
    <row r="447" spans="1:5" ht="14.25">
      <c r="A447">
        <v>39380</v>
      </c>
      <c r="B447" t="s">
        <v>13031</v>
      </c>
      <c r="C447" t="s">
        <v>2102</v>
      </c>
      <c r="D447" t="s">
        <v>2105</v>
      </c>
      <c r="E447" s="183">
        <v>23.44</v>
      </c>
    </row>
    <row r="448" spans="1:5" ht="14.25">
      <c r="A448">
        <v>44172</v>
      </c>
      <c r="B448" t="s">
        <v>15185</v>
      </c>
      <c r="C448" t="s">
        <v>2102</v>
      </c>
      <c r="D448" t="s">
        <v>2103</v>
      </c>
      <c r="E448" s="183">
        <v>10.64</v>
      </c>
    </row>
    <row r="449" spans="1:5" ht="14.25">
      <c r="A449">
        <v>37597</v>
      </c>
      <c r="B449" t="s">
        <v>13032</v>
      </c>
      <c r="C449" t="s">
        <v>2102</v>
      </c>
      <c r="D449" t="s">
        <v>2105</v>
      </c>
      <c r="E449" s="184">
        <v>632675.78</v>
      </c>
    </row>
    <row r="450" spans="1:5" ht="14.25">
      <c r="A450">
        <v>183</v>
      </c>
      <c r="B450" t="s">
        <v>13033</v>
      </c>
      <c r="C450" t="s">
        <v>2140</v>
      </c>
      <c r="D450" t="s">
        <v>2107</v>
      </c>
      <c r="E450" s="183">
        <v>195</v>
      </c>
    </row>
    <row r="451" spans="1:5" ht="14.25">
      <c r="A451">
        <v>184</v>
      </c>
      <c r="B451" t="s">
        <v>13034</v>
      </c>
      <c r="C451" t="s">
        <v>2140</v>
      </c>
      <c r="D451" t="s">
        <v>2103</v>
      </c>
      <c r="E451" s="183">
        <v>120.77</v>
      </c>
    </row>
    <row r="452" spans="1:5" ht="14.25">
      <c r="A452">
        <v>181</v>
      </c>
      <c r="B452" t="s">
        <v>13035</v>
      </c>
      <c r="C452" t="s">
        <v>2140</v>
      </c>
      <c r="D452" t="s">
        <v>2103</v>
      </c>
      <c r="E452" s="183">
        <v>260.41000000000003</v>
      </c>
    </row>
    <row r="453" spans="1:5" ht="14.25">
      <c r="A453">
        <v>20001</v>
      </c>
      <c r="B453" t="s">
        <v>13036</v>
      </c>
      <c r="C453" t="s">
        <v>2140</v>
      </c>
      <c r="D453" t="s">
        <v>2103</v>
      </c>
      <c r="E453" s="183">
        <v>150.96</v>
      </c>
    </row>
    <row r="454" spans="1:5" ht="14.25">
      <c r="A454">
        <v>39837</v>
      </c>
      <c r="B454" t="s">
        <v>13037</v>
      </c>
      <c r="C454" t="s">
        <v>2140</v>
      </c>
      <c r="D454" t="s">
        <v>2105</v>
      </c>
      <c r="E454" s="183">
        <v>349.21</v>
      </c>
    </row>
    <row r="455" spans="1:5" ht="14.25">
      <c r="A455">
        <v>43366</v>
      </c>
      <c r="B455" t="s">
        <v>15186</v>
      </c>
      <c r="C455" t="s">
        <v>2110</v>
      </c>
      <c r="D455" t="s">
        <v>2105</v>
      </c>
      <c r="E455" s="183">
        <v>1.54</v>
      </c>
    </row>
    <row r="456" spans="1:5" ht="14.25">
      <c r="A456">
        <v>10535</v>
      </c>
      <c r="B456" t="s">
        <v>13038</v>
      </c>
      <c r="C456" t="s">
        <v>2102</v>
      </c>
      <c r="D456" t="s">
        <v>2107</v>
      </c>
      <c r="E456" s="184">
        <v>4853.37</v>
      </c>
    </row>
    <row r="457" spans="1:5" ht="14.25">
      <c r="A457">
        <v>10537</v>
      </c>
      <c r="B457" t="s">
        <v>13039</v>
      </c>
      <c r="C457" t="s">
        <v>2102</v>
      </c>
      <c r="D457" t="s">
        <v>2103</v>
      </c>
      <c r="E457" s="184">
        <v>6618.68</v>
      </c>
    </row>
    <row r="458" spans="1:5" ht="14.25">
      <c r="A458">
        <v>13891</v>
      </c>
      <c r="B458" t="s">
        <v>13040</v>
      </c>
      <c r="C458" t="s">
        <v>2102</v>
      </c>
      <c r="D458" t="s">
        <v>2103</v>
      </c>
      <c r="E458" s="184">
        <v>6070.82</v>
      </c>
    </row>
    <row r="459" spans="1:5" ht="14.25">
      <c r="A459">
        <v>44492</v>
      </c>
      <c r="B459" t="s">
        <v>13041</v>
      </c>
      <c r="C459" t="s">
        <v>2102</v>
      </c>
      <c r="D459" t="s">
        <v>2103</v>
      </c>
      <c r="E459" s="184">
        <v>26405.62</v>
      </c>
    </row>
    <row r="460" spans="1:5" ht="14.25">
      <c r="A460">
        <v>36396</v>
      </c>
      <c r="B460" t="s">
        <v>13042</v>
      </c>
      <c r="C460" t="s">
        <v>2102</v>
      </c>
      <c r="D460" t="s">
        <v>2103</v>
      </c>
      <c r="E460" s="184">
        <v>5552.58</v>
      </c>
    </row>
    <row r="461" spans="1:5" ht="14.25">
      <c r="A461">
        <v>36397</v>
      </c>
      <c r="B461" t="s">
        <v>13043</v>
      </c>
      <c r="C461" t="s">
        <v>2102</v>
      </c>
      <c r="D461" t="s">
        <v>2103</v>
      </c>
      <c r="E461" s="184">
        <v>19742.52</v>
      </c>
    </row>
    <row r="462" spans="1:5" ht="14.25">
      <c r="A462">
        <v>36398</v>
      </c>
      <c r="B462" t="s">
        <v>13044</v>
      </c>
      <c r="C462" t="s">
        <v>2102</v>
      </c>
      <c r="D462" t="s">
        <v>2103</v>
      </c>
      <c r="E462" s="184">
        <v>23995.38</v>
      </c>
    </row>
    <row r="463" spans="1:5" ht="14.25">
      <c r="A463">
        <v>647</v>
      </c>
      <c r="B463" t="s">
        <v>18181</v>
      </c>
      <c r="C463" t="s">
        <v>2106</v>
      </c>
      <c r="D463" t="s">
        <v>2103</v>
      </c>
      <c r="E463" s="183">
        <v>20.96</v>
      </c>
    </row>
    <row r="464" spans="1:5" ht="14.25">
      <c r="A464">
        <v>40920</v>
      </c>
      <c r="B464" t="s">
        <v>13045</v>
      </c>
      <c r="C464" t="s">
        <v>2123</v>
      </c>
      <c r="D464" t="s">
        <v>2103</v>
      </c>
      <c r="E464" s="184">
        <v>3678.29</v>
      </c>
    </row>
    <row r="465" spans="1:5" ht="14.25">
      <c r="A465">
        <v>715</v>
      </c>
      <c r="B465" t="s">
        <v>13046</v>
      </c>
      <c r="C465" t="s">
        <v>2102</v>
      </c>
      <c r="D465" t="s">
        <v>2107</v>
      </c>
      <c r="E465" s="183">
        <v>23.2</v>
      </c>
    </row>
    <row r="466" spans="1:5" ht="14.25">
      <c r="A466">
        <v>716</v>
      </c>
      <c r="B466" t="s">
        <v>13047</v>
      </c>
      <c r="C466" t="s">
        <v>2102</v>
      </c>
      <c r="D466" t="s">
        <v>2103</v>
      </c>
      <c r="E466" s="183">
        <v>26.23</v>
      </c>
    </row>
    <row r="467" spans="1:5" ht="14.25">
      <c r="A467">
        <v>38783</v>
      </c>
      <c r="B467" t="s">
        <v>13048</v>
      </c>
      <c r="C467" t="s">
        <v>2102</v>
      </c>
      <c r="D467" t="s">
        <v>2103</v>
      </c>
      <c r="E467" s="183">
        <v>0.71</v>
      </c>
    </row>
    <row r="468" spans="1:5" ht="14.25">
      <c r="A468">
        <v>37593</v>
      </c>
      <c r="B468" t="s">
        <v>13049</v>
      </c>
      <c r="C468" t="s">
        <v>2102</v>
      </c>
      <c r="D468" t="s">
        <v>2103</v>
      </c>
      <c r="E468" s="183">
        <v>1.74</v>
      </c>
    </row>
    <row r="469" spans="1:5" ht="14.25">
      <c r="A469">
        <v>37594</v>
      </c>
      <c r="B469" t="s">
        <v>13050</v>
      </c>
      <c r="C469" t="s">
        <v>2102</v>
      </c>
      <c r="D469" t="s">
        <v>2103</v>
      </c>
      <c r="E469" s="183">
        <v>2.16</v>
      </c>
    </row>
    <row r="470" spans="1:5" ht="14.25">
      <c r="A470">
        <v>37592</v>
      </c>
      <c r="B470" t="s">
        <v>13051</v>
      </c>
      <c r="C470" t="s">
        <v>2102</v>
      </c>
      <c r="D470" t="s">
        <v>2103</v>
      </c>
      <c r="E470" s="183">
        <v>1.37</v>
      </c>
    </row>
    <row r="471" spans="1:5" ht="14.25">
      <c r="A471">
        <v>7270</v>
      </c>
      <c r="B471" t="s">
        <v>13052</v>
      </c>
      <c r="C471" t="s">
        <v>2102</v>
      </c>
      <c r="D471" t="s">
        <v>2103</v>
      </c>
      <c r="E471" s="183">
        <v>0.61</v>
      </c>
    </row>
    <row r="472" spans="1:5" ht="14.25">
      <c r="A472">
        <v>7267</v>
      </c>
      <c r="B472" t="s">
        <v>13053</v>
      </c>
      <c r="C472" t="s">
        <v>2102</v>
      </c>
      <c r="D472" t="s">
        <v>2103</v>
      </c>
      <c r="E472" s="183">
        <v>0.48</v>
      </c>
    </row>
    <row r="473" spans="1:5" ht="14.25">
      <c r="A473">
        <v>7271</v>
      </c>
      <c r="B473" t="s">
        <v>13054</v>
      </c>
      <c r="C473" t="s">
        <v>2102</v>
      </c>
      <c r="D473" t="s">
        <v>2107</v>
      </c>
      <c r="E473" s="183">
        <v>0.53</v>
      </c>
    </row>
    <row r="474" spans="1:5" ht="14.25">
      <c r="A474">
        <v>7268</v>
      </c>
      <c r="B474" t="s">
        <v>13055</v>
      </c>
      <c r="C474" t="s">
        <v>2102</v>
      </c>
      <c r="D474" t="s">
        <v>2103</v>
      </c>
      <c r="E474" s="183">
        <v>0.73</v>
      </c>
    </row>
    <row r="475" spans="1:5" ht="14.25">
      <c r="A475">
        <v>41372</v>
      </c>
      <c r="B475" t="s">
        <v>15187</v>
      </c>
      <c r="C475" t="s">
        <v>2104</v>
      </c>
      <c r="D475" t="s">
        <v>2105</v>
      </c>
      <c r="E475" s="183">
        <v>119.29</v>
      </c>
    </row>
    <row r="476" spans="1:5" ht="14.25">
      <c r="A476">
        <v>41371</v>
      </c>
      <c r="B476" t="s">
        <v>15188</v>
      </c>
      <c r="C476" t="s">
        <v>2104</v>
      </c>
      <c r="D476" t="s">
        <v>2105</v>
      </c>
      <c r="E476" s="183">
        <v>70.510000000000005</v>
      </c>
    </row>
    <row r="477" spans="1:5" ht="14.25">
      <c r="A477">
        <v>34556</v>
      </c>
      <c r="B477" t="s">
        <v>13056</v>
      </c>
      <c r="C477" t="s">
        <v>2102</v>
      </c>
      <c r="D477" t="s">
        <v>2103</v>
      </c>
      <c r="E477" s="183">
        <v>4.32</v>
      </c>
    </row>
    <row r="478" spans="1:5" ht="14.25">
      <c r="A478">
        <v>37873</v>
      </c>
      <c r="B478" t="s">
        <v>13057</v>
      </c>
      <c r="C478" t="s">
        <v>2102</v>
      </c>
      <c r="D478" t="s">
        <v>2103</v>
      </c>
      <c r="E478" s="183">
        <v>4.4000000000000004</v>
      </c>
    </row>
    <row r="479" spans="1:5" ht="14.25">
      <c r="A479">
        <v>34564</v>
      </c>
      <c r="B479" t="s">
        <v>13058</v>
      </c>
      <c r="C479" t="s">
        <v>2102</v>
      </c>
      <c r="D479" t="s">
        <v>2103</v>
      </c>
      <c r="E479" s="183">
        <v>4.6100000000000003</v>
      </c>
    </row>
    <row r="480" spans="1:5" ht="14.25">
      <c r="A480">
        <v>34565</v>
      </c>
      <c r="B480" t="s">
        <v>13059</v>
      </c>
      <c r="C480" t="s">
        <v>2102</v>
      </c>
      <c r="D480" t="s">
        <v>2103</v>
      </c>
      <c r="E480" s="183">
        <v>4.87</v>
      </c>
    </row>
    <row r="481" spans="1:5" ht="14.25">
      <c r="A481">
        <v>38590</v>
      </c>
      <c r="B481" t="s">
        <v>13060</v>
      </c>
      <c r="C481" t="s">
        <v>2102</v>
      </c>
      <c r="D481" t="s">
        <v>2103</v>
      </c>
      <c r="E481" s="183">
        <v>3.6</v>
      </c>
    </row>
    <row r="482" spans="1:5" ht="14.25">
      <c r="A482">
        <v>34566</v>
      </c>
      <c r="B482" t="s">
        <v>13061</v>
      </c>
      <c r="C482" t="s">
        <v>2102</v>
      </c>
      <c r="D482" t="s">
        <v>2103</v>
      </c>
      <c r="E482" s="183">
        <v>3.78</v>
      </c>
    </row>
    <row r="483" spans="1:5" ht="14.25">
      <c r="A483">
        <v>34567</v>
      </c>
      <c r="B483" t="s">
        <v>13062</v>
      </c>
      <c r="C483" t="s">
        <v>2102</v>
      </c>
      <c r="D483" t="s">
        <v>2103</v>
      </c>
      <c r="E483" s="183">
        <v>4.01</v>
      </c>
    </row>
    <row r="484" spans="1:5" ht="14.25">
      <c r="A484">
        <v>38591</v>
      </c>
      <c r="B484" t="s">
        <v>13063</v>
      </c>
      <c r="C484" t="s">
        <v>2102</v>
      </c>
      <c r="D484" t="s">
        <v>2103</v>
      </c>
      <c r="E484" s="183">
        <v>3.64</v>
      </c>
    </row>
    <row r="485" spans="1:5" ht="14.25">
      <c r="A485">
        <v>34568</v>
      </c>
      <c r="B485" t="s">
        <v>13064</v>
      </c>
      <c r="C485" t="s">
        <v>2102</v>
      </c>
      <c r="D485" t="s">
        <v>2103</v>
      </c>
      <c r="E485" s="183">
        <v>4.74</v>
      </c>
    </row>
    <row r="486" spans="1:5" ht="14.25">
      <c r="A486">
        <v>34569</v>
      </c>
      <c r="B486" t="s">
        <v>13065</v>
      </c>
      <c r="C486" t="s">
        <v>2102</v>
      </c>
      <c r="D486" t="s">
        <v>2103</v>
      </c>
      <c r="E486" s="183">
        <v>4.87</v>
      </c>
    </row>
    <row r="487" spans="1:5" ht="14.25">
      <c r="A487">
        <v>34570</v>
      </c>
      <c r="B487" t="s">
        <v>13066</v>
      </c>
      <c r="C487" t="s">
        <v>2102</v>
      </c>
      <c r="D487" t="s">
        <v>2103</v>
      </c>
      <c r="E487" s="183">
        <v>5.29</v>
      </c>
    </row>
    <row r="488" spans="1:5" ht="14.25">
      <c r="A488">
        <v>25070</v>
      </c>
      <c r="B488" t="s">
        <v>13067</v>
      </c>
      <c r="C488" t="s">
        <v>2102</v>
      </c>
      <c r="D488" t="s">
        <v>2103</v>
      </c>
      <c r="E488" s="183">
        <v>3.98</v>
      </c>
    </row>
    <row r="489" spans="1:5" ht="14.25">
      <c r="A489">
        <v>34571</v>
      </c>
      <c r="B489" t="s">
        <v>13068</v>
      </c>
      <c r="C489" t="s">
        <v>2102</v>
      </c>
      <c r="D489" t="s">
        <v>2103</v>
      </c>
      <c r="E489" s="183">
        <v>4.0199999999999996</v>
      </c>
    </row>
    <row r="490" spans="1:5" ht="14.25">
      <c r="A490">
        <v>34573</v>
      </c>
      <c r="B490" t="s">
        <v>13069</v>
      </c>
      <c r="C490" t="s">
        <v>2102</v>
      </c>
      <c r="D490" t="s">
        <v>2103</v>
      </c>
      <c r="E490" s="183">
        <v>4.2300000000000004</v>
      </c>
    </row>
    <row r="491" spans="1:5" ht="14.25">
      <c r="A491">
        <v>37107</v>
      </c>
      <c r="B491" t="s">
        <v>13070</v>
      </c>
      <c r="C491" t="s">
        <v>2102</v>
      </c>
      <c r="D491" t="s">
        <v>2103</v>
      </c>
      <c r="E491" s="183">
        <v>5.58</v>
      </c>
    </row>
    <row r="492" spans="1:5" ht="14.25">
      <c r="A492">
        <v>34576</v>
      </c>
      <c r="B492" t="s">
        <v>13071</v>
      </c>
      <c r="C492" t="s">
        <v>2102</v>
      </c>
      <c r="D492" t="s">
        <v>2103</v>
      </c>
      <c r="E492" s="183">
        <v>6.16</v>
      </c>
    </row>
    <row r="493" spans="1:5" ht="14.25">
      <c r="A493">
        <v>34577</v>
      </c>
      <c r="B493" t="s">
        <v>13072</v>
      </c>
      <c r="C493" t="s">
        <v>2102</v>
      </c>
      <c r="D493" t="s">
        <v>2103</v>
      </c>
      <c r="E493" s="183">
        <v>6.43</v>
      </c>
    </row>
    <row r="494" spans="1:5" ht="14.25">
      <c r="A494">
        <v>34578</v>
      </c>
      <c r="B494" t="s">
        <v>13073</v>
      </c>
      <c r="C494" t="s">
        <v>2102</v>
      </c>
      <c r="D494" t="s">
        <v>2103</v>
      </c>
      <c r="E494" s="183">
        <v>6.97</v>
      </c>
    </row>
    <row r="495" spans="1:5" ht="14.25">
      <c r="A495">
        <v>34579</v>
      </c>
      <c r="B495" t="s">
        <v>13074</v>
      </c>
      <c r="C495" t="s">
        <v>2102</v>
      </c>
      <c r="D495" t="s">
        <v>2103</v>
      </c>
      <c r="E495" s="183">
        <v>7.44</v>
      </c>
    </row>
    <row r="496" spans="1:5" ht="14.25">
      <c r="A496">
        <v>25067</v>
      </c>
      <c r="B496" t="s">
        <v>13075</v>
      </c>
      <c r="C496" t="s">
        <v>2102</v>
      </c>
      <c r="D496" t="s">
        <v>2103</v>
      </c>
      <c r="E496" s="183">
        <v>4.9800000000000004</v>
      </c>
    </row>
    <row r="497" spans="1:5" ht="14.25">
      <c r="A497">
        <v>34580</v>
      </c>
      <c r="B497" t="s">
        <v>13076</v>
      </c>
      <c r="C497" t="s">
        <v>2102</v>
      </c>
      <c r="D497" t="s">
        <v>2103</v>
      </c>
      <c r="E497" s="183">
        <v>5.56</v>
      </c>
    </row>
    <row r="498" spans="1:5" ht="14.25">
      <c r="A498">
        <v>25071</v>
      </c>
      <c r="B498" t="s">
        <v>13077</v>
      </c>
      <c r="C498" t="s">
        <v>2102</v>
      </c>
      <c r="D498" t="s">
        <v>2103</v>
      </c>
      <c r="E498" s="183">
        <v>2.77</v>
      </c>
    </row>
    <row r="499" spans="1:5" ht="14.25">
      <c r="A499">
        <v>44171</v>
      </c>
      <c r="B499" t="s">
        <v>15189</v>
      </c>
      <c r="C499" t="s">
        <v>2102</v>
      </c>
      <c r="D499" t="s">
        <v>2103</v>
      </c>
      <c r="E499" s="183">
        <v>30.35</v>
      </c>
    </row>
    <row r="500" spans="1:5" ht="14.25">
      <c r="A500">
        <v>38395</v>
      </c>
      <c r="B500" t="s">
        <v>13078</v>
      </c>
      <c r="C500" t="s">
        <v>2102</v>
      </c>
      <c r="D500" t="s">
        <v>2103</v>
      </c>
      <c r="E500" s="183">
        <v>9.44</v>
      </c>
    </row>
    <row r="501" spans="1:5" ht="14.25">
      <c r="A501">
        <v>34583</v>
      </c>
      <c r="B501" t="s">
        <v>13079</v>
      </c>
      <c r="C501" t="s">
        <v>2104</v>
      </c>
      <c r="D501" t="s">
        <v>2103</v>
      </c>
      <c r="E501" s="183">
        <v>58.14</v>
      </c>
    </row>
    <row r="502" spans="1:5" ht="14.25">
      <c r="A502">
        <v>34584</v>
      </c>
      <c r="B502" t="s">
        <v>13080</v>
      </c>
      <c r="C502" t="s">
        <v>2104</v>
      </c>
      <c r="D502" t="s">
        <v>2103</v>
      </c>
      <c r="E502" s="183">
        <v>42.64</v>
      </c>
    </row>
    <row r="503" spans="1:5" ht="14.25">
      <c r="A503">
        <v>709</v>
      </c>
      <c r="B503" t="s">
        <v>13081</v>
      </c>
      <c r="C503" t="s">
        <v>2104</v>
      </c>
      <c r="D503" t="s">
        <v>2105</v>
      </c>
      <c r="E503" s="183">
        <v>740.74</v>
      </c>
    </row>
    <row r="504" spans="1:5" ht="14.25">
      <c r="A504">
        <v>34599</v>
      </c>
      <c r="B504" t="s">
        <v>13082</v>
      </c>
      <c r="C504" t="s">
        <v>2102</v>
      </c>
      <c r="D504" t="s">
        <v>2103</v>
      </c>
      <c r="E504" s="183">
        <v>2.84</v>
      </c>
    </row>
    <row r="505" spans="1:5" ht="14.25">
      <c r="A505">
        <v>34592</v>
      </c>
      <c r="B505" t="s">
        <v>13083</v>
      </c>
      <c r="C505" t="s">
        <v>2102</v>
      </c>
      <c r="D505" t="s">
        <v>2103</v>
      </c>
      <c r="E505" s="183">
        <v>3.16</v>
      </c>
    </row>
    <row r="506" spans="1:5" ht="14.25">
      <c r="A506">
        <v>37103</v>
      </c>
      <c r="B506" t="s">
        <v>13084</v>
      </c>
      <c r="C506" t="s">
        <v>2102</v>
      </c>
      <c r="D506" t="s">
        <v>2103</v>
      </c>
      <c r="E506" s="183">
        <v>3.62</v>
      </c>
    </row>
    <row r="507" spans="1:5" ht="14.25">
      <c r="A507">
        <v>34555</v>
      </c>
      <c r="B507" t="s">
        <v>13085</v>
      </c>
      <c r="C507" t="s">
        <v>2102</v>
      </c>
      <c r="D507" t="s">
        <v>2103</v>
      </c>
      <c r="E507" s="183">
        <v>4.5999999999999996</v>
      </c>
    </row>
    <row r="508" spans="1:5" ht="14.25">
      <c r="A508">
        <v>674</v>
      </c>
      <c r="B508" t="s">
        <v>13086</v>
      </c>
      <c r="C508" t="s">
        <v>2104</v>
      </c>
      <c r="D508" t="s">
        <v>2105</v>
      </c>
      <c r="E508" s="183">
        <v>85</v>
      </c>
    </row>
    <row r="509" spans="1:5" ht="14.25">
      <c r="A509">
        <v>34600</v>
      </c>
      <c r="B509" t="s">
        <v>13087</v>
      </c>
      <c r="C509" t="s">
        <v>2104</v>
      </c>
      <c r="D509" t="s">
        <v>2105</v>
      </c>
      <c r="E509" s="183">
        <v>124.85</v>
      </c>
    </row>
    <row r="510" spans="1:5" ht="14.25">
      <c r="A510">
        <v>652</v>
      </c>
      <c r="B510" t="s">
        <v>13088</v>
      </c>
      <c r="C510" t="s">
        <v>2104</v>
      </c>
      <c r="D510" t="s">
        <v>2105</v>
      </c>
      <c r="E510" s="183">
        <v>191.25</v>
      </c>
    </row>
    <row r="511" spans="1:5" ht="14.25">
      <c r="A511">
        <v>651</v>
      </c>
      <c r="B511" t="s">
        <v>13089</v>
      </c>
      <c r="C511" t="s">
        <v>2102</v>
      </c>
      <c r="D511" t="s">
        <v>2103</v>
      </c>
      <c r="E511" s="183">
        <v>3.49</v>
      </c>
    </row>
    <row r="512" spans="1:5" ht="14.25">
      <c r="A512">
        <v>654</v>
      </c>
      <c r="B512" t="s">
        <v>13090</v>
      </c>
      <c r="C512" t="s">
        <v>2102</v>
      </c>
      <c r="D512" t="s">
        <v>2103</v>
      </c>
      <c r="E512" s="183">
        <v>4.32</v>
      </c>
    </row>
    <row r="513" spans="1:5" ht="14.25">
      <c r="A513">
        <v>650</v>
      </c>
      <c r="B513" t="s">
        <v>13091</v>
      </c>
      <c r="C513" t="s">
        <v>2102</v>
      </c>
      <c r="D513" t="s">
        <v>2107</v>
      </c>
      <c r="E513" s="183">
        <v>2.79</v>
      </c>
    </row>
    <row r="514" spans="1:5" ht="14.25">
      <c r="A514">
        <v>718</v>
      </c>
      <c r="B514" t="s">
        <v>13092</v>
      </c>
      <c r="C514" t="s">
        <v>2102</v>
      </c>
      <c r="D514" t="s">
        <v>2103</v>
      </c>
      <c r="E514" s="183">
        <v>22.92</v>
      </c>
    </row>
    <row r="515" spans="1:5" ht="14.25">
      <c r="A515">
        <v>11981</v>
      </c>
      <c r="B515" t="s">
        <v>13093</v>
      </c>
      <c r="C515" t="s">
        <v>2102</v>
      </c>
      <c r="D515" t="s">
        <v>2103</v>
      </c>
      <c r="E515" s="183">
        <v>22.27</v>
      </c>
    </row>
    <row r="516" spans="1:5" ht="14.25">
      <c r="A516">
        <v>34586</v>
      </c>
      <c r="B516" t="s">
        <v>13094</v>
      </c>
      <c r="C516" t="s">
        <v>2102</v>
      </c>
      <c r="D516" t="s">
        <v>2103</v>
      </c>
      <c r="E516" s="183">
        <v>1.48</v>
      </c>
    </row>
    <row r="517" spans="1:5" ht="14.25">
      <c r="A517">
        <v>38603</v>
      </c>
      <c r="B517" t="s">
        <v>13095</v>
      </c>
      <c r="C517" t="s">
        <v>2102</v>
      </c>
      <c r="D517" t="s">
        <v>2103</v>
      </c>
      <c r="E517" s="183">
        <v>1.8</v>
      </c>
    </row>
    <row r="518" spans="1:5" ht="14.25">
      <c r="A518">
        <v>34588</v>
      </c>
      <c r="B518" t="s">
        <v>13096</v>
      </c>
      <c r="C518" t="s">
        <v>2102</v>
      </c>
      <c r="D518" t="s">
        <v>2103</v>
      </c>
      <c r="E518" s="183">
        <v>1.94</v>
      </c>
    </row>
    <row r="519" spans="1:5" ht="14.25">
      <c r="A519">
        <v>34590</v>
      </c>
      <c r="B519" t="s">
        <v>13097</v>
      </c>
      <c r="C519" t="s">
        <v>2102</v>
      </c>
      <c r="D519" t="s">
        <v>2103</v>
      </c>
      <c r="E519" s="183">
        <v>1.77</v>
      </c>
    </row>
    <row r="520" spans="1:5" ht="14.25">
      <c r="A520">
        <v>34591</v>
      </c>
      <c r="B520" t="s">
        <v>13098</v>
      </c>
      <c r="C520" t="s">
        <v>2102</v>
      </c>
      <c r="D520" t="s">
        <v>2103</v>
      </c>
      <c r="E520" s="183">
        <v>2.4</v>
      </c>
    </row>
    <row r="521" spans="1:5" ht="14.25">
      <c r="A521">
        <v>40517</v>
      </c>
      <c r="B521" t="s">
        <v>13099</v>
      </c>
      <c r="C521" t="s">
        <v>2104</v>
      </c>
      <c r="D521" t="s">
        <v>2103</v>
      </c>
      <c r="E521" s="183">
        <v>57.74</v>
      </c>
    </row>
    <row r="522" spans="1:5" ht="14.25">
      <c r="A522">
        <v>40515</v>
      </c>
      <c r="B522" t="s">
        <v>13100</v>
      </c>
      <c r="C522" t="s">
        <v>2104</v>
      </c>
      <c r="D522" t="s">
        <v>2103</v>
      </c>
      <c r="E522" s="183">
        <v>129.91999999999999</v>
      </c>
    </row>
    <row r="523" spans="1:5" ht="14.25">
      <c r="A523">
        <v>40529</v>
      </c>
      <c r="B523" t="s">
        <v>13101</v>
      </c>
      <c r="C523" t="s">
        <v>2104</v>
      </c>
      <c r="D523" t="s">
        <v>2103</v>
      </c>
      <c r="E523" s="183">
        <v>83</v>
      </c>
    </row>
    <row r="524" spans="1:5" ht="14.25">
      <c r="A524">
        <v>36170</v>
      </c>
      <c r="B524" t="s">
        <v>13102</v>
      </c>
      <c r="C524" t="s">
        <v>2104</v>
      </c>
      <c r="D524" t="s">
        <v>2107</v>
      </c>
      <c r="E524" s="183">
        <v>68.87</v>
      </c>
    </row>
    <row r="525" spans="1:5" ht="14.25">
      <c r="A525">
        <v>40524</v>
      </c>
      <c r="B525" t="s">
        <v>13103</v>
      </c>
      <c r="C525" t="s">
        <v>2104</v>
      </c>
      <c r="D525" t="s">
        <v>2103</v>
      </c>
      <c r="E525" s="183">
        <v>81.2</v>
      </c>
    </row>
    <row r="526" spans="1:5" ht="14.25">
      <c r="A526">
        <v>36156</v>
      </c>
      <c r="B526" t="s">
        <v>13104</v>
      </c>
      <c r="C526" t="s">
        <v>2104</v>
      </c>
      <c r="D526" t="s">
        <v>2103</v>
      </c>
      <c r="E526" s="183">
        <v>63.15</v>
      </c>
    </row>
    <row r="527" spans="1:5" ht="14.25">
      <c r="A527">
        <v>36155</v>
      </c>
      <c r="B527" t="s">
        <v>13105</v>
      </c>
      <c r="C527" t="s">
        <v>2104</v>
      </c>
      <c r="D527" t="s">
        <v>2103</v>
      </c>
      <c r="E527" s="183">
        <v>54.52</v>
      </c>
    </row>
    <row r="528" spans="1:5" ht="14.25">
      <c r="A528">
        <v>36154</v>
      </c>
      <c r="B528" t="s">
        <v>13106</v>
      </c>
      <c r="C528" t="s">
        <v>2104</v>
      </c>
      <c r="D528" t="s">
        <v>2103</v>
      </c>
      <c r="E528" s="183">
        <v>75.790000000000006</v>
      </c>
    </row>
    <row r="529" spans="1:5" ht="14.25">
      <c r="A529">
        <v>695</v>
      </c>
      <c r="B529" t="s">
        <v>13107</v>
      </c>
      <c r="C529" t="s">
        <v>2104</v>
      </c>
      <c r="D529" t="s">
        <v>2103</v>
      </c>
      <c r="E529" s="183">
        <v>55.66</v>
      </c>
    </row>
    <row r="530" spans="1:5" ht="14.25">
      <c r="A530">
        <v>679</v>
      </c>
      <c r="B530" t="s">
        <v>13108</v>
      </c>
      <c r="C530" t="s">
        <v>2104</v>
      </c>
      <c r="D530" t="s">
        <v>2103</v>
      </c>
      <c r="E530" s="183">
        <v>83</v>
      </c>
    </row>
    <row r="531" spans="1:5" ht="14.25">
      <c r="A531">
        <v>711</v>
      </c>
      <c r="B531" t="s">
        <v>13109</v>
      </c>
      <c r="C531" t="s">
        <v>2104</v>
      </c>
      <c r="D531" t="s">
        <v>2103</v>
      </c>
      <c r="E531" s="183">
        <v>54.91</v>
      </c>
    </row>
    <row r="532" spans="1:5" ht="14.25">
      <c r="A532">
        <v>712</v>
      </c>
      <c r="B532" t="s">
        <v>13110</v>
      </c>
      <c r="C532" t="s">
        <v>2104</v>
      </c>
      <c r="D532" t="s">
        <v>2103</v>
      </c>
      <c r="E532" s="183">
        <v>69.16</v>
      </c>
    </row>
    <row r="533" spans="1:5" ht="14.25">
      <c r="A533">
        <v>12614</v>
      </c>
      <c r="B533" t="s">
        <v>18182</v>
      </c>
      <c r="C533" t="s">
        <v>2102</v>
      </c>
      <c r="D533" t="s">
        <v>2103</v>
      </c>
      <c r="E533" s="183">
        <v>66.400000000000006</v>
      </c>
    </row>
    <row r="534" spans="1:5" ht="14.25">
      <c r="A534">
        <v>6140</v>
      </c>
      <c r="B534" t="s">
        <v>18183</v>
      </c>
      <c r="C534" t="s">
        <v>2102</v>
      </c>
      <c r="D534" t="s">
        <v>2103</v>
      </c>
      <c r="E534" s="183">
        <v>3.93</v>
      </c>
    </row>
    <row r="535" spans="1:5" ht="14.25">
      <c r="A535">
        <v>38399</v>
      </c>
      <c r="B535" t="s">
        <v>13111</v>
      </c>
      <c r="C535" t="s">
        <v>2102</v>
      </c>
      <c r="D535" t="s">
        <v>2103</v>
      </c>
      <c r="E535" s="183">
        <v>282.31</v>
      </c>
    </row>
    <row r="536" spans="1:5" ht="14.25">
      <c r="A536">
        <v>735</v>
      </c>
      <c r="B536" t="s">
        <v>13112</v>
      </c>
      <c r="C536" t="s">
        <v>2102</v>
      </c>
      <c r="D536" t="s">
        <v>2103</v>
      </c>
      <c r="E536" s="184">
        <v>2480.71</v>
      </c>
    </row>
    <row r="537" spans="1:5" ht="14.25">
      <c r="A537">
        <v>736</v>
      </c>
      <c r="B537" t="s">
        <v>13113</v>
      </c>
      <c r="C537" t="s">
        <v>2102</v>
      </c>
      <c r="D537" t="s">
        <v>2103</v>
      </c>
      <c r="E537" s="184">
        <v>2085.83</v>
      </c>
    </row>
    <row r="538" spans="1:5" ht="14.25">
      <c r="A538">
        <v>729</v>
      </c>
      <c r="B538" t="s">
        <v>13114</v>
      </c>
      <c r="C538" t="s">
        <v>2102</v>
      </c>
      <c r="D538" t="s">
        <v>2107</v>
      </c>
      <c r="E538" s="183">
        <v>850</v>
      </c>
    </row>
    <row r="539" spans="1:5" ht="14.25">
      <c r="A539">
        <v>39925</v>
      </c>
      <c r="B539" t="s">
        <v>13115</v>
      </c>
      <c r="C539" t="s">
        <v>2102</v>
      </c>
      <c r="D539" t="s">
        <v>2103</v>
      </c>
      <c r="E539" s="184">
        <v>12282.42</v>
      </c>
    </row>
    <row r="540" spans="1:5" ht="14.25">
      <c r="A540">
        <v>731</v>
      </c>
      <c r="B540" t="s">
        <v>13116</v>
      </c>
      <c r="C540" t="s">
        <v>2102</v>
      </c>
      <c r="D540" t="s">
        <v>2103</v>
      </c>
      <c r="E540" s="183">
        <v>827.26</v>
      </c>
    </row>
    <row r="541" spans="1:5" ht="14.25">
      <c r="A541">
        <v>10575</v>
      </c>
      <c r="B541" t="s">
        <v>13117</v>
      </c>
      <c r="C541" t="s">
        <v>2102</v>
      </c>
      <c r="D541" t="s">
        <v>2103</v>
      </c>
      <c r="E541" s="184">
        <v>1291</v>
      </c>
    </row>
    <row r="542" spans="1:5" ht="14.25">
      <c r="A542">
        <v>733</v>
      </c>
      <c r="B542" t="s">
        <v>13118</v>
      </c>
      <c r="C542" t="s">
        <v>2102</v>
      </c>
      <c r="D542" t="s">
        <v>2103</v>
      </c>
      <c r="E542" s="184">
        <v>1413.49</v>
      </c>
    </row>
    <row r="543" spans="1:5" ht="14.25">
      <c r="A543">
        <v>732</v>
      </c>
      <c r="B543" t="s">
        <v>13119</v>
      </c>
      <c r="C543" t="s">
        <v>2102</v>
      </c>
      <c r="D543" t="s">
        <v>2103</v>
      </c>
      <c r="E543" s="184">
        <v>1394.48</v>
      </c>
    </row>
    <row r="544" spans="1:5" ht="14.25">
      <c r="A544">
        <v>737</v>
      </c>
      <c r="B544" t="s">
        <v>13120</v>
      </c>
      <c r="C544" t="s">
        <v>2102</v>
      </c>
      <c r="D544" t="s">
        <v>2103</v>
      </c>
      <c r="E544" s="184">
        <v>7819.86</v>
      </c>
    </row>
    <row r="545" spans="1:5" ht="14.25">
      <c r="A545">
        <v>738</v>
      </c>
      <c r="B545" t="s">
        <v>13121</v>
      </c>
      <c r="C545" t="s">
        <v>2102</v>
      </c>
      <c r="D545" t="s">
        <v>2103</v>
      </c>
      <c r="E545" s="184">
        <v>3626.01</v>
      </c>
    </row>
    <row r="546" spans="1:5" ht="14.25">
      <c r="A546">
        <v>740</v>
      </c>
      <c r="B546" t="s">
        <v>13122</v>
      </c>
      <c r="C546" t="s">
        <v>2102</v>
      </c>
      <c r="D546" t="s">
        <v>2103</v>
      </c>
      <c r="E546" s="184">
        <v>7356.43</v>
      </c>
    </row>
    <row r="547" spans="1:5" ht="14.25">
      <c r="A547">
        <v>734</v>
      </c>
      <c r="B547" t="s">
        <v>13123</v>
      </c>
      <c r="C547" t="s">
        <v>2102</v>
      </c>
      <c r="D547" t="s">
        <v>2103</v>
      </c>
      <c r="E547" s="184">
        <v>1494.88</v>
      </c>
    </row>
    <row r="548" spans="1:5" ht="14.25">
      <c r="A548">
        <v>39008</v>
      </c>
      <c r="B548" t="s">
        <v>13124</v>
      </c>
      <c r="C548" t="s">
        <v>2102</v>
      </c>
      <c r="D548" t="s">
        <v>2103</v>
      </c>
      <c r="E548" s="184">
        <v>59164.06</v>
      </c>
    </row>
    <row r="549" spans="1:5" ht="14.25">
      <c r="A549">
        <v>39009</v>
      </c>
      <c r="B549" t="s">
        <v>13125</v>
      </c>
      <c r="C549" t="s">
        <v>2102</v>
      </c>
      <c r="D549" t="s">
        <v>2103</v>
      </c>
      <c r="E549" s="184">
        <v>63386.96</v>
      </c>
    </row>
    <row r="550" spans="1:5" ht="14.25">
      <c r="A550">
        <v>10587</v>
      </c>
      <c r="B550" t="s">
        <v>13126</v>
      </c>
      <c r="C550" t="s">
        <v>2102</v>
      </c>
      <c r="D550" t="s">
        <v>2105</v>
      </c>
      <c r="E550" s="184">
        <v>3335.54</v>
      </c>
    </row>
    <row r="551" spans="1:5" ht="14.25">
      <c r="A551">
        <v>759</v>
      </c>
      <c r="B551" t="s">
        <v>13127</v>
      </c>
      <c r="C551" t="s">
        <v>2102</v>
      </c>
      <c r="D551" t="s">
        <v>2105</v>
      </c>
      <c r="E551" s="184">
        <v>4795.8500000000004</v>
      </c>
    </row>
    <row r="552" spans="1:5" ht="14.25">
      <c r="A552">
        <v>761</v>
      </c>
      <c r="B552" t="s">
        <v>13128</v>
      </c>
      <c r="C552" t="s">
        <v>2102</v>
      </c>
      <c r="D552" t="s">
        <v>2105</v>
      </c>
      <c r="E552" s="184">
        <v>8129.36</v>
      </c>
    </row>
    <row r="553" spans="1:5" ht="14.25">
      <c r="A553">
        <v>750</v>
      </c>
      <c r="B553" t="s">
        <v>13129</v>
      </c>
      <c r="C553" t="s">
        <v>2102</v>
      </c>
      <c r="D553" t="s">
        <v>2105</v>
      </c>
      <c r="E553" s="184">
        <v>7718.18</v>
      </c>
    </row>
    <row r="554" spans="1:5" ht="14.25">
      <c r="A554">
        <v>755</v>
      </c>
      <c r="B554" t="s">
        <v>13130</v>
      </c>
      <c r="C554" t="s">
        <v>2102</v>
      </c>
      <c r="D554" t="s">
        <v>2105</v>
      </c>
      <c r="E554" s="184">
        <v>31671.69</v>
      </c>
    </row>
    <row r="555" spans="1:5" ht="14.25">
      <c r="A555">
        <v>749</v>
      </c>
      <c r="B555" t="s">
        <v>13131</v>
      </c>
      <c r="C555" t="s">
        <v>2102</v>
      </c>
      <c r="D555" t="s">
        <v>2105</v>
      </c>
      <c r="E555" s="184">
        <v>11648.26</v>
      </c>
    </row>
    <row r="556" spans="1:5" ht="14.25">
      <c r="A556">
        <v>756</v>
      </c>
      <c r="B556" t="s">
        <v>13132</v>
      </c>
      <c r="C556" t="s">
        <v>2102</v>
      </c>
      <c r="D556" t="s">
        <v>2105</v>
      </c>
      <c r="E556" s="184">
        <v>34542.22</v>
      </c>
    </row>
    <row r="557" spans="1:5" ht="14.25">
      <c r="A557">
        <v>757</v>
      </c>
      <c r="B557" t="s">
        <v>13133</v>
      </c>
      <c r="C557" t="s">
        <v>2102</v>
      </c>
      <c r="D557" t="s">
        <v>2105</v>
      </c>
      <c r="E557" s="184">
        <v>15684.37</v>
      </c>
    </row>
    <row r="558" spans="1:5" ht="14.25">
      <c r="A558">
        <v>10588</v>
      </c>
      <c r="B558" t="s">
        <v>13134</v>
      </c>
      <c r="C558" t="s">
        <v>2102</v>
      </c>
      <c r="D558" t="s">
        <v>2105</v>
      </c>
      <c r="E558" s="184">
        <v>3462.71</v>
      </c>
    </row>
    <row r="559" spans="1:5" ht="14.25">
      <c r="A559">
        <v>10592</v>
      </c>
      <c r="B559" t="s">
        <v>13135</v>
      </c>
      <c r="C559" t="s">
        <v>2102</v>
      </c>
      <c r="D559" t="s">
        <v>2105</v>
      </c>
      <c r="E559" s="184">
        <v>4182.5</v>
      </c>
    </row>
    <row r="560" spans="1:5" ht="14.25">
      <c r="A560">
        <v>10589</v>
      </c>
      <c r="B560" t="s">
        <v>13136</v>
      </c>
      <c r="C560" t="s">
        <v>2102</v>
      </c>
      <c r="D560" t="s">
        <v>2105</v>
      </c>
      <c r="E560" s="184">
        <v>5618.92</v>
      </c>
    </row>
    <row r="561" spans="1:5" ht="14.25">
      <c r="A561">
        <v>760</v>
      </c>
      <c r="B561" t="s">
        <v>13137</v>
      </c>
      <c r="C561" t="s">
        <v>2102</v>
      </c>
      <c r="D561" t="s">
        <v>2105</v>
      </c>
      <c r="E561" s="184">
        <v>31368.75</v>
      </c>
    </row>
    <row r="562" spans="1:5" ht="14.25">
      <c r="A562">
        <v>751</v>
      </c>
      <c r="B562" t="s">
        <v>13138</v>
      </c>
      <c r="C562" t="s">
        <v>2102</v>
      </c>
      <c r="D562" t="s">
        <v>2105</v>
      </c>
      <c r="E562" s="184">
        <v>4940.57</v>
      </c>
    </row>
    <row r="563" spans="1:5" ht="14.25">
      <c r="A563">
        <v>754</v>
      </c>
      <c r="B563" t="s">
        <v>13139</v>
      </c>
      <c r="C563" t="s">
        <v>2102</v>
      </c>
      <c r="D563" t="s">
        <v>2105</v>
      </c>
      <c r="E563" s="184">
        <v>7842.18</v>
      </c>
    </row>
    <row r="564" spans="1:5" ht="14.25">
      <c r="A564">
        <v>44489</v>
      </c>
      <c r="B564" t="s">
        <v>13140</v>
      </c>
      <c r="C564" t="s">
        <v>2102</v>
      </c>
      <c r="D564" t="s">
        <v>2103</v>
      </c>
      <c r="E564" s="184">
        <v>211309.62</v>
      </c>
    </row>
    <row r="565" spans="1:5" ht="14.25">
      <c r="A565">
        <v>39917</v>
      </c>
      <c r="B565" t="s">
        <v>13141</v>
      </c>
      <c r="C565" t="s">
        <v>2102</v>
      </c>
      <c r="D565" t="s">
        <v>2103</v>
      </c>
      <c r="E565" s="184">
        <v>90880.26</v>
      </c>
    </row>
    <row r="566" spans="1:5" ht="14.25">
      <c r="A566">
        <v>38167</v>
      </c>
      <c r="B566" t="s">
        <v>13142</v>
      </c>
      <c r="C566" t="s">
        <v>2136</v>
      </c>
      <c r="D566" t="s">
        <v>2103</v>
      </c>
      <c r="E566" s="183">
        <v>26.54</v>
      </c>
    </row>
    <row r="567" spans="1:5" ht="14.25">
      <c r="A567">
        <v>36145</v>
      </c>
      <c r="B567" t="s">
        <v>13143</v>
      </c>
      <c r="C567" t="s">
        <v>2136</v>
      </c>
      <c r="D567" t="s">
        <v>2103</v>
      </c>
      <c r="E567" s="183">
        <v>43.6</v>
      </c>
    </row>
    <row r="568" spans="1:5" ht="14.25">
      <c r="A568">
        <v>12893</v>
      </c>
      <c r="B568" t="s">
        <v>13144</v>
      </c>
      <c r="C568" t="s">
        <v>2136</v>
      </c>
      <c r="D568" t="s">
        <v>2103</v>
      </c>
      <c r="E568" s="183">
        <v>72.67</v>
      </c>
    </row>
    <row r="569" spans="1:5" ht="14.25">
      <c r="A569">
        <v>11685</v>
      </c>
      <c r="B569" t="s">
        <v>13145</v>
      </c>
      <c r="C569" t="s">
        <v>2102</v>
      </c>
      <c r="D569" t="s">
        <v>2103</v>
      </c>
      <c r="E569" s="183">
        <v>28.81</v>
      </c>
    </row>
    <row r="570" spans="1:5" ht="14.25">
      <c r="A570">
        <v>11680</v>
      </c>
      <c r="B570" t="s">
        <v>13146</v>
      </c>
      <c r="C570" t="s">
        <v>2102</v>
      </c>
      <c r="D570" t="s">
        <v>2103</v>
      </c>
      <c r="E570" s="183">
        <v>18.28</v>
      </c>
    </row>
    <row r="571" spans="1:5" ht="14.25">
      <c r="A571">
        <v>11679</v>
      </c>
      <c r="B571" t="s">
        <v>13147</v>
      </c>
      <c r="C571" t="s">
        <v>2102</v>
      </c>
      <c r="D571" t="s">
        <v>2103</v>
      </c>
      <c r="E571" s="183">
        <v>24.79</v>
      </c>
    </row>
    <row r="572" spans="1:5" ht="14.25">
      <c r="A572">
        <v>2512</v>
      </c>
      <c r="B572" t="s">
        <v>13148</v>
      </c>
      <c r="C572" t="s">
        <v>2102</v>
      </c>
      <c r="D572" t="s">
        <v>2105</v>
      </c>
      <c r="E572" s="183">
        <v>45.06</v>
      </c>
    </row>
    <row r="573" spans="1:5" ht="14.25">
      <c r="A573">
        <v>4374</v>
      </c>
      <c r="B573" t="s">
        <v>13149</v>
      </c>
      <c r="C573" t="s">
        <v>2102</v>
      </c>
      <c r="D573" t="s">
        <v>2103</v>
      </c>
      <c r="E573" s="183">
        <v>0.37</v>
      </c>
    </row>
    <row r="574" spans="1:5" ht="14.25">
      <c r="A574">
        <v>7568</v>
      </c>
      <c r="B574" t="s">
        <v>13150</v>
      </c>
      <c r="C574" t="s">
        <v>2102</v>
      </c>
      <c r="D574" t="s">
        <v>2103</v>
      </c>
      <c r="E574" s="183">
        <v>0.61</v>
      </c>
    </row>
    <row r="575" spans="1:5" ht="14.25">
      <c r="A575">
        <v>7584</v>
      </c>
      <c r="B575" t="s">
        <v>13151</v>
      </c>
      <c r="C575" t="s">
        <v>2102</v>
      </c>
      <c r="D575" t="s">
        <v>2103</v>
      </c>
      <c r="E575" s="183">
        <v>0.93</v>
      </c>
    </row>
    <row r="576" spans="1:5" ht="14.25">
      <c r="A576">
        <v>11945</v>
      </c>
      <c r="B576" t="s">
        <v>13152</v>
      </c>
      <c r="C576" t="s">
        <v>2102</v>
      </c>
      <c r="D576" t="s">
        <v>2103</v>
      </c>
      <c r="E576" s="183">
        <v>0.06</v>
      </c>
    </row>
    <row r="577" spans="1:5" ht="14.25">
      <c r="A577">
        <v>11946</v>
      </c>
      <c r="B577" t="s">
        <v>13153</v>
      </c>
      <c r="C577" t="s">
        <v>2102</v>
      </c>
      <c r="D577" t="s">
        <v>2103</v>
      </c>
      <c r="E577" s="183">
        <v>0.06</v>
      </c>
    </row>
    <row r="578" spans="1:5" ht="14.25">
      <c r="A578">
        <v>4375</v>
      </c>
      <c r="B578" t="s">
        <v>13154</v>
      </c>
      <c r="C578" t="s">
        <v>2102</v>
      </c>
      <c r="D578" t="s">
        <v>2107</v>
      </c>
      <c r="E578" s="183">
        <v>0.1</v>
      </c>
    </row>
    <row r="579" spans="1:5" ht="14.25">
      <c r="A579">
        <v>11950</v>
      </c>
      <c r="B579" t="s">
        <v>13155</v>
      </c>
      <c r="C579" t="s">
        <v>2102</v>
      </c>
      <c r="D579" t="s">
        <v>2103</v>
      </c>
      <c r="E579" s="183">
        <v>0.2</v>
      </c>
    </row>
    <row r="580" spans="1:5" ht="14.25">
      <c r="A580">
        <v>4376</v>
      </c>
      <c r="B580" t="s">
        <v>13156</v>
      </c>
      <c r="C580" t="s">
        <v>2102</v>
      </c>
      <c r="D580" t="s">
        <v>2103</v>
      </c>
      <c r="E580" s="183">
        <v>0.19</v>
      </c>
    </row>
    <row r="581" spans="1:5" ht="14.25">
      <c r="A581">
        <v>7583</v>
      </c>
      <c r="B581" t="s">
        <v>13157</v>
      </c>
      <c r="C581" t="s">
        <v>2102</v>
      </c>
      <c r="D581" t="s">
        <v>2103</v>
      </c>
      <c r="E581" s="183">
        <v>0.41</v>
      </c>
    </row>
    <row r="582" spans="1:5" ht="14.25">
      <c r="A582">
        <v>4350</v>
      </c>
      <c r="B582" t="s">
        <v>13158</v>
      </c>
      <c r="C582" t="s">
        <v>2102</v>
      </c>
      <c r="D582" t="s">
        <v>2105</v>
      </c>
      <c r="E582" s="183">
        <v>0.63</v>
      </c>
    </row>
    <row r="583" spans="1:5" ht="14.25">
      <c r="A583">
        <v>44400</v>
      </c>
      <c r="B583" t="s">
        <v>18184</v>
      </c>
      <c r="C583" t="s">
        <v>2102</v>
      </c>
      <c r="D583" t="s">
        <v>2103</v>
      </c>
      <c r="E583" s="183">
        <v>34.4</v>
      </c>
    </row>
    <row r="584" spans="1:5" ht="14.25">
      <c r="A584">
        <v>39886</v>
      </c>
      <c r="B584" t="s">
        <v>13159</v>
      </c>
      <c r="C584" t="s">
        <v>2102</v>
      </c>
      <c r="D584" t="s">
        <v>2105</v>
      </c>
      <c r="E584" s="183">
        <v>5.6</v>
      </c>
    </row>
    <row r="585" spans="1:5" ht="14.25">
      <c r="A585">
        <v>39887</v>
      </c>
      <c r="B585" t="s">
        <v>13160</v>
      </c>
      <c r="C585" t="s">
        <v>2102</v>
      </c>
      <c r="D585" t="s">
        <v>2105</v>
      </c>
      <c r="E585" s="183">
        <v>8.4</v>
      </c>
    </row>
    <row r="586" spans="1:5" ht="14.25">
      <c r="A586">
        <v>39888</v>
      </c>
      <c r="B586" t="s">
        <v>13161</v>
      </c>
      <c r="C586" t="s">
        <v>2102</v>
      </c>
      <c r="D586" t="s">
        <v>2105</v>
      </c>
      <c r="E586" s="183">
        <v>19.21</v>
      </c>
    </row>
    <row r="587" spans="1:5" ht="14.25">
      <c r="A587">
        <v>39890</v>
      </c>
      <c r="B587" t="s">
        <v>13162</v>
      </c>
      <c r="C587" t="s">
        <v>2102</v>
      </c>
      <c r="D587" t="s">
        <v>2105</v>
      </c>
      <c r="E587" s="183">
        <v>32.78</v>
      </c>
    </row>
    <row r="588" spans="1:5" ht="14.25">
      <c r="A588">
        <v>39891</v>
      </c>
      <c r="B588" t="s">
        <v>13163</v>
      </c>
      <c r="C588" t="s">
        <v>2102</v>
      </c>
      <c r="D588" t="s">
        <v>2105</v>
      </c>
      <c r="E588" s="183">
        <v>46.22</v>
      </c>
    </row>
    <row r="589" spans="1:5" ht="14.25">
      <c r="A589">
        <v>39892</v>
      </c>
      <c r="B589" t="s">
        <v>13164</v>
      </c>
      <c r="C589" t="s">
        <v>2102</v>
      </c>
      <c r="D589" t="s">
        <v>2105</v>
      </c>
      <c r="E589" s="183">
        <v>144.09</v>
      </c>
    </row>
    <row r="590" spans="1:5" ht="14.25">
      <c r="A590">
        <v>790</v>
      </c>
      <c r="B590" t="s">
        <v>13165</v>
      </c>
      <c r="C590" t="s">
        <v>2102</v>
      </c>
      <c r="D590" t="s">
        <v>2105</v>
      </c>
      <c r="E590" s="183">
        <v>23.11</v>
      </c>
    </row>
    <row r="591" spans="1:5" ht="14.25">
      <c r="A591">
        <v>766</v>
      </c>
      <c r="B591" t="s">
        <v>13166</v>
      </c>
      <c r="C591" t="s">
        <v>2102</v>
      </c>
      <c r="D591" t="s">
        <v>2105</v>
      </c>
      <c r="E591" s="183">
        <v>23.11</v>
      </c>
    </row>
    <row r="592" spans="1:5" ht="14.25">
      <c r="A592">
        <v>791</v>
      </c>
      <c r="B592" t="s">
        <v>13167</v>
      </c>
      <c r="C592" t="s">
        <v>2102</v>
      </c>
      <c r="D592" t="s">
        <v>2105</v>
      </c>
      <c r="E592" s="183">
        <v>23.11</v>
      </c>
    </row>
    <row r="593" spans="1:5" ht="14.25">
      <c r="A593">
        <v>767</v>
      </c>
      <c r="B593" t="s">
        <v>13168</v>
      </c>
      <c r="C593" t="s">
        <v>2102</v>
      </c>
      <c r="D593" t="s">
        <v>2105</v>
      </c>
      <c r="E593" s="183">
        <v>23.11</v>
      </c>
    </row>
    <row r="594" spans="1:5" ht="14.25">
      <c r="A594">
        <v>768</v>
      </c>
      <c r="B594" t="s">
        <v>13169</v>
      </c>
      <c r="C594" t="s">
        <v>2102</v>
      </c>
      <c r="D594" t="s">
        <v>2105</v>
      </c>
      <c r="E594" s="183">
        <v>18.149999999999999</v>
      </c>
    </row>
    <row r="595" spans="1:5" ht="14.25">
      <c r="A595">
        <v>789</v>
      </c>
      <c r="B595" t="s">
        <v>13170</v>
      </c>
      <c r="C595" t="s">
        <v>2102</v>
      </c>
      <c r="D595" t="s">
        <v>2105</v>
      </c>
      <c r="E595" s="183">
        <v>17.760000000000002</v>
      </c>
    </row>
    <row r="596" spans="1:5" ht="14.25">
      <c r="A596">
        <v>769</v>
      </c>
      <c r="B596" t="s">
        <v>13171</v>
      </c>
      <c r="C596" t="s">
        <v>2102</v>
      </c>
      <c r="D596" t="s">
        <v>2105</v>
      </c>
      <c r="E596" s="183">
        <v>18.149999999999999</v>
      </c>
    </row>
    <row r="597" spans="1:5" ht="14.25">
      <c r="A597">
        <v>770</v>
      </c>
      <c r="B597" t="s">
        <v>13172</v>
      </c>
      <c r="C597" t="s">
        <v>2102</v>
      </c>
      <c r="D597" t="s">
        <v>2105</v>
      </c>
      <c r="E597" s="183">
        <v>6.4</v>
      </c>
    </row>
    <row r="598" spans="1:5" ht="14.25">
      <c r="A598">
        <v>12394</v>
      </c>
      <c r="B598" t="s">
        <v>13173</v>
      </c>
      <c r="C598" t="s">
        <v>2102</v>
      </c>
      <c r="D598" t="s">
        <v>2105</v>
      </c>
      <c r="E598" s="183">
        <v>6.4</v>
      </c>
    </row>
    <row r="599" spans="1:5" ht="14.25">
      <c r="A599">
        <v>764</v>
      </c>
      <c r="B599" t="s">
        <v>13174</v>
      </c>
      <c r="C599" t="s">
        <v>2102</v>
      </c>
      <c r="D599" t="s">
        <v>2105</v>
      </c>
      <c r="E599" s="183">
        <v>11.17</v>
      </c>
    </row>
    <row r="600" spans="1:5" ht="14.25">
      <c r="A600">
        <v>765</v>
      </c>
      <c r="B600" t="s">
        <v>13175</v>
      </c>
      <c r="C600" t="s">
        <v>2102</v>
      </c>
      <c r="D600" t="s">
        <v>2105</v>
      </c>
      <c r="E600" s="183">
        <v>11.17</v>
      </c>
    </row>
    <row r="601" spans="1:5" ht="14.25">
      <c r="A601">
        <v>787</v>
      </c>
      <c r="B601" t="s">
        <v>13176</v>
      </c>
      <c r="C601" t="s">
        <v>2102</v>
      </c>
      <c r="D601" t="s">
        <v>2105</v>
      </c>
      <c r="E601" s="183">
        <v>49.89</v>
      </c>
    </row>
    <row r="602" spans="1:5" ht="14.25">
      <c r="A602">
        <v>774</v>
      </c>
      <c r="B602" t="s">
        <v>13177</v>
      </c>
      <c r="C602" t="s">
        <v>2102</v>
      </c>
      <c r="D602" t="s">
        <v>2105</v>
      </c>
      <c r="E602" s="183">
        <v>49.89</v>
      </c>
    </row>
    <row r="603" spans="1:5" ht="14.25">
      <c r="A603">
        <v>773</v>
      </c>
      <c r="B603" t="s">
        <v>13178</v>
      </c>
      <c r="C603" t="s">
        <v>2102</v>
      </c>
      <c r="D603" t="s">
        <v>2105</v>
      </c>
      <c r="E603" s="183">
        <v>49.89</v>
      </c>
    </row>
    <row r="604" spans="1:5" ht="14.25">
      <c r="A604">
        <v>775</v>
      </c>
      <c r="B604" t="s">
        <v>13179</v>
      </c>
      <c r="C604" t="s">
        <v>2102</v>
      </c>
      <c r="D604" t="s">
        <v>2105</v>
      </c>
      <c r="E604" s="183">
        <v>49.89</v>
      </c>
    </row>
    <row r="605" spans="1:5" ht="14.25">
      <c r="A605">
        <v>788</v>
      </c>
      <c r="B605" t="s">
        <v>13180</v>
      </c>
      <c r="C605" t="s">
        <v>2102</v>
      </c>
      <c r="D605" t="s">
        <v>2105</v>
      </c>
      <c r="E605" s="183">
        <v>31.01</v>
      </c>
    </row>
    <row r="606" spans="1:5" ht="14.25">
      <c r="A606">
        <v>772</v>
      </c>
      <c r="B606" t="s">
        <v>13181</v>
      </c>
      <c r="C606" t="s">
        <v>2102</v>
      </c>
      <c r="D606" t="s">
        <v>2105</v>
      </c>
      <c r="E606" s="183">
        <v>31.01</v>
      </c>
    </row>
    <row r="607" spans="1:5" ht="14.25">
      <c r="A607">
        <v>771</v>
      </c>
      <c r="B607" t="s">
        <v>13182</v>
      </c>
      <c r="C607" t="s">
        <v>2102</v>
      </c>
      <c r="D607" t="s">
        <v>2105</v>
      </c>
      <c r="E607" s="183">
        <v>31.01</v>
      </c>
    </row>
    <row r="608" spans="1:5" ht="14.25">
      <c r="A608">
        <v>779</v>
      </c>
      <c r="B608" t="s">
        <v>13183</v>
      </c>
      <c r="C608" t="s">
        <v>2102</v>
      </c>
      <c r="D608" t="s">
        <v>2105</v>
      </c>
      <c r="E608" s="183">
        <v>7.71</v>
      </c>
    </row>
    <row r="609" spans="1:5" ht="14.25">
      <c r="A609">
        <v>776</v>
      </c>
      <c r="B609" t="s">
        <v>13184</v>
      </c>
      <c r="C609" t="s">
        <v>2102</v>
      </c>
      <c r="D609" t="s">
        <v>2105</v>
      </c>
      <c r="E609" s="183">
        <v>73.55</v>
      </c>
    </row>
    <row r="610" spans="1:5" ht="14.25">
      <c r="A610">
        <v>777</v>
      </c>
      <c r="B610" t="s">
        <v>13185</v>
      </c>
      <c r="C610" t="s">
        <v>2102</v>
      </c>
      <c r="D610" t="s">
        <v>2105</v>
      </c>
      <c r="E610" s="183">
        <v>71.5</v>
      </c>
    </row>
    <row r="611" spans="1:5" ht="14.25">
      <c r="A611">
        <v>780</v>
      </c>
      <c r="B611" t="s">
        <v>13186</v>
      </c>
      <c r="C611" t="s">
        <v>2102</v>
      </c>
      <c r="D611" t="s">
        <v>2105</v>
      </c>
      <c r="E611" s="183">
        <v>71.86</v>
      </c>
    </row>
    <row r="612" spans="1:5" ht="14.25">
      <c r="A612">
        <v>778</v>
      </c>
      <c r="B612" t="s">
        <v>13187</v>
      </c>
      <c r="C612" t="s">
        <v>2102</v>
      </c>
      <c r="D612" t="s">
        <v>2105</v>
      </c>
      <c r="E612" s="183">
        <v>73.55</v>
      </c>
    </row>
    <row r="613" spans="1:5" ht="14.25">
      <c r="A613">
        <v>781</v>
      </c>
      <c r="B613" t="s">
        <v>13188</v>
      </c>
      <c r="C613" t="s">
        <v>2102</v>
      </c>
      <c r="D613" t="s">
        <v>2105</v>
      </c>
      <c r="E613" s="183">
        <v>135.9</v>
      </c>
    </row>
    <row r="614" spans="1:5" ht="14.25">
      <c r="A614">
        <v>786</v>
      </c>
      <c r="B614" t="s">
        <v>13189</v>
      </c>
      <c r="C614" t="s">
        <v>2102</v>
      </c>
      <c r="D614" t="s">
        <v>2105</v>
      </c>
      <c r="E614" s="183">
        <v>135.9</v>
      </c>
    </row>
    <row r="615" spans="1:5" ht="14.25">
      <c r="A615">
        <v>782</v>
      </c>
      <c r="B615" t="s">
        <v>13190</v>
      </c>
      <c r="C615" t="s">
        <v>2102</v>
      </c>
      <c r="D615" t="s">
        <v>2105</v>
      </c>
      <c r="E615" s="183">
        <v>135.9</v>
      </c>
    </row>
    <row r="616" spans="1:5" ht="14.25">
      <c r="A616">
        <v>783</v>
      </c>
      <c r="B616" t="s">
        <v>13191</v>
      </c>
      <c r="C616" t="s">
        <v>2102</v>
      </c>
      <c r="D616" t="s">
        <v>2105</v>
      </c>
      <c r="E616" s="183">
        <v>371.95</v>
      </c>
    </row>
    <row r="617" spans="1:5" ht="14.25">
      <c r="A617">
        <v>785</v>
      </c>
      <c r="B617" t="s">
        <v>13192</v>
      </c>
      <c r="C617" t="s">
        <v>2102</v>
      </c>
      <c r="D617" t="s">
        <v>2105</v>
      </c>
      <c r="E617" s="183">
        <v>393</v>
      </c>
    </row>
    <row r="618" spans="1:5" ht="14.25">
      <c r="A618">
        <v>784</v>
      </c>
      <c r="B618" t="s">
        <v>13193</v>
      </c>
      <c r="C618" t="s">
        <v>2102</v>
      </c>
      <c r="D618" t="s">
        <v>2105</v>
      </c>
      <c r="E618" s="183">
        <v>421.59</v>
      </c>
    </row>
    <row r="619" spans="1:5" ht="14.25">
      <c r="A619">
        <v>828</v>
      </c>
      <c r="B619" t="s">
        <v>13194</v>
      </c>
      <c r="C619" t="s">
        <v>2102</v>
      </c>
      <c r="D619" t="s">
        <v>2103</v>
      </c>
      <c r="E619" s="183">
        <v>0.79</v>
      </c>
    </row>
    <row r="620" spans="1:5" ht="14.25">
      <c r="A620">
        <v>829</v>
      </c>
      <c r="B620" t="s">
        <v>13195</v>
      </c>
      <c r="C620" t="s">
        <v>2102</v>
      </c>
      <c r="D620" t="s">
        <v>2103</v>
      </c>
      <c r="E620" s="183">
        <v>1.27</v>
      </c>
    </row>
    <row r="621" spans="1:5" ht="14.25">
      <c r="A621">
        <v>812</v>
      </c>
      <c r="B621" t="s">
        <v>13196</v>
      </c>
      <c r="C621" t="s">
        <v>2102</v>
      </c>
      <c r="D621" t="s">
        <v>2103</v>
      </c>
      <c r="E621" s="183">
        <v>2.81</v>
      </c>
    </row>
    <row r="622" spans="1:5" ht="14.25">
      <c r="A622">
        <v>819</v>
      </c>
      <c r="B622" t="s">
        <v>13197</v>
      </c>
      <c r="C622" t="s">
        <v>2102</v>
      </c>
      <c r="D622" t="s">
        <v>2103</v>
      </c>
      <c r="E622" s="183">
        <v>4.87</v>
      </c>
    </row>
    <row r="623" spans="1:5" ht="14.25">
      <c r="A623">
        <v>818</v>
      </c>
      <c r="B623" t="s">
        <v>13198</v>
      </c>
      <c r="C623" t="s">
        <v>2102</v>
      </c>
      <c r="D623" t="s">
        <v>2103</v>
      </c>
      <c r="E623" s="183">
        <v>9.1</v>
      </c>
    </row>
    <row r="624" spans="1:5" ht="14.25">
      <c r="A624">
        <v>832</v>
      </c>
      <c r="B624" t="s">
        <v>13199</v>
      </c>
      <c r="C624" t="s">
        <v>2102</v>
      </c>
      <c r="D624" t="s">
        <v>2103</v>
      </c>
      <c r="E624" s="183">
        <v>3.75</v>
      </c>
    </row>
    <row r="625" spans="1:5" ht="14.25">
      <c r="A625">
        <v>834</v>
      </c>
      <c r="B625" t="s">
        <v>13200</v>
      </c>
      <c r="C625" t="s">
        <v>2102</v>
      </c>
      <c r="D625" t="s">
        <v>2103</v>
      </c>
      <c r="E625" s="183">
        <v>4.8600000000000003</v>
      </c>
    </row>
    <row r="626" spans="1:5" ht="14.25">
      <c r="A626">
        <v>813</v>
      </c>
      <c r="B626" t="s">
        <v>13201</v>
      </c>
      <c r="C626" t="s">
        <v>2102</v>
      </c>
      <c r="D626" t="s">
        <v>2103</v>
      </c>
      <c r="E626" s="183">
        <v>5.66</v>
      </c>
    </row>
    <row r="627" spans="1:5" ht="14.25">
      <c r="A627">
        <v>820</v>
      </c>
      <c r="B627" t="s">
        <v>13202</v>
      </c>
      <c r="C627" t="s">
        <v>2102</v>
      </c>
      <c r="D627" t="s">
        <v>2103</v>
      </c>
      <c r="E627" s="183">
        <v>7.62</v>
      </c>
    </row>
    <row r="628" spans="1:5" ht="14.25">
      <c r="A628">
        <v>816</v>
      </c>
      <c r="B628" t="s">
        <v>13203</v>
      </c>
      <c r="C628" t="s">
        <v>2102</v>
      </c>
      <c r="D628" t="s">
        <v>2103</v>
      </c>
      <c r="E628" s="183">
        <v>13.58</v>
      </c>
    </row>
    <row r="629" spans="1:5" ht="14.25">
      <c r="A629">
        <v>814</v>
      </c>
      <c r="B629" t="s">
        <v>13204</v>
      </c>
      <c r="C629" t="s">
        <v>2102</v>
      </c>
      <c r="D629" t="s">
        <v>2103</v>
      </c>
      <c r="E629" s="183">
        <v>16.86</v>
      </c>
    </row>
    <row r="630" spans="1:5" ht="14.25">
      <c r="A630">
        <v>822</v>
      </c>
      <c r="B630" t="s">
        <v>13205</v>
      </c>
      <c r="C630" t="s">
        <v>2102</v>
      </c>
      <c r="D630" t="s">
        <v>2103</v>
      </c>
      <c r="E630" s="183">
        <v>22.01</v>
      </c>
    </row>
    <row r="631" spans="1:5" ht="14.25">
      <c r="A631">
        <v>821</v>
      </c>
      <c r="B631" t="s">
        <v>13206</v>
      </c>
      <c r="C631" t="s">
        <v>2102</v>
      </c>
      <c r="D631" t="s">
        <v>2103</v>
      </c>
      <c r="E631" s="183">
        <v>25.18</v>
      </c>
    </row>
    <row r="632" spans="1:5" ht="14.25">
      <c r="A632">
        <v>20086</v>
      </c>
      <c r="B632" t="s">
        <v>13207</v>
      </c>
      <c r="C632" t="s">
        <v>2102</v>
      </c>
      <c r="D632" t="s">
        <v>2103</v>
      </c>
      <c r="E632" s="183">
        <v>3.8</v>
      </c>
    </row>
    <row r="633" spans="1:5" ht="14.25">
      <c r="A633">
        <v>39191</v>
      </c>
      <c r="B633" t="s">
        <v>13208</v>
      </c>
      <c r="C633" t="s">
        <v>2102</v>
      </c>
      <c r="D633" t="s">
        <v>2103</v>
      </c>
      <c r="E633" s="183">
        <v>20.64</v>
      </c>
    </row>
    <row r="634" spans="1:5" ht="14.25">
      <c r="A634">
        <v>39190</v>
      </c>
      <c r="B634" t="s">
        <v>13209</v>
      </c>
      <c r="C634" t="s">
        <v>2102</v>
      </c>
      <c r="D634" t="s">
        <v>2103</v>
      </c>
      <c r="E634" s="183">
        <v>21.56</v>
      </c>
    </row>
    <row r="635" spans="1:5" ht="14.25">
      <c r="A635">
        <v>39189</v>
      </c>
      <c r="B635" t="s">
        <v>13210</v>
      </c>
      <c r="C635" t="s">
        <v>2102</v>
      </c>
      <c r="D635" t="s">
        <v>2103</v>
      </c>
      <c r="E635" s="183">
        <v>22.82</v>
      </c>
    </row>
    <row r="636" spans="1:5" ht="14.25">
      <c r="A636">
        <v>39186</v>
      </c>
      <c r="B636" t="s">
        <v>13211</v>
      </c>
      <c r="C636" t="s">
        <v>2102</v>
      </c>
      <c r="D636" t="s">
        <v>2103</v>
      </c>
      <c r="E636" s="183">
        <v>20.420000000000002</v>
      </c>
    </row>
    <row r="637" spans="1:5" ht="14.25">
      <c r="A637">
        <v>39188</v>
      </c>
      <c r="B637" t="s">
        <v>13212</v>
      </c>
      <c r="C637" t="s">
        <v>2102</v>
      </c>
      <c r="D637" t="s">
        <v>2103</v>
      </c>
      <c r="E637" s="183">
        <v>16.8</v>
      </c>
    </row>
    <row r="638" spans="1:5" ht="14.25">
      <c r="A638">
        <v>39187</v>
      </c>
      <c r="B638" t="s">
        <v>13213</v>
      </c>
      <c r="C638" t="s">
        <v>2102</v>
      </c>
      <c r="D638" t="s">
        <v>2103</v>
      </c>
      <c r="E638" s="183">
        <v>17.61</v>
      </c>
    </row>
    <row r="639" spans="1:5" ht="14.25">
      <c r="A639">
        <v>39184</v>
      </c>
      <c r="B639" t="s">
        <v>13214</v>
      </c>
      <c r="C639" t="s">
        <v>2102</v>
      </c>
      <c r="D639" t="s">
        <v>2103</v>
      </c>
      <c r="E639" s="183">
        <v>6.62</v>
      </c>
    </row>
    <row r="640" spans="1:5" ht="14.25">
      <c r="A640">
        <v>39185</v>
      </c>
      <c r="B640" t="s">
        <v>13215</v>
      </c>
      <c r="C640" t="s">
        <v>2102</v>
      </c>
      <c r="D640" t="s">
        <v>2103</v>
      </c>
      <c r="E640" s="183">
        <v>6.04</v>
      </c>
    </row>
    <row r="641" spans="1:5" ht="14.25">
      <c r="A641">
        <v>39198</v>
      </c>
      <c r="B641" t="s">
        <v>13216</v>
      </c>
      <c r="C641" t="s">
        <v>2102</v>
      </c>
      <c r="D641" t="s">
        <v>2103</v>
      </c>
      <c r="E641" s="183">
        <v>67.709999999999994</v>
      </c>
    </row>
    <row r="642" spans="1:5" ht="14.25">
      <c r="A642">
        <v>39197</v>
      </c>
      <c r="B642" t="s">
        <v>13217</v>
      </c>
      <c r="C642" t="s">
        <v>2102</v>
      </c>
      <c r="D642" t="s">
        <v>2103</v>
      </c>
      <c r="E642" s="183">
        <v>70.739999999999995</v>
      </c>
    </row>
    <row r="643" spans="1:5" ht="14.25">
      <c r="A643">
        <v>39196</v>
      </c>
      <c r="B643" t="s">
        <v>13218</v>
      </c>
      <c r="C643" t="s">
        <v>2102</v>
      </c>
      <c r="D643" t="s">
        <v>2103</v>
      </c>
      <c r="E643" s="183">
        <v>72.95</v>
      </c>
    </row>
    <row r="644" spans="1:5" ht="14.25">
      <c r="A644">
        <v>39199</v>
      </c>
      <c r="B644" t="s">
        <v>13219</v>
      </c>
      <c r="C644" t="s">
        <v>2102</v>
      </c>
      <c r="D644" t="s">
        <v>2103</v>
      </c>
      <c r="E644" s="183">
        <v>65.16</v>
      </c>
    </row>
    <row r="645" spans="1:5" ht="14.25">
      <c r="A645">
        <v>39195</v>
      </c>
      <c r="B645" t="s">
        <v>13220</v>
      </c>
      <c r="C645" t="s">
        <v>2102</v>
      </c>
      <c r="D645" t="s">
        <v>2103</v>
      </c>
      <c r="E645" s="183">
        <v>37.61</v>
      </c>
    </row>
    <row r="646" spans="1:5" ht="14.25">
      <c r="A646">
        <v>39194</v>
      </c>
      <c r="B646" t="s">
        <v>13221</v>
      </c>
      <c r="C646" t="s">
        <v>2102</v>
      </c>
      <c r="D646" t="s">
        <v>2103</v>
      </c>
      <c r="E646" s="183">
        <v>40.25</v>
      </c>
    </row>
    <row r="647" spans="1:5" ht="14.25">
      <c r="A647">
        <v>39193</v>
      </c>
      <c r="B647" t="s">
        <v>13222</v>
      </c>
      <c r="C647" t="s">
        <v>2102</v>
      </c>
      <c r="D647" t="s">
        <v>2103</v>
      </c>
      <c r="E647" s="183">
        <v>44.12</v>
      </c>
    </row>
    <row r="648" spans="1:5" ht="14.25">
      <c r="A648">
        <v>39192</v>
      </c>
      <c r="B648" t="s">
        <v>13223</v>
      </c>
      <c r="C648" t="s">
        <v>2102</v>
      </c>
      <c r="D648" t="s">
        <v>2103</v>
      </c>
      <c r="E648" s="183">
        <v>45.89</v>
      </c>
    </row>
    <row r="649" spans="1:5" ht="14.25">
      <c r="A649">
        <v>39920</v>
      </c>
      <c r="B649" t="s">
        <v>13224</v>
      </c>
      <c r="C649" t="s">
        <v>2102</v>
      </c>
      <c r="D649" t="s">
        <v>2103</v>
      </c>
      <c r="E649" s="183">
        <v>5.55</v>
      </c>
    </row>
    <row r="650" spans="1:5" ht="14.25">
      <c r="A650">
        <v>39201</v>
      </c>
      <c r="B650" t="s">
        <v>13225</v>
      </c>
      <c r="C650" t="s">
        <v>2102</v>
      </c>
      <c r="D650" t="s">
        <v>2103</v>
      </c>
      <c r="E650" s="183">
        <v>80.959999999999994</v>
      </c>
    </row>
    <row r="651" spans="1:5" ht="14.25">
      <c r="A651">
        <v>39200</v>
      </c>
      <c r="B651" t="s">
        <v>13226</v>
      </c>
      <c r="C651" t="s">
        <v>2102</v>
      </c>
      <c r="D651" t="s">
        <v>2103</v>
      </c>
      <c r="E651" s="183">
        <v>81.61</v>
      </c>
    </row>
    <row r="652" spans="1:5" ht="14.25">
      <c r="A652">
        <v>39203</v>
      </c>
      <c r="B652" t="s">
        <v>13227</v>
      </c>
      <c r="C652" t="s">
        <v>2102</v>
      </c>
      <c r="D652" t="s">
        <v>2103</v>
      </c>
      <c r="E652" s="183">
        <v>65.89</v>
      </c>
    </row>
    <row r="653" spans="1:5" ht="14.25">
      <c r="A653">
        <v>39202</v>
      </c>
      <c r="B653" t="s">
        <v>13228</v>
      </c>
      <c r="C653" t="s">
        <v>2102</v>
      </c>
      <c r="D653" t="s">
        <v>2103</v>
      </c>
      <c r="E653" s="183">
        <v>77.41</v>
      </c>
    </row>
    <row r="654" spans="1:5" ht="14.25">
      <c r="A654">
        <v>39205</v>
      </c>
      <c r="B654" t="s">
        <v>13229</v>
      </c>
      <c r="C654" t="s">
        <v>2102</v>
      </c>
      <c r="D654" t="s">
        <v>2103</v>
      </c>
      <c r="E654" s="183">
        <v>129.13999999999999</v>
      </c>
    </row>
    <row r="655" spans="1:5" ht="14.25">
      <c r="A655">
        <v>39204</v>
      </c>
      <c r="B655" t="s">
        <v>13230</v>
      </c>
      <c r="C655" t="s">
        <v>2102</v>
      </c>
      <c r="D655" t="s">
        <v>2103</v>
      </c>
      <c r="E655" s="183">
        <v>132.27000000000001</v>
      </c>
    </row>
    <row r="656" spans="1:5" ht="14.25">
      <c r="A656">
        <v>39206</v>
      </c>
      <c r="B656" t="s">
        <v>13231</v>
      </c>
      <c r="C656" t="s">
        <v>2102</v>
      </c>
      <c r="D656" t="s">
        <v>2103</v>
      </c>
      <c r="E656" s="183">
        <v>125.48</v>
      </c>
    </row>
    <row r="657" spans="1:5" ht="14.25">
      <c r="A657">
        <v>798</v>
      </c>
      <c r="B657" t="s">
        <v>13232</v>
      </c>
      <c r="C657" t="s">
        <v>2102</v>
      </c>
      <c r="D657" t="s">
        <v>2103</v>
      </c>
      <c r="E657" s="183">
        <v>1.57</v>
      </c>
    </row>
    <row r="658" spans="1:5" ht="14.25">
      <c r="A658">
        <v>797</v>
      </c>
      <c r="B658" t="s">
        <v>18185</v>
      </c>
      <c r="C658" t="s">
        <v>2102</v>
      </c>
      <c r="D658" t="s">
        <v>2103</v>
      </c>
      <c r="E658" s="183">
        <v>11.4</v>
      </c>
    </row>
    <row r="659" spans="1:5" ht="14.25">
      <c r="A659">
        <v>796</v>
      </c>
      <c r="B659" t="s">
        <v>18186</v>
      </c>
      <c r="C659" t="s">
        <v>2102</v>
      </c>
      <c r="D659" t="s">
        <v>2103</v>
      </c>
      <c r="E659" s="183">
        <v>9.68</v>
      </c>
    </row>
    <row r="660" spans="1:5" ht="14.25">
      <c r="A660">
        <v>799</v>
      </c>
      <c r="B660" t="s">
        <v>18187</v>
      </c>
      <c r="C660" t="s">
        <v>2102</v>
      </c>
      <c r="D660" t="s">
        <v>2103</v>
      </c>
      <c r="E660" s="183">
        <v>4.68</v>
      </c>
    </row>
    <row r="661" spans="1:5" ht="14.25">
      <c r="A661">
        <v>792</v>
      </c>
      <c r="B661" t="s">
        <v>18188</v>
      </c>
      <c r="C661" t="s">
        <v>2102</v>
      </c>
      <c r="D661" t="s">
        <v>2103</v>
      </c>
      <c r="E661" s="183">
        <v>4.54</v>
      </c>
    </row>
    <row r="662" spans="1:5" ht="14.25">
      <c r="A662">
        <v>38001</v>
      </c>
      <c r="B662" t="s">
        <v>13233</v>
      </c>
      <c r="C662" t="s">
        <v>2102</v>
      </c>
      <c r="D662" t="s">
        <v>2103</v>
      </c>
      <c r="E662" s="183">
        <v>1.27</v>
      </c>
    </row>
    <row r="663" spans="1:5" ht="14.25">
      <c r="A663">
        <v>38002</v>
      </c>
      <c r="B663" t="s">
        <v>13234</v>
      </c>
      <c r="C663" t="s">
        <v>2102</v>
      </c>
      <c r="D663" t="s">
        <v>2103</v>
      </c>
      <c r="E663" s="183">
        <v>4.4400000000000004</v>
      </c>
    </row>
    <row r="664" spans="1:5" ht="14.25">
      <c r="A664">
        <v>38003</v>
      </c>
      <c r="B664" t="s">
        <v>13235</v>
      </c>
      <c r="C664" t="s">
        <v>2102</v>
      </c>
      <c r="D664" t="s">
        <v>2103</v>
      </c>
      <c r="E664" s="183">
        <v>30.33</v>
      </c>
    </row>
    <row r="665" spans="1:5" ht="14.25">
      <c r="A665">
        <v>38004</v>
      </c>
      <c r="B665" t="s">
        <v>13236</v>
      </c>
      <c r="C665" t="s">
        <v>2102</v>
      </c>
      <c r="D665" t="s">
        <v>2103</v>
      </c>
      <c r="E665" s="183">
        <v>34.880000000000003</v>
      </c>
    </row>
    <row r="666" spans="1:5" ht="14.25">
      <c r="A666">
        <v>44263</v>
      </c>
      <c r="B666" t="s">
        <v>18189</v>
      </c>
      <c r="C666" t="s">
        <v>2102</v>
      </c>
      <c r="D666" t="s">
        <v>2103</v>
      </c>
      <c r="E666" s="183">
        <v>62.62</v>
      </c>
    </row>
    <row r="667" spans="1:5" ht="14.25">
      <c r="A667">
        <v>36327</v>
      </c>
      <c r="B667" t="s">
        <v>13237</v>
      </c>
      <c r="C667" t="s">
        <v>2102</v>
      </c>
      <c r="D667" t="s">
        <v>2105</v>
      </c>
      <c r="E667" s="183">
        <v>3.75</v>
      </c>
    </row>
    <row r="668" spans="1:5" ht="14.25">
      <c r="A668">
        <v>38992</v>
      </c>
      <c r="B668" t="s">
        <v>13238</v>
      </c>
      <c r="C668" t="s">
        <v>2102</v>
      </c>
      <c r="D668" t="s">
        <v>2105</v>
      </c>
      <c r="E668" s="183">
        <v>4.5599999999999996</v>
      </c>
    </row>
    <row r="669" spans="1:5" ht="14.25">
      <c r="A669">
        <v>38993</v>
      </c>
      <c r="B669" t="s">
        <v>13239</v>
      </c>
      <c r="C669" t="s">
        <v>2102</v>
      </c>
      <c r="D669" t="s">
        <v>2105</v>
      </c>
      <c r="E669" s="183">
        <v>11.85</v>
      </c>
    </row>
    <row r="670" spans="1:5" ht="14.25">
      <c r="A670">
        <v>44175</v>
      </c>
      <c r="B670" t="s">
        <v>18190</v>
      </c>
      <c r="C670" t="s">
        <v>2102</v>
      </c>
      <c r="D670" t="s">
        <v>2105</v>
      </c>
      <c r="E670" s="183">
        <v>20.68</v>
      </c>
    </row>
    <row r="671" spans="1:5" ht="14.25">
      <c r="A671">
        <v>44177</v>
      </c>
      <c r="B671" t="s">
        <v>18191</v>
      </c>
      <c r="C671" t="s">
        <v>2102</v>
      </c>
      <c r="D671" t="s">
        <v>2105</v>
      </c>
      <c r="E671" s="183">
        <v>15.45</v>
      </c>
    </row>
    <row r="672" spans="1:5" ht="14.25">
      <c r="A672">
        <v>38418</v>
      </c>
      <c r="B672" t="s">
        <v>18192</v>
      </c>
      <c r="C672" t="s">
        <v>2102</v>
      </c>
      <c r="D672" t="s">
        <v>2103</v>
      </c>
      <c r="E672" s="183">
        <v>6.53</v>
      </c>
    </row>
    <row r="673" spans="1:5" ht="14.25">
      <c r="A673">
        <v>39178</v>
      </c>
      <c r="B673" t="s">
        <v>13240</v>
      </c>
      <c r="C673" t="s">
        <v>2102</v>
      </c>
      <c r="D673" t="s">
        <v>2103</v>
      </c>
      <c r="E673" s="183">
        <v>2.23</v>
      </c>
    </row>
    <row r="674" spans="1:5" ht="14.25">
      <c r="A674">
        <v>39177</v>
      </c>
      <c r="B674" t="s">
        <v>13241</v>
      </c>
      <c r="C674" t="s">
        <v>2102</v>
      </c>
      <c r="D674" t="s">
        <v>2103</v>
      </c>
      <c r="E674" s="183">
        <v>2.02</v>
      </c>
    </row>
    <row r="675" spans="1:5" ht="14.25">
      <c r="A675">
        <v>39174</v>
      </c>
      <c r="B675" t="s">
        <v>13242</v>
      </c>
      <c r="C675" t="s">
        <v>2102</v>
      </c>
      <c r="D675" t="s">
        <v>2103</v>
      </c>
      <c r="E675" s="183">
        <v>1.01</v>
      </c>
    </row>
    <row r="676" spans="1:5" ht="14.25">
      <c r="A676">
        <v>39176</v>
      </c>
      <c r="B676" t="s">
        <v>13243</v>
      </c>
      <c r="C676" t="s">
        <v>2102</v>
      </c>
      <c r="D676" t="s">
        <v>2103</v>
      </c>
      <c r="E676" s="183">
        <v>1.32</v>
      </c>
    </row>
    <row r="677" spans="1:5" ht="14.25">
      <c r="A677">
        <v>39180</v>
      </c>
      <c r="B677" t="s">
        <v>13244</v>
      </c>
      <c r="C677" t="s">
        <v>2102</v>
      </c>
      <c r="D677" t="s">
        <v>2103</v>
      </c>
      <c r="E677" s="183">
        <v>6.06</v>
      </c>
    </row>
    <row r="678" spans="1:5" ht="14.25">
      <c r="A678">
        <v>39179</v>
      </c>
      <c r="B678" t="s">
        <v>13245</v>
      </c>
      <c r="C678" t="s">
        <v>2102</v>
      </c>
      <c r="D678" t="s">
        <v>2103</v>
      </c>
      <c r="E678" s="183">
        <v>5.36</v>
      </c>
    </row>
    <row r="679" spans="1:5" ht="14.25">
      <c r="A679">
        <v>39175</v>
      </c>
      <c r="B679" t="s">
        <v>13246</v>
      </c>
      <c r="C679" t="s">
        <v>2102</v>
      </c>
      <c r="D679" t="s">
        <v>2103</v>
      </c>
      <c r="E679" s="183">
        <v>1.23</v>
      </c>
    </row>
    <row r="680" spans="1:5" ht="14.25">
      <c r="A680">
        <v>39217</v>
      </c>
      <c r="B680" t="s">
        <v>13247</v>
      </c>
      <c r="C680" t="s">
        <v>2102</v>
      </c>
      <c r="D680" t="s">
        <v>2103</v>
      </c>
      <c r="E680" s="183">
        <v>0.95</v>
      </c>
    </row>
    <row r="681" spans="1:5" ht="14.25">
      <c r="A681">
        <v>39181</v>
      </c>
      <c r="B681" t="s">
        <v>13248</v>
      </c>
      <c r="C681" t="s">
        <v>2102</v>
      </c>
      <c r="D681" t="s">
        <v>2103</v>
      </c>
      <c r="E681" s="183">
        <v>8.1300000000000008</v>
      </c>
    </row>
    <row r="682" spans="1:5" ht="14.25">
      <c r="A682">
        <v>39182</v>
      </c>
      <c r="B682" t="s">
        <v>13249</v>
      </c>
      <c r="C682" t="s">
        <v>2102</v>
      </c>
      <c r="D682" t="s">
        <v>2103</v>
      </c>
      <c r="E682" s="183">
        <v>11.43</v>
      </c>
    </row>
    <row r="683" spans="1:5" ht="14.25">
      <c r="A683">
        <v>12616</v>
      </c>
      <c r="B683" t="s">
        <v>18193</v>
      </c>
      <c r="C683" t="s">
        <v>2102</v>
      </c>
      <c r="D683" t="s">
        <v>2103</v>
      </c>
      <c r="E683" s="183">
        <v>20.14</v>
      </c>
    </row>
    <row r="684" spans="1:5" ht="14.25">
      <c r="A684">
        <v>1049</v>
      </c>
      <c r="B684" t="s">
        <v>13250</v>
      </c>
      <c r="C684" t="s">
        <v>2102</v>
      </c>
      <c r="D684" t="s">
        <v>2103</v>
      </c>
      <c r="E684" s="183">
        <v>9.56</v>
      </c>
    </row>
    <row r="685" spans="1:5" ht="14.25">
      <c r="A685">
        <v>1099</v>
      </c>
      <c r="B685" t="s">
        <v>13251</v>
      </c>
      <c r="C685" t="s">
        <v>2102</v>
      </c>
      <c r="D685" t="s">
        <v>2103</v>
      </c>
      <c r="E685" s="183">
        <v>7.32</v>
      </c>
    </row>
    <row r="686" spans="1:5" ht="14.25">
      <c r="A686">
        <v>39678</v>
      </c>
      <c r="B686" t="s">
        <v>13252</v>
      </c>
      <c r="C686" t="s">
        <v>2102</v>
      </c>
      <c r="D686" t="s">
        <v>2103</v>
      </c>
      <c r="E686" s="183">
        <v>2.95</v>
      </c>
    </row>
    <row r="687" spans="1:5" ht="14.25">
      <c r="A687">
        <v>1050</v>
      </c>
      <c r="B687" t="s">
        <v>13253</v>
      </c>
      <c r="C687" t="s">
        <v>2102</v>
      </c>
      <c r="D687" t="s">
        <v>2103</v>
      </c>
      <c r="E687" s="183">
        <v>5</v>
      </c>
    </row>
    <row r="688" spans="1:5" ht="14.25">
      <c r="A688">
        <v>1101</v>
      </c>
      <c r="B688" t="s">
        <v>13254</v>
      </c>
      <c r="C688" t="s">
        <v>2102</v>
      </c>
      <c r="D688" t="s">
        <v>2103</v>
      </c>
      <c r="E688" s="183">
        <v>31.56</v>
      </c>
    </row>
    <row r="689" spans="1:5" ht="14.25">
      <c r="A689">
        <v>1100</v>
      </c>
      <c r="B689" t="s">
        <v>13255</v>
      </c>
      <c r="C689" t="s">
        <v>2102</v>
      </c>
      <c r="D689" t="s">
        <v>2103</v>
      </c>
      <c r="E689" s="183">
        <v>16.28</v>
      </c>
    </row>
    <row r="690" spans="1:5" ht="14.25">
      <c r="A690">
        <v>39679</v>
      </c>
      <c r="B690" t="s">
        <v>13256</v>
      </c>
      <c r="C690" t="s">
        <v>2102</v>
      </c>
      <c r="D690" t="s">
        <v>2103</v>
      </c>
      <c r="E690" s="183">
        <v>62.9</v>
      </c>
    </row>
    <row r="691" spans="1:5" ht="14.25">
      <c r="A691">
        <v>1098</v>
      </c>
      <c r="B691" t="s">
        <v>13257</v>
      </c>
      <c r="C691" t="s">
        <v>2102</v>
      </c>
      <c r="D691" t="s">
        <v>2103</v>
      </c>
      <c r="E691" s="183">
        <v>3.9</v>
      </c>
    </row>
    <row r="692" spans="1:5" ht="14.25">
      <c r="A692">
        <v>1102</v>
      </c>
      <c r="B692" t="s">
        <v>13258</v>
      </c>
      <c r="C692" t="s">
        <v>2102</v>
      </c>
      <c r="D692" t="s">
        <v>2103</v>
      </c>
      <c r="E692" s="183">
        <v>47.06</v>
      </c>
    </row>
    <row r="693" spans="1:5" ht="14.25">
      <c r="A693">
        <v>1051</v>
      </c>
      <c r="B693" t="s">
        <v>13259</v>
      </c>
      <c r="C693" t="s">
        <v>2102</v>
      </c>
      <c r="D693" t="s">
        <v>2103</v>
      </c>
      <c r="E693" s="183">
        <v>68.400000000000006</v>
      </c>
    </row>
    <row r="694" spans="1:5" ht="14.25">
      <c r="A694">
        <v>37399</v>
      </c>
      <c r="B694" t="s">
        <v>13260</v>
      </c>
      <c r="C694" t="s">
        <v>2102</v>
      </c>
      <c r="D694" t="s">
        <v>2103</v>
      </c>
      <c r="E694" s="183">
        <v>22.04</v>
      </c>
    </row>
    <row r="695" spans="1:5" ht="14.25">
      <c r="A695">
        <v>43834</v>
      </c>
      <c r="B695" t="s">
        <v>18194</v>
      </c>
      <c r="C695" t="s">
        <v>2109</v>
      </c>
      <c r="D695" t="s">
        <v>2103</v>
      </c>
      <c r="E695" s="183">
        <v>16.25</v>
      </c>
    </row>
    <row r="696" spans="1:5" ht="14.25">
      <c r="A696">
        <v>43835</v>
      </c>
      <c r="B696" t="s">
        <v>18195</v>
      </c>
      <c r="C696" t="s">
        <v>2109</v>
      </c>
      <c r="D696" t="s">
        <v>2103</v>
      </c>
      <c r="E696" s="183">
        <v>1.45</v>
      </c>
    </row>
    <row r="697" spans="1:5" ht="14.25">
      <c r="A697">
        <v>43833</v>
      </c>
      <c r="B697" t="s">
        <v>18196</v>
      </c>
      <c r="C697" t="s">
        <v>2109</v>
      </c>
      <c r="D697" t="s">
        <v>2103</v>
      </c>
      <c r="E697" s="183">
        <v>1.51</v>
      </c>
    </row>
    <row r="698" spans="1:5" ht="14.25">
      <c r="A698">
        <v>41955</v>
      </c>
      <c r="B698" t="s">
        <v>13261</v>
      </c>
      <c r="C698" t="s">
        <v>2110</v>
      </c>
      <c r="D698" t="s">
        <v>2103</v>
      </c>
      <c r="E698" s="183">
        <v>89.56</v>
      </c>
    </row>
    <row r="699" spans="1:5" ht="14.25">
      <c r="A699">
        <v>41953</v>
      </c>
      <c r="B699" t="s">
        <v>13262</v>
      </c>
      <c r="C699" t="s">
        <v>2110</v>
      </c>
      <c r="D699" t="s">
        <v>2103</v>
      </c>
      <c r="E699" s="183">
        <v>85.47</v>
      </c>
    </row>
    <row r="700" spans="1:5" ht="14.25">
      <c r="A700">
        <v>41954</v>
      </c>
      <c r="B700" t="s">
        <v>13263</v>
      </c>
      <c r="C700" t="s">
        <v>2110</v>
      </c>
      <c r="D700" t="s">
        <v>2103</v>
      </c>
      <c r="E700" s="183">
        <v>84.66</v>
      </c>
    </row>
    <row r="701" spans="1:5" ht="14.25">
      <c r="A701">
        <v>25004</v>
      </c>
      <c r="B701" t="s">
        <v>13264</v>
      </c>
      <c r="C701" t="s">
        <v>2110</v>
      </c>
      <c r="D701" t="s">
        <v>2103</v>
      </c>
      <c r="E701" s="183">
        <v>43.33</v>
      </c>
    </row>
    <row r="702" spans="1:5" ht="14.25">
      <c r="A702">
        <v>25002</v>
      </c>
      <c r="B702" t="s">
        <v>13265</v>
      </c>
      <c r="C702" t="s">
        <v>2110</v>
      </c>
      <c r="D702" t="s">
        <v>2103</v>
      </c>
      <c r="E702" s="183">
        <v>43.33</v>
      </c>
    </row>
    <row r="703" spans="1:5" ht="14.25">
      <c r="A703">
        <v>37409</v>
      </c>
      <c r="B703" t="s">
        <v>13266</v>
      </c>
      <c r="C703" t="s">
        <v>2110</v>
      </c>
      <c r="D703" t="s">
        <v>2103</v>
      </c>
      <c r="E703" s="183">
        <v>43.33</v>
      </c>
    </row>
    <row r="704" spans="1:5" ht="14.25">
      <c r="A704">
        <v>841</v>
      </c>
      <c r="B704" t="s">
        <v>13267</v>
      </c>
      <c r="C704" t="s">
        <v>2110</v>
      </c>
      <c r="D704" t="s">
        <v>2103</v>
      </c>
      <c r="E704" s="183">
        <v>43.86</v>
      </c>
    </row>
    <row r="705" spans="1:5" ht="14.25">
      <c r="A705">
        <v>25005</v>
      </c>
      <c r="B705" t="s">
        <v>13268</v>
      </c>
      <c r="C705" t="s">
        <v>2110</v>
      </c>
      <c r="D705" t="s">
        <v>2103</v>
      </c>
      <c r="E705" s="183">
        <v>47.54</v>
      </c>
    </row>
    <row r="706" spans="1:5" ht="14.25">
      <c r="A706">
        <v>25003</v>
      </c>
      <c r="B706" t="s">
        <v>13269</v>
      </c>
      <c r="C706" t="s">
        <v>2110</v>
      </c>
      <c r="D706" t="s">
        <v>2103</v>
      </c>
      <c r="E706" s="183">
        <v>48.26</v>
      </c>
    </row>
    <row r="707" spans="1:5" ht="14.25">
      <c r="A707">
        <v>37410</v>
      </c>
      <c r="B707" t="s">
        <v>13270</v>
      </c>
      <c r="C707" t="s">
        <v>2110</v>
      </c>
      <c r="D707" t="s">
        <v>2103</v>
      </c>
      <c r="E707" s="183">
        <v>47.54</v>
      </c>
    </row>
    <row r="708" spans="1:5" ht="14.25">
      <c r="A708">
        <v>842</v>
      </c>
      <c r="B708" t="s">
        <v>13271</v>
      </c>
      <c r="C708" t="s">
        <v>2110</v>
      </c>
      <c r="D708" t="s">
        <v>2103</v>
      </c>
      <c r="E708" s="183">
        <v>48.22</v>
      </c>
    </row>
    <row r="709" spans="1:5" ht="14.25">
      <c r="A709">
        <v>44391</v>
      </c>
      <c r="B709" t="s">
        <v>18197</v>
      </c>
      <c r="C709" t="s">
        <v>2109</v>
      </c>
      <c r="D709" t="s">
        <v>2103</v>
      </c>
      <c r="E709" s="183">
        <v>102.75</v>
      </c>
    </row>
    <row r="710" spans="1:5" ht="14.25">
      <c r="A710">
        <v>44388</v>
      </c>
      <c r="B710" t="s">
        <v>18198</v>
      </c>
      <c r="C710" t="s">
        <v>2109</v>
      </c>
      <c r="D710" t="s">
        <v>2103</v>
      </c>
      <c r="E710" s="183">
        <v>2.2200000000000002</v>
      </c>
    </row>
    <row r="711" spans="1:5" ht="14.25">
      <c r="A711">
        <v>44392</v>
      </c>
      <c r="B711" t="s">
        <v>18199</v>
      </c>
      <c r="C711" t="s">
        <v>2109</v>
      </c>
      <c r="D711" t="s">
        <v>2103</v>
      </c>
      <c r="E711" s="183">
        <v>204.59</v>
      </c>
    </row>
    <row r="712" spans="1:5" ht="14.25">
      <c r="A712">
        <v>44390</v>
      </c>
      <c r="B712" t="s">
        <v>18200</v>
      </c>
      <c r="C712" t="s">
        <v>2109</v>
      </c>
      <c r="D712" t="s">
        <v>2103</v>
      </c>
      <c r="E712" s="183">
        <v>43.35</v>
      </c>
    </row>
    <row r="713" spans="1:5" ht="14.25">
      <c r="A713">
        <v>44389</v>
      </c>
      <c r="B713" t="s">
        <v>18201</v>
      </c>
      <c r="C713" t="s">
        <v>2109</v>
      </c>
      <c r="D713" t="s">
        <v>2103</v>
      </c>
      <c r="E713" s="183">
        <v>5.12</v>
      </c>
    </row>
    <row r="714" spans="1:5" ht="14.25">
      <c r="A714">
        <v>862</v>
      </c>
      <c r="B714" t="s">
        <v>13272</v>
      </c>
      <c r="C714" t="s">
        <v>2109</v>
      </c>
      <c r="D714" t="s">
        <v>2103</v>
      </c>
      <c r="E714" s="183">
        <v>9.3699999999999992</v>
      </c>
    </row>
    <row r="715" spans="1:5" ht="14.25">
      <c r="A715">
        <v>866</v>
      </c>
      <c r="B715" t="s">
        <v>13273</v>
      </c>
      <c r="C715" t="s">
        <v>2109</v>
      </c>
      <c r="D715" t="s">
        <v>2103</v>
      </c>
      <c r="E715" s="183">
        <v>119.13</v>
      </c>
    </row>
    <row r="716" spans="1:5" ht="14.25">
      <c r="A716">
        <v>892</v>
      </c>
      <c r="B716" t="s">
        <v>13274</v>
      </c>
      <c r="C716" t="s">
        <v>2109</v>
      </c>
      <c r="D716" t="s">
        <v>2103</v>
      </c>
      <c r="E716" s="183">
        <v>144.21</v>
      </c>
    </row>
    <row r="717" spans="1:5" ht="14.25">
      <c r="A717">
        <v>857</v>
      </c>
      <c r="B717" t="s">
        <v>13275</v>
      </c>
      <c r="C717" t="s">
        <v>2109</v>
      </c>
      <c r="D717" t="s">
        <v>2103</v>
      </c>
      <c r="E717" s="183">
        <v>15.68</v>
      </c>
    </row>
    <row r="718" spans="1:5" ht="14.25">
      <c r="A718">
        <v>37404</v>
      </c>
      <c r="B718" t="s">
        <v>13276</v>
      </c>
      <c r="C718" t="s">
        <v>2109</v>
      </c>
      <c r="D718" t="s">
        <v>2103</v>
      </c>
      <c r="E718" s="183">
        <v>166.85</v>
      </c>
    </row>
    <row r="719" spans="1:5" ht="14.25">
      <c r="A719">
        <v>868</v>
      </c>
      <c r="B719" t="s">
        <v>13277</v>
      </c>
      <c r="C719" t="s">
        <v>2109</v>
      </c>
      <c r="D719" t="s">
        <v>2103</v>
      </c>
      <c r="E719" s="183">
        <v>22.35</v>
      </c>
    </row>
    <row r="720" spans="1:5" ht="14.25">
      <c r="A720">
        <v>863</v>
      </c>
      <c r="B720" t="s">
        <v>13278</v>
      </c>
      <c r="C720" t="s">
        <v>2109</v>
      </c>
      <c r="D720" t="s">
        <v>2103</v>
      </c>
      <c r="E720" s="183">
        <v>32.92</v>
      </c>
    </row>
    <row r="721" spans="1:5" ht="14.25">
      <c r="A721">
        <v>867</v>
      </c>
      <c r="B721" t="s">
        <v>13279</v>
      </c>
      <c r="C721" t="s">
        <v>2109</v>
      </c>
      <c r="D721" t="s">
        <v>2103</v>
      </c>
      <c r="E721" s="183">
        <v>46.89</v>
      </c>
    </row>
    <row r="722" spans="1:5" ht="14.25">
      <c r="A722">
        <v>864</v>
      </c>
      <c r="B722" t="s">
        <v>13280</v>
      </c>
      <c r="C722" t="s">
        <v>2109</v>
      </c>
      <c r="D722" t="s">
        <v>2103</v>
      </c>
      <c r="E722" s="183">
        <v>61.94</v>
      </c>
    </row>
    <row r="723" spans="1:5" ht="14.25">
      <c r="A723">
        <v>865</v>
      </c>
      <c r="B723" t="s">
        <v>13281</v>
      </c>
      <c r="C723" t="s">
        <v>2109</v>
      </c>
      <c r="D723" t="s">
        <v>2103</v>
      </c>
      <c r="E723" s="183">
        <v>89.1</v>
      </c>
    </row>
    <row r="724" spans="1:5" ht="14.25">
      <c r="A724">
        <v>993</v>
      </c>
      <c r="B724" t="s">
        <v>13282</v>
      </c>
      <c r="C724" t="s">
        <v>2109</v>
      </c>
      <c r="D724" t="s">
        <v>2103</v>
      </c>
      <c r="E724" s="183">
        <v>1.69</v>
      </c>
    </row>
    <row r="725" spans="1:5" ht="14.25">
      <c r="A725">
        <v>1020</v>
      </c>
      <c r="B725" t="s">
        <v>13283</v>
      </c>
      <c r="C725" t="s">
        <v>2109</v>
      </c>
      <c r="D725" t="s">
        <v>2103</v>
      </c>
      <c r="E725" s="183">
        <v>8.64</v>
      </c>
    </row>
    <row r="726" spans="1:5" ht="14.25">
      <c r="A726">
        <v>1017</v>
      </c>
      <c r="B726" t="s">
        <v>13284</v>
      </c>
      <c r="C726" t="s">
        <v>2109</v>
      </c>
      <c r="D726" t="s">
        <v>2103</v>
      </c>
      <c r="E726" s="183">
        <v>105.94</v>
      </c>
    </row>
    <row r="727" spans="1:5" ht="14.25">
      <c r="A727">
        <v>999</v>
      </c>
      <c r="B727" t="s">
        <v>13285</v>
      </c>
      <c r="C727" t="s">
        <v>2109</v>
      </c>
      <c r="D727" t="s">
        <v>2103</v>
      </c>
      <c r="E727" s="183">
        <v>128.35</v>
      </c>
    </row>
    <row r="728" spans="1:5" ht="14.25">
      <c r="A728">
        <v>995</v>
      </c>
      <c r="B728" t="s">
        <v>13286</v>
      </c>
      <c r="C728" t="s">
        <v>2109</v>
      </c>
      <c r="D728" t="s">
        <v>2103</v>
      </c>
      <c r="E728" s="183">
        <v>13.76</v>
      </c>
    </row>
    <row r="729" spans="1:5" ht="14.25">
      <c r="A729">
        <v>1000</v>
      </c>
      <c r="B729" t="s">
        <v>13287</v>
      </c>
      <c r="C729" t="s">
        <v>2109</v>
      </c>
      <c r="D729" t="s">
        <v>2103</v>
      </c>
      <c r="E729" s="183">
        <v>157.65</v>
      </c>
    </row>
    <row r="730" spans="1:5" ht="14.25">
      <c r="A730">
        <v>1022</v>
      </c>
      <c r="B730" t="s">
        <v>13288</v>
      </c>
      <c r="C730" t="s">
        <v>2109</v>
      </c>
      <c r="D730" t="s">
        <v>2103</v>
      </c>
      <c r="E730" s="183">
        <v>2.36</v>
      </c>
    </row>
    <row r="731" spans="1:5" ht="14.25">
      <c r="A731">
        <v>1015</v>
      </c>
      <c r="B731" t="s">
        <v>13289</v>
      </c>
      <c r="C731" t="s">
        <v>2109</v>
      </c>
      <c r="D731" t="s">
        <v>2103</v>
      </c>
      <c r="E731" s="183">
        <v>209.5</v>
      </c>
    </row>
    <row r="732" spans="1:5" ht="14.25">
      <c r="A732">
        <v>996</v>
      </c>
      <c r="B732" t="s">
        <v>13290</v>
      </c>
      <c r="C732" t="s">
        <v>2109</v>
      </c>
      <c r="D732" t="s">
        <v>2103</v>
      </c>
      <c r="E732" s="183">
        <v>21.34</v>
      </c>
    </row>
    <row r="733" spans="1:5" ht="14.25">
      <c r="A733">
        <v>1001</v>
      </c>
      <c r="B733" t="s">
        <v>13291</v>
      </c>
      <c r="C733" t="s">
        <v>2109</v>
      </c>
      <c r="D733" t="s">
        <v>2103</v>
      </c>
      <c r="E733" s="183">
        <v>271.82</v>
      </c>
    </row>
    <row r="734" spans="1:5" ht="14.25">
      <c r="A734">
        <v>1019</v>
      </c>
      <c r="B734" t="s">
        <v>13292</v>
      </c>
      <c r="C734" t="s">
        <v>2109</v>
      </c>
      <c r="D734" t="s">
        <v>2103</v>
      </c>
      <c r="E734" s="183">
        <v>30.16</v>
      </c>
    </row>
    <row r="735" spans="1:5" ht="14.25">
      <c r="A735">
        <v>1021</v>
      </c>
      <c r="B735" t="s">
        <v>13293</v>
      </c>
      <c r="C735" t="s">
        <v>2109</v>
      </c>
      <c r="D735" t="s">
        <v>2103</v>
      </c>
      <c r="E735" s="183">
        <v>3.62</v>
      </c>
    </row>
    <row r="736" spans="1:5" ht="14.25">
      <c r="A736">
        <v>39249</v>
      </c>
      <c r="B736" t="s">
        <v>13294</v>
      </c>
      <c r="C736" t="s">
        <v>2109</v>
      </c>
      <c r="D736" t="s">
        <v>2103</v>
      </c>
      <c r="E736" s="183">
        <v>365.48</v>
      </c>
    </row>
    <row r="737" spans="1:5" ht="14.25">
      <c r="A737">
        <v>1018</v>
      </c>
      <c r="B737" t="s">
        <v>13295</v>
      </c>
      <c r="C737" t="s">
        <v>2109</v>
      </c>
      <c r="D737" t="s">
        <v>2103</v>
      </c>
      <c r="E737" s="183">
        <v>44.6</v>
      </c>
    </row>
    <row r="738" spans="1:5" ht="14.25">
      <c r="A738">
        <v>39250</v>
      </c>
      <c r="B738" t="s">
        <v>13296</v>
      </c>
      <c r="C738" t="s">
        <v>2109</v>
      </c>
      <c r="D738" t="s">
        <v>2103</v>
      </c>
      <c r="E738" s="183">
        <v>437.19</v>
      </c>
    </row>
    <row r="739" spans="1:5" ht="14.25">
      <c r="A739">
        <v>994</v>
      </c>
      <c r="B739" t="s">
        <v>13297</v>
      </c>
      <c r="C739" t="s">
        <v>2109</v>
      </c>
      <c r="D739" t="s">
        <v>2103</v>
      </c>
      <c r="E739" s="183">
        <v>5.27</v>
      </c>
    </row>
    <row r="740" spans="1:5" ht="14.25">
      <c r="A740">
        <v>977</v>
      </c>
      <c r="B740" t="s">
        <v>13298</v>
      </c>
      <c r="C740" t="s">
        <v>2109</v>
      </c>
      <c r="D740" t="s">
        <v>2103</v>
      </c>
      <c r="E740" s="183">
        <v>62.39</v>
      </c>
    </row>
    <row r="741" spans="1:5" ht="14.25">
      <c r="A741">
        <v>998</v>
      </c>
      <c r="B741" t="s">
        <v>13299</v>
      </c>
      <c r="C741" t="s">
        <v>2109</v>
      </c>
      <c r="D741" t="s">
        <v>2103</v>
      </c>
      <c r="E741" s="183">
        <v>81.010000000000005</v>
      </c>
    </row>
    <row r="742" spans="1:5" ht="14.25">
      <c r="A742">
        <v>39251</v>
      </c>
      <c r="B742" t="s">
        <v>13300</v>
      </c>
      <c r="C742" t="s">
        <v>2109</v>
      </c>
      <c r="D742" t="s">
        <v>2103</v>
      </c>
      <c r="E742" s="183">
        <v>0.57999999999999996</v>
      </c>
    </row>
    <row r="743" spans="1:5" ht="14.25">
      <c r="A743">
        <v>1011</v>
      </c>
      <c r="B743" t="s">
        <v>13301</v>
      </c>
      <c r="C743" t="s">
        <v>2109</v>
      </c>
      <c r="D743" t="s">
        <v>2103</v>
      </c>
      <c r="E743" s="183">
        <v>0.8</v>
      </c>
    </row>
    <row r="744" spans="1:5" ht="14.25">
      <c r="A744">
        <v>39252</v>
      </c>
      <c r="B744" t="s">
        <v>13302</v>
      </c>
      <c r="C744" t="s">
        <v>2109</v>
      </c>
      <c r="D744" t="s">
        <v>2103</v>
      </c>
      <c r="E744" s="183">
        <v>1.04</v>
      </c>
    </row>
    <row r="745" spans="1:5" ht="14.25">
      <c r="A745">
        <v>1013</v>
      </c>
      <c r="B745" t="s">
        <v>13303</v>
      </c>
      <c r="C745" t="s">
        <v>2109</v>
      </c>
      <c r="D745" t="s">
        <v>2103</v>
      </c>
      <c r="E745" s="183">
        <v>1.25</v>
      </c>
    </row>
    <row r="746" spans="1:5" ht="14.25">
      <c r="A746">
        <v>980</v>
      </c>
      <c r="B746" t="s">
        <v>13304</v>
      </c>
      <c r="C746" t="s">
        <v>2109</v>
      </c>
      <c r="D746" t="s">
        <v>2103</v>
      </c>
      <c r="E746" s="183">
        <v>9.06</v>
      </c>
    </row>
    <row r="747" spans="1:5" ht="14.25">
      <c r="A747">
        <v>39237</v>
      </c>
      <c r="B747" t="s">
        <v>13305</v>
      </c>
      <c r="C747" t="s">
        <v>2109</v>
      </c>
      <c r="D747" t="s">
        <v>2103</v>
      </c>
      <c r="E747" s="183">
        <v>96.45</v>
      </c>
    </row>
    <row r="748" spans="1:5" ht="14.25">
      <c r="A748">
        <v>39238</v>
      </c>
      <c r="B748" t="s">
        <v>13306</v>
      </c>
      <c r="C748" t="s">
        <v>2109</v>
      </c>
      <c r="D748" t="s">
        <v>2103</v>
      </c>
      <c r="E748" s="183">
        <v>121.64</v>
      </c>
    </row>
    <row r="749" spans="1:5" ht="14.25">
      <c r="A749">
        <v>979</v>
      </c>
      <c r="B749" t="s">
        <v>13307</v>
      </c>
      <c r="C749" t="s">
        <v>2109</v>
      </c>
      <c r="D749" t="s">
        <v>2103</v>
      </c>
      <c r="E749" s="183">
        <v>12.95</v>
      </c>
    </row>
    <row r="750" spans="1:5" ht="14.25">
      <c r="A750">
        <v>39239</v>
      </c>
      <c r="B750" t="s">
        <v>13308</v>
      </c>
      <c r="C750" t="s">
        <v>2109</v>
      </c>
      <c r="D750" t="s">
        <v>2103</v>
      </c>
      <c r="E750" s="183">
        <v>146.94999999999999</v>
      </c>
    </row>
    <row r="751" spans="1:5" ht="14.25">
      <c r="A751">
        <v>1014</v>
      </c>
      <c r="B751" t="s">
        <v>13309</v>
      </c>
      <c r="C751" t="s">
        <v>2109</v>
      </c>
      <c r="D751" t="s">
        <v>2103</v>
      </c>
      <c r="E751" s="183">
        <v>1.99</v>
      </c>
    </row>
    <row r="752" spans="1:5" ht="14.25">
      <c r="A752">
        <v>39240</v>
      </c>
      <c r="B752" t="s">
        <v>13310</v>
      </c>
      <c r="C752" t="s">
        <v>2109</v>
      </c>
      <c r="D752" t="s">
        <v>2103</v>
      </c>
      <c r="E752" s="183">
        <v>193.28</v>
      </c>
    </row>
    <row r="753" spans="1:5" ht="14.25">
      <c r="A753">
        <v>39232</v>
      </c>
      <c r="B753" t="s">
        <v>13311</v>
      </c>
      <c r="C753" t="s">
        <v>2109</v>
      </c>
      <c r="D753" t="s">
        <v>2103</v>
      </c>
      <c r="E753" s="183">
        <v>20.28</v>
      </c>
    </row>
    <row r="754" spans="1:5" ht="14.25">
      <c r="A754">
        <v>39233</v>
      </c>
      <c r="B754" t="s">
        <v>13312</v>
      </c>
      <c r="C754" t="s">
        <v>2109</v>
      </c>
      <c r="D754" t="s">
        <v>2103</v>
      </c>
      <c r="E754" s="183">
        <v>29.56</v>
      </c>
    </row>
    <row r="755" spans="1:5" ht="14.25">
      <c r="A755">
        <v>981</v>
      </c>
      <c r="B755" t="s">
        <v>13313</v>
      </c>
      <c r="C755" t="s">
        <v>2109</v>
      </c>
      <c r="D755" t="s">
        <v>2107</v>
      </c>
      <c r="E755" s="183">
        <v>3.3</v>
      </c>
    </row>
    <row r="756" spans="1:5" ht="14.25">
      <c r="A756">
        <v>39234</v>
      </c>
      <c r="B756" t="s">
        <v>13314</v>
      </c>
      <c r="C756" t="s">
        <v>2109</v>
      </c>
      <c r="D756" t="s">
        <v>2103</v>
      </c>
      <c r="E756" s="183">
        <v>41.15</v>
      </c>
    </row>
    <row r="757" spans="1:5" ht="14.25">
      <c r="A757">
        <v>982</v>
      </c>
      <c r="B757" t="s">
        <v>13315</v>
      </c>
      <c r="C757" t="s">
        <v>2109</v>
      </c>
      <c r="D757" t="s">
        <v>2103</v>
      </c>
      <c r="E757" s="183">
        <v>4.74</v>
      </c>
    </row>
    <row r="758" spans="1:5" ht="14.25">
      <c r="A758">
        <v>39235</v>
      </c>
      <c r="B758" t="s">
        <v>13316</v>
      </c>
      <c r="C758" t="s">
        <v>2109</v>
      </c>
      <c r="D758" t="s">
        <v>2103</v>
      </c>
      <c r="E758" s="183">
        <v>60.7</v>
      </c>
    </row>
    <row r="759" spans="1:5" ht="14.25">
      <c r="A759">
        <v>39236</v>
      </c>
      <c r="B759" t="s">
        <v>13317</v>
      </c>
      <c r="C759" t="s">
        <v>2109</v>
      </c>
      <c r="D759" t="s">
        <v>2103</v>
      </c>
      <c r="E759" s="183">
        <v>80.44</v>
      </c>
    </row>
    <row r="760" spans="1:5" ht="14.25">
      <c r="A760">
        <v>990</v>
      </c>
      <c r="B760" t="s">
        <v>13318</v>
      </c>
      <c r="C760" t="s">
        <v>2109</v>
      </c>
      <c r="D760" t="s">
        <v>2103</v>
      </c>
      <c r="E760" s="183">
        <v>142.74</v>
      </c>
    </row>
    <row r="761" spans="1:5" ht="14.25">
      <c r="A761">
        <v>39241</v>
      </c>
      <c r="B761" t="s">
        <v>13319</v>
      </c>
      <c r="C761" t="s">
        <v>2109</v>
      </c>
      <c r="D761" t="s">
        <v>2103</v>
      </c>
      <c r="E761" s="183">
        <v>14.05</v>
      </c>
    </row>
    <row r="762" spans="1:5" ht="14.25">
      <c r="A762">
        <v>1005</v>
      </c>
      <c r="B762" t="s">
        <v>13320</v>
      </c>
      <c r="C762" t="s">
        <v>2109</v>
      </c>
      <c r="D762" t="s">
        <v>2103</v>
      </c>
      <c r="E762" s="183">
        <v>177.71</v>
      </c>
    </row>
    <row r="763" spans="1:5" ht="14.25">
      <c r="A763">
        <v>991</v>
      </c>
      <c r="B763" t="s">
        <v>13321</v>
      </c>
      <c r="C763" t="s">
        <v>2109</v>
      </c>
      <c r="D763" t="s">
        <v>2103</v>
      </c>
      <c r="E763" s="183">
        <v>232.77</v>
      </c>
    </row>
    <row r="764" spans="1:5" ht="14.25">
      <c r="A764">
        <v>986</v>
      </c>
      <c r="B764" t="s">
        <v>13322</v>
      </c>
      <c r="C764" t="s">
        <v>2109</v>
      </c>
      <c r="D764" t="s">
        <v>2103</v>
      </c>
      <c r="E764" s="183">
        <v>22.2</v>
      </c>
    </row>
    <row r="765" spans="1:5" ht="14.25">
      <c r="A765">
        <v>987</v>
      </c>
      <c r="B765" t="s">
        <v>13323</v>
      </c>
      <c r="C765" t="s">
        <v>2109</v>
      </c>
      <c r="D765" t="s">
        <v>2103</v>
      </c>
      <c r="E765" s="183">
        <v>30.39</v>
      </c>
    </row>
    <row r="766" spans="1:5" ht="14.25">
      <c r="A766">
        <v>1007</v>
      </c>
      <c r="B766" t="s">
        <v>13324</v>
      </c>
      <c r="C766" t="s">
        <v>2109</v>
      </c>
      <c r="D766" t="s">
        <v>2103</v>
      </c>
      <c r="E766" s="183">
        <v>42.07</v>
      </c>
    </row>
    <row r="767" spans="1:5" ht="14.25">
      <c r="A767">
        <v>1008</v>
      </c>
      <c r="B767" t="s">
        <v>13325</v>
      </c>
      <c r="C767" t="s">
        <v>2109</v>
      </c>
      <c r="D767" t="s">
        <v>2103</v>
      </c>
      <c r="E767" s="183">
        <v>5.34</v>
      </c>
    </row>
    <row r="768" spans="1:5" ht="14.25">
      <c r="A768">
        <v>988</v>
      </c>
      <c r="B768" t="s">
        <v>13326</v>
      </c>
      <c r="C768" t="s">
        <v>2109</v>
      </c>
      <c r="D768" t="s">
        <v>2103</v>
      </c>
      <c r="E768" s="183">
        <v>58.01</v>
      </c>
    </row>
    <row r="769" spans="1:5" ht="14.25">
      <c r="A769">
        <v>989</v>
      </c>
      <c r="B769" t="s">
        <v>13327</v>
      </c>
      <c r="C769" t="s">
        <v>2109</v>
      </c>
      <c r="D769" t="s">
        <v>2103</v>
      </c>
      <c r="E769" s="183">
        <v>80.069999999999993</v>
      </c>
    </row>
    <row r="770" spans="1:5" ht="14.25">
      <c r="A770">
        <v>1006</v>
      </c>
      <c r="B770" t="s">
        <v>18202</v>
      </c>
      <c r="C770" t="s">
        <v>2109</v>
      </c>
      <c r="D770" t="s">
        <v>2103</v>
      </c>
      <c r="E770" s="183">
        <v>107.35</v>
      </c>
    </row>
    <row r="771" spans="1:5" ht="14.25">
      <c r="A771">
        <v>43972</v>
      </c>
      <c r="B771" t="s">
        <v>15190</v>
      </c>
      <c r="C771" t="s">
        <v>2109</v>
      </c>
      <c r="D771" t="s">
        <v>2103</v>
      </c>
      <c r="E771" s="183">
        <v>3.1</v>
      </c>
    </row>
    <row r="772" spans="1:5" ht="14.25">
      <c r="A772">
        <v>43971</v>
      </c>
      <c r="B772" t="s">
        <v>15191</v>
      </c>
      <c r="C772" t="s">
        <v>2109</v>
      </c>
      <c r="D772" t="s">
        <v>2107</v>
      </c>
      <c r="E772" s="183">
        <v>2.37</v>
      </c>
    </row>
    <row r="773" spans="1:5" ht="14.25">
      <c r="A773">
        <v>39598</v>
      </c>
      <c r="B773" t="s">
        <v>15192</v>
      </c>
      <c r="C773" t="s">
        <v>2109</v>
      </c>
      <c r="D773" t="s">
        <v>2103</v>
      </c>
      <c r="E773" s="183">
        <v>4.3899999999999997</v>
      </c>
    </row>
    <row r="774" spans="1:5" ht="14.25">
      <c r="A774">
        <v>43973</v>
      </c>
      <c r="B774" t="s">
        <v>18203</v>
      </c>
      <c r="C774" t="s">
        <v>2109</v>
      </c>
      <c r="D774" t="s">
        <v>2103</v>
      </c>
      <c r="E774" s="183">
        <v>3.24</v>
      </c>
    </row>
    <row r="775" spans="1:5" ht="14.25">
      <c r="A775">
        <v>39599</v>
      </c>
      <c r="B775" t="s">
        <v>15193</v>
      </c>
      <c r="C775" t="s">
        <v>2109</v>
      </c>
      <c r="D775" t="s">
        <v>2103</v>
      </c>
      <c r="E775" s="183">
        <v>6.32</v>
      </c>
    </row>
    <row r="776" spans="1:5" ht="14.25">
      <c r="A776">
        <v>43832</v>
      </c>
      <c r="B776" t="s">
        <v>18204</v>
      </c>
      <c r="C776" t="s">
        <v>2109</v>
      </c>
      <c r="D776" t="s">
        <v>2103</v>
      </c>
      <c r="E776" s="183">
        <v>16.649999999999999</v>
      </c>
    </row>
    <row r="777" spans="1:5" ht="14.25">
      <c r="A777">
        <v>34602</v>
      </c>
      <c r="B777" t="s">
        <v>13328</v>
      </c>
      <c r="C777" t="s">
        <v>2109</v>
      </c>
      <c r="D777" t="s">
        <v>2103</v>
      </c>
      <c r="E777" s="183">
        <v>3.67</v>
      </c>
    </row>
    <row r="778" spans="1:5" ht="14.25">
      <c r="A778">
        <v>34607</v>
      </c>
      <c r="B778" t="s">
        <v>13329</v>
      </c>
      <c r="C778" t="s">
        <v>2109</v>
      </c>
      <c r="D778" t="s">
        <v>2103</v>
      </c>
      <c r="E778" s="183">
        <v>9</v>
      </c>
    </row>
    <row r="779" spans="1:5" ht="14.25">
      <c r="A779">
        <v>34609</v>
      </c>
      <c r="B779" t="s">
        <v>13330</v>
      </c>
      <c r="C779" t="s">
        <v>2109</v>
      </c>
      <c r="D779" t="s">
        <v>2103</v>
      </c>
      <c r="E779" s="183">
        <v>13.09</v>
      </c>
    </row>
    <row r="780" spans="1:5" ht="14.25">
      <c r="A780">
        <v>34618</v>
      </c>
      <c r="B780" t="s">
        <v>13331</v>
      </c>
      <c r="C780" t="s">
        <v>2109</v>
      </c>
      <c r="D780" t="s">
        <v>2103</v>
      </c>
      <c r="E780" s="183">
        <v>5.01</v>
      </c>
    </row>
    <row r="781" spans="1:5" ht="14.25">
      <c r="A781">
        <v>34621</v>
      </c>
      <c r="B781" t="s">
        <v>13332</v>
      </c>
      <c r="C781" t="s">
        <v>2109</v>
      </c>
      <c r="D781" t="s">
        <v>2103</v>
      </c>
      <c r="E781" s="183">
        <v>12.41</v>
      </c>
    </row>
    <row r="782" spans="1:5" ht="14.25">
      <c r="A782">
        <v>34622</v>
      </c>
      <c r="B782" t="s">
        <v>13333</v>
      </c>
      <c r="C782" t="s">
        <v>2109</v>
      </c>
      <c r="D782" t="s">
        <v>2103</v>
      </c>
      <c r="E782" s="183">
        <v>18.43</v>
      </c>
    </row>
    <row r="783" spans="1:5" ht="14.25">
      <c r="A783">
        <v>34624</v>
      </c>
      <c r="B783" t="s">
        <v>13334</v>
      </c>
      <c r="C783" t="s">
        <v>2109</v>
      </c>
      <c r="D783" t="s">
        <v>2103</v>
      </c>
      <c r="E783" s="183">
        <v>6.68</v>
      </c>
    </row>
    <row r="784" spans="1:5" ht="14.25">
      <c r="A784">
        <v>34627</v>
      </c>
      <c r="B784" t="s">
        <v>13335</v>
      </c>
      <c r="C784" t="s">
        <v>2109</v>
      </c>
      <c r="D784" t="s">
        <v>2103</v>
      </c>
      <c r="E784" s="183">
        <v>16.12</v>
      </c>
    </row>
    <row r="785" spans="1:5" ht="14.25">
      <c r="A785">
        <v>34629</v>
      </c>
      <c r="B785" t="s">
        <v>13336</v>
      </c>
      <c r="C785" t="s">
        <v>2109</v>
      </c>
      <c r="D785" t="s">
        <v>2103</v>
      </c>
      <c r="E785" s="183">
        <v>24.63</v>
      </c>
    </row>
    <row r="786" spans="1:5" ht="14.25">
      <c r="A786">
        <v>39257</v>
      </c>
      <c r="B786" t="s">
        <v>13337</v>
      </c>
      <c r="C786" t="s">
        <v>2109</v>
      </c>
      <c r="D786" t="s">
        <v>2103</v>
      </c>
      <c r="E786" s="183">
        <v>5.01</v>
      </c>
    </row>
    <row r="787" spans="1:5" ht="14.25">
      <c r="A787">
        <v>39261</v>
      </c>
      <c r="B787" t="s">
        <v>13338</v>
      </c>
      <c r="C787" t="s">
        <v>2109</v>
      </c>
      <c r="D787" t="s">
        <v>2103</v>
      </c>
      <c r="E787" s="183">
        <v>28.7</v>
      </c>
    </row>
    <row r="788" spans="1:5" ht="14.25">
      <c r="A788">
        <v>39268</v>
      </c>
      <c r="B788" t="s">
        <v>13339</v>
      </c>
      <c r="C788" t="s">
        <v>2109</v>
      </c>
      <c r="D788" t="s">
        <v>2103</v>
      </c>
      <c r="E788" s="183">
        <v>448.54</v>
      </c>
    </row>
    <row r="789" spans="1:5" ht="14.25">
      <c r="A789">
        <v>39262</v>
      </c>
      <c r="B789" t="s">
        <v>13340</v>
      </c>
      <c r="C789" t="s">
        <v>2109</v>
      </c>
      <c r="D789" t="s">
        <v>2103</v>
      </c>
      <c r="E789" s="183">
        <v>45.69</v>
      </c>
    </row>
    <row r="790" spans="1:5" ht="14.25">
      <c r="A790">
        <v>39258</v>
      </c>
      <c r="B790" t="s">
        <v>13341</v>
      </c>
      <c r="C790" t="s">
        <v>2109</v>
      </c>
      <c r="D790" t="s">
        <v>2103</v>
      </c>
      <c r="E790" s="183">
        <v>7.55</v>
      </c>
    </row>
    <row r="791" spans="1:5" ht="14.25">
      <c r="A791">
        <v>39263</v>
      </c>
      <c r="B791" t="s">
        <v>13342</v>
      </c>
      <c r="C791" t="s">
        <v>2109</v>
      </c>
      <c r="D791" t="s">
        <v>2103</v>
      </c>
      <c r="E791" s="183">
        <v>79.02</v>
      </c>
    </row>
    <row r="792" spans="1:5" ht="14.25">
      <c r="A792">
        <v>39264</v>
      </c>
      <c r="B792" t="s">
        <v>13343</v>
      </c>
      <c r="C792" t="s">
        <v>2109</v>
      </c>
      <c r="D792" t="s">
        <v>2103</v>
      </c>
      <c r="E792" s="183">
        <v>109.46</v>
      </c>
    </row>
    <row r="793" spans="1:5" ht="14.25">
      <c r="A793">
        <v>39259</v>
      </c>
      <c r="B793" t="s">
        <v>13344</v>
      </c>
      <c r="C793" t="s">
        <v>2109</v>
      </c>
      <c r="D793" t="s">
        <v>2103</v>
      </c>
      <c r="E793" s="183">
        <v>11.63</v>
      </c>
    </row>
    <row r="794" spans="1:5" ht="14.25">
      <c r="A794">
        <v>39265</v>
      </c>
      <c r="B794" t="s">
        <v>13345</v>
      </c>
      <c r="C794" t="s">
        <v>2109</v>
      </c>
      <c r="D794" t="s">
        <v>2103</v>
      </c>
      <c r="E794" s="183">
        <v>148.61000000000001</v>
      </c>
    </row>
    <row r="795" spans="1:5" ht="14.25">
      <c r="A795">
        <v>39260</v>
      </c>
      <c r="B795" t="s">
        <v>13346</v>
      </c>
      <c r="C795" t="s">
        <v>2109</v>
      </c>
      <c r="D795" t="s">
        <v>2103</v>
      </c>
      <c r="E795" s="183">
        <v>17.809999999999999</v>
      </c>
    </row>
    <row r="796" spans="1:5" ht="14.25">
      <c r="A796">
        <v>39266</v>
      </c>
      <c r="B796" t="s">
        <v>13347</v>
      </c>
      <c r="C796" t="s">
        <v>2109</v>
      </c>
      <c r="D796" t="s">
        <v>2103</v>
      </c>
      <c r="E796" s="183">
        <v>224.25</v>
      </c>
    </row>
    <row r="797" spans="1:5" ht="14.25">
      <c r="A797">
        <v>39267</v>
      </c>
      <c r="B797" t="s">
        <v>13348</v>
      </c>
      <c r="C797" t="s">
        <v>2109</v>
      </c>
      <c r="D797" t="s">
        <v>2103</v>
      </c>
      <c r="E797" s="183">
        <v>280.37</v>
      </c>
    </row>
    <row r="798" spans="1:5" ht="14.25">
      <c r="A798">
        <v>11901</v>
      </c>
      <c r="B798" t="s">
        <v>13349</v>
      </c>
      <c r="C798" t="s">
        <v>2109</v>
      </c>
      <c r="D798" t="s">
        <v>2103</v>
      </c>
      <c r="E798" s="183">
        <v>0.56999999999999995</v>
      </c>
    </row>
    <row r="799" spans="1:5" ht="14.25">
      <c r="A799">
        <v>11902</v>
      </c>
      <c r="B799" t="s">
        <v>13350</v>
      </c>
      <c r="C799" t="s">
        <v>2109</v>
      </c>
      <c r="D799" t="s">
        <v>2103</v>
      </c>
      <c r="E799" s="183">
        <v>1.0900000000000001</v>
      </c>
    </row>
    <row r="800" spans="1:5" ht="14.25">
      <c r="A800">
        <v>11903</v>
      </c>
      <c r="B800" t="s">
        <v>13351</v>
      </c>
      <c r="C800" t="s">
        <v>2109</v>
      </c>
      <c r="D800" t="s">
        <v>2103</v>
      </c>
      <c r="E800" s="183">
        <v>1.1499999999999999</v>
      </c>
    </row>
    <row r="801" spans="1:5" ht="14.25">
      <c r="A801">
        <v>11904</v>
      </c>
      <c r="B801" t="s">
        <v>13352</v>
      </c>
      <c r="C801" t="s">
        <v>2109</v>
      </c>
      <c r="D801" t="s">
        <v>2103</v>
      </c>
      <c r="E801" s="183">
        <v>1.75</v>
      </c>
    </row>
    <row r="802" spans="1:5" ht="14.25">
      <c r="A802">
        <v>11905</v>
      </c>
      <c r="B802" t="s">
        <v>13353</v>
      </c>
      <c r="C802" t="s">
        <v>2109</v>
      </c>
      <c r="D802" t="s">
        <v>2103</v>
      </c>
      <c r="E802" s="183">
        <v>2.13</v>
      </c>
    </row>
    <row r="803" spans="1:5" ht="14.25">
      <c r="A803">
        <v>11906</v>
      </c>
      <c r="B803" t="s">
        <v>13354</v>
      </c>
      <c r="C803" t="s">
        <v>2109</v>
      </c>
      <c r="D803" t="s">
        <v>2103</v>
      </c>
      <c r="E803" s="183">
        <v>2.71</v>
      </c>
    </row>
    <row r="804" spans="1:5" ht="14.25">
      <c r="A804">
        <v>11919</v>
      </c>
      <c r="B804" t="s">
        <v>13355</v>
      </c>
      <c r="C804" t="s">
        <v>2109</v>
      </c>
      <c r="D804" t="s">
        <v>2103</v>
      </c>
      <c r="E804" s="183">
        <v>4.97</v>
      </c>
    </row>
    <row r="805" spans="1:5" ht="14.25">
      <c r="A805">
        <v>11920</v>
      </c>
      <c r="B805" t="s">
        <v>13356</v>
      </c>
      <c r="C805" t="s">
        <v>2109</v>
      </c>
      <c r="D805" t="s">
        <v>2103</v>
      </c>
      <c r="E805" s="183">
        <v>9.44</v>
      </c>
    </row>
    <row r="806" spans="1:5" ht="14.25">
      <c r="A806">
        <v>11924</v>
      </c>
      <c r="B806" t="s">
        <v>13357</v>
      </c>
      <c r="C806" t="s">
        <v>2109</v>
      </c>
      <c r="D806" t="s">
        <v>2103</v>
      </c>
      <c r="E806" s="183">
        <v>79.290000000000006</v>
      </c>
    </row>
    <row r="807" spans="1:5" ht="14.25">
      <c r="A807">
        <v>11921</v>
      </c>
      <c r="B807" t="s">
        <v>13358</v>
      </c>
      <c r="C807" t="s">
        <v>2109</v>
      </c>
      <c r="D807" t="s">
        <v>2103</v>
      </c>
      <c r="E807" s="183">
        <v>13.82</v>
      </c>
    </row>
    <row r="808" spans="1:5" ht="14.25">
      <c r="A808">
        <v>11922</v>
      </c>
      <c r="B808" t="s">
        <v>13359</v>
      </c>
      <c r="C808" t="s">
        <v>2109</v>
      </c>
      <c r="D808" t="s">
        <v>2103</v>
      </c>
      <c r="E808" s="183">
        <v>22.35</v>
      </c>
    </row>
    <row r="809" spans="1:5" ht="14.25">
      <c r="A809">
        <v>11923</v>
      </c>
      <c r="B809" t="s">
        <v>13360</v>
      </c>
      <c r="C809" t="s">
        <v>2109</v>
      </c>
      <c r="D809" t="s">
        <v>2103</v>
      </c>
      <c r="E809" s="183">
        <v>32.71</v>
      </c>
    </row>
    <row r="810" spans="1:5" ht="14.25">
      <c r="A810">
        <v>11916</v>
      </c>
      <c r="B810" t="s">
        <v>13361</v>
      </c>
      <c r="C810" t="s">
        <v>2109</v>
      </c>
      <c r="D810" t="s">
        <v>2103</v>
      </c>
      <c r="E810" s="183">
        <v>6.8</v>
      </c>
    </row>
    <row r="811" spans="1:5" ht="14.25">
      <c r="A811">
        <v>11914</v>
      </c>
      <c r="B811" t="s">
        <v>13362</v>
      </c>
      <c r="C811" t="s">
        <v>2109</v>
      </c>
      <c r="D811" t="s">
        <v>2103</v>
      </c>
      <c r="E811" s="183">
        <v>49.01</v>
      </c>
    </row>
    <row r="812" spans="1:5" ht="14.25">
      <c r="A812">
        <v>11917</v>
      </c>
      <c r="B812" t="s">
        <v>13363</v>
      </c>
      <c r="C812" t="s">
        <v>2109</v>
      </c>
      <c r="D812" t="s">
        <v>2103</v>
      </c>
      <c r="E812" s="183">
        <v>11.98</v>
      </c>
    </row>
    <row r="813" spans="1:5" ht="14.25">
      <c r="A813">
        <v>11918</v>
      </c>
      <c r="B813" t="s">
        <v>13364</v>
      </c>
      <c r="C813" t="s">
        <v>2109</v>
      </c>
      <c r="D813" t="s">
        <v>2103</v>
      </c>
      <c r="E813" s="183">
        <v>14.21</v>
      </c>
    </row>
    <row r="814" spans="1:5" ht="14.25">
      <c r="A814">
        <v>37734</v>
      </c>
      <c r="B814" t="s">
        <v>13365</v>
      </c>
      <c r="C814" t="s">
        <v>2102</v>
      </c>
      <c r="D814" t="s">
        <v>2103</v>
      </c>
      <c r="E814" s="184">
        <v>70788.460000000006</v>
      </c>
    </row>
    <row r="815" spans="1:5" ht="14.25">
      <c r="A815">
        <v>42251</v>
      </c>
      <c r="B815" t="s">
        <v>13366</v>
      </c>
      <c r="C815" t="s">
        <v>2102</v>
      </c>
      <c r="D815" t="s">
        <v>2103</v>
      </c>
      <c r="E815" s="184">
        <v>80384.61</v>
      </c>
    </row>
    <row r="816" spans="1:5" ht="14.25">
      <c r="A816">
        <v>37733</v>
      </c>
      <c r="B816" t="s">
        <v>13367</v>
      </c>
      <c r="C816" t="s">
        <v>2102</v>
      </c>
      <c r="D816" t="s">
        <v>2103</v>
      </c>
      <c r="E816" s="184">
        <v>53076.92</v>
      </c>
    </row>
    <row r="817" spans="1:5" ht="14.25">
      <c r="A817">
        <v>37735</v>
      </c>
      <c r="B817" t="s">
        <v>13368</v>
      </c>
      <c r="C817" t="s">
        <v>2102</v>
      </c>
      <c r="D817" t="s">
        <v>2103</v>
      </c>
      <c r="E817" s="184">
        <v>63957.69</v>
      </c>
    </row>
    <row r="818" spans="1:5" ht="14.25">
      <c r="A818">
        <v>5090</v>
      </c>
      <c r="B818" t="s">
        <v>13369</v>
      </c>
      <c r="C818" t="s">
        <v>2102</v>
      </c>
      <c r="D818" t="s">
        <v>2107</v>
      </c>
      <c r="E818" s="183">
        <v>19.48</v>
      </c>
    </row>
    <row r="819" spans="1:5" ht="14.25">
      <c r="A819">
        <v>5085</v>
      </c>
      <c r="B819" t="s">
        <v>13370</v>
      </c>
      <c r="C819" t="s">
        <v>2102</v>
      </c>
      <c r="D819" t="s">
        <v>2103</v>
      </c>
      <c r="E819" s="183">
        <v>29</v>
      </c>
    </row>
    <row r="820" spans="1:5" ht="14.25">
      <c r="A820">
        <v>43603</v>
      </c>
      <c r="B820" t="s">
        <v>13371</v>
      </c>
      <c r="C820" t="s">
        <v>2102</v>
      </c>
      <c r="D820" t="s">
        <v>2103</v>
      </c>
      <c r="E820" s="183">
        <v>41.43</v>
      </c>
    </row>
    <row r="821" spans="1:5" ht="14.25">
      <c r="A821">
        <v>38374</v>
      </c>
      <c r="B821" t="s">
        <v>13372</v>
      </c>
      <c r="C821" t="s">
        <v>2102</v>
      </c>
      <c r="D821" t="s">
        <v>2103</v>
      </c>
      <c r="E821" s="184">
        <v>1093.03</v>
      </c>
    </row>
    <row r="822" spans="1:5" ht="14.25">
      <c r="A822">
        <v>20212</v>
      </c>
      <c r="B822" t="s">
        <v>18205</v>
      </c>
      <c r="C822" t="s">
        <v>2109</v>
      </c>
      <c r="D822" t="s">
        <v>2103</v>
      </c>
      <c r="E822" s="183">
        <v>22.47</v>
      </c>
    </row>
    <row r="823" spans="1:5" ht="14.25">
      <c r="A823">
        <v>20209</v>
      </c>
      <c r="B823" t="s">
        <v>18206</v>
      </c>
      <c r="C823" t="s">
        <v>2109</v>
      </c>
      <c r="D823" t="s">
        <v>2103</v>
      </c>
      <c r="E823" s="183">
        <v>26.84</v>
      </c>
    </row>
    <row r="824" spans="1:5" ht="14.25">
      <c r="A824">
        <v>4430</v>
      </c>
      <c r="B824" t="s">
        <v>18207</v>
      </c>
      <c r="C824" t="s">
        <v>2109</v>
      </c>
      <c r="D824" t="s">
        <v>2107</v>
      </c>
      <c r="E824" s="183">
        <v>13.15</v>
      </c>
    </row>
    <row r="825" spans="1:5" ht="14.25">
      <c r="A825">
        <v>4433</v>
      </c>
      <c r="B825" t="s">
        <v>18208</v>
      </c>
      <c r="C825" t="s">
        <v>2109</v>
      </c>
      <c r="D825" t="s">
        <v>2103</v>
      </c>
      <c r="E825" s="183">
        <v>25.71</v>
      </c>
    </row>
    <row r="826" spans="1:5" ht="14.25">
      <c r="A826">
        <v>4400</v>
      </c>
      <c r="B826" t="s">
        <v>18209</v>
      </c>
      <c r="C826" t="s">
        <v>2109</v>
      </c>
      <c r="D826" t="s">
        <v>2103</v>
      </c>
      <c r="E826" s="183">
        <v>20.93</v>
      </c>
    </row>
    <row r="827" spans="1:5" ht="14.25">
      <c r="A827">
        <v>2729</v>
      </c>
      <c r="B827" t="s">
        <v>13373</v>
      </c>
      <c r="C827" t="s">
        <v>2102</v>
      </c>
      <c r="D827" t="s">
        <v>2105</v>
      </c>
      <c r="E827" s="183">
        <v>25.08</v>
      </c>
    </row>
    <row r="828" spans="1:5" ht="14.25">
      <c r="A828">
        <v>4513</v>
      </c>
      <c r="B828" t="s">
        <v>13374</v>
      </c>
      <c r="C828" t="s">
        <v>2109</v>
      </c>
      <c r="D828" t="s">
        <v>2103</v>
      </c>
      <c r="E828" s="183">
        <v>5.64</v>
      </c>
    </row>
    <row r="829" spans="1:5" ht="14.25">
      <c r="A829">
        <v>37106</v>
      </c>
      <c r="B829" t="s">
        <v>18210</v>
      </c>
      <c r="C829" t="s">
        <v>2102</v>
      </c>
      <c r="D829" t="s">
        <v>2103</v>
      </c>
      <c r="E829" s="184">
        <v>5048.66</v>
      </c>
    </row>
    <row r="830" spans="1:5" ht="14.25">
      <c r="A830">
        <v>11869</v>
      </c>
      <c r="B830" t="s">
        <v>18211</v>
      </c>
      <c r="C830" t="s">
        <v>2102</v>
      </c>
      <c r="D830" t="s">
        <v>2103</v>
      </c>
      <c r="E830" s="184">
        <v>1009.73</v>
      </c>
    </row>
    <row r="831" spans="1:5" ht="14.25">
      <c r="A831">
        <v>43981</v>
      </c>
      <c r="B831" t="s">
        <v>18212</v>
      </c>
      <c r="C831" t="s">
        <v>2102</v>
      </c>
      <c r="D831" t="s">
        <v>2103</v>
      </c>
      <c r="E831" s="184">
        <v>7608.28</v>
      </c>
    </row>
    <row r="832" spans="1:5" ht="14.25">
      <c r="A832">
        <v>37104</v>
      </c>
      <c r="B832" t="s">
        <v>18213</v>
      </c>
      <c r="C832" t="s">
        <v>2102</v>
      </c>
      <c r="D832" t="s">
        <v>2103</v>
      </c>
      <c r="E832" s="184">
        <v>1267.23</v>
      </c>
    </row>
    <row r="833" spans="1:5" ht="14.25">
      <c r="A833">
        <v>43982</v>
      </c>
      <c r="B833" t="s">
        <v>18214</v>
      </c>
      <c r="C833" t="s">
        <v>2102</v>
      </c>
      <c r="D833" t="s">
        <v>2103</v>
      </c>
      <c r="E833" s="184">
        <v>12019.17</v>
      </c>
    </row>
    <row r="834" spans="1:5" ht="14.25">
      <c r="A834">
        <v>43978</v>
      </c>
      <c r="B834" t="s">
        <v>18215</v>
      </c>
      <c r="C834" t="s">
        <v>2102</v>
      </c>
      <c r="D834" t="s">
        <v>2103</v>
      </c>
      <c r="E834" s="184">
        <v>1878.01</v>
      </c>
    </row>
    <row r="835" spans="1:5" ht="14.25">
      <c r="A835">
        <v>11871</v>
      </c>
      <c r="B835" t="s">
        <v>18216</v>
      </c>
      <c r="C835" t="s">
        <v>2102</v>
      </c>
      <c r="D835" t="s">
        <v>2103</v>
      </c>
      <c r="E835" s="183">
        <v>470.68</v>
      </c>
    </row>
    <row r="836" spans="1:5" ht="14.25">
      <c r="A836">
        <v>37105</v>
      </c>
      <c r="B836" t="s">
        <v>18217</v>
      </c>
      <c r="C836" t="s">
        <v>2102</v>
      </c>
      <c r="D836" t="s">
        <v>2103</v>
      </c>
      <c r="E836" s="184">
        <v>2896.11</v>
      </c>
    </row>
    <row r="837" spans="1:5" ht="14.25">
      <c r="A837">
        <v>43980</v>
      </c>
      <c r="B837" t="s">
        <v>18218</v>
      </c>
      <c r="C837" t="s">
        <v>2102</v>
      </c>
      <c r="D837" t="s">
        <v>2103</v>
      </c>
      <c r="E837" s="184">
        <v>3606.8</v>
      </c>
    </row>
    <row r="838" spans="1:5" ht="14.25">
      <c r="A838">
        <v>43979</v>
      </c>
      <c r="B838" t="s">
        <v>18219</v>
      </c>
      <c r="C838" t="s">
        <v>2102</v>
      </c>
      <c r="D838" t="s">
        <v>2103</v>
      </c>
      <c r="E838" s="183">
        <v>677.68</v>
      </c>
    </row>
    <row r="839" spans="1:5" ht="14.25">
      <c r="A839">
        <v>11868</v>
      </c>
      <c r="B839" t="s">
        <v>18220</v>
      </c>
      <c r="C839" t="s">
        <v>2102</v>
      </c>
      <c r="D839" t="s">
        <v>2103</v>
      </c>
      <c r="E839" s="183">
        <v>655.38</v>
      </c>
    </row>
    <row r="840" spans="1:5" ht="14.25">
      <c r="A840">
        <v>34636</v>
      </c>
      <c r="B840" t="s">
        <v>18221</v>
      </c>
      <c r="C840" t="s">
        <v>2102</v>
      </c>
      <c r="D840" t="s">
        <v>2107</v>
      </c>
      <c r="E840" s="183">
        <v>465.41</v>
      </c>
    </row>
    <row r="841" spans="1:5" ht="14.25">
      <c r="A841">
        <v>34639</v>
      </c>
      <c r="B841" t="s">
        <v>18222</v>
      </c>
      <c r="C841" t="s">
        <v>2102</v>
      </c>
      <c r="D841" t="s">
        <v>2103</v>
      </c>
      <c r="E841" s="184">
        <v>1074.25</v>
      </c>
    </row>
    <row r="842" spans="1:5" ht="14.25">
      <c r="A842">
        <v>34640</v>
      </c>
      <c r="B842" t="s">
        <v>18223</v>
      </c>
      <c r="C842" t="s">
        <v>2102</v>
      </c>
      <c r="D842" t="s">
        <v>2103</v>
      </c>
      <c r="E842" s="184">
        <v>1218.57</v>
      </c>
    </row>
    <row r="843" spans="1:5" ht="14.25">
      <c r="A843">
        <v>43977</v>
      </c>
      <c r="B843" t="s">
        <v>18224</v>
      </c>
      <c r="C843" t="s">
        <v>2102</v>
      </c>
      <c r="D843" t="s">
        <v>2103</v>
      </c>
      <c r="E843" s="184">
        <v>2100.73</v>
      </c>
    </row>
    <row r="844" spans="1:5" ht="14.25">
      <c r="A844">
        <v>34637</v>
      </c>
      <c r="B844" t="s">
        <v>18225</v>
      </c>
      <c r="C844" t="s">
        <v>2102</v>
      </c>
      <c r="D844" t="s">
        <v>2103</v>
      </c>
      <c r="E844" s="183">
        <v>281.45</v>
      </c>
    </row>
    <row r="845" spans="1:5" ht="14.25">
      <c r="A845">
        <v>34638</v>
      </c>
      <c r="B845" t="s">
        <v>18226</v>
      </c>
      <c r="C845" t="s">
        <v>2102</v>
      </c>
      <c r="D845" t="s">
        <v>2103</v>
      </c>
      <c r="E845" s="183">
        <v>435.36</v>
      </c>
    </row>
    <row r="846" spans="1:5" ht="14.25">
      <c r="A846">
        <v>34641</v>
      </c>
      <c r="B846" t="s">
        <v>18227</v>
      </c>
      <c r="C846" t="s">
        <v>2102</v>
      </c>
      <c r="D846" t="s">
        <v>2103</v>
      </c>
      <c r="E846" s="183">
        <v>93.63</v>
      </c>
    </row>
    <row r="847" spans="1:5" ht="14.25">
      <c r="A847">
        <v>43434</v>
      </c>
      <c r="B847" t="s">
        <v>13375</v>
      </c>
      <c r="C847" t="s">
        <v>2102</v>
      </c>
      <c r="D847" t="s">
        <v>2103</v>
      </c>
      <c r="E847" s="183">
        <v>101.23</v>
      </c>
    </row>
    <row r="848" spans="1:5" ht="14.25">
      <c r="A848">
        <v>43435</v>
      </c>
      <c r="B848" t="s">
        <v>13376</v>
      </c>
      <c r="C848" t="s">
        <v>2102</v>
      </c>
      <c r="D848" t="s">
        <v>2103</v>
      </c>
      <c r="E848" s="183">
        <v>185.6</v>
      </c>
    </row>
    <row r="849" spans="1:5" ht="14.25">
      <c r="A849">
        <v>43436</v>
      </c>
      <c r="B849" t="s">
        <v>13377</v>
      </c>
      <c r="C849" t="s">
        <v>2102</v>
      </c>
      <c r="D849" t="s">
        <v>2103</v>
      </c>
      <c r="E849" s="183">
        <v>324.8</v>
      </c>
    </row>
    <row r="850" spans="1:5" ht="14.25">
      <c r="A850">
        <v>43437</v>
      </c>
      <c r="B850" t="s">
        <v>13378</v>
      </c>
      <c r="C850" t="s">
        <v>2102</v>
      </c>
      <c r="D850" t="s">
        <v>2103</v>
      </c>
      <c r="E850" s="183">
        <v>588.87</v>
      </c>
    </row>
    <row r="851" spans="1:5" ht="14.25">
      <c r="A851">
        <v>43438</v>
      </c>
      <c r="B851" t="s">
        <v>13379</v>
      </c>
      <c r="C851" t="s">
        <v>2102</v>
      </c>
      <c r="D851" t="s">
        <v>2103</v>
      </c>
      <c r="E851" s="184">
        <v>1054.56</v>
      </c>
    </row>
    <row r="852" spans="1:5" ht="14.25">
      <c r="A852">
        <v>41627</v>
      </c>
      <c r="B852" t="s">
        <v>13380</v>
      </c>
      <c r="C852" t="s">
        <v>2102</v>
      </c>
      <c r="D852" t="s">
        <v>2103</v>
      </c>
      <c r="E852" s="183">
        <v>156.07</v>
      </c>
    </row>
    <row r="853" spans="1:5" ht="14.25">
      <c r="A853">
        <v>41628</v>
      </c>
      <c r="B853" t="s">
        <v>13381</v>
      </c>
      <c r="C853" t="s">
        <v>2102</v>
      </c>
      <c r="D853" t="s">
        <v>2103</v>
      </c>
      <c r="E853" s="183">
        <v>286.83999999999997</v>
      </c>
    </row>
    <row r="854" spans="1:5" ht="14.25">
      <c r="A854">
        <v>41629</v>
      </c>
      <c r="B854" t="s">
        <v>13382</v>
      </c>
      <c r="C854" t="s">
        <v>2102</v>
      </c>
      <c r="D854" t="s">
        <v>2103</v>
      </c>
      <c r="E854" s="183">
        <v>364.45</v>
      </c>
    </row>
    <row r="855" spans="1:5" ht="14.25">
      <c r="A855">
        <v>43429</v>
      </c>
      <c r="B855" t="s">
        <v>13383</v>
      </c>
      <c r="C855" t="s">
        <v>2102</v>
      </c>
      <c r="D855" t="s">
        <v>2103</v>
      </c>
      <c r="E855" s="183">
        <v>80.75</v>
      </c>
    </row>
    <row r="856" spans="1:5" ht="14.25">
      <c r="A856">
        <v>43430</v>
      </c>
      <c r="B856" t="s">
        <v>13384</v>
      </c>
      <c r="C856" t="s">
        <v>2102</v>
      </c>
      <c r="D856" t="s">
        <v>2103</v>
      </c>
      <c r="E856" s="183">
        <v>134.13999999999999</v>
      </c>
    </row>
    <row r="857" spans="1:5" ht="14.25">
      <c r="A857">
        <v>43431</v>
      </c>
      <c r="B857" t="s">
        <v>13385</v>
      </c>
      <c r="C857" t="s">
        <v>2102</v>
      </c>
      <c r="D857" t="s">
        <v>2103</v>
      </c>
      <c r="E857" s="183">
        <v>259.83999999999997</v>
      </c>
    </row>
    <row r="858" spans="1:5" ht="14.25">
      <c r="A858">
        <v>43432</v>
      </c>
      <c r="B858" t="s">
        <v>13386</v>
      </c>
      <c r="C858" t="s">
        <v>2102</v>
      </c>
      <c r="D858" t="s">
        <v>2103</v>
      </c>
      <c r="E858" s="183">
        <v>539.92999999999995</v>
      </c>
    </row>
    <row r="859" spans="1:5" ht="14.25">
      <c r="A859">
        <v>43433</v>
      </c>
      <c r="B859" t="s">
        <v>13387</v>
      </c>
      <c r="C859" t="s">
        <v>2102</v>
      </c>
      <c r="D859" t="s">
        <v>2103</v>
      </c>
      <c r="E859" s="183">
        <v>851.24</v>
      </c>
    </row>
    <row r="860" spans="1:5" ht="14.25">
      <c r="A860">
        <v>43094</v>
      </c>
      <c r="B860" t="s">
        <v>13388</v>
      </c>
      <c r="C860" t="s">
        <v>2102</v>
      </c>
      <c r="D860" t="s">
        <v>2103</v>
      </c>
      <c r="E860" s="183">
        <v>218.38</v>
      </c>
    </row>
    <row r="861" spans="1:5" ht="14.25">
      <c r="A861">
        <v>43093</v>
      </c>
      <c r="B861" t="s">
        <v>13389</v>
      </c>
      <c r="C861" t="s">
        <v>2102</v>
      </c>
      <c r="D861" t="s">
        <v>2103</v>
      </c>
      <c r="E861" s="183">
        <v>232.07</v>
      </c>
    </row>
    <row r="862" spans="1:5" ht="14.25">
      <c r="A862">
        <v>11694</v>
      </c>
      <c r="B862" t="s">
        <v>18228</v>
      </c>
      <c r="C862" t="s">
        <v>2102</v>
      </c>
      <c r="D862" t="s">
        <v>2103</v>
      </c>
      <c r="E862" s="183">
        <v>999.82</v>
      </c>
    </row>
    <row r="863" spans="1:5" ht="14.25">
      <c r="A863">
        <v>1030</v>
      </c>
      <c r="B863" t="s">
        <v>18229</v>
      </c>
      <c r="C863" t="s">
        <v>2102</v>
      </c>
      <c r="D863" t="s">
        <v>2107</v>
      </c>
      <c r="E863" s="183">
        <v>45.23</v>
      </c>
    </row>
    <row r="864" spans="1:5" ht="14.25">
      <c r="A864">
        <v>11881</v>
      </c>
      <c r="B864" t="s">
        <v>13390</v>
      </c>
      <c r="C864" t="s">
        <v>2102</v>
      </c>
      <c r="D864" t="s">
        <v>2103</v>
      </c>
      <c r="E864" s="183">
        <v>143.41999999999999</v>
      </c>
    </row>
    <row r="865" spans="1:5" ht="14.25">
      <c r="A865">
        <v>35277</v>
      </c>
      <c r="B865" t="s">
        <v>13391</v>
      </c>
      <c r="C865" t="s">
        <v>2102</v>
      </c>
      <c r="D865" t="s">
        <v>2103</v>
      </c>
      <c r="E865" s="183">
        <v>392.14</v>
      </c>
    </row>
    <row r="866" spans="1:5" ht="14.25">
      <c r="A866">
        <v>10521</v>
      </c>
      <c r="B866" t="s">
        <v>13392</v>
      </c>
      <c r="C866" t="s">
        <v>2102</v>
      </c>
      <c r="D866" t="s">
        <v>2103</v>
      </c>
      <c r="E866" s="183">
        <v>391.36</v>
      </c>
    </row>
    <row r="867" spans="1:5" ht="14.25">
      <c r="A867">
        <v>10885</v>
      </c>
      <c r="B867" t="s">
        <v>13393</v>
      </c>
      <c r="C867" t="s">
        <v>2102</v>
      </c>
      <c r="D867" t="s">
        <v>2103</v>
      </c>
      <c r="E867" s="183">
        <v>495.02</v>
      </c>
    </row>
    <row r="868" spans="1:5" ht="14.25">
      <c r="A868">
        <v>20962</v>
      </c>
      <c r="B868" t="s">
        <v>13394</v>
      </c>
      <c r="C868" t="s">
        <v>2102</v>
      </c>
      <c r="D868" t="s">
        <v>2107</v>
      </c>
      <c r="E868" s="183">
        <v>410</v>
      </c>
    </row>
    <row r="869" spans="1:5" ht="14.25">
      <c r="A869">
        <v>20963</v>
      </c>
      <c r="B869" t="s">
        <v>13395</v>
      </c>
      <c r="C869" t="s">
        <v>2102</v>
      </c>
      <c r="D869" t="s">
        <v>2103</v>
      </c>
      <c r="E869" s="183">
        <v>500.85</v>
      </c>
    </row>
    <row r="870" spans="1:5" ht="14.25">
      <c r="A870">
        <v>34643</v>
      </c>
      <c r="B870" t="s">
        <v>13396</v>
      </c>
      <c r="C870" t="s">
        <v>2102</v>
      </c>
      <c r="D870" t="s">
        <v>2103</v>
      </c>
      <c r="E870" s="183">
        <v>45.16</v>
      </c>
    </row>
    <row r="871" spans="1:5" ht="14.25">
      <c r="A871">
        <v>41480</v>
      </c>
      <c r="B871" t="s">
        <v>13397</v>
      </c>
      <c r="C871" t="s">
        <v>2102</v>
      </c>
      <c r="D871" t="s">
        <v>2103</v>
      </c>
      <c r="E871" s="183">
        <v>52.36</v>
      </c>
    </row>
    <row r="872" spans="1:5" ht="14.25">
      <c r="A872">
        <v>41474</v>
      </c>
      <c r="B872" t="s">
        <v>13398</v>
      </c>
      <c r="C872" t="s">
        <v>2102</v>
      </c>
      <c r="D872" t="s">
        <v>2103</v>
      </c>
      <c r="E872" s="183">
        <v>83.65</v>
      </c>
    </row>
    <row r="873" spans="1:5" ht="14.25">
      <c r="A873">
        <v>41475</v>
      </c>
      <c r="B873" t="s">
        <v>13399</v>
      </c>
      <c r="C873" t="s">
        <v>2102</v>
      </c>
      <c r="D873" t="s">
        <v>2103</v>
      </c>
      <c r="E873" s="183">
        <v>71.37</v>
      </c>
    </row>
    <row r="874" spans="1:5" ht="14.25">
      <c r="A874">
        <v>41476</v>
      </c>
      <c r="B874" t="s">
        <v>13400</v>
      </c>
      <c r="C874" t="s">
        <v>2102</v>
      </c>
      <c r="D874" t="s">
        <v>2103</v>
      </c>
      <c r="E874" s="183">
        <v>156.27000000000001</v>
      </c>
    </row>
    <row r="875" spans="1:5" ht="14.25">
      <c r="A875">
        <v>2555</v>
      </c>
      <c r="B875" t="s">
        <v>13401</v>
      </c>
      <c r="C875" t="s">
        <v>2102</v>
      </c>
      <c r="D875" t="s">
        <v>2103</v>
      </c>
      <c r="E875" s="183">
        <v>1.69</v>
      </c>
    </row>
    <row r="876" spans="1:5" ht="14.25">
      <c r="A876">
        <v>2556</v>
      </c>
      <c r="B876" t="s">
        <v>13402</v>
      </c>
      <c r="C876" t="s">
        <v>2102</v>
      </c>
      <c r="D876" t="s">
        <v>2103</v>
      </c>
      <c r="E876" s="183">
        <v>1.75</v>
      </c>
    </row>
    <row r="877" spans="1:5" ht="14.25">
      <c r="A877">
        <v>2557</v>
      </c>
      <c r="B877" t="s">
        <v>13403</v>
      </c>
      <c r="C877" t="s">
        <v>2102</v>
      </c>
      <c r="D877" t="s">
        <v>2103</v>
      </c>
      <c r="E877" s="183">
        <v>3.7</v>
      </c>
    </row>
    <row r="878" spans="1:5" ht="14.25">
      <c r="A878">
        <v>10569</v>
      </c>
      <c r="B878" t="s">
        <v>13404</v>
      </c>
      <c r="C878" t="s">
        <v>2102</v>
      </c>
      <c r="D878" t="s">
        <v>2103</v>
      </c>
      <c r="E878" s="183">
        <v>3.7</v>
      </c>
    </row>
    <row r="879" spans="1:5" ht="14.25">
      <c r="A879">
        <v>39810</v>
      </c>
      <c r="B879" t="s">
        <v>13405</v>
      </c>
      <c r="C879" t="s">
        <v>2102</v>
      </c>
      <c r="D879" t="s">
        <v>2103</v>
      </c>
      <c r="E879" s="183">
        <v>29.47</v>
      </c>
    </row>
    <row r="880" spans="1:5" ht="14.25">
      <c r="A880">
        <v>39811</v>
      </c>
      <c r="B880" t="s">
        <v>13406</v>
      </c>
      <c r="C880" t="s">
        <v>2102</v>
      </c>
      <c r="D880" t="s">
        <v>2103</v>
      </c>
      <c r="E880" s="183">
        <v>36.049999999999997</v>
      </c>
    </row>
    <row r="881" spans="1:5" ht="14.25">
      <c r="A881">
        <v>39812</v>
      </c>
      <c r="B881" t="s">
        <v>13407</v>
      </c>
      <c r="C881" t="s">
        <v>2102</v>
      </c>
      <c r="D881" t="s">
        <v>2103</v>
      </c>
      <c r="E881" s="183">
        <v>59.27</v>
      </c>
    </row>
    <row r="882" spans="1:5" ht="14.25">
      <c r="A882">
        <v>43096</v>
      </c>
      <c r="B882" t="s">
        <v>13408</v>
      </c>
      <c r="C882" t="s">
        <v>2102</v>
      </c>
      <c r="D882" t="s">
        <v>2103</v>
      </c>
      <c r="E882" s="183">
        <v>196.47</v>
      </c>
    </row>
    <row r="883" spans="1:5" ht="14.25">
      <c r="A883">
        <v>43102</v>
      </c>
      <c r="B883" t="s">
        <v>13409</v>
      </c>
      <c r="C883" t="s">
        <v>2102</v>
      </c>
      <c r="D883" t="s">
        <v>2103</v>
      </c>
      <c r="E883" s="183">
        <v>119.46</v>
      </c>
    </row>
    <row r="884" spans="1:5" ht="14.25">
      <c r="A884">
        <v>43103</v>
      </c>
      <c r="B884" t="s">
        <v>13410</v>
      </c>
      <c r="C884" t="s">
        <v>2102</v>
      </c>
      <c r="D884" t="s">
        <v>2103</v>
      </c>
      <c r="E884" s="183">
        <v>175.91</v>
      </c>
    </row>
    <row r="885" spans="1:5" ht="14.25">
      <c r="A885">
        <v>43098</v>
      </c>
      <c r="B885" t="s">
        <v>13411</v>
      </c>
      <c r="C885" t="s">
        <v>2102</v>
      </c>
      <c r="D885" t="s">
        <v>2103</v>
      </c>
      <c r="E885" s="183">
        <v>66.55</v>
      </c>
    </row>
    <row r="886" spans="1:5" ht="14.25">
      <c r="A886">
        <v>43097</v>
      </c>
      <c r="B886" t="s">
        <v>13412</v>
      </c>
      <c r="C886" t="s">
        <v>2102</v>
      </c>
      <c r="D886" t="s">
        <v>2103</v>
      </c>
      <c r="E886" s="183">
        <v>39.43</v>
      </c>
    </row>
    <row r="887" spans="1:5" ht="14.25">
      <c r="A887">
        <v>43104</v>
      </c>
      <c r="B887" t="s">
        <v>13413</v>
      </c>
      <c r="C887" t="s">
        <v>2102</v>
      </c>
      <c r="D887" t="s">
        <v>2103</v>
      </c>
      <c r="E887" s="183">
        <v>466.4</v>
      </c>
    </row>
    <row r="888" spans="1:5" ht="14.25">
      <c r="A888">
        <v>39771</v>
      </c>
      <c r="B888" t="s">
        <v>13414</v>
      </c>
      <c r="C888" t="s">
        <v>2102</v>
      </c>
      <c r="D888" t="s">
        <v>2103</v>
      </c>
      <c r="E888" s="183">
        <v>35.54</v>
      </c>
    </row>
    <row r="889" spans="1:5" ht="14.25">
      <c r="A889">
        <v>39772</v>
      </c>
      <c r="B889" t="s">
        <v>13415</v>
      </c>
      <c r="C889" t="s">
        <v>2102</v>
      </c>
      <c r="D889" t="s">
        <v>2103</v>
      </c>
      <c r="E889" s="183">
        <v>69.849999999999994</v>
      </c>
    </row>
    <row r="890" spans="1:5" ht="14.25">
      <c r="A890">
        <v>39773</v>
      </c>
      <c r="B890" t="s">
        <v>13416</v>
      </c>
      <c r="C890" t="s">
        <v>2102</v>
      </c>
      <c r="D890" t="s">
        <v>2103</v>
      </c>
      <c r="E890" s="183">
        <v>112.27</v>
      </c>
    </row>
    <row r="891" spans="1:5" ht="14.25">
      <c r="A891">
        <v>39774</v>
      </c>
      <c r="B891" t="s">
        <v>13417</v>
      </c>
      <c r="C891" t="s">
        <v>2102</v>
      </c>
      <c r="D891" t="s">
        <v>2103</v>
      </c>
      <c r="E891" s="183">
        <v>167.93</v>
      </c>
    </row>
    <row r="892" spans="1:5" ht="14.25">
      <c r="A892">
        <v>39775</v>
      </c>
      <c r="B892" t="s">
        <v>13418</v>
      </c>
      <c r="C892" t="s">
        <v>2102</v>
      </c>
      <c r="D892" t="s">
        <v>2103</v>
      </c>
      <c r="E892" s="183">
        <v>224.13</v>
      </c>
    </row>
    <row r="893" spans="1:5" ht="14.25">
      <c r="A893">
        <v>39776</v>
      </c>
      <c r="B893" t="s">
        <v>13419</v>
      </c>
      <c r="C893" t="s">
        <v>2102</v>
      </c>
      <c r="D893" t="s">
        <v>2103</v>
      </c>
      <c r="E893" s="183">
        <v>270.87</v>
      </c>
    </row>
    <row r="894" spans="1:5" ht="14.25">
      <c r="A894">
        <v>39777</v>
      </c>
      <c r="B894" t="s">
        <v>13420</v>
      </c>
      <c r="C894" t="s">
        <v>2102</v>
      </c>
      <c r="D894" t="s">
        <v>2103</v>
      </c>
      <c r="E894" s="183">
        <v>343.31</v>
      </c>
    </row>
    <row r="895" spans="1:5" ht="14.25">
      <c r="A895">
        <v>20254</v>
      </c>
      <c r="B895" t="s">
        <v>13421</v>
      </c>
      <c r="C895" t="s">
        <v>2102</v>
      </c>
      <c r="D895" t="s">
        <v>2103</v>
      </c>
      <c r="E895" s="183">
        <v>24.92</v>
      </c>
    </row>
    <row r="896" spans="1:5" ht="14.25">
      <c r="A896">
        <v>20253</v>
      </c>
      <c r="B896" t="s">
        <v>13422</v>
      </c>
      <c r="C896" t="s">
        <v>2102</v>
      </c>
      <c r="D896" t="s">
        <v>2103</v>
      </c>
      <c r="E896" s="183">
        <v>81.83</v>
      </c>
    </row>
    <row r="897" spans="1:5" ht="14.25">
      <c r="A897">
        <v>11247</v>
      </c>
      <c r="B897" t="s">
        <v>13423</v>
      </c>
      <c r="C897" t="s">
        <v>2102</v>
      </c>
      <c r="D897" t="s">
        <v>2103</v>
      </c>
      <c r="E897" s="184">
        <v>1573.41</v>
      </c>
    </row>
    <row r="898" spans="1:5" ht="14.25">
      <c r="A898">
        <v>11250</v>
      </c>
      <c r="B898" t="s">
        <v>13424</v>
      </c>
      <c r="C898" t="s">
        <v>2102</v>
      </c>
      <c r="D898" t="s">
        <v>2103</v>
      </c>
      <c r="E898" s="183">
        <v>67.739999999999995</v>
      </c>
    </row>
    <row r="899" spans="1:5" ht="14.25">
      <c r="A899">
        <v>11249</v>
      </c>
      <c r="B899" t="s">
        <v>13425</v>
      </c>
      <c r="C899" t="s">
        <v>2102</v>
      </c>
      <c r="D899" t="s">
        <v>2103</v>
      </c>
      <c r="E899" s="184">
        <v>3073.42</v>
      </c>
    </row>
    <row r="900" spans="1:5" ht="14.25">
      <c r="A900">
        <v>11251</v>
      </c>
      <c r="B900" t="s">
        <v>13426</v>
      </c>
      <c r="C900" t="s">
        <v>2102</v>
      </c>
      <c r="D900" t="s">
        <v>2103</v>
      </c>
      <c r="E900" s="183">
        <v>150.04</v>
      </c>
    </row>
    <row r="901" spans="1:5" ht="14.25">
      <c r="A901">
        <v>11253</v>
      </c>
      <c r="B901" t="s">
        <v>13427</v>
      </c>
      <c r="C901" t="s">
        <v>2102</v>
      </c>
      <c r="D901" t="s">
        <v>2103</v>
      </c>
      <c r="E901" s="183">
        <v>248.63</v>
      </c>
    </row>
    <row r="902" spans="1:5" ht="14.25">
      <c r="A902">
        <v>11255</v>
      </c>
      <c r="B902" t="s">
        <v>13428</v>
      </c>
      <c r="C902" t="s">
        <v>2102</v>
      </c>
      <c r="D902" t="s">
        <v>2103</v>
      </c>
      <c r="E902" s="183">
        <v>371.7</v>
      </c>
    </row>
    <row r="903" spans="1:5" ht="14.25">
      <c r="A903">
        <v>14055</v>
      </c>
      <c r="B903" t="s">
        <v>13429</v>
      </c>
      <c r="C903" t="s">
        <v>2102</v>
      </c>
      <c r="D903" t="s">
        <v>2103</v>
      </c>
      <c r="E903" s="183">
        <v>747.74</v>
      </c>
    </row>
    <row r="904" spans="1:5" ht="14.25">
      <c r="A904">
        <v>11256</v>
      </c>
      <c r="B904" t="s">
        <v>13430</v>
      </c>
      <c r="C904" t="s">
        <v>2102</v>
      </c>
      <c r="D904" t="s">
        <v>2103</v>
      </c>
      <c r="E904" s="183">
        <v>465.6</v>
      </c>
    </row>
    <row r="905" spans="1:5" ht="14.25">
      <c r="A905">
        <v>1872</v>
      </c>
      <c r="B905" t="s">
        <v>13431</v>
      </c>
      <c r="C905" t="s">
        <v>2102</v>
      </c>
      <c r="D905" t="s">
        <v>2103</v>
      </c>
      <c r="E905" s="183">
        <v>2.5299999999999998</v>
      </c>
    </row>
    <row r="906" spans="1:5" ht="14.25">
      <c r="A906">
        <v>1873</v>
      </c>
      <c r="B906" t="s">
        <v>13432</v>
      </c>
      <c r="C906" t="s">
        <v>2102</v>
      </c>
      <c r="D906" t="s">
        <v>2103</v>
      </c>
      <c r="E906" s="183">
        <v>5.04</v>
      </c>
    </row>
    <row r="907" spans="1:5" ht="14.25">
      <c r="A907">
        <v>39693</v>
      </c>
      <c r="B907" t="s">
        <v>13433</v>
      </c>
      <c r="C907" t="s">
        <v>2102</v>
      </c>
      <c r="D907" t="s">
        <v>2103</v>
      </c>
      <c r="E907" s="184">
        <v>2924.18</v>
      </c>
    </row>
    <row r="908" spans="1:5" ht="14.25">
      <c r="A908">
        <v>39692</v>
      </c>
      <c r="B908" t="s">
        <v>13434</v>
      </c>
      <c r="C908" t="s">
        <v>2102</v>
      </c>
      <c r="D908" t="s">
        <v>2103</v>
      </c>
      <c r="E908" s="183">
        <v>935.67</v>
      </c>
    </row>
    <row r="909" spans="1:5" ht="14.25">
      <c r="A909">
        <v>1062</v>
      </c>
      <c r="B909" t="s">
        <v>13435</v>
      </c>
      <c r="C909" t="s">
        <v>2102</v>
      </c>
      <c r="D909" t="s">
        <v>2103</v>
      </c>
      <c r="E909" s="183">
        <v>296.52999999999997</v>
      </c>
    </row>
    <row r="910" spans="1:5" ht="14.25">
      <c r="A910">
        <v>39686</v>
      </c>
      <c r="B910" t="s">
        <v>13436</v>
      </c>
      <c r="C910" t="s">
        <v>2102</v>
      </c>
      <c r="D910" t="s">
        <v>2103</v>
      </c>
      <c r="E910" s="183">
        <v>480.14</v>
      </c>
    </row>
    <row r="911" spans="1:5" ht="14.25">
      <c r="A911">
        <v>43095</v>
      </c>
      <c r="B911" t="s">
        <v>13437</v>
      </c>
      <c r="C911" t="s">
        <v>2102</v>
      </c>
      <c r="D911" t="s">
        <v>2103</v>
      </c>
      <c r="E911" s="183">
        <v>129.46</v>
      </c>
    </row>
    <row r="912" spans="1:5" ht="14.25">
      <c r="A912">
        <v>1871</v>
      </c>
      <c r="B912" t="s">
        <v>13438</v>
      </c>
      <c r="C912" t="s">
        <v>2102</v>
      </c>
      <c r="D912" t="s">
        <v>2103</v>
      </c>
      <c r="E912" s="183">
        <v>4.53</v>
      </c>
    </row>
    <row r="913" spans="1:5" ht="14.25">
      <c r="A913">
        <v>12001</v>
      </c>
      <c r="B913" t="s">
        <v>13439</v>
      </c>
      <c r="C913" t="s">
        <v>2102</v>
      </c>
      <c r="D913" t="s">
        <v>2103</v>
      </c>
      <c r="E913" s="183">
        <v>6.55</v>
      </c>
    </row>
    <row r="914" spans="1:5" ht="14.25">
      <c r="A914">
        <v>11882</v>
      </c>
      <c r="B914" t="s">
        <v>13440</v>
      </c>
      <c r="C914" t="s">
        <v>2102</v>
      </c>
      <c r="D914" t="s">
        <v>2103</v>
      </c>
      <c r="E914" s="183">
        <v>102.92</v>
      </c>
    </row>
    <row r="915" spans="1:5" ht="14.25">
      <c r="A915">
        <v>1068</v>
      </c>
      <c r="B915" t="s">
        <v>13441</v>
      </c>
      <c r="C915" t="s">
        <v>2102</v>
      </c>
      <c r="D915" t="s">
        <v>2103</v>
      </c>
      <c r="E915" s="184">
        <v>1955.92</v>
      </c>
    </row>
    <row r="916" spans="1:5" ht="14.25">
      <c r="A916">
        <v>39690</v>
      </c>
      <c r="B916" t="s">
        <v>13442</v>
      </c>
      <c r="C916" t="s">
        <v>2102</v>
      </c>
      <c r="D916" t="s">
        <v>2103</v>
      </c>
      <c r="E916" s="184">
        <v>3281.39</v>
      </c>
    </row>
    <row r="917" spans="1:5" ht="14.25">
      <c r="A917">
        <v>39691</v>
      </c>
      <c r="B917" t="s">
        <v>13443</v>
      </c>
      <c r="C917" t="s">
        <v>2102</v>
      </c>
      <c r="D917" t="s">
        <v>2103</v>
      </c>
      <c r="E917" s="184">
        <v>4127.07</v>
      </c>
    </row>
    <row r="918" spans="1:5" ht="14.25">
      <c r="A918">
        <v>39808</v>
      </c>
      <c r="B918" t="s">
        <v>13444</v>
      </c>
      <c r="C918" t="s">
        <v>2102</v>
      </c>
      <c r="D918" t="s">
        <v>2103</v>
      </c>
      <c r="E918" s="183">
        <v>67.59</v>
      </c>
    </row>
    <row r="919" spans="1:5" ht="14.25">
      <c r="A919">
        <v>39809</v>
      </c>
      <c r="B919" t="s">
        <v>13445</v>
      </c>
      <c r="C919" t="s">
        <v>2102</v>
      </c>
      <c r="D919" t="s">
        <v>2103</v>
      </c>
      <c r="E919" s="183">
        <v>160.32</v>
      </c>
    </row>
    <row r="920" spans="1:5" ht="14.25">
      <c r="A920">
        <v>43439</v>
      </c>
      <c r="B920" t="s">
        <v>13446</v>
      </c>
      <c r="C920" t="s">
        <v>2102</v>
      </c>
      <c r="D920" t="s">
        <v>2103</v>
      </c>
      <c r="E920" s="183">
        <v>472.44</v>
      </c>
    </row>
    <row r="921" spans="1:5" ht="14.25">
      <c r="A921">
        <v>5103</v>
      </c>
      <c r="B921" t="s">
        <v>13447</v>
      </c>
      <c r="C921" t="s">
        <v>2102</v>
      </c>
      <c r="D921" t="s">
        <v>2103</v>
      </c>
      <c r="E921" s="183">
        <v>24.82</v>
      </c>
    </row>
    <row r="922" spans="1:5" ht="14.25">
      <c r="A922">
        <v>11880</v>
      </c>
      <c r="B922" t="s">
        <v>13448</v>
      </c>
      <c r="C922" t="s">
        <v>2102</v>
      </c>
      <c r="D922" t="s">
        <v>2103</v>
      </c>
      <c r="E922" s="183">
        <v>104.42</v>
      </c>
    </row>
    <row r="923" spans="1:5" ht="14.25">
      <c r="A923">
        <v>11714</v>
      </c>
      <c r="B923" t="s">
        <v>13449</v>
      </c>
      <c r="C923" t="s">
        <v>2102</v>
      </c>
      <c r="D923" t="s">
        <v>2103</v>
      </c>
      <c r="E923" s="183">
        <v>71.13</v>
      </c>
    </row>
    <row r="924" spans="1:5" ht="14.25">
      <c r="A924">
        <v>11712</v>
      </c>
      <c r="B924" t="s">
        <v>13450</v>
      </c>
      <c r="C924" t="s">
        <v>2102</v>
      </c>
      <c r="D924" t="s">
        <v>2107</v>
      </c>
      <c r="E924" s="183">
        <v>46.45</v>
      </c>
    </row>
    <row r="925" spans="1:5" ht="14.25">
      <c r="A925">
        <v>11717</v>
      </c>
      <c r="B925" t="s">
        <v>13451</v>
      </c>
      <c r="C925" t="s">
        <v>2102</v>
      </c>
      <c r="D925" t="s">
        <v>2103</v>
      </c>
      <c r="E925" s="183">
        <v>55.99</v>
      </c>
    </row>
    <row r="926" spans="1:5" ht="14.25">
      <c r="A926">
        <v>1106</v>
      </c>
      <c r="B926" t="s">
        <v>13452</v>
      </c>
      <c r="C926" t="s">
        <v>2110</v>
      </c>
      <c r="D926" t="s">
        <v>2107</v>
      </c>
      <c r="E926" s="183">
        <v>1.0900000000000001</v>
      </c>
    </row>
    <row r="927" spans="1:5" ht="14.25">
      <c r="A927">
        <v>11161</v>
      </c>
      <c r="B927" t="s">
        <v>13453</v>
      </c>
      <c r="C927" t="s">
        <v>2110</v>
      </c>
      <c r="D927" t="s">
        <v>2103</v>
      </c>
      <c r="E927" s="183">
        <v>1.82</v>
      </c>
    </row>
    <row r="928" spans="1:5" ht="14.25">
      <c r="A928">
        <v>1107</v>
      </c>
      <c r="B928" t="s">
        <v>13454</v>
      </c>
      <c r="C928" t="s">
        <v>2110</v>
      </c>
      <c r="D928" t="s">
        <v>2103</v>
      </c>
      <c r="E928" s="183">
        <v>0.92</v>
      </c>
    </row>
    <row r="929" spans="1:5" ht="14.25">
      <c r="A929">
        <v>44479</v>
      </c>
      <c r="B929" t="s">
        <v>13455</v>
      </c>
      <c r="C929" t="s">
        <v>2110</v>
      </c>
      <c r="D929" t="s">
        <v>2103</v>
      </c>
      <c r="E929" s="183">
        <v>0.21</v>
      </c>
    </row>
    <row r="930" spans="1:5" ht="14.25">
      <c r="A930">
        <v>4759</v>
      </c>
      <c r="B930" t="s">
        <v>18230</v>
      </c>
      <c r="C930" t="s">
        <v>2106</v>
      </c>
      <c r="D930" t="s">
        <v>2103</v>
      </c>
      <c r="E930" s="183">
        <v>17.12</v>
      </c>
    </row>
    <row r="931" spans="1:5" ht="14.25">
      <c r="A931">
        <v>41068</v>
      </c>
      <c r="B931" t="s">
        <v>18231</v>
      </c>
      <c r="C931" t="s">
        <v>2123</v>
      </c>
      <c r="D931" t="s">
        <v>2103</v>
      </c>
      <c r="E931" s="184">
        <v>3005.28</v>
      </c>
    </row>
    <row r="932" spans="1:5" ht="14.25">
      <c r="A932">
        <v>12618</v>
      </c>
      <c r="B932" t="s">
        <v>18232</v>
      </c>
      <c r="C932" t="s">
        <v>2102</v>
      </c>
      <c r="D932" t="s">
        <v>2103</v>
      </c>
      <c r="E932" s="183">
        <v>205.47</v>
      </c>
    </row>
    <row r="933" spans="1:5" ht="14.25">
      <c r="A933">
        <v>1108</v>
      </c>
      <c r="B933" t="s">
        <v>13456</v>
      </c>
      <c r="C933" t="s">
        <v>2109</v>
      </c>
      <c r="D933" t="s">
        <v>2103</v>
      </c>
      <c r="E933" s="183">
        <v>31.89</v>
      </c>
    </row>
    <row r="934" spans="1:5" ht="14.25">
      <c r="A934">
        <v>1117</v>
      </c>
      <c r="B934" t="s">
        <v>13457</v>
      </c>
      <c r="C934" t="s">
        <v>2109</v>
      </c>
      <c r="D934" t="s">
        <v>2103</v>
      </c>
      <c r="E934" s="183">
        <v>32.15</v>
      </c>
    </row>
    <row r="935" spans="1:5" ht="14.25">
      <c r="A935">
        <v>1118</v>
      </c>
      <c r="B935" t="s">
        <v>13458</v>
      </c>
      <c r="C935" t="s">
        <v>2109</v>
      </c>
      <c r="D935" t="s">
        <v>2103</v>
      </c>
      <c r="E935" s="183">
        <v>37.99</v>
      </c>
    </row>
    <row r="936" spans="1:5" ht="14.25">
      <c r="A936">
        <v>1110</v>
      </c>
      <c r="B936" t="s">
        <v>13459</v>
      </c>
      <c r="C936" t="s">
        <v>2109</v>
      </c>
      <c r="D936" t="s">
        <v>2103</v>
      </c>
      <c r="E936" s="183">
        <v>37.99</v>
      </c>
    </row>
    <row r="937" spans="1:5" ht="14.25">
      <c r="A937">
        <v>40784</v>
      </c>
      <c r="B937" t="s">
        <v>13460</v>
      </c>
      <c r="C937" t="s">
        <v>2109</v>
      </c>
      <c r="D937" t="s">
        <v>2103</v>
      </c>
      <c r="E937" s="183">
        <v>104.8</v>
      </c>
    </row>
    <row r="938" spans="1:5" ht="14.25">
      <c r="A938">
        <v>40782</v>
      </c>
      <c r="B938" t="s">
        <v>13461</v>
      </c>
      <c r="C938" t="s">
        <v>2109</v>
      </c>
      <c r="D938" t="s">
        <v>2103</v>
      </c>
      <c r="E938" s="183">
        <v>41.12</v>
      </c>
    </row>
    <row r="939" spans="1:5" ht="14.25">
      <c r="A939">
        <v>40783</v>
      </c>
      <c r="B939" t="s">
        <v>13462</v>
      </c>
      <c r="C939" t="s">
        <v>2109</v>
      </c>
      <c r="D939" t="s">
        <v>2103</v>
      </c>
      <c r="E939" s="183">
        <v>53.57</v>
      </c>
    </row>
    <row r="940" spans="1:5" ht="14.25">
      <c r="A940">
        <v>1109</v>
      </c>
      <c r="B940" t="s">
        <v>13463</v>
      </c>
      <c r="C940" t="s">
        <v>2109</v>
      </c>
      <c r="D940" t="s">
        <v>2103</v>
      </c>
      <c r="E940" s="183">
        <v>31.89</v>
      </c>
    </row>
    <row r="941" spans="1:5" ht="14.25">
      <c r="A941">
        <v>1119</v>
      </c>
      <c r="B941" t="s">
        <v>13464</v>
      </c>
      <c r="C941" t="s">
        <v>2109</v>
      </c>
      <c r="D941" t="s">
        <v>2103</v>
      </c>
      <c r="E941" s="183">
        <v>20.56</v>
      </c>
    </row>
    <row r="942" spans="1:5" ht="14.25">
      <c r="A942">
        <v>13115</v>
      </c>
      <c r="B942" t="s">
        <v>13465</v>
      </c>
      <c r="C942" t="s">
        <v>2109</v>
      </c>
      <c r="D942" t="s">
        <v>2105</v>
      </c>
      <c r="E942" s="183">
        <v>25.13</v>
      </c>
    </row>
    <row r="943" spans="1:5" ht="14.25">
      <c r="A943">
        <v>10541</v>
      </c>
      <c r="B943" t="s">
        <v>13466</v>
      </c>
      <c r="C943" t="s">
        <v>2109</v>
      </c>
      <c r="D943" t="s">
        <v>2105</v>
      </c>
      <c r="E943" s="183">
        <v>30.71</v>
      </c>
    </row>
    <row r="944" spans="1:5" ht="14.25">
      <c r="A944">
        <v>10542</v>
      </c>
      <c r="B944" t="s">
        <v>13467</v>
      </c>
      <c r="C944" t="s">
        <v>2109</v>
      </c>
      <c r="D944" t="s">
        <v>2105</v>
      </c>
      <c r="E944" s="183">
        <v>40.159999999999997</v>
      </c>
    </row>
    <row r="945" spans="1:5" ht="14.25">
      <c r="A945">
        <v>10543</v>
      </c>
      <c r="B945" t="s">
        <v>13468</v>
      </c>
      <c r="C945" t="s">
        <v>2109</v>
      </c>
      <c r="D945" t="s">
        <v>2105</v>
      </c>
      <c r="E945" s="183">
        <v>65.16</v>
      </c>
    </row>
    <row r="946" spans="1:5" ht="14.25">
      <c r="A946">
        <v>10544</v>
      </c>
      <c r="B946" t="s">
        <v>13469</v>
      </c>
      <c r="C946" t="s">
        <v>2109</v>
      </c>
      <c r="D946" t="s">
        <v>2105</v>
      </c>
      <c r="E946" s="183">
        <v>84.28</v>
      </c>
    </row>
    <row r="947" spans="1:5" ht="14.25">
      <c r="A947">
        <v>10545</v>
      </c>
      <c r="B947" t="s">
        <v>13470</v>
      </c>
      <c r="C947" t="s">
        <v>2109</v>
      </c>
      <c r="D947" t="s">
        <v>2105</v>
      </c>
      <c r="E947" s="183">
        <v>157.51</v>
      </c>
    </row>
    <row r="948" spans="1:5" ht="14.25">
      <c r="A948">
        <v>38365</v>
      </c>
      <c r="B948" t="s">
        <v>13471</v>
      </c>
      <c r="C948" t="s">
        <v>2104</v>
      </c>
      <c r="D948" t="s">
        <v>2103</v>
      </c>
      <c r="E948" s="183">
        <v>2.39</v>
      </c>
    </row>
    <row r="949" spans="1:5" ht="14.25">
      <c r="A949">
        <v>44056</v>
      </c>
      <c r="B949" t="s">
        <v>15194</v>
      </c>
      <c r="C949" t="s">
        <v>2102</v>
      </c>
      <c r="D949" t="s">
        <v>2103</v>
      </c>
      <c r="E949" s="184">
        <v>452072.05</v>
      </c>
    </row>
    <row r="950" spans="1:5" ht="14.25">
      <c r="A950">
        <v>44057</v>
      </c>
      <c r="B950" t="s">
        <v>15195</v>
      </c>
      <c r="C950" t="s">
        <v>2102</v>
      </c>
      <c r="D950" t="s">
        <v>2107</v>
      </c>
      <c r="E950" s="184">
        <v>482500</v>
      </c>
    </row>
    <row r="951" spans="1:5" ht="14.25">
      <c r="A951">
        <v>37754</v>
      </c>
      <c r="B951" t="s">
        <v>15196</v>
      </c>
      <c r="C951" t="s">
        <v>2102</v>
      </c>
      <c r="D951" t="s">
        <v>2103</v>
      </c>
      <c r="E951" s="184">
        <v>498844.15</v>
      </c>
    </row>
    <row r="952" spans="1:5" ht="14.25">
      <c r="A952">
        <v>37757</v>
      </c>
      <c r="B952" t="s">
        <v>15197</v>
      </c>
      <c r="C952" t="s">
        <v>2102</v>
      </c>
      <c r="D952" t="s">
        <v>2103</v>
      </c>
      <c r="E952" s="184">
        <v>556396.41</v>
      </c>
    </row>
    <row r="953" spans="1:5" ht="14.25">
      <c r="A953">
        <v>44058</v>
      </c>
      <c r="B953" t="s">
        <v>15198</v>
      </c>
      <c r="C953" t="s">
        <v>2102</v>
      </c>
      <c r="D953" t="s">
        <v>2103</v>
      </c>
      <c r="E953" s="184">
        <v>525968.47</v>
      </c>
    </row>
    <row r="954" spans="1:5" ht="14.25">
      <c r="A954">
        <v>37752</v>
      </c>
      <c r="B954" t="s">
        <v>15199</v>
      </c>
      <c r="C954" t="s">
        <v>2102</v>
      </c>
      <c r="D954" t="s">
        <v>2103</v>
      </c>
      <c r="E954" s="184">
        <v>547702.68000000005</v>
      </c>
    </row>
    <row r="955" spans="1:5" ht="14.25">
      <c r="A955">
        <v>44059</v>
      </c>
      <c r="B955" t="s">
        <v>15200</v>
      </c>
      <c r="C955" t="s">
        <v>2102</v>
      </c>
      <c r="D955" t="s">
        <v>2103</v>
      </c>
      <c r="E955" s="184">
        <v>432945.94</v>
      </c>
    </row>
    <row r="956" spans="1:5" ht="14.25">
      <c r="A956">
        <v>37750</v>
      </c>
      <c r="B956" t="s">
        <v>15201</v>
      </c>
      <c r="C956" t="s">
        <v>2102</v>
      </c>
      <c r="D956" t="s">
        <v>2103</v>
      </c>
      <c r="E956" s="184">
        <v>433815.31</v>
      </c>
    </row>
    <row r="957" spans="1:5" ht="14.25">
      <c r="A957">
        <v>37758</v>
      </c>
      <c r="B957" t="s">
        <v>15202</v>
      </c>
      <c r="C957" t="s">
        <v>2102</v>
      </c>
      <c r="D957" t="s">
        <v>2103</v>
      </c>
      <c r="E957" s="184">
        <v>690279.26</v>
      </c>
    </row>
    <row r="958" spans="1:5" ht="14.25">
      <c r="A958">
        <v>44060</v>
      </c>
      <c r="B958" t="s">
        <v>15203</v>
      </c>
      <c r="C958" t="s">
        <v>2102</v>
      </c>
      <c r="D958" t="s">
        <v>2103</v>
      </c>
      <c r="E958" s="184">
        <v>667675.68000000005</v>
      </c>
    </row>
    <row r="959" spans="1:5" ht="14.25">
      <c r="A959">
        <v>37749</v>
      </c>
      <c r="B959" t="s">
        <v>15204</v>
      </c>
      <c r="C959" t="s">
        <v>2102</v>
      </c>
      <c r="D959" t="s">
        <v>2103</v>
      </c>
      <c r="E959" s="184">
        <v>712882.89</v>
      </c>
    </row>
    <row r="960" spans="1:5" ht="14.25">
      <c r="A960">
        <v>44061</v>
      </c>
      <c r="B960" t="s">
        <v>15205</v>
      </c>
      <c r="C960" t="s">
        <v>2102</v>
      </c>
      <c r="D960" t="s">
        <v>2103</v>
      </c>
      <c r="E960" s="184">
        <v>654635.15</v>
      </c>
    </row>
    <row r="961" spans="1:5" ht="14.25">
      <c r="A961">
        <v>1159</v>
      </c>
      <c r="B961" t="s">
        <v>13472</v>
      </c>
      <c r="C961" t="s">
        <v>2102</v>
      </c>
      <c r="D961" t="s">
        <v>2107</v>
      </c>
      <c r="E961" s="184">
        <v>272980</v>
      </c>
    </row>
    <row r="962" spans="1:5" ht="14.25">
      <c r="A962">
        <v>12114</v>
      </c>
      <c r="B962" t="s">
        <v>13473</v>
      </c>
      <c r="C962" t="s">
        <v>2102</v>
      </c>
      <c r="D962" t="s">
        <v>2103</v>
      </c>
      <c r="E962" s="183">
        <v>156.6</v>
      </c>
    </row>
    <row r="963" spans="1:5" ht="14.25">
      <c r="A963">
        <v>38106</v>
      </c>
      <c r="B963" t="s">
        <v>13474</v>
      </c>
      <c r="C963" t="s">
        <v>2102</v>
      </c>
      <c r="D963" t="s">
        <v>2103</v>
      </c>
      <c r="E963" s="183">
        <v>21.28</v>
      </c>
    </row>
    <row r="964" spans="1:5" ht="14.25">
      <c r="A964">
        <v>38085</v>
      </c>
      <c r="B964" t="s">
        <v>13475</v>
      </c>
      <c r="C964" t="s">
        <v>2102</v>
      </c>
      <c r="D964" t="s">
        <v>2103</v>
      </c>
      <c r="E964" s="183">
        <v>25.14</v>
      </c>
    </row>
    <row r="965" spans="1:5" ht="14.25">
      <c r="A965">
        <v>38599</v>
      </c>
      <c r="B965" t="s">
        <v>13476</v>
      </c>
      <c r="C965" t="s">
        <v>2102</v>
      </c>
      <c r="D965" t="s">
        <v>2103</v>
      </c>
      <c r="E965" s="183">
        <v>5.37</v>
      </c>
    </row>
    <row r="966" spans="1:5" ht="14.25">
      <c r="A966">
        <v>38596</v>
      </c>
      <c r="B966" t="s">
        <v>13477</v>
      </c>
      <c r="C966" t="s">
        <v>2102</v>
      </c>
      <c r="D966" t="s">
        <v>2103</v>
      </c>
      <c r="E966" s="183">
        <v>4.46</v>
      </c>
    </row>
    <row r="967" spans="1:5" ht="14.25">
      <c r="A967">
        <v>38600</v>
      </c>
      <c r="B967" t="s">
        <v>13478</v>
      </c>
      <c r="C967" t="s">
        <v>2102</v>
      </c>
      <c r="D967" t="s">
        <v>2103</v>
      </c>
      <c r="E967" s="183">
        <v>5.69</v>
      </c>
    </row>
    <row r="968" spans="1:5" ht="14.25">
      <c r="A968">
        <v>38597</v>
      </c>
      <c r="B968" t="s">
        <v>13479</v>
      </c>
      <c r="C968" t="s">
        <v>2102</v>
      </c>
      <c r="D968" t="s">
        <v>2103</v>
      </c>
      <c r="E968" s="183">
        <v>4.4800000000000004</v>
      </c>
    </row>
    <row r="969" spans="1:5" ht="14.25">
      <c r="A969">
        <v>659</v>
      </c>
      <c r="B969" t="s">
        <v>13480</v>
      </c>
      <c r="C969" t="s">
        <v>2102</v>
      </c>
      <c r="D969" t="s">
        <v>2103</v>
      </c>
      <c r="E969" s="183">
        <v>2.58</v>
      </c>
    </row>
    <row r="970" spans="1:5" ht="14.25">
      <c r="A970">
        <v>660</v>
      </c>
      <c r="B970" t="s">
        <v>13481</v>
      </c>
      <c r="C970" t="s">
        <v>2102</v>
      </c>
      <c r="D970" t="s">
        <v>2103</v>
      </c>
      <c r="E970" s="183">
        <v>3.09</v>
      </c>
    </row>
    <row r="971" spans="1:5" ht="14.25">
      <c r="A971">
        <v>658</v>
      </c>
      <c r="B971" t="s">
        <v>13482</v>
      </c>
      <c r="C971" t="s">
        <v>2102</v>
      </c>
      <c r="D971" t="s">
        <v>2103</v>
      </c>
      <c r="E971" s="183">
        <v>1.74</v>
      </c>
    </row>
    <row r="972" spans="1:5" ht="14.25">
      <c r="A972">
        <v>38548</v>
      </c>
      <c r="B972" t="s">
        <v>13483</v>
      </c>
      <c r="C972" t="s">
        <v>2102</v>
      </c>
      <c r="D972" t="s">
        <v>2103</v>
      </c>
      <c r="E972" s="183">
        <v>1.29</v>
      </c>
    </row>
    <row r="973" spans="1:5" ht="14.25">
      <c r="A973">
        <v>34649</v>
      </c>
      <c r="B973" t="s">
        <v>13484</v>
      </c>
      <c r="C973" t="s">
        <v>2102</v>
      </c>
      <c r="D973" t="s">
        <v>2103</v>
      </c>
      <c r="E973" s="183">
        <v>1.74</v>
      </c>
    </row>
    <row r="974" spans="1:5" ht="14.25">
      <c r="A974">
        <v>34655</v>
      </c>
      <c r="B974" t="s">
        <v>13485</v>
      </c>
      <c r="C974" t="s">
        <v>2102</v>
      </c>
      <c r="D974" t="s">
        <v>2103</v>
      </c>
      <c r="E974" s="183">
        <v>2.3199999999999998</v>
      </c>
    </row>
    <row r="975" spans="1:5" ht="14.25">
      <c r="A975">
        <v>40607</v>
      </c>
      <c r="B975" t="s">
        <v>13486</v>
      </c>
      <c r="C975" t="s">
        <v>2102</v>
      </c>
      <c r="D975" t="s">
        <v>2103</v>
      </c>
      <c r="E975" s="183">
        <v>6.53</v>
      </c>
    </row>
    <row r="976" spans="1:5" ht="14.25">
      <c r="A976">
        <v>567</v>
      </c>
      <c r="B976" t="s">
        <v>15206</v>
      </c>
      <c r="C976" t="s">
        <v>2109</v>
      </c>
      <c r="D976" t="s">
        <v>2103</v>
      </c>
      <c r="E976" s="183">
        <v>10.97</v>
      </c>
    </row>
    <row r="977" spans="1:5" ht="14.25">
      <c r="A977">
        <v>574</v>
      </c>
      <c r="B977" t="s">
        <v>15207</v>
      </c>
      <c r="C977" t="s">
        <v>2109</v>
      </c>
      <c r="D977" t="s">
        <v>2103</v>
      </c>
      <c r="E977" s="183">
        <v>28.84</v>
      </c>
    </row>
    <row r="978" spans="1:5" ht="14.25">
      <c r="A978">
        <v>568</v>
      </c>
      <c r="B978" t="s">
        <v>15208</v>
      </c>
      <c r="C978" t="s">
        <v>2109</v>
      </c>
      <c r="D978" t="s">
        <v>2103</v>
      </c>
      <c r="E978" s="183">
        <v>60.77</v>
      </c>
    </row>
    <row r="979" spans="1:5" ht="14.25">
      <c r="A979">
        <v>4777</v>
      </c>
      <c r="B979" t="s">
        <v>13487</v>
      </c>
      <c r="C979" t="s">
        <v>2110</v>
      </c>
      <c r="D979" t="s">
        <v>2105</v>
      </c>
      <c r="E979" s="183">
        <v>7.36</v>
      </c>
    </row>
    <row r="980" spans="1:5" ht="14.25">
      <c r="A980">
        <v>592</v>
      </c>
      <c r="B980" t="s">
        <v>18233</v>
      </c>
      <c r="C980" t="s">
        <v>2110</v>
      </c>
      <c r="D980" t="s">
        <v>2105</v>
      </c>
      <c r="E980" s="183">
        <v>31.83</v>
      </c>
    </row>
    <row r="981" spans="1:5" ht="14.25">
      <c r="A981">
        <v>586</v>
      </c>
      <c r="B981" t="s">
        <v>18234</v>
      </c>
      <c r="C981" t="s">
        <v>2109</v>
      </c>
      <c r="D981" t="s">
        <v>2105</v>
      </c>
      <c r="E981" s="183">
        <v>18.71</v>
      </c>
    </row>
    <row r="982" spans="1:5" ht="14.25">
      <c r="A982">
        <v>588</v>
      </c>
      <c r="B982" t="s">
        <v>18235</v>
      </c>
      <c r="C982" t="s">
        <v>2109</v>
      </c>
      <c r="D982" t="s">
        <v>2105</v>
      </c>
      <c r="E982" s="183">
        <v>29.6</v>
      </c>
    </row>
    <row r="983" spans="1:5" ht="14.25">
      <c r="A983">
        <v>591</v>
      </c>
      <c r="B983" t="s">
        <v>18236</v>
      </c>
      <c r="C983" t="s">
        <v>2110</v>
      </c>
      <c r="D983" t="s">
        <v>2105</v>
      </c>
      <c r="E983" s="183">
        <v>29.7</v>
      </c>
    </row>
    <row r="984" spans="1:5" ht="14.25">
      <c r="A984">
        <v>584</v>
      </c>
      <c r="B984" t="s">
        <v>18237</v>
      </c>
      <c r="C984" t="s">
        <v>2109</v>
      </c>
      <c r="D984" t="s">
        <v>2105</v>
      </c>
      <c r="E984" s="183">
        <v>31.61</v>
      </c>
    </row>
    <row r="985" spans="1:5" ht="14.25">
      <c r="A985">
        <v>589</v>
      </c>
      <c r="B985" t="s">
        <v>18238</v>
      </c>
      <c r="C985" t="s">
        <v>2109</v>
      </c>
      <c r="D985" t="s">
        <v>2105</v>
      </c>
      <c r="E985" s="183">
        <v>50.03</v>
      </c>
    </row>
    <row r="986" spans="1:5" ht="14.25">
      <c r="A986">
        <v>1165</v>
      </c>
      <c r="B986" t="s">
        <v>13488</v>
      </c>
      <c r="C986" t="s">
        <v>2102</v>
      </c>
      <c r="D986" t="s">
        <v>2105</v>
      </c>
      <c r="E986" s="183">
        <v>21.42</v>
      </c>
    </row>
    <row r="987" spans="1:5" ht="14.25">
      <c r="A987">
        <v>1164</v>
      </c>
      <c r="B987" t="s">
        <v>13489</v>
      </c>
      <c r="C987" t="s">
        <v>2102</v>
      </c>
      <c r="D987" t="s">
        <v>2105</v>
      </c>
      <c r="E987" s="183">
        <v>17.350000000000001</v>
      </c>
    </row>
    <row r="988" spans="1:5" ht="14.25">
      <c r="A988">
        <v>1162</v>
      </c>
      <c r="B988" t="s">
        <v>13490</v>
      </c>
      <c r="C988" t="s">
        <v>2102</v>
      </c>
      <c r="D988" t="s">
        <v>2105</v>
      </c>
      <c r="E988" s="183">
        <v>6.03</v>
      </c>
    </row>
    <row r="989" spans="1:5" ht="14.25">
      <c r="A989">
        <v>12395</v>
      </c>
      <c r="B989" t="s">
        <v>13491</v>
      </c>
      <c r="C989" t="s">
        <v>2102</v>
      </c>
      <c r="D989" t="s">
        <v>2105</v>
      </c>
      <c r="E989" s="183">
        <v>5.86</v>
      </c>
    </row>
    <row r="990" spans="1:5" ht="14.25">
      <c r="A990">
        <v>1170</v>
      </c>
      <c r="B990" t="s">
        <v>13492</v>
      </c>
      <c r="C990" t="s">
        <v>2102</v>
      </c>
      <c r="D990" t="s">
        <v>2105</v>
      </c>
      <c r="E990" s="183">
        <v>11.37</v>
      </c>
    </row>
    <row r="991" spans="1:5" ht="14.25">
      <c r="A991">
        <v>1169</v>
      </c>
      <c r="B991" t="s">
        <v>13493</v>
      </c>
      <c r="C991" t="s">
        <v>2102</v>
      </c>
      <c r="D991" t="s">
        <v>2105</v>
      </c>
      <c r="E991" s="183">
        <v>55.8</v>
      </c>
    </row>
    <row r="992" spans="1:5" ht="14.25">
      <c r="A992">
        <v>1166</v>
      </c>
      <c r="B992" t="s">
        <v>13494</v>
      </c>
      <c r="C992" t="s">
        <v>2102</v>
      </c>
      <c r="D992" t="s">
        <v>2105</v>
      </c>
      <c r="E992" s="183">
        <v>30.94</v>
      </c>
    </row>
    <row r="993" spans="1:5" ht="14.25">
      <c r="A993">
        <v>1163</v>
      </c>
      <c r="B993" t="s">
        <v>13495</v>
      </c>
      <c r="C993" t="s">
        <v>2102</v>
      </c>
      <c r="D993" t="s">
        <v>2105</v>
      </c>
      <c r="E993" s="183">
        <v>7.8</v>
      </c>
    </row>
    <row r="994" spans="1:5" ht="14.25">
      <c r="A994">
        <v>12396</v>
      </c>
      <c r="B994" t="s">
        <v>13496</v>
      </c>
      <c r="C994" t="s">
        <v>2102</v>
      </c>
      <c r="D994" t="s">
        <v>2105</v>
      </c>
      <c r="E994" s="183">
        <v>5.86</v>
      </c>
    </row>
    <row r="995" spans="1:5" ht="14.25">
      <c r="A995">
        <v>1168</v>
      </c>
      <c r="B995" t="s">
        <v>13497</v>
      </c>
      <c r="C995" t="s">
        <v>2102</v>
      </c>
      <c r="D995" t="s">
        <v>2105</v>
      </c>
      <c r="E995" s="183">
        <v>79.55</v>
      </c>
    </row>
    <row r="996" spans="1:5" ht="14.25">
      <c r="A996">
        <v>1167</v>
      </c>
      <c r="B996" t="s">
        <v>13498</v>
      </c>
      <c r="C996" t="s">
        <v>2102</v>
      </c>
      <c r="D996" t="s">
        <v>2105</v>
      </c>
      <c r="E996" s="183">
        <v>133.06</v>
      </c>
    </row>
    <row r="997" spans="1:5" ht="14.25">
      <c r="A997">
        <v>36331</v>
      </c>
      <c r="B997" t="s">
        <v>13499</v>
      </c>
      <c r="C997" t="s">
        <v>2102</v>
      </c>
      <c r="D997" t="s">
        <v>2105</v>
      </c>
      <c r="E997" s="183">
        <v>2.21</v>
      </c>
    </row>
    <row r="998" spans="1:5" ht="14.25">
      <c r="A998">
        <v>36346</v>
      </c>
      <c r="B998" t="s">
        <v>13500</v>
      </c>
      <c r="C998" t="s">
        <v>2102</v>
      </c>
      <c r="D998" t="s">
        <v>2105</v>
      </c>
      <c r="E998" s="183">
        <v>3.32</v>
      </c>
    </row>
    <row r="999" spans="1:5" ht="14.25">
      <c r="A999">
        <v>1197</v>
      </c>
      <c r="B999" t="s">
        <v>13501</v>
      </c>
      <c r="C999" t="s">
        <v>2102</v>
      </c>
      <c r="D999" t="s">
        <v>2103</v>
      </c>
      <c r="E999" s="183">
        <v>2.34</v>
      </c>
    </row>
    <row r="1000" spans="1:5" ht="14.25">
      <c r="A1000">
        <v>1202</v>
      </c>
      <c r="B1000" t="s">
        <v>13502</v>
      </c>
      <c r="C1000" t="s">
        <v>2102</v>
      </c>
      <c r="D1000" t="s">
        <v>2103</v>
      </c>
      <c r="E1000" s="183">
        <v>6.63</v>
      </c>
    </row>
    <row r="1001" spans="1:5" ht="14.25">
      <c r="A1001">
        <v>1198</v>
      </c>
      <c r="B1001" t="s">
        <v>13503</v>
      </c>
      <c r="C1001" t="s">
        <v>2102</v>
      </c>
      <c r="D1001" t="s">
        <v>2103</v>
      </c>
      <c r="E1001" s="183">
        <v>3.06</v>
      </c>
    </row>
    <row r="1002" spans="1:5" ht="14.25">
      <c r="A1002">
        <v>20088</v>
      </c>
      <c r="B1002" t="s">
        <v>18239</v>
      </c>
      <c r="C1002" t="s">
        <v>2102</v>
      </c>
      <c r="D1002" t="s">
        <v>2103</v>
      </c>
      <c r="E1002" s="183">
        <v>15.81</v>
      </c>
    </row>
    <row r="1003" spans="1:5" ht="14.25">
      <c r="A1003">
        <v>20089</v>
      </c>
      <c r="B1003" t="s">
        <v>18240</v>
      </c>
      <c r="C1003" t="s">
        <v>2102</v>
      </c>
      <c r="D1003" t="s">
        <v>2103</v>
      </c>
      <c r="E1003" s="183">
        <v>77.5</v>
      </c>
    </row>
    <row r="1004" spans="1:5" ht="14.25">
      <c r="A1004">
        <v>20087</v>
      </c>
      <c r="B1004" t="s">
        <v>18241</v>
      </c>
      <c r="C1004" t="s">
        <v>2102</v>
      </c>
      <c r="D1004" t="s">
        <v>2103</v>
      </c>
      <c r="E1004" s="183">
        <v>13.08</v>
      </c>
    </row>
    <row r="1005" spans="1:5" ht="14.25">
      <c r="A1005">
        <v>1200</v>
      </c>
      <c r="B1005" t="s">
        <v>13504</v>
      </c>
      <c r="C1005" t="s">
        <v>2102</v>
      </c>
      <c r="D1005" t="s">
        <v>2103</v>
      </c>
      <c r="E1005" s="183">
        <v>11.88</v>
      </c>
    </row>
    <row r="1006" spans="1:5" ht="14.25">
      <c r="A1006">
        <v>12909</v>
      </c>
      <c r="B1006" t="s">
        <v>13505</v>
      </c>
      <c r="C1006" t="s">
        <v>2102</v>
      </c>
      <c r="D1006" t="s">
        <v>2103</v>
      </c>
      <c r="E1006" s="183">
        <v>5.51</v>
      </c>
    </row>
    <row r="1007" spans="1:5" ht="14.25">
      <c r="A1007">
        <v>12910</v>
      </c>
      <c r="B1007" t="s">
        <v>13506</v>
      </c>
      <c r="C1007" t="s">
        <v>2102</v>
      </c>
      <c r="D1007" t="s">
        <v>2103</v>
      </c>
      <c r="E1007" s="183">
        <v>9.9</v>
      </c>
    </row>
    <row r="1008" spans="1:5" ht="14.25">
      <c r="A1008">
        <v>1191</v>
      </c>
      <c r="B1008" t="s">
        <v>13507</v>
      </c>
      <c r="C1008" t="s">
        <v>2102</v>
      </c>
      <c r="D1008" t="s">
        <v>2103</v>
      </c>
      <c r="E1008" s="183">
        <v>1.67</v>
      </c>
    </row>
    <row r="1009" spans="1:5" ht="14.25">
      <c r="A1009">
        <v>1185</v>
      </c>
      <c r="B1009" t="s">
        <v>13508</v>
      </c>
      <c r="C1009" t="s">
        <v>2102</v>
      </c>
      <c r="D1009" t="s">
        <v>2103</v>
      </c>
      <c r="E1009" s="183">
        <v>1.67</v>
      </c>
    </row>
    <row r="1010" spans="1:5" ht="14.25">
      <c r="A1010">
        <v>1189</v>
      </c>
      <c r="B1010" t="s">
        <v>13509</v>
      </c>
      <c r="C1010" t="s">
        <v>2102</v>
      </c>
      <c r="D1010" t="s">
        <v>2103</v>
      </c>
      <c r="E1010" s="183">
        <v>2.73</v>
      </c>
    </row>
    <row r="1011" spans="1:5" ht="14.25">
      <c r="A1011">
        <v>1193</v>
      </c>
      <c r="B1011" t="s">
        <v>13510</v>
      </c>
      <c r="C1011" t="s">
        <v>2102</v>
      </c>
      <c r="D1011" t="s">
        <v>2103</v>
      </c>
      <c r="E1011" s="183">
        <v>5.24</v>
      </c>
    </row>
    <row r="1012" spans="1:5" ht="14.25">
      <c r="A1012">
        <v>1194</v>
      </c>
      <c r="B1012" t="s">
        <v>13511</v>
      </c>
      <c r="C1012" t="s">
        <v>2102</v>
      </c>
      <c r="D1012" t="s">
        <v>2103</v>
      </c>
      <c r="E1012" s="183">
        <v>9.4700000000000006</v>
      </c>
    </row>
    <row r="1013" spans="1:5" ht="14.25">
      <c r="A1013">
        <v>1195</v>
      </c>
      <c r="B1013" t="s">
        <v>13512</v>
      </c>
      <c r="C1013" t="s">
        <v>2102</v>
      </c>
      <c r="D1013" t="s">
        <v>2103</v>
      </c>
      <c r="E1013" s="183">
        <v>15.93</v>
      </c>
    </row>
    <row r="1014" spans="1:5" ht="14.25">
      <c r="A1014">
        <v>1204</v>
      </c>
      <c r="B1014" t="s">
        <v>13513</v>
      </c>
      <c r="C1014" t="s">
        <v>2102</v>
      </c>
      <c r="D1014" t="s">
        <v>2103</v>
      </c>
      <c r="E1014" s="183">
        <v>27.87</v>
      </c>
    </row>
    <row r="1015" spans="1:5" ht="14.25">
      <c r="A1015">
        <v>1207</v>
      </c>
      <c r="B1015" t="s">
        <v>13514</v>
      </c>
      <c r="C1015" t="s">
        <v>2102</v>
      </c>
      <c r="D1015" t="s">
        <v>2105</v>
      </c>
      <c r="E1015" s="183">
        <v>27.38</v>
      </c>
    </row>
    <row r="1016" spans="1:5" ht="14.25">
      <c r="A1016">
        <v>1206</v>
      </c>
      <c r="B1016" t="s">
        <v>13515</v>
      </c>
      <c r="C1016" t="s">
        <v>2102</v>
      </c>
      <c r="D1016" t="s">
        <v>2105</v>
      </c>
      <c r="E1016" s="183">
        <v>6.86</v>
      </c>
    </row>
    <row r="1017" spans="1:5" ht="14.25">
      <c r="A1017">
        <v>1183</v>
      </c>
      <c r="B1017" t="s">
        <v>13516</v>
      </c>
      <c r="C1017" t="s">
        <v>2102</v>
      </c>
      <c r="D1017" t="s">
        <v>2105</v>
      </c>
      <c r="E1017" s="183">
        <v>17.88</v>
      </c>
    </row>
    <row r="1018" spans="1:5" ht="14.25">
      <c r="A1018">
        <v>42685</v>
      </c>
      <c r="B1018" t="s">
        <v>13517</v>
      </c>
      <c r="C1018" t="s">
        <v>2102</v>
      </c>
      <c r="D1018" t="s">
        <v>2103</v>
      </c>
      <c r="E1018" s="183">
        <v>80.31</v>
      </c>
    </row>
    <row r="1019" spans="1:5" ht="14.25">
      <c r="A1019">
        <v>42686</v>
      </c>
      <c r="B1019" t="s">
        <v>13518</v>
      </c>
      <c r="C1019" t="s">
        <v>2102</v>
      </c>
      <c r="D1019" t="s">
        <v>2103</v>
      </c>
      <c r="E1019" s="183">
        <v>88.46</v>
      </c>
    </row>
    <row r="1020" spans="1:5" ht="14.25">
      <c r="A1020">
        <v>12894</v>
      </c>
      <c r="B1020" t="s">
        <v>13519</v>
      </c>
      <c r="C1020" t="s">
        <v>2102</v>
      </c>
      <c r="D1020" t="s">
        <v>2103</v>
      </c>
      <c r="E1020" s="183">
        <v>19.68</v>
      </c>
    </row>
    <row r="1021" spans="1:5" ht="14.25">
      <c r="A1021">
        <v>12895</v>
      </c>
      <c r="B1021" t="s">
        <v>13520</v>
      </c>
      <c r="C1021" t="s">
        <v>2102</v>
      </c>
      <c r="D1021" t="s">
        <v>2107</v>
      </c>
      <c r="E1021" s="183">
        <v>15.14</v>
      </c>
    </row>
    <row r="1022" spans="1:5" ht="14.25">
      <c r="A1022">
        <v>1631</v>
      </c>
      <c r="B1022" t="s">
        <v>13521</v>
      </c>
      <c r="C1022" t="s">
        <v>2102</v>
      </c>
      <c r="D1022" t="s">
        <v>2103</v>
      </c>
      <c r="E1022" s="183">
        <v>135.72</v>
      </c>
    </row>
    <row r="1023" spans="1:5" ht="14.25">
      <c r="A1023">
        <v>1633</v>
      </c>
      <c r="B1023" t="s">
        <v>13522</v>
      </c>
      <c r="C1023" t="s">
        <v>2102</v>
      </c>
      <c r="D1023" t="s">
        <v>2103</v>
      </c>
      <c r="E1023" s="183">
        <v>230.6</v>
      </c>
    </row>
    <row r="1024" spans="1:5" ht="14.25">
      <c r="A1024">
        <v>10818</v>
      </c>
      <c r="B1024" t="s">
        <v>13523</v>
      </c>
      <c r="C1024" t="s">
        <v>2110</v>
      </c>
      <c r="D1024" t="s">
        <v>2103</v>
      </c>
      <c r="E1024" s="183">
        <v>41.07</v>
      </c>
    </row>
    <row r="1025" spans="1:5" ht="14.25">
      <c r="A1025">
        <v>41410</v>
      </c>
      <c r="B1025" t="s">
        <v>13524</v>
      </c>
      <c r="C1025" t="s">
        <v>2102</v>
      </c>
      <c r="D1025" t="s">
        <v>2103</v>
      </c>
      <c r="E1025" s="183">
        <v>59.59</v>
      </c>
    </row>
    <row r="1026" spans="1:5" ht="14.25">
      <c r="A1026">
        <v>41411</v>
      </c>
      <c r="B1026" t="s">
        <v>13525</v>
      </c>
      <c r="C1026" t="s">
        <v>2102</v>
      </c>
      <c r="D1026" t="s">
        <v>2103</v>
      </c>
      <c r="E1026" s="183">
        <v>54.03</v>
      </c>
    </row>
    <row r="1027" spans="1:5" ht="14.25">
      <c r="A1027">
        <v>41412</v>
      </c>
      <c r="B1027" t="s">
        <v>13526</v>
      </c>
      <c r="C1027" t="s">
        <v>2102</v>
      </c>
      <c r="D1027" t="s">
        <v>2103</v>
      </c>
      <c r="E1027" s="183">
        <v>104.5</v>
      </c>
    </row>
    <row r="1028" spans="1:5" ht="14.25">
      <c r="A1028">
        <v>41413</v>
      </c>
      <c r="B1028" t="s">
        <v>13527</v>
      </c>
      <c r="C1028" t="s">
        <v>2102</v>
      </c>
      <c r="D1028" t="s">
        <v>2103</v>
      </c>
      <c r="E1028" s="183">
        <v>94.03</v>
      </c>
    </row>
    <row r="1029" spans="1:5" ht="14.25">
      <c r="A1029">
        <v>39359</v>
      </c>
      <c r="B1029" t="s">
        <v>18242</v>
      </c>
      <c r="C1029" t="s">
        <v>2102</v>
      </c>
      <c r="D1029" t="s">
        <v>2105</v>
      </c>
      <c r="E1029" s="183">
        <v>33.65</v>
      </c>
    </row>
    <row r="1030" spans="1:5" ht="14.25">
      <c r="A1030">
        <v>39360</v>
      </c>
      <c r="B1030" t="s">
        <v>18243</v>
      </c>
      <c r="C1030" t="s">
        <v>2102</v>
      </c>
      <c r="D1030" t="s">
        <v>2105</v>
      </c>
      <c r="E1030" s="183">
        <v>33.65</v>
      </c>
    </row>
    <row r="1031" spans="1:5" ht="14.25">
      <c r="A1031">
        <v>10710</v>
      </c>
      <c r="B1031" t="s">
        <v>13528</v>
      </c>
      <c r="C1031" t="s">
        <v>2104</v>
      </c>
      <c r="D1031" t="s">
        <v>2105</v>
      </c>
      <c r="E1031" s="183">
        <v>148.57</v>
      </c>
    </row>
    <row r="1032" spans="1:5" ht="14.25">
      <c r="A1032">
        <v>10709</v>
      </c>
      <c r="B1032" t="s">
        <v>13529</v>
      </c>
      <c r="C1032" t="s">
        <v>2104</v>
      </c>
      <c r="D1032" t="s">
        <v>2105</v>
      </c>
      <c r="E1032" s="183">
        <v>182.52</v>
      </c>
    </row>
    <row r="1033" spans="1:5" ht="14.25">
      <c r="A1033">
        <v>39636</v>
      </c>
      <c r="B1033" t="s">
        <v>13530</v>
      </c>
      <c r="C1033" t="s">
        <v>2104</v>
      </c>
      <c r="D1033" t="s">
        <v>2105</v>
      </c>
      <c r="E1033" s="183">
        <v>186.38</v>
      </c>
    </row>
    <row r="1034" spans="1:5" ht="14.25">
      <c r="A1034">
        <v>10708</v>
      </c>
      <c r="B1034" t="s">
        <v>13531</v>
      </c>
      <c r="C1034" t="s">
        <v>2104</v>
      </c>
      <c r="D1034" t="s">
        <v>2105</v>
      </c>
      <c r="E1034" s="183">
        <v>57.51</v>
      </c>
    </row>
    <row r="1035" spans="1:5" ht="14.25">
      <c r="A1035">
        <v>39635</v>
      </c>
      <c r="B1035" t="s">
        <v>13532</v>
      </c>
      <c r="C1035" t="s">
        <v>2104</v>
      </c>
      <c r="D1035" t="s">
        <v>2105</v>
      </c>
      <c r="E1035" s="183">
        <v>97.92</v>
      </c>
    </row>
    <row r="1036" spans="1:5" ht="14.25">
      <c r="A1036">
        <v>6117</v>
      </c>
      <c r="B1036" t="s">
        <v>15209</v>
      </c>
      <c r="C1036" t="s">
        <v>2106</v>
      </c>
      <c r="D1036" t="s">
        <v>2103</v>
      </c>
      <c r="E1036" s="183">
        <v>16.170000000000002</v>
      </c>
    </row>
    <row r="1037" spans="1:5" ht="14.25">
      <c r="A1037">
        <v>40913</v>
      </c>
      <c r="B1037" t="s">
        <v>13533</v>
      </c>
      <c r="C1037" t="s">
        <v>2123</v>
      </c>
      <c r="D1037" t="s">
        <v>2103</v>
      </c>
      <c r="E1037" s="184">
        <v>2834.63</v>
      </c>
    </row>
    <row r="1038" spans="1:5" ht="14.25">
      <c r="A1038">
        <v>1214</v>
      </c>
      <c r="B1038" t="s">
        <v>15210</v>
      </c>
      <c r="C1038" t="s">
        <v>2106</v>
      </c>
      <c r="D1038" t="s">
        <v>2103</v>
      </c>
      <c r="E1038" s="183">
        <v>22.61</v>
      </c>
    </row>
    <row r="1039" spans="1:5" ht="14.25">
      <c r="A1039">
        <v>40915</v>
      </c>
      <c r="B1039" t="s">
        <v>13534</v>
      </c>
      <c r="C1039" t="s">
        <v>2123</v>
      </c>
      <c r="D1039" t="s">
        <v>2103</v>
      </c>
      <c r="E1039" s="184">
        <v>3964.24</v>
      </c>
    </row>
    <row r="1040" spans="1:5" ht="14.25">
      <c r="A1040">
        <v>1213</v>
      </c>
      <c r="B1040" t="s">
        <v>15211</v>
      </c>
      <c r="C1040" t="s">
        <v>2106</v>
      </c>
      <c r="D1040" t="s">
        <v>2107</v>
      </c>
      <c r="E1040" s="183">
        <v>22.61</v>
      </c>
    </row>
    <row r="1041" spans="1:5" ht="14.25">
      <c r="A1041">
        <v>40914</v>
      </c>
      <c r="B1041" t="s">
        <v>13535</v>
      </c>
      <c r="C1041" t="s">
        <v>2123</v>
      </c>
      <c r="D1041" t="s">
        <v>2103</v>
      </c>
      <c r="E1041" s="184">
        <v>3964.24</v>
      </c>
    </row>
    <row r="1042" spans="1:5" ht="14.25">
      <c r="A1042">
        <v>5091</v>
      </c>
      <c r="B1042" t="s">
        <v>13536</v>
      </c>
      <c r="C1042" t="s">
        <v>2102</v>
      </c>
      <c r="D1042" t="s">
        <v>2103</v>
      </c>
      <c r="E1042" s="183">
        <v>19.02</v>
      </c>
    </row>
    <row r="1043" spans="1:5" ht="14.25">
      <c r="A1043">
        <v>14615</v>
      </c>
      <c r="B1043" t="s">
        <v>13537</v>
      </c>
      <c r="C1043" t="s">
        <v>2102</v>
      </c>
      <c r="D1043" t="s">
        <v>2105</v>
      </c>
      <c r="E1043" s="184">
        <v>3616.14</v>
      </c>
    </row>
    <row r="1044" spans="1:5" ht="14.25">
      <c r="A1044">
        <v>2711</v>
      </c>
      <c r="B1044" t="s">
        <v>13538</v>
      </c>
      <c r="C1044" t="s">
        <v>2102</v>
      </c>
      <c r="D1044" t="s">
        <v>2107</v>
      </c>
      <c r="E1044" s="183">
        <v>228.46</v>
      </c>
    </row>
    <row r="1045" spans="1:5" ht="14.25">
      <c r="A1045">
        <v>37727</v>
      </c>
      <c r="B1045" t="s">
        <v>13539</v>
      </c>
      <c r="C1045" t="s">
        <v>2102</v>
      </c>
      <c r="D1045" t="s">
        <v>2107</v>
      </c>
      <c r="E1045" s="184">
        <v>16500</v>
      </c>
    </row>
    <row r="1046" spans="1:5" ht="14.25">
      <c r="A1046">
        <v>37728</v>
      </c>
      <c r="B1046" t="s">
        <v>9108</v>
      </c>
      <c r="C1046" t="s">
        <v>2102</v>
      </c>
      <c r="D1046" t="s">
        <v>2103</v>
      </c>
      <c r="E1046" s="184">
        <v>22384.61</v>
      </c>
    </row>
    <row r="1047" spans="1:5" ht="14.25">
      <c r="A1047">
        <v>37729</v>
      </c>
      <c r="B1047" t="s">
        <v>9109</v>
      </c>
      <c r="C1047" t="s">
        <v>2102</v>
      </c>
      <c r="D1047" t="s">
        <v>2103</v>
      </c>
      <c r="E1047" s="184">
        <v>24230.76</v>
      </c>
    </row>
    <row r="1048" spans="1:5" ht="14.25">
      <c r="A1048">
        <v>37730</v>
      </c>
      <c r="B1048" t="s">
        <v>9110</v>
      </c>
      <c r="C1048" t="s">
        <v>2102</v>
      </c>
      <c r="D1048" t="s">
        <v>2103</v>
      </c>
      <c r="E1048" s="184">
        <v>26076.92</v>
      </c>
    </row>
    <row r="1049" spans="1:5" ht="14.25">
      <c r="A1049">
        <v>37731</v>
      </c>
      <c r="B1049" t="s">
        <v>9111</v>
      </c>
      <c r="C1049" t="s">
        <v>2102</v>
      </c>
      <c r="D1049" t="s">
        <v>2103</v>
      </c>
      <c r="E1049" s="184">
        <v>27923.07</v>
      </c>
    </row>
    <row r="1050" spans="1:5" ht="14.25">
      <c r="A1050">
        <v>37732</v>
      </c>
      <c r="B1050" t="s">
        <v>9112</v>
      </c>
      <c r="C1050" t="s">
        <v>2102</v>
      </c>
      <c r="D1050" t="s">
        <v>2103</v>
      </c>
      <c r="E1050" s="184">
        <v>31846.15</v>
      </c>
    </row>
    <row r="1051" spans="1:5" ht="14.25">
      <c r="A1051">
        <v>42256</v>
      </c>
      <c r="B1051" t="s">
        <v>9113</v>
      </c>
      <c r="C1051" t="s">
        <v>2110</v>
      </c>
      <c r="D1051" t="s">
        <v>2103</v>
      </c>
      <c r="E1051" s="183">
        <v>10.58</v>
      </c>
    </row>
    <row r="1052" spans="1:5" ht="14.25">
      <c r="A1052">
        <v>42250</v>
      </c>
      <c r="B1052" t="s">
        <v>15212</v>
      </c>
      <c r="C1052" t="s">
        <v>2169</v>
      </c>
      <c r="D1052" t="s">
        <v>2103</v>
      </c>
      <c r="E1052" s="184">
        <v>4761.87</v>
      </c>
    </row>
    <row r="1053" spans="1:5" ht="14.25">
      <c r="A1053">
        <v>4743</v>
      </c>
      <c r="B1053" t="s">
        <v>9114</v>
      </c>
      <c r="C1053" t="s">
        <v>2122</v>
      </c>
      <c r="D1053" t="s">
        <v>2103</v>
      </c>
      <c r="E1053" s="183">
        <v>81.55</v>
      </c>
    </row>
    <row r="1054" spans="1:5" ht="14.25">
      <c r="A1054">
        <v>4744</v>
      </c>
      <c r="B1054" t="s">
        <v>9115</v>
      </c>
      <c r="C1054" t="s">
        <v>2122</v>
      </c>
      <c r="D1054" t="s">
        <v>2103</v>
      </c>
      <c r="E1054" s="183">
        <v>130.47999999999999</v>
      </c>
    </row>
    <row r="1055" spans="1:5" ht="14.25">
      <c r="A1055">
        <v>4745</v>
      </c>
      <c r="B1055" t="s">
        <v>9116</v>
      </c>
      <c r="C1055" t="s">
        <v>2122</v>
      </c>
      <c r="D1055" t="s">
        <v>2103</v>
      </c>
      <c r="E1055" s="183">
        <v>156.5</v>
      </c>
    </row>
    <row r="1056" spans="1:5" ht="14.25">
      <c r="A1056">
        <v>36496</v>
      </c>
      <c r="B1056" t="s">
        <v>9117</v>
      </c>
      <c r="C1056" t="s">
        <v>2102</v>
      </c>
      <c r="D1056" t="s">
        <v>2105</v>
      </c>
      <c r="E1056" s="184">
        <v>9181.31</v>
      </c>
    </row>
    <row r="1057" spans="1:5" ht="14.25">
      <c r="A1057">
        <v>10630</v>
      </c>
      <c r="B1057" t="s">
        <v>9118</v>
      </c>
      <c r="C1057" t="s">
        <v>2102</v>
      </c>
      <c r="D1057" t="s">
        <v>2105</v>
      </c>
      <c r="E1057" s="184">
        <v>872588.17</v>
      </c>
    </row>
    <row r="1058" spans="1:5" ht="14.25">
      <c r="A1058">
        <v>37762</v>
      </c>
      <c r="B1058" t="s">
        <v>9119</v>
      </c>
      <c r="C1058" t="s">
        <v>2102</v>
      </c>
      <c r="D1058" t="s">
        <v>2105</v>
      </c>
      <c r="E1058" s="184">
        <v>748365.7</v>
      </c>
    </row>
    <row r="1059" spans="1:5" ht="14.25">
      <c r="A1059">
        <v>37763</v>
      </c>
      <c r="B1059" t="s">
        <v>9120</v>
      </c>
      <c r="C1059" t="s">
        <v>2102</v>
      </c>
      <c r="D1059" t="s">
        <v>2105</v>
      </c>
      <c r="E1059" s="184">
        <v>757455.04</v>
      </c>
    </row>
    <row r="1060" spans="1:5" ht="14.25">
      <c r="A1060">
        <v>41992</v>
      </c>
      <c r="B1060" t="s">
        <v>9121</v>
      </c>
      <c r="C1060" t="s">
        <v>2102</v>
      </c>
      <c r="D1060" t="s">
        <v>2105</v>
      </c>
      <c r="E1060" s="184">
        <v>861075</v>
      </c>
    </row>
    <row r="1061" spans="1:5" ht="14.25">
      <c r="A1061">
        <v>13215</v>
      </c>
      <c r="B1061" t="s">
        <v>9122</v>
      </c>
      <c r="C1061" t="s">
        <v>2102</v>
      </c>
      <c r="D1061" t="s">
        <v>2105</v>
      </c>
      <c r="E1061" s="184">
        <v>1055892.3500000001</v>
      </c>
    </row>
    <row r="1062" spans="1:5" ht="14.25">
      <c r="A1062">
        <v>4235</v>
      </c>
      <c r="B1062" t="s">
        <v>18244</v>
      </c>
      <c r="C1062" t="s">
        <v>2106</v>
      </c>
      <c r="D1062" t="s">
        <v>2103</v>
      </c>
      <c r="E1062" s="183">
        <v>14.23</v>
      </c>
    </row>
    <row r="1063" spans="1:5" ht="14.25">
      <c r="A1063">
        <v>40976</v>
      </c>
      <c r="B1063" t="s">
        <v>9123</v>
      </c>
      <c r="C1063" t="s">
        <v>2123</v>
      </c>
      <c r="D1063" t="s">
        <v>2103</v>
      </c>
      <c r="E1063" s="184">
        <v>2495.7199999999998</v>
      </c>
    </row>
    <row r="1064" spans="1:5" ht="14.25">
      <c r="A1064">
        <v>43091</v>
      </c>
      <c r="B1064" t="s">
        <v>9124</v>
      </c>
      <c r="C1064" t="s">
        <v>2102</v>
      </c>
      <c r="D1064" t="s">
        <v>2103</v>
      </c>
      <c r="E1064" s="184">
        <v>5407.57</v>
      </c>
    </row>
    <row r="1065" spans="1:5" ht="14.25">
      <c r="A1065">
        <v>43092</v>
      </c>
      <c r="B1065" t="s">
        <v>9125</v>
      </c>
      <c r="C1065" t="s">
        <v>2102</v>
      </c>
      <c r="D1065" t="s">
        <v>2103</v>
      </c>
      <c r="E1065" s="184">
        <v>7210.09</v>
      </c>
    </row>
    <row r="1066" spans="1:5" ht="14.25">
      <c r="A1066">
        <v>43089</v>
      </c>
      <c r="B1066" t="s">
        <v>9126</v>
      </c>
      <c r="C1066" t="s">
        <v>2102</v>
      </c>
      <c r="D1066" t="s">
        <v>2103</v>
      </c>
      <c r="E1066" s="184">
        <v>1256.56</v>
      </c>
    </row>
    <row r="1067" spans="1:5" ht="14.25">
      <c r="A1067">
        <v>43090</v>
      </c>
      <c r="B1067" t="s">
        <v>9127</v>
      </c>
      <c r="C1067" t="s">
        <v>2102</v>
      </c>
      <c r="D1067" t="s">
        <v>2103</v>
      </c>
      <c r="E1067" s="184">
        <v>2773.11</v>
      </c>
    </row>
    <row r="1068" spans="1:5" ht="14.25">
      <c r="A1068">
        <v>41967</v>
      </c>
      <c r="B1068" t="s">
        <v>13540</v>
      </c>
      <c r="C1068" t="s">
        <v>2117</v>
      </c>
      <c r="D1068" t="s">
        <v>2103</v>
      </c>
      <c r="E1068" s="183">
        <v>20.309999999999999</v>
      </c>
    </row>
    <row r="1069" spans="1:5" ht="14.25">
      <c r="A1069">
        <v>12760</v>
      </c>
      <c r="B1069" t="s">
        <v>9128</v>
      </c>
      <c r="C1069" t="s">
        <v>2104</v>
      </c>
      <c r="D1069" t="s">
        <v>2103</v>
      </c>
      <c r="E1069" s="184">
        <v>1569.46</v>
      </c>
    </row>
    <row r="1070" spans="1:5" ht="14.25">
      <c r="A1070">
        <v>12759</v>
      </c>
      <c r="B1070" t="s">
        <v>9129</v>
      </c>
      <c r="C1070" t="s">
        <v>2104</v>
      </c>
      <c r="D1070" t="s">
        <v>2103</v>
      </c>
      <c r="E1070" s="184">
        <v>1046.29</v>
      </c>
    </row>
    <row r="1071" spans="1:5" ht="14.25">
      <c r="A1071">
        <v>43105</v>
      </c>
      <c r="B1071" t="s">
        <v>9130</v>
      </c>
      <c r="C1071" t="s">
        <v>2110</v>
      </c>
      <c r="D1071" t="s">
        <v>2103</v>
      </c>
      <c r="E1071" s="183">
        <v>41.48</v>
      </c>
    </row>
    <row r="1072" spans="1:5" ht="14.25">
      <c r="A1072">
        <v>40424</v>
      </c>
      <c r="B1072" t="s">
        <v>9131</v>
      </c>
      <c r="C1072" t="s">
        <v>2110</v>
      </c>
      <c r="D1072" t="s">
        <v>2103</v>
      </c>
      <c r="E1072" s="183">
        <v>10.54</v>
      </c>
    </row>
    <row r="1073" spans="1:5" ht="14.25">
      <c r="A1073">
        <v>1325</v>
      </c>
      <c r="B1073" t="s">
        <v>9132</v>
      </c>
      <c r="C1073" t="s">
        <v>2110</v>
      </c>
      <c r="D1073" t="s">
        <v>2103</v>
      </c>
      <c r="E1073" s="183">
        <v>11.54</v>
      </c>
    </row>
    <row r="1074" spans="1:5" ht="14.25">
      <c r="A1074">
        <v>1327</v>
      </c>
      <c r="B1074" t="s">
        <v>9133</v>
      </c>
      <c r="C1074" t="s">
        <v>2110</v>
      </c>
      <c r="D1074" t="s">
        <v>2103</v>
      </c>
      <c r="E1074" s="183">
        <v>12.29</v>
      </c>
    </row>
    <row r="1075" spans="1:5" ht="14.25">
      <c r="A1075">
        <v>1328</v>
      </c>
      <c r="B1075" t="s">
        <v>9134</v>
      </c>
      <c r="C1075" t="s">
        <v>2110</v>
      </c>
      <c r="D1075" t="s">
        <v>2103</v>
      </c>
      <c r="E1075" s="183">
        <v>11.57</v>
      </c>
    </row>
    <row r="1076" spans="1:5" ht="14.25">
      <c r="A1076">
        <v>1321</v>
      </c>
      <c r="B1076" t="s">
        <v>9135</v>
      </c>
      <c r="C1076" t="s">
        <v>2110</v>
      </c>
      <c r="D1076" t="s">
        <v>2103</v>
      </c>
      <c r="E1076" s="183">
        <v>10.71</v>
      </c>
    </row>
    <row r="1077" spans="1:5" ht="14.25">
      <c r="A1077">
        <v>1318</v>
      </c>
      <c r="B1077" t="s">
        <v>9136</v>
      </c>
      <c r="C1077" t="s">
        <v>2110</v>
      </c>
      <c r="D1077" t="s">
        <v>2103</v>
      </c>
      <c r="E1077" s="183">
        <v>10.72</v>
      </c>
    </row>
    <row r="1078" spans="1:5" ht="14.25">
      <c r="A1078">
        <v>1322</v>
      </c>
      <c r="B1078" t="s">
        <v>9137</v>
      </c>
      <c r="C1078" t="s">
        <v>2110</v>
      </c>
      <c r="D1078" t="s">
        <v>2103</v>
      </c>
      <c r="E1078" s="183">
        <v>11.33</v>
      </c>
    </row>
    <row r="1079" spans="1:5" ht="14.25">
      <c r="A1079">
        <v>1323</v>
      </c>
      <c r="B1079" t="s">
        <v>9138</v>
      </c>
      <c r="C1079" t="s">
        <v>2110</v>
      </c>
      <c r="D1079" t="s">
        <v>2103</v>
      </c>
      <c r="E1079" s="183">
        <v>11.33</v>
      </c>
    </row>
    <row r="1080" spans="1:5" ht="14.25">
      <c r="A1080">
        <v>1319</v>
      </c>
      <c r="B1080" t="s">
        <v>9139</v>
      </c>
      <c r="C1080" t="s">
        <v>2110</v>
      </c>
      <c r="D1080" t="s">
        <v>2103</v>
      </c>
      <c r="E1080" s="183">
        <v>9.5399999999999991</v>
      </c>
    </row>
    <row r="1081" spans="1:5" ht="14.25">
      <c r="A1081">
        <v>11026</v>
      </c>
      <c r="B1081" t="s">
        <v>9140</v>
      </c>
      <c r="C1081" t="s">
        <v>2110</v>
      </c>
      <c r="D1081" t="s">
        <v>2103</v>
      </c>
      <c r="E1081" s="183">
        <v>13.13</v>
      </c>
    </row>
    <row r="1082" spans="1:5" ht="14.25">
      <c r="A1082">
        <v>11027</v>
      </c>
      <c r="B1082" t="s">
        <v>9141</v>
      </c>
      <c r="C1082" t="s">
        <v>2110</v>
      </c>
      <c r="D1082" t="s">
        <v>2103</v>
      </c>
      <c r="E1082" s="183">
        <v>13.66</v>
      </c>
    </row>
    <row r="1083" spans="1:5" ht="14.25">
      <c r="A1083">
        <v>11046</v>
      </c>
      <c r="B1083" t="s">
        <v>9142</v>
      </c>
      <c r="C1083" t="s">
        <v>2110</v>
      </c>
      <c r="D1083" t="s">
        <v>2103</v>
      </c>
      <c r="E1083" s="183">
        <v>13.09</v>
      </c>
    </row>
    <row r="1084" spans="1:5" ht="14.25">
      <c r="A1084">
        <v>11047</v>
      </c>
      <c r="B1084" t="s">
        <v>9143</v>
      </c>
      <c r="C1084" t="s">
        <v>2110</v>
      </c>
      <c r="D1084" t="s">
        <v>2103</v>
      </c>
      <c r="E1084" s="183">
        <v>14.27</v>
      </c>
    </row>
    <row r="1085" spans="1:5" ht="14.25">
      <c r="A1085">
        <v>43668</v>
      </c>
      <c r="B1085" t="s">
        <v>9144</v>
      </c>
      <c r="C1085" t="s">
        <v>2110</v>
      </c>
      <c r="D1085" t="s">
        <v>2103</v>
      </c>
      <c r="E1085" s="183">
        <v>12.59</v>
      </c>
    </row>
    <row r="1086" spans="1:5" ht="14.25">
      <c r="A1086">
        <v>11049</v>
      </c>
      <c r="B1086" t="s">
        <v>9145</v>
      </c>
      <c r="C1086" t="s">
        <v>2110</v>
      </c>
      <c r="D1086" t="s">
        <v>2107</v>
      </c>
      <c r="E1086" s="183">
        <v>13.64</v>
      </c>
    </row>
    <row r="1087" spans="1:5" ht="14.25">
      <c r="A1087">
        <v>43106</v>
      </c>
      <c r="B1087" t="s">
        <v>9146</v>
      </c>
      <c r="C1087" t="s">
        <v>2110</v>
      </c>
      <c r="D1087" t="s">
        <v>2103</v>
      </c>
      <c r="E1087" s="183">
        <v>13.72</v>
      </c>
    </row>
    <row r="1088" spans="1:5" ht="14.25">
      <c r="A1088">
        <v>11051</v>
      </c>
      <c r="B1088" t="s">
        <v>9147</v>
      </c>
      <c r="C1088" t="s">
        <v>2110</v>
      </c>
      <c r="D1088" t="s">
        <v>2103</v>
      </c>
      <c r="E1088" s="183">
        <v>14.32</v>
      </c>
    </row>
    <row r="1089" spans="1:5" ht="14.25">
      <c r="A1089">
        <v>11061</v>
      </c>
      <c r="B1089" t="s">
        <v>9148</v>
      </c>
      <c r="C1089" t="s">
        <v>2110</v>
      </c>
      <c r="D1089" t="s">
        <v>2103</v>
      </c>
      <c r="E1089" s="183">
        <v>17.18</v>
      </c>
    </row>
    <row r="1090" spans="1:5" ht="14.25">
      <c r="A1090">
        <v>43667</v>
      </c>
      <c r="B1090" t="s">
        <v>9149</v>
      </c>
      <c r="C1090" t="s">
        <v>2110</v>
      </c>
      <c r="D1090" t="s">
        <v>2103</v>
      </c>
      <c r="E1090" s="183">
        <v>12.49</v>
      </c>
    </row>
    <row r="1091" spans="1:5" ht="14.25">
      <c r="A1091">
        <v>1333</v>
      </c>
      <c r="B1091" t="s">
        <v>9150</v>
      </c>
      <c r="C1091" t="s">
        <v>2110</v>
      </c>
      <c r="D1091" t="s">
        <v>2103</v>
      </c>
      <c r="E1091" s="183">
        <v>10.4</v>
      </c>
    </row>
    <row r="1092" spans="1:5" ht="14.25">
      <c r="A1092">
        <v>1330</v>
      </c>
      <c r="B1092" t="s">
        <v>9151</v>
      </c>
      <c r="C1092" t="s">
        <v>2110</v>
      </c>
      <c r="D1092" t="s">
        <v>2103</v>
      </c>
      <c r="E1092" s="183">
        <v>10.3</v>
      </c>
    </row>
    <row r="1093" spans="1:5" ht="14.25">
      <c r="A1093">
        <v>10957</v>
      </c>
      <c r="B1093" t="s">
        <v>9152</v>
      </c>
      <c r="C1093" t="s">
        <v>2110</v>
      </c>
      <c r="D1093" t="s">
        <v>2103</v>
      </c>
      <c r="E1093" s="183">
        <v>11.88</v>
      </c>
    </row>
    <row r="1094" spans="1:5" ht="14.25">
      <c r="A1094">
        <v>1332</v>
      </c>
      <c r="B1094" t="s">
        <v>9153</v>
      </c>
      <c r="C1094" t="s">
        <v>2110</v>
      </c>
      <c r="D1094" t="s">
        <v>2103</v>
      </c>
      <c r="E1094" s="183">
        <v>10.57</v>
      </c>
    </row>
    <row r="1095" spans="1:5" ht="14.25">
      <c r="A1095">
        <v>1334</v>
      </c>
      <c r="B1095" t="s">
        <v>9154</v>
      </c>
      <c r="C1095" t="s">
        <v>2110</v>
      </c>
      <c r="D1095" t="s">
        <v>2103</v>
      </c>
      <c r="E1095" s="183">
        <v>11.72</v>
      </c>
    </row>
    <row r="1096" spans="1:5" ht="14.25">
      <c r="A1096">
        <v>1335</v>
      </c>
      <c r="B1096" t="s">
        <v>9155</v>
      </c>
      <c r="C1096" t="s">
        <v>2110</v>
      </c>
      <c r="D1096" t="s">
        <v>2103</v>
      </c>
      <c r="E1096" s="183">
        <v>12.11</v>
      </c>
    </row>
    <row r="1097" spans="1:5" ht="14.25">
      <c r="A1097">
        <v>40425</v>
      </c>
      <c r="B1097" t="s">
        <v>9156</v>
      </c>
      <c r="C1097" t="s">
        <v>2110</v>
      </c>
      <c r="D1097" t="s">
        <v>2103</v>
      </c>
      <c r="E1097" s="183">
        <v>10.36</v>
      </c>
    </row>
    <row r="1098" spans="1:5" ht="14.25">
      <c r="A1098">
        <v>1337</v>
      </c>
      <c r="B1098" t="s">
        <v>9157</v>
      </c>
      <c r="C1098" t="s">
        <v>2110</v>
      </c>
      <c r="D1098" t="s">
        <v>2103</v>
      </c>
      <c r="E1098" s="183">
        <v>11.88</v>
      </c>
    </row>
    <row r="1099" spans="1:5" ht="14.25">
      <c r="A1099">
        <v>1338</v>
      </c>
      <c r="B1099" t="s">
        <v>18245</v>
      </c>
      <c r="C1099" t="s">
        <v>2104</v>
      </c>
      <c r="D1099" t="s">
        <v>2107</v>
      </c>
      <c r="E1099" s="183">
        <v>48.62</v>
      </c>
    </row>
    <row r="1100" spans="1:5" ht="14.25">
      <c r="A1100">
        <v>1340</v>
      </c>
      <c r="B1100" t="s">
        <v>18246</v>
      </c>
      <c r="C1100" t="s">
        <v>2104</v>
      </c>
      <c r="D1100" t="s">
        <v>2103</v>
      </c>
      <c r="E1100" s="183">
        <v>56.21</v>
      </c>
    </row>
    <row r="1101" spans="1:5" ht="14.25">
      <c r="A1101">
        <v>1341</v>
      </c>
      <c r="B1101" t="s">
        <v>18247</v>
      </c>
      <c r="C1101" t="s">
        <v>2104</v>
      </c>
      <c r="D1101" t="s">
        <v>2103</v>
      </c>
      <c r="E1101" s="183">
        <v>54.14</v>
      </c>
    </row>
    <row r="1102" spans="1:5" ht="14.25">
      <c r="A1102">
        <v>34659</v>
      </c>
      <c r="B1102" t="s">
        <v>9158</v>
      </c>
      <c r="C1102" t="s">
        <v>2104</v>
      </c>
      <c r="D1102" t="s">
        <v>2103</v>
      </c>
      <c r="E1102" s="183">
        <v>37.26</v>
      </c>
    </row>
    <row r="1103" spans="1:5" ht="14.25">
      <c r="A1103">
        <v>34514</v>
      </c>
      <c r="B1103" t="s">
        <v>9159</v>
      </c>
      <c r="C1103" t="s">
        <v>2104</v>
      </c>
      <c r="D1103" t="s">
        <v>2107</v>
      </c>
      <c r="E1103" s="183">
        <v>41.27</v>
      </c>
    </row>
    <row r="1104" spans="1:5" ht="14.25">
      <c r="A1104">
        <v>34660</v>
      </c>
      <c r="B1104" t="s">
        <v>9160</v>
      </c>
      <c r="C1104" t="s">
        <v>2104</v>
      </c>
      <c r="D1104" t="s">
        <v>2103</v>
      </c>
      <c r="E1104" s="183">
        <v>52.37</v>
      </c>
    </row>
    <row r="1105" spans="1:5" ht="14.25">
      <c r="A1105">
        <v>34661</v>
      </c>
      <c r="B1105" t="s">
        <v>9161</v>
      </c>
      <c r="C1105" t="s">
        <v>2104</v>
      </c>
      <c r="D1105" t="s">
        <v>2103</v>
      </c>
      <c r="E1105" s="183">
        <v>75.22</v>
      </c>
    </row>
    <row r="1106" spans="1:5" ht="14.25">
      <c r="A1106">
        <v>34667</v>
      </c>
      <c r="B1106" t="s">
        <v>9162</v>
      </c>
      <c r="C1106" t="s">
        <v>2104</v>
      </c>
      <c r="D1106" t="s">
        <v>2103</v>
      </c>
      <c r="E1106" s="183">
        <v>27.24</v>
      </c>
    </row>
    <row r="1107" spans="1:5" ht="14.25">
      <c r="A1107">
        <v>34668</v>
      </c>
      <c r="B1107" t="s">
        <v>9163</v>
      </c>
      <c r="C1107" t="s">
        <v>2104</v>
      </c>
      <c r="D1107" t="s">
        <v>2103</v>
      </c>
      <c r="E1107" s="183">
        <v>35.6</v>
      </c>
    </row>
    <row r="1108" spans="1:5" ht="14.25">
      <c r="A1108">
        <v>34741</v>
      </c>
      <c r="B1108" t="s">
        <v>9164</v>
      </c>
      <c r="C1108" t="s">
        <v>2104</v>
      </c>
      <c r="D1108" t="s">
        <v>2103</v>
      </c>
      <c r="E1108" s="183">
        <v>39.17</v>
      </c>
    </row>
    <row r="1109" spans="1:5" ht="14.25">
      <c r="A1109">
        <v>34664</v>
      </c>
      <c r="B1109" t="s">
        <v>9165</v>
      </c>
      <c r="C1109" t="s">
        <v>2104</v>
      </c>
      <c r="D1109" t="s">
        <v>2103</v>
      </c>
      <c r="E1109" s="183">
        <v>42.74</v>
      </c>
    </row>
    <row r="1110" spans="1:5" ht="14.25">
      <c r="A1110">
        <v>34665</v>
      </c>
      <c r="B1110" t="s">
        <v>9166</v>
      </c>
      <c r="C1110" t="s">
        <v>2104</v>
      </c>
      <c r="D1110" t="s">
        <v>2103</v>
      </c>
      <c r="E1110" s="183">
        <v>53.06</v>
      </c>
    </row>
    <row r="1111" spans="1:5" ht="14.25">
      <c r="A1111">
        <v>34666</v>
      </c>
      <c r="B1111" t="s">
        <v>9167</v>
      </c>
      <c r="C1111" t="s">
        <v>2104</v>
      </c>
      <c r="D1111" t="s">
        <v>2103</v>
      </c>
      <c r="E1111" s="183">
        <v>80.14</v>
      </c>
    </row>
    <row r="1112" spans="1:5" ht="14.25">
      <c r="A1112">
        <v>34669</v>
      </c>
      <c r="B1112" t="s">
        <v>9168</v>
      </c>
      <c r="C1112" t="s">
        <v>2104</v>
      </c>
      <c r="D1112" t="s">
        <v>2103</v>
      </c>
      <c r="E1112" s="183">
        <v>29.38</v>
      </c>
    </row>
    <row r="1113" spans="1:5" ht="14.25">
      <c r="A1113">
        <v>34670</v>
      </c>
      <c r="B1113" t="s">
        <v>9169</v>
      </c>
      <c r="C1113" t="s">
        <v>2104</v>
      </c>
      <c r="D1113" t="s">
        <v>2103</v>
      </c>
      <c r="E1113" s="183">
        <v>35.94</v>
      </c>
    </row>
    <row r="1114" spans="1:5" ht="14.25">
      <c r="A1114">
        <v>34671</v>
      </c>
      <c r="B1114" t="s">
        <v>9170</v>
      </c>
      <c r="C1114" t="s">
        <v>2104</v>
      </c>
      <c r="D1114" t="s">
        <v>2103</v>
      </c>
      <c r="E1114" s="183">
        <v>30</v>
      </c>
    </row>
    <row r="1115" spans="1:5" ht="14.25">
      <c r="A1115">
        <v>34672</v>
      </c>
      <c r="B1115" t="s">
        <v>9171</v>
      </c>
      <c r="C1115" t="s">
        <v>2104</v>
      </c>
      <c r="D1115" t="s">
        <v>2103</v>
      </c>
      <c r="E1115" s="183">
        <v>31.63</v>
      </c>
    </row>
    <row r="1116" spans="1:5" ht="14.25">
      <c r="A1116">
        <v>34673</v>
      </c>
      <c r="B1116" t="s">
        <v>9172</v>
      </c>
      <c r="C1116" t="s">
        <v>2104</v>
      </c>
      <c r="D1116" t="s">
        <v>2103</v>
      </c>
      <c r="E1116" s="183">
        <v>38.6</v>
      </c>
    </row>
    <row r="1117" spans="1:5" ht="14.25">
      <c r="A1117">
        <v>34674</v>
      </c>
      <c r="B1117" t="s">
        <v>9173</v>
      </c>
      <c r="C1117" t="s">
        <v>2104</v>
      </c>
      <c r="D1117" t="s">
        <v>2103</v>
      </c>
      <c r="E1117" s="183">
        <v>51.32</v>
      </c>
    </row>
    <row r="1118" spans="1:5" ht="14.25">
      <c r="A1118">
        <v>34675</v>
      </c>
      <c r="B1118" t="s">
        <v>9174</v>
      </c>
      <c r="C1118" t="s">
        <v>2104</v>
      </c>
      <c r="D1118" t="s">
        <v>2103</v>
      </c>
      <c r="E1118" s="183">
        <v>62.57</v>
      </c>
    </row>
    <row r="1119" spans="1:5" ht="14.25">
      <c r="A1119">
        <v>34676</v>
      </c>
      <c r="B1119" t="s">
        <v>9175</v>
      </c>
      <c r="C1119" t="s">
        <v>2104</v>
      </c>
      <c r="D1119" t="s">
        <v>2103</v>
      </c>
      <c r="E1119" s="183">
        <v>18.010000000000002</v>
      </c>
    </row>
    <row r="1120" spans="1:5" ht="14.25">
      <c r="A1120">
        <v>34677</v>
      </c>
      <c r="B1120" t="s">
        <v>9176</v>
      </c>
      <c r="C1120" t="s">
        <v>2104</v>
      </c>
      <c r="D1120" t="s">
        <v>2103</v>
      </c>
      <c r="E1120" s="183">
        <v>24.22</v>
      </c>
    </row>
    <row r="1121" spans="1:5" ht="14.25">
      <c r="A1121">
        <v>43126</v>
      </c>
      <c r="B1121" t="s">
        <v>9177</v>
      </c>
      <c r="C1121" t="s">
        <v>2104</v>
      </c>
      <c r="D1121" t="s">
        <v>2105</v>
      </c>
      <c r="E1121" s="183">
        <v>100.13</v>
      </c>
    </row>
    <row r="1122" spans="1:5" ht="14.25">
      <c r="A1122">
        <v>43124</v>
      </c>
      <c r="B1122" t="s">
        <v>9178</v>
      </c>
      <c r="C1122" t="s">
        <v>2104</v>
      </c>
      <c r="D1122" t="s">
        <v>2105</v>
      </c>
      <c r="E1122" s="183">
        <v>116.91</v>
      </c>
    </row>
    <row r="1123" spans="1:5" ht="14.25">
      <c r="A1123">
        <v>43125</v>
      </c>
      <c r="B1123" t="s">
        <v>9179</v>
      </c>
      <c r="C1123" t="s">
        <v>2104</v>
      </c>
      <c r="D1123" t="s">
        <v>2105</v>
      </c>
      <c r="E1123" s="183">
        <v>151.63</v>
      </c>
    </row>
    <row r="1124" spans="1:5" ht="14.25">
      <c r="A1124">
        <v>40623</v>
      </c>
      <c r="B1124" t="s">
        <v>9180</v>
      </c>
      <c r="C1124" t="s">
        <v>2136</v>
      </c>
      <c r="D1124" t="s">
        <v>2103</v>
      </c>
      <c r="E1124" s="183">
        <v>115.69</v>
      </c>
    </row>
    <row r="1125" spans="1:5" ht="14.25">
      <c r="A1125">
        <v>43701</v>
      </c>
      <c r="B1125" t="s">
        <v>9181</v>
      </c>
      <c r="C1125" t="s">
        <v>2110</v>
      </c>
      <c r="D1125" t="s">
        <v>2105</v>
      </c>
      <c r="E1125" s="183">
        <v>32.5</v>
      </c>
    </row>
    <row r="1126" spans="1:5" ht="14.25">
      <c r="A1126">
        <v>1345</v>
      </c>
      <c r="B1126" t="s">
        <v>13541</v>
      </c>
      <c r="C1126" t="s">
        <v>2104</v>
      </c>
      <c r="D1126" t="s">
        <v>2103</v>
      </c>
      <c r="E1126" s="183">
        <v>97.97</v>
      </c>
    </row>
    <row r="1127" spans="1:5" ht="14.25">
      <c r="A1127">
        <v>1346</v>
      </c>
      <c r="B1127" t="s">
        <v>13542</v>
      </c>
      <c r="C1127" t="s">
        <v>2104</v>
      </c>
      <c r="D1127" t="s">
        <v>2103</v>
      </c>
      <c r="E1127" s="183">
        <v>56.99</v>
      </c>
    </row>
    <row r="1128" spans="1:5" ht="14.25">
      <c r="A1128">
        <v>1347</v>
      </c>
      <c r="B1128" t="s">
        <v>13543</v>
      </c>
      <c r="C1128" t="s">
        <v>2104</v>
      </c>
      <c r="D1128" t="s">
        <v>2103</v>
      </c>
      <c r="E1128" s="183">
        <v>70.61</v>
      </c>
    </row>
    <row r="1129" spans="1:5" ht="14.25">
      <c r="A1129">
        <v>43678</v>
      </c>
      <c r="B1129" t="s">
        <v>13544</v>
      </c>
      <c r="C1129" t="s">
        <v>2104</v>
      </c>
      <c r="D1129" t="s">
        <v>2103</v>
      </c>
      <c r="E1129" s="183">
        <v>81.91</v>
      </c>
    </row>
    <row r="1130" spans="1:5" ht="14.25">
      <c r="A1130">
        <v>43680</v>
      </c>
      <c r="B1130" t="s">
        <v>13545</v>
      </c>
      <c r="C1130" t="s">
        <v>2104</v>
      </c>
      <c r="D1130" t="s">
        <v>2103</v>
      </c>
      <c r="E1130" s="183">
        <v>118</v>
      </c>
    </row>
    <row r="1131" spans="1:5" ht="14.25">
      <c r="A1131">
        <v>43679</v>
      </c>
      <c r="B1131" t="s">
        <v>13546</v>
      </c>
      <c r="C1131" t="s">
        <v>2104</v>
      </c>
      <c r="D1131" t="s">
        <v>2103</v>
      </c>
      <c r="E1131" s="183">
        <v>41.41</v>
      </c>
    </row>
    <row r="1132" spans="1:5" ht="14.25">
      <c r="A1132">
        <v>1355</v>
      </c>
      <c r="B1132" t="s">
        <v>13547</v>
      </c>
      <c r="C1132" t="s">
        <v>2104</v>
      </c>
      <c r="D1132" t="s">
        <v>2103</v>
      </c>
      <c r="E1132" s="183">
        <v>47.12</v>
      </c>
    </row>
    <row r="1133" spans="1:5" ht="14.25">
      <c r="A1133">
        <v>1358</v>
      </c>
      <c r="B1133" t="s">
        <v>13548</v>
      </c>
      <c r="C1133" t="s">
        <v>2104</v>
      </c>
      <c r="D1133" t="s">
        <v>2103</v>
      </c>
      <c r="E1133" s="183">
        <v>57.85</v>
      </c>
    </row>
    <row r="1134" spans="1:5" ht="14.25">
      <c r="A1134">
        <v>43681</v>
      </c>
      <c r="B1134" t="s">
        <v>13549</v>
      </c>
      <c r="C1134" t="s">
        <v>2104</v>
      </c>
      <c r="D1134" t="s">
        <v>2107</v>
      </c>
      <c r="E1134" s="183">
        <v>36.450000000000003</v>
      </c>
    </row>
    <row r="1135" spans="1:5" ht="14.25">
      <c r="A1135">
        <v>43677</v>
      </c>
      <c r="B1135" t="s">
        <v>13550</v>
      </c>
      <c r="C1135" t="s">
        <v>2104</v>
      </c>
      <c r="D1135" t="s">
        <v>2103</v>
      </c>
      <c r="E1135" s="183">
        <v>71.78</v>
      </c>
    </row>
    <row r="1136" spans="1:5" ht="14.25">
      <c r="A1136">
        <v>43682</v>
      </c>
      <c r="B1136" t="s">
        <v>13551</v>
      </c>
      <c r="C1136" t="s">
        <v>2104</v>
      </c>
      <c r="D1136" t="s">
        <v>2103</v>
      </c>
      <c r="E1136" s="183">
        <v>22</v>
      </c>
    </row>
    <row r="1137" spans="1:5" ht="14.25">
      <c r="A1137">
        <v>20971</v>
      </c>
      <c r="B1137" t="s">
        <v>9182</v>
      </c>
      <c r="C1137" t="s">
        <v>2102</v>
      </c>
      <c r="D1137" t="s">
        <v>2103</v>
      </c>
      <c r="E1137" s="183">
        <v>18.09</v>
      </c>
    </row>
    <row r="1138" spans="1:5" ht="14.25">
      <c r="A1138">
        <v>39746</v>
      </c>
      <c r="B1138" t="s">
        <v>18248</v>
      </c>
      <c r="C1138" t="s">
        <v>2102</v>
      </c>
      <c r="D1138" t="s">
        <v>2105</v>
      </c>
      <c r="E1138" s="183">
        <v>81.59</v>
      </c>
    </row>
    <row r="1139" spans="1:5" ht="14.25">
      <c r="A1139">
        <v>13279</v>
      </c>
      <c r="B1139" t="s">
        <v>9183</v>
      </c>
      <c r="C1139" t="s">
        <v>2110</v>
      </c>
      <c r="D1139" t="s">
        <v>2105</v>
      </c>
      <c r="E1139" s="183">
        <v>20.66</v>
      </c>
    </row>
    <row r="1140" spans="1:5" ht="14.25">
      <c r="A1140">
        <v>11977</v>
      </c>
      <c r="B1140" t="s">
        <v>9184</v>
      </c>
      <c r="C1140" t="s">
        <v>2102</v>
      </c>
      <c r="D1140" t="s">
        <v>2105</v>
      </c>
      <c r="E1140" s="183">
        <v>10.7</v>
      </c>
    </row>
    <row r="1141" spans="1:5" ht="14.25">
      <c r="A1141">
        <v>11975</v>
      </c>
      <c r="B1141" t="s">
        <v>9185</v>
      </c>
      <c r="C1141" t="s">
        <v>2102</v>
      </c>
      <c r="D1141" t="s">
        <v>2105</v>
      </c>
      <c r="E1141" s="183">
        <v>23.45</v>
      </c>
    </row>
    <row r="1142" spans="1:5" ht="14.25">
      <c r="A1142">
        <v>11976</v>
      </c>
      <c r="B1142" t="s">
        <v>9186</v>
      </c>
      <c r="C1142" t="s">
        <v>2102</v>
      </c>
      <c r="D1142" t="s">
        <v>2105</v>
      </c>
      <c r="E1142" s="183">
        <v>1.2</v>
      </c>
    </row>
    <row r="1143" spans="1:5" ht="14.25">
      <c r="A1143">
        <v>1368</v>
      </c>
      <c r="B1143" t="s">
        <v>9187</v>
      </c>
      <c r="C1143" t="s">
        <v>2102</v>
      </c>
      <c r="D1143" t="s">
        <v>2107</v>
      </c>
      <c r="E1143" s="183">
        <v>76.5</v>
      </c>
    </row>
    <row r="1144" spans="1:5" ht="14.25">
      <c r="A1144">
        <v>1367</v>
      </c>
      <c r="B1144" t="s">
        <v>9188</v>
      </c>
      <c r="C1144" t="s">
        <v>2102</v>
      </c>
      <c r="D1144" t="s">
        <v>2103</v>
      </c>
      <c r="E1144" s="183">
        <v>247.45</v>
      </c>
    </row>
    <row r="1145" spans="1:5" ht="14.25">
      <c r="A1145">
        <v>1380</v>
      </c>
      <c r="B1145" t="s">
        <v>18249</v>
      </c>
      <c r="C1145" t="s">
        <v>2110</v>
      </c>
      <c r="D1145" t="s">
        <v>2103</v>
      </c>
      <c r="E1145" s="183">
        <v>4.75</v>
      </c>
    </row>
    <row r="1146" spans="1:5" ht="14.25">
      <c r="A1146">
        <v>1375</v>
      </c>
      <c r="B1146" t="s">
        <v>9189</v>
      </c>
      <c r="C1146" t="s">
        <v>2110</v>
      </c>
      <c r="D1146" t="s">
        <v>2103</v>
      </c>
      <c r="E1146" s="183">
        <v>15.21</v>
      </c>
    </row>
    <row r="1147" spans="1:5" ht="14.25">
      <c r="A1147">
        <v>1379</v>
      </c>
      <c r="B1147" t="s">
        <v>9190</v>
      </c>
      <c r="C1147" t="s">
        <v>2110</v>
      </c>
      <c r="D1147" t="s">
        <v>2107</v>
      </c>
      <c r="E1147" s="183">
        <v>0.71</v>
      </c>
    </row>
    <row r="1148" spans="1:5" ht="14.25">
      <c r="A1148">
        <v>13284</v>
      </c>
      <c r="B1148" t="s">
        <v>9191</v>
      </c>
      <c r="C1148" t="s">
        <v>2110</v>
      </c>
      <c r="D1148" t="s">
        <v>2103</v>
      </c>
      <c r="E1148" s="183">
        <v>0.64</v>
      </c>
    </row>
    <row r="1149" spans="1:5" ht="14.25">
      <c r="A1149">
        <v>44528</v>
      </c>
      <c r="B1149" t="s">
        <v>18250</v>
      </c>
      <c r="C1149" t="s">
        <v>2110</v>
      </c>
      <c r="D1149" t="s">
        <v>2103</v>
      </c>
      <c r="E1149" s="183">
        <v>3.78</v>
      </c>
    </row>
    <row r="1150" spans="1:5" ht="14.25">
      <c r="A1150">
        <v>34753</v>
      </c>
      <c r="B1150" t="s">
        <v>9192</v>
      </c>
      <c r="C1150" t="s">
        <v>2110</v>
      </c>
      <c r="D1150" t="s">
        <v>2103</v>
      </c>
      <c r="E1150" s="183">
        <v>0.69</v>
      </c>
    </row>
    <row r="1151" spans="1:5" ht="14.25">
      <c r="A1151">
        <v>420</v>
      </c>
      <c r="B1151" t="s">
        <v>9193</v>
      </c>
      <c r="C1151" t="s">
        <v>2102</v>
      </c>
      <c r="D1151" t="s">
        <v>2103</v>
      </c>
      <c r="E1151" s="183">
        <v>38.99</v>
      </c>
    </row>
    <row r="1152" spans="1:5" ht="14.25">
      <c r="A1152">
        <v>12327</v>
      </c>
      <c r="B1152" t="s">
        <v>9194</v>
      </c>
      <c r="C1152" t="s">
        <v>2102</v>
      </c>
      <c r="D1152" t="s">
        <v>2103</v>
      </c>
      <c r="E1152" s="183">
        <v>46.45</v>
      </c>
    </row>
    <row r="1153" spans="1:5" ht="14.25">
      <c r="A1153">
        <v>36148</v>
      </c>
      <c r="B1153" t="s">
        <v>9195</v>
      </c>
      <c r="C1153" t="s">
        <v>2102</v>
      </c>
      <c r="D1153" t="s">
        <v>2103</v>
      </c>
      <c r="E1153" s="183">
        <v>72.67</v>
      </c>
    </row>
    <row r="1154" spans="1:5" ht="14.25">
      <c r="A1154">
        <v>12329</v>
      </c>
      <c r="B1154" t="s">
        <v>9196</v>
      </c>
      <c r="C1154" t="s">
        <v>2110</v>
      </c>
      <c r="D1154" t="s">
        <v>2103</v>
      </c>
      <c r="E1154" s="183">
        <v>113.37</v>
      </c>
    </row>
    <row r="1155" spans="1:5" ht="14.25">
      <c r="A1155">
        <v>1339</v>
      </c>
      <c r="B1155" t="s">
        <v>9197</v>
      </c>
      <c r="C1155" t="s">
        <v>2110</v>
      </c>
      <c r="D1155" t="s">
        <v>2103</v>
      </c>
      <c r="E1155" s="183">
        <v>48.75</v>
      </c>
    </row>
    <row r="1156" spans="1:5" ht="14.25">
      <c r="A1156">
        <v>44396</v>
      </c>
      <c r="B1156" t="s">
        <v>9198</v>
      </c>
      <c r="C1156" t="s">
        <v>2110</v>
      </c>
      <c r="D1156" t="s">
        <v>2103</v>
      </c>
      <c r="E1156" s="183">
        <v>48.67</v>
      </c>
    </row>
    <row r="1157" spans="1:5" ht="14.25">
      <c r="A1157">
        <v>44327</v>
      </c>
      <c r="B1157" t="s">
        <v>9199</v>
      </c>
      <c r="C1157" t="s">
        <v>2117</v>
      </c>
      <c r="D1157" t="s">
        <v>2103</v>
      </c>
      <c r="E1157" s="183">
        <v>165.54</v>
      </c>
    </row>
    <row r="1158" spans="1:5" ht="14.25">
      <c r="A1158">
        <v>37418</v>
      </c>
      <c r="B1158" t="s">
        <v>9200</v>
      </c>
      <c r="C1158" t="s">
        <v>2102</v>
      </c>
      <c r="D1158" t="s">
        <v>2105</v>
      </c>
      <c r="E1158" s="183">
        <v>16.71</v>
      </c>
    </row>
    <row r="1159" spans="1:5" ht="14.25">
      <c r="A1159">
        <v>37419</v>
      </c>
      <c r="B1159" t="s">
        <v>9201</v>
      </c>
      <c r="C1159" t="s">
        <v>2102</v>
      </c>
      <c r="D1159" t="s">
        <v>2105</v>
      </c>
      <c r="E1159" s="183">
        <v>17.16</v>
      </c>
    </row>
    <row r="1160" spans="1:5" ht="14.25">
      <c r="A1160">
        <v>1427</v>
      </c>
      <c r="B1160" t="s">
        <v>9202</v>
      </c>
      <c r="C1160" t="s">
        <v>2102</v>
      </c>
      <c r="D1160" t="s">
        <v>2105</v>
      </c>
      <c r="E1160" s="183">
        <v>16.100000000000001</v>
      </c>
    </row>
    <row r="1161" spans="1:5" ht="14.25">
      <c r="A1161">
        <v>1402</v>
      </c>
      <c r="B1161" t="s">
        <v>9203</v>
      </c>
      <c r="C1161" t="s">
        <v>2102</v>
      </c>
      <c r="D1161" t="s">
        <v>2105</v>
      </c>
      <c r="E1161" s="183">
        <v>5.57</v>
      </c>
    </row>
    <row r="1162" spans="1:5" ht="14.25">
      <c r="A1162">
        <v>1420</v>
      </c>
      <c r="B1162" t="s">
        <v>9204</v>
      </c>
      <c r="C1162" t="s">
        <v>2102</v>
      </c>
      <c r="D1162" t="s">
        <v>2105</v>
      </c>
      <c r="E1162" s="183">
        <v>7.16</v>
      </c>
    </row>
    <row r="1163" spans="1:5" ht="14.25">
      <c r="A1163">
        <v>1419</v>
      </c>
      <c r="B1163" t="s">
        <v>9205</v>
      </c>
      <c r="C1163" t="s">
        <v>2102</v>
      </c>
      <c r="D1163" t="s">
        <v>2105</v>
      </c>
      <c r="E1163" s="183">
        <v>8.65</v>
      </c>
    </row>
    <row r="1164" spans="1:5" ht="14.25">
      <c r="A1164">
        <v>1414</v>
      </c>
      <c r="B1164" t="s">
        <v>9206</v>
      </c>
      <c r="C1164" t="s">
        <v>2102</v>
      </c>
      <c r="D1164" t="s">
        <v>2105</v>
      </c>
      <c r="E1164" s="183">
        <v>8.4700000000000006</v>
      </c>
    </row>
    <row r="1165" spans="1:5" ht="14.25">
      <c r="A1165">
        <v>1413</v>
      </c>
      <c r="B1165" t="s">
        <v>9207</v>
      </c>
      <c r="C1165" t="s">
        <v>2102</v>
      </c>
      <c r="D1165" t="s">
        <v>2105</v>
      </c>
      <c r="E1165" s="183">
        <v>12.51</v>
      </c>
    </row>
    <row r="1166" spans="1:5" ht="14.25">
      <c r="A1166">
        <v>1412</v>
      </c>
      <c r="B1166" t="s">
        <v>9208</v>
      </c>
      <c r="C1166" t="s">
        <v>2102</v>
      </c>
      <c r="D1166" t="s">
        <v>2105</v>
      </c>
      <c r="E1166" s="183">
        <v>10.6</v>
      </c>
    </row>
    <row r="1167" spans="1:5" ht="14.25">
      <c r="A1167">
        <v>1406</v>
      </c>
      <c r="B1167" t="s">
        <v>9209</v>
      </c>
      <c r="C1167" t="s">
        <v>2102</v>
      </c>
      <c r="D1167" t="s">
        <v>2105</v>
      </c>
      <c r="E1167" s="183">
        <v>12.78</v>
      </c>
    </row>
    <row r="1168" spans="1:5" ht="14.25">
      <c r="A1168">
        <v>11281</v>
      </c>
      <c r="B1168" t="s">
        <v>18251</v>
      </c>
      <c r="C1168" t="s">
        <v>2102</v>
      </c>
      <c r="D1168" t="s">
        <v>2105</v>
      </c>
      <c r="E1168" s="184">
        <v>10919.45</v>
      </c>
    </row>
    <row r="1169" spans="1:5" ht="14.25">
      <c r="A1169">
        <v>1442</v>
      </c>
      <c r="B1169" t="s">
        <v>18252</v>
      </c>
      <c r="C1169" t="s">
        <v>2102</v>
      </c>
      <c r="D1169" t="s">
        <v>2105</v>
      </c>
      <c r="E1169" s="184">
        <v>9166.7900000000009</v>
      </c>
    </row>
    <row r="1170" spans="1:5" ht="14.25">
      <c r="A1170">
        <v>13457</v>
      </c>
      <c r="B1170" t="s">
        <v>18253</v>
      </c>
      <c r="C1170" t="s">
        <v>2102</v>
      </c>
      <c r="D1170" t="s">
        <v>2105</v>
      </c>
      <c r="E1170" s="184">
        <v>7912.64</v>
      </c>
    </row>
    <row r="1171" spans="1:5" ht="14.25">
      <c r="A1171">
        <v>40699</v>
      </c>
      <c r="B1171" t="s">
        <v>18254</v>
      </c>
      <c r="C1171" t="s">
        <v>2102</v>
      </c>
      <c r="D1171" t="s">
        <v>2105</v>
      </c>
      <c r="E1171" s="184">
        <v>6116.77</v>
      </c>
    </row>
    <row r="1172" spans="1:5" ht="14.25">
      <c r="A1172">
        <v>40701</v>
      </c>
      <c r="B1172" t="s">
        <v>18255</v>
      </c>
      <c r="C1172" t="s">
        <v>2102</v>
      </c>
      <c r="D1172" t="s">
        <v>2105</v>
      </c>
      <c r="E1172" s="184">
        <v>108152.95</v>
      </c>
    </row>
    <row r="1173" spans="1:5" ht="14.25">
      <c r="A1173">
        <v>40700</v>
      </c>
      <c r="B1173" t="s">
        <v>18256</v>
      </c>
      <c r="C1173" t="s">
        <v>2102</v>
      </c>
      <c r="D1173" t="s">
        <v>2105</v>
      </c>
      <c r="E1173" s="184">
        <v>14239.05</v>
      </c>
    </row>
    <row r="1174" spans="1:5" ht="14.25">
      <c r="A1174">
        <v>13458</v>
      </c>
      <c r="B1174" t="s">
        <v>9210</v>
      </c>
      <c r="C1174" t="s">
        <v>2102</v>
      </c>
      <c r="D1174" t="s">
        <v>2105</v>
      </c>
      <c r="E1174" s="184">
        <v>13530.62</v>
      </c>
    </row>
    <row r="1175" spans="1:5" ht="14.25">
      <c r="A1175">
        <v>11134</v>
      </c>
      <c r="B1175" t="s">
        <v>13552</v>
      </c>
      <c r="C1175" t="s">
        <v>2104</v>
      </c>
      <c r="D1175" t="s">
        <v>2103</v>
      </c>
      <c r="E1175" s="183">
        <v>81.180000000000007</v>
      </c>
    </row>
    <row r="1176" spans="1:5" ht="14.25">
      <c r="A1176">
        <v>11135</v>
      </c>
      <c r="B1176" t="s">
        <v>13553</v>
      </c>
      <c r="C1176" t="s">
        <v>2104</v>
      </c>
      <c r="D1176" t="s">
        <v>2103</v>
      </c>
      <c r="E1176" s="183">
        <v>87.65</v>
      </c>
    </row>
    <row r="1177" spans="1:5" ht="14.25">
      <c r="A1177">
        <v>11136</v>
      </c>
      <c r="B1177" t="s">
        <v>13554</v>
      </c>
      <c r="C1177" t="s">
        <v>2104</v>
      </c>
      <c r="D1177" t="s">
        <v>2103</v>
      </c>
      <c r="E1177" s="183">
        <v>100.37</v>
      </c>
    </row>
    <row r="1178" spans="1:5" ht="14.25">
      <c r="A1178">
        <v>34743</v>
      </c>
      <c r="B1178" t="s">
        <v>13555</v>
      </c>
      <c r="C1178" t="s">
        <v>2104</v>
      </c>
      <c r="D1178" t="s">
        <v>2103</v>
      </c>
      <c r="E1178" s="183">
        <v>121.1</v>
      </c>
    </row>
    <row r="1179" spans="1:5" ht="14.25">
      <c r="A1179">
        <v>11137</v>
      </c>
      <c r="B1179" t="s">
        <v>13556</v>
      </c>
      <c r="C1179" t="s">
        <v>2104</v>
      </c>
      <c r="D1179" t="s">
        <v>2103</v>
      </c>
      <c r="E1179" s="183">
        <v>137.54</v>
      </c>
    </row>
    <row r="1180" spans="1:5" ht="14.25">
      <c r="A1180">
        <v>34745</v>
      </c>
      <c r="B1180" t="s">
        <v>13557</v>
      </c>
      <c r="C1180" t="s">
        <v>2104</v>
      </c>
      <c r="D1180" t="s">
        <v>2103</v>
      </c>
      <c r="E1180" s="183">
        <v>163.56</v>
      </c>
    </row>
    <row r="1181" spans="1:5" ht="14.25">
      <c r="A1181">
        <v>34746</v>
      </c>
      <c r="B1181" t="s">
        <v>13558</v>
      </c>
      <c r="C1181" t="s">
        <v>2104</v>
      </c>
      <c r="D1181" t="s">
        <v>2103</v>
      </c>
      <c r="E1181" s="183">
        <v>44.6</v>
      </c>
    </row>
    <row r="1182" spans="1:5" ht="14.25">
      <c r="A1182">
        <v>1360</v>
      </c>
      <c r="B1182" t="s">
        <v>13559</v>
      </c>
      <c r="C1182" t="s">
        <v>2104</v>
      </c>
      <c r="D1182" t="s">
        <v>2103</v>
      </c>
      <c r="E1182" s="183">
        <v>52.04</v>
      </c>
    </row>
    <row r="1183" spans="1:5" ht="14.25">
      <c r="A1183">
        <v>36524</v>
      </c>
      <c r="B1183" t="s">
        <v>9211</v>
      </c>
      <c r="C1183" t="s">
        <v>2102</v>
      </c>
      <c r="D1183" t="s">
        <v>2105</v>
      </c>
      <c r="E1183" s="184">
        <v>187946.8</v>
      </c>
    </row>
    <row r="1184" spans="1:5" ht="14.25">
      <c r="A1184">
        <v>36526</v>
      </c>
      <c r="B1184" t="s">
        <v>9212</v>
      </c>
      <c r="C1184" t="s">
        <v>2102</v>
      </c>
      <c r="D1184" t="s">
        <v>2105</v>
      </c>
      <c r="E1184" s="184">
        <v>151455.19</v>
      </c>
    </row>
    <row r="1185" spans="1:5" ht="14.25">
      <c r="A1185">
        <v>36523</v>
      </c>
      <c r="B1185" t="s">
        <v>9213</v>
      </c>
      <c r="C1185" t="s">
        <v>2102</v>
      </c>
      <c r="D1185" t="s">
        <v>2105</v>
      </c>
      <c r="E1185" s="184">
        <v>324245.12</v>
      </c>
    </row>
    <row r="1186" spans="1:5" ht="14.25">
      <c r="A1186">
        <v>36527</v>
      </c>
      <c r="B1186" t="s">
        <v>9214</v>
      </c>
      <c r="C1186" t="s">
        <v>2102</v>
      </c>
      <c r="D1186" t="s">
        <v>2105</v>
      </c>
      <c r="E1186" s="184">
        <v>352196.98</v>
      </c>
    </row>
    <row r="1187" spans="1:5" ht="14.25">
      <c r="A1187">
        <v>38642</v>
      </c>
      <c r="B1187" t="s">
        <v>9215</v>
      </c>
      <c r="C1187" t="s">
        <v>2102</v>
      </c>
      <c r="D1187" t="s">
        <v>2105</v>
      </c>
      <c r="E1187" s="184">
        <v>82000.490000000005</v>
      </c>
    </row>
    <row r="1188" spans="1:5" ht="14.25">
      <c r="A1188">
        <v>36522</v>
      </c>
      <c r="B1188" t="s">
        <v>9216</v>
      </c>
      <c r="C1188" t="s">
        <v>2102</v>
      </c>
      <c r="D1188" t="s">
        <v>2105</v>
      </c>
      <c r="E1188" s="184">
        <v>95365.6</v>
      </c>
    </row>
    <row r="1189" spans="1:5" ht="14.25">
      <c r="A1189">
        <v>36525</v>
      </c>
      <c r="B1189" t="s">
        <v>9217</v>
      </c>
      <c r="C1189" t="s">
        <v>2102</v>
      </c>
      <c r="D1189" t="s">
        <v>2105</v>
      </c>
      <c r="E1189" s="184">
        <v>127716.8</v>
      </c>
    </row>
    <row r="1190" spans="1:5" ht="14.25">
      <c r="A1190">
        <v>13803</v>
      </c>
      <c r="B1190" t="s">
        <v>18257</v>
      </c>
      <c r="C1190" t="s">
        <v>2102</v>
      </c>
      <c r="D1190" t="s">
        <v>2105</v>
      </c>
      <c r="E1190" s="184">
        <v>127351.36</v>
      </c>
    </row>
    <row r="1191" spans="1:5" ht="14.25">
      <c r="A1191">
        <v>34348</v>
      </c>
      <c r="B1191" t="s">
        <v>9218</v>
      </c>
      <c r="C1191" t="s">
        <v>2109</v>
      </c>
      <c r="D1191" t="s">
        <v>2103</v>
      </c>
      <c r="E1191" s="183">
        <v>28.03</v>
      </c>
    </row>
    <row r="1192" spans="1:5" ht="14.25">
      <c r="A1192">
        <v>34347</v>
      </c>
      <c r="B1192" t="s">
        <v>9219</v>
      </c>
      <c r="C1192" t="s">
        <v>2109</v>
      </c>
      <c r="D1192" t="s">
        <v>2103</v>
      </c>
      <c r="E1192" s="183">
        <v>20.04</v>
      </c>
    </row>
    <row r="1193" spans="1:5" ht="14.25">
      <c r="A1193">
        <v>11146</v>
      </c>
      <c r="B1193" t="s">
        <v>18258</v>
      </c>
      <c r="C1193" t="s">
        <v>2122</v>
      </c>
      <c r="D1193" t="s">
        <v>2103</v>
      </c>
      <c r="E1193" s="183">
        <v>587.38</v>
      </c>
    </row>
    <row r="1194" spans="1:5" ht="14.25">
      <c r="A1194">
        <v>11147</v>
      </c>
      <c r="B1194" t="s">
        <v>18259</v>
      </c>
      <c r="C1194" t="s">
        <v>2122</v>
      </c>
      <c r="D1194" t="s">
        <v>2103</v>
      </c>
      <c r="E1194" s="183">
        <v>610.37</v>
      </c>
    </row>
    <row r="1195" spans="1:5" ht="14.25">
      <c r="A1195">
        <v>34872</v>
      </c>
      <c r="B1195" t="s">
        <v>18260</v>
      </c>
      <c r="C1195" t="s">
        <v>2122</v>
      </c>
      <c r="D1195" t="s">
        <v>2103</v>
      </c>
      <c r="E1195" s="183">
        <v>617.22</v>
      </c>
    </row>
    <row r="1196" spans="1:5" ht="14.25">
      <c r="A1196">
        <v>34491</v>
      </c>
      <c r="B1196" t="s">
        <v>18261</v>
      </c>
      <c r="C1196" t="s">
        <v>2122</v>
      </c>
      <c r="D1196" t="s">
        <v>2103</v>
      </c>
      <c r="E1196" s="183">
        <v>635.11</v>
      </c>
    </row>
    <row r="1197" spans="1:5" ht="14.25">
      <c r="A1197">
        <v>34770</v>
      </c>
      <c r="B1197" t="s">
        <v>9220</v>
      </c>
      <c r="C1197" t="s">
        <v>2169</v>
      </c>
      <c r="D1197" t="s">
        <v>2103</v>
      </c>
      <c r="E1197" s="183">
        <v>593.42999999999995</v>
      </c>
    </row>
    <row r="1198" spans="1:5" ht="14.25">
      <c r="A1198">
        <v>1518</v>
      </c>
      <c r="B1198" t="s">
        <v>9221</v>
      </c>
      <c r="C1198" t="s">
        <v>2169</v>
      </c>
      <c r="D1198" t="s">
        <v>2107</v>
      </c>
      <c r="E1198" s="183">
        <v>605</v>
      </c>
    </row>
    <row r="1199" spans="1:5" ht="14.25">
      <c r="A1199">
        <v>41965</v>
      </c>
      <c r="B1199" t="s">
        <v>9222</v>
      </c>
      <c r="C1199" t="s">
        <v>2169</v>
      </c>
      <c r="D1199" t="s">
        <v>2103</v>
      </c>
      <c r="E1199" s="183">
        <v>530.48</v>
      </c>
    </row>
    <row r="1200" spans="1:5" ht="14.25">
      <c r="A1200">
        <v>1524</v>
      </c>
      <c r="B1200" t="s">
        <v>18262</v>
      </c>
      <c r="C1200" t="s">
        <v>2122</v>
      </c>
      <c r="D1200" t="s">
        <v>2103</v>
      </c>
      <c r="E1200" s="183">
        <v>563.54999999999995</v>
      </c>
    </row>
    <row r="1201" spans="1:5" ht="14.25">
      <c r="A1201">
        <v>34492</v>
      </c>
      <c r="B1201" t="s">
        <v>9223</v>
      </c>
      <c r="C1201" t="s">
        <v>2122</v>
      </c>
      <c r="D1201" t="s">
        <v>2107</v>
      </c>
      <c r="E1201" s="183">
        <v>522</v>
      </c>
    </row>
    <row r="1202" spans="1:5" ht="14.25">
      <c r="A1202">
        <v>38404</v>
      </c>
      <c r="B1202" t="s">
        <v>9224</v>
      </c>
      <c r="C1202" t="s">
        <v>2122</v>
      </c>
      <c r="D1202" t="s">
        <v>2103</v>
      </c>
      <c r="E1202" s="183">
        <v>540.69000000000005</v>
      </c>
    </row>
    <row r="1203" spans="1:5" ht="14.25">
      <c r="A1203">
        <v>39849</v>
      </c>
      <c r="B1203" t="s">
        <v>18263</v>
      </c>
      <c r="C1203" t="s">
        <v>2122</v>
      </c>
      <c r="D1203" t="s">
        <v>2103</v>
      </c>
      <c r="E1203" s="183">
        <v>619.63</v>
      </c>
    </row>
    <row r="1204" spans="1:5" ht="14.25">
      <c r="A1204">
        <v>38464</v>
      </c>
      <c r="B1204" t="s">
        <v>18264</v>
      </c>
      <c r="C1204" t="s">
        <v>2122</v>
      </c>
      <c r="D1204" t="s">
        <v>2103</v>
      </c>
      <c r="E1204" s="183">
        <v>628.62</v>
      </c>
    </row>
    <row r="1205" spans="1:5" ht="14.25">
      <c r="A1205">
        <v>1527</v>
      </c>
      <c r="B1205" t="s">
        <v>18265</v>
      </c>
      <c r="C1205" t="s">
        <v>2122</v>
      </c>
      <c r="D1205" t="s">
        <v>2103</v>
      </c>
      <c r="E1205" s="183">
        <v>581.44000000000005</v>
      </c>
    </row>
    <row r="1206" spans="1:5" ht="14.25">
      <c r="A1206">
        <v>34493</v>
      </c>
      <c r="B1206" t="s">
        <v>9225</v>
      </c>
      <c r="C1206" t="s">
        <v>2122</v>
      </c>
      <c r="D1206" t="s">
        <v>2103</v>
      </c>
      <c r="E1206" s="183">
        <v>536.71</v>
      </c>
    </row>
    <row r="1207" spans="1:5" ht="14.25">
      <c r="A1207">
        <v>38405</v>
      </c>
      <c r="B1207" t="s">
        <v>9226</v>
      </c>
      <c r="C1207" t="s">
        <v>2122</v>
      </c>
      <c r="D1207" t="s">
        <v>2103</v>
      </c>
      <c r="E1207" s="183">
        <v>557.36</v>
      </c>
    </row>
    <row r="1208" spans="1:5" ht="14.25">
      <c r="A1208">
        <v>38408</v>
      </c>
      <c r="B1208" t="s">
        <v>9227</v>
      </c>
      <c r="C1208" t="s">
        <v>2122</v>
      </c>
      <c r="D1208" t="s">
        <v>2103</v>
      </c>
      <c r="E1208" s="183">
        <v>616.95000000000005</v>
      </c>
    </row>
    <row r="1209" spans="1:5" ht="14.25">
      <c r="A1209">
        <v>1525</v>
      </c>
      <c r="B1209" t="s">
        <v>18266</v>
      </c>
      <c r="C1209" t="s">
        <v>2122</v>
      </c>
      <c r="D1209" t="s">
        <v>2103</v>
      </c>
      <c r="E1209" s="183">
        <v>599.33000000000004</v>
      </c>
    </row>
    <row r="1210" spans="1:5" ht="14.25">
      <c r="A1210">
        <v>34494</v>
      </c>
      <c r="B1210" t="s">
        <v>9228</v>
      </c>
      <c r="C1210" t="s">
        <v>2122</v>
      </c>
      <c r="D1210" t="s">
        <v>2103</v>
      </c>
      <c r="E1210" s="183">
        <v>554.6</v>
      </c>
    </row>
    <row r="1211" spans="1:5" ht="14.25">
      <c r="A1211">
        <v>38406</v>
      </c>
      <c r="B1211" t="s">
        <v>9229</v>
      </c>
      <c r="C1211" t="s">
        <v>2122</v>
      </c>
      <c r="D1211" t="s">
        <v>2103</v>
      </c>
      <c r="E1211" s="183">
        <v>588.54</v>
      </c>
    </row>
    <row r="1212" spans="1:5" ht="14.25">
      <c r="A1212">
        <v>38409</v>
      </c>
      <c r="B1212" t="s">
        <v>9230</v>
      </c>
      <c r="C1212" t="s">
        <v>2122</v>
      </c>
      <c r="D1212" t="s">
        <v>2103</v>
      </c>
      <c r="E1212" s="183">
        <v>621.15</v>
      </c>
    </row>
    <row r="1213" spans="1:5" ht="14.25">
      <c r="A1213">
        <v>43360</v>
      </c>
      <c r="B1213" t="s">
        <v>9231</v>
      </c>
      <c r="C1213" t="s">
        <v>2122</v>
      </c>
      <c r="D1213" t="s">
        <v>2103</v>
      </c>
      <c r="E1213" s="183">
        <v>647.67999999999995</v>
      </c>
    </row>
    <row r="1214" spans="1:5" ht="14.25">
      <c r="A1214">
        <v>11145</v>
      </c>
      <c r="B1214" t="s">
        <v>18267</v>
      </c>
      <c r="C1214" t="s">
        <v>2122</v>
      </c>
      <c r="D1214" t="s">
        <v>2103</v>
      </c>
      <c r="E1214" s="183">
        <v>617.22</v>
      </c>
    </row>
    <row r="1215" spans="1:5" ht="14.25">
      <c r="A1215">
        <v>34495</v>
      </c>
      <c r="B1215" t="s">
        <v>9232</v>
      </c>
      <c r="C1215" t="s">
        <v>2122</v>
      </c>
      <c r="D1215" t="s">
        <v>2103</v>
      </c>
      <c r="E1215" s="183">
        <v>572.49</v>
      </c>
    </row>
    <row r="1216" spans="1:5" ht="14.25">
      <c r="A1216">
        <v>34479</v>
      </c>
      <c r="B1216" t="s">
        <v>18268</v>
      </c>
      <c r="C1216" t="s">
        <v>2122</v>
      </c>
      <c r="D1216" t="s">
        <v>2103</v>
      </c>
      <c r="E1216" s="183">
        <v>635.11</v>
      </c>
    </row>
    <row r="1217" spans="1:5" ht="14.25">
      <c r="A1217">
        <v>34496</v>
      </c>
      <c r="B1217" t="s">
        <v>9233</v>
      </c>
      <c r="C1217" t="s">
        <v>2122</v>
      </c>
      <c r="D1217" t="s">
        <v>2103</v>
      </c>
      <c r="E1217" s="183">
        <v>597.21</v>
      </c>
    </row>
    <row r="1218" spans="1:5" ht="14.25">
      <c r="A1218">
        <v>34481</v>
      </c>
      <c r="B1218" t="s">
        <v>18269</v>
      </c>
      <c r="C1218" t="s">
        <v>2122</v>
      </c>
      <c r="D1218" t="s">
        <v>2103</v>
      </c>
      <c r="E1218" s="183">
        <v>663.61</v>
      </c>
    </row>
    <row r="1219" spans="1:5" ht="14.25">
      <c r="A1219">
        <v>34483</v>
      </c>
      <c r="B1219" t="s">
        <v>18270</v>
      </c>
      <c r="C1219" t="s">
        <v>2122</v>
      </c>
      <c r="D1219" t="s">
        <v>2103</v>
      </c>
      <c r="E1219" s="183">
        <v>709.02</v>
      </c>
    </row>
    <row r="1220" spans="1:5" ht="14.25">
      <c r="A1220">
        <v>34485</v>
      </c>
      <c r="B1220" t="s">
        <v>18271</v>
      </c>
      <c r="C1220" t="s">
        <v>2122</v>
      </c>
      <c r="D1220" t="s">
        <v>2103</v>
      </c>
      <c r="E1220" s="183">
        <v>758.22</v>
      </c>
    </row>
    <row r="1221" spans="1:5" ht="14.25">
      <c r="A1221">
        <v>14041</v>
      </c>
      <c r="B1221" t="s">
        <v>9234</v>
      </c>
      <c r="C1221" t="s">
        <v>2122</v>
      </c>
      <c r="D1221" t="s">
        <v>2103</v>
      </c>
      <c r="E1221" s="183">
        <v>492.88</v>
      </c>
    </row>
    <row r="1222" spans="1:5" ht="14.25">
      <c r="A1222">
        <v>1523</v>
      </c>
      <c r="B1222" t="s">
        <v>9235</v>
      </c>
      <c r="C1222" t="s">
        <v>2122</v>
      </c>
      <c r="D1222" t="s">
        <v>2103</v>
      </c>
      <c r="E1222" s="183">
        <v>500.93</v>
      </c>
    </row>
    <row r="1223" spans="1:5" ht="14.25">
      <c r="A1223">
        <v>14052</v>
      </c>
      <c r="B1223" t="s">
        <v>9236</v>
      </c>
      <c r="C1223" t="s">
        <v>2102</v>
      </c>
      <c r="D1223" t="s">
        <v>2103</v>
      </c>
      <c r="E1223" s="183">
        <v>13.22</v>
      </c>
    </row>
    <row r="1224" spans="1:5" ht="14.25">
      <c r="A1224">
        <v>14054</v>
      </c>
      <c r="B1224" t="s">
        <v>9237</v>
      </c>
      <c r="C1224" t="s">
        <v>2102</v>
      </c>
      <c r="D1224" t="s">
        <v>2103</v>
      </c>
      <c r="E1224" s="183">
        <v>17.18</v>
      </c>
    </row>
    <row r="1225" spans="1:5" ht="14.25">
      <c r="A1225">
        <v>14053</v>
      </c>
      <c r="B1225" t="s">
        <v>9238</v>
      </c>
      <c r="C1225" t="s">
        <v>2102</v>
      </c>
      <c r="D1225" t="s">
        <v>2103</v>
      </c>
      <c r="E1225" s="183">
        <v>13.42</v>
      </c>
    </row>
    <row r="1226" spans="1:5" ht="14.25">
      <c r="A1226">
        <v>2558</v>
      </c>
      <c r="B1226" t="s">
        <v>9239</v>
      </c>
      <c r="C1226" t="s">
        <v>2102</v>
      </c>
      <c r="D1226" t="s">
        <v>2103</v>
      </c>
      <c r="E1226" s="183">
        <v>10.1</v>
      </c>
    </row>
    <row r="1227" spans="1:5" ht="14.25">
      <c r="A1227">
        <v>2560</v>
      </c>
      <c r="B1227" t="s">
        <v>9240</v>
      </c>
      <c r="C1227" t="s">
        <v>2102</v>
      </c>
      <c r="D1227" t="s">
        <v>2103</v>
      </c>
      <c r="E1227" s="183">
        <v>17.78</v>
      </c>
    </row>
    <row r="1228" spans="1:5" ht="14.25">
      <c r="A1228">
        <v>2559</v>
      </c>
      <c r="B1228" t="s">
        <v>9241</v>
      </c>
      <c r="C1228" t="s">
        <v>2102</v>
      </c>
      <c r="D1228" t="s">
        <v>2107</v>
      </c>
      <c r="E1228" s="183">
        <v>14.22</v>
      </c>
    </row>
    <row r="1229" spans="1:5" ht="14.25">
      <c r="A1229">
        <v>2592</v>
      </c>
      <c r="B1229" t="s">
        <v>9242</v>
      </c>
      <c r="C1229" t="s">
        <v>2102</v>
      </c>
      <c r="D1229" t="s">
        <v>2103</v>
      </c>
      <c r="E1229" s="183">
        <v>235.73</v>
      </c>
    </row>
    <row r="1230" spans="1:5" ht="14.25">
      <c r="A1230">
        <v>2566</v>
      </c>
      <c r="B1230" t="s">
        <v>9243</v>
      </c>
      <c r="C1230" t="s">
        <v>2102</v>
      </c>
      <c r="D1230" t="s">
        <v>2103</v>
      </c>
      <c r="E1230" s="183">
        <v>23.72</v>
      </c>
    </row>
    <row r="1231" spans="1:5" ht="14.25">
      <c r="A1231">
        <v>2589</v>
      </c>
      <c r="B1231" t="s">
        <v>9244</v>
      </c>
      <c r="C1231" t="s">
        <v>2102</v>
      </c>
      <c r="D1231" t="s">
        <v>2103</v>
      </c>
      <c r="E1231" s="183">
        <v>31.53</v>
      </c>
    </row>
    <row r="1232" spans="1:5" ht="14.25">
      <c r="A1232">
        <v>2591</v>
      </c>
      <c r="B1232" t="s">
        <v>9245</v>
      </c>
      <c r="C1232" t="s">
        <v>2102</v>
      </c>
      <c r="D1232" t="s">
        <v>2103</v>
      </c>
      <c r="E1232" s="183">
        <v>11.5</v>
      </c>
    </row>
    <row r="1233" spans="1:5" ht="14.25">
      <c r="A1233">
        <v>2590</v>
      </c>
      <c r="B1233" t="s">
        <v>9246</v>
      </c>
      <c r="C1233" t="s">
        <v>2102</v>
      </c>
      <c r="D1233" t="s">
        <v>2103</v>
      </c>
      <c r="E1233" s="183">
        <v>19.350000000000001</v>
      </c>
    </row>
    <row r="1234" spans="1:5" ht="14.25">
      <c r="A1234">
        <v>2567</v>
      </c>
      <c r="B1234" t="s">
        <v>9247</v>
      </c>
      <c r="C1234" t="s">
        <v>2102</v>
      </c>
      <c r="D1234" t="s">
        <v>2103</v>
      </c>
      <c r="E1234" s="183">
        <v>46.25</v>
      </c>
    </row>
    <row r="1235" spans="1:5" ht="14.25">
      <c r="A1235">
        <v>2565</v>
      </c>
      <c r="B1235" t="s">
        <v>9248</v>
      </c>
      <c r="C1235" t="s">
        <v>2102</v>
      </c>
      <c r="D1235" t="s">
        <v>2103</v>
      </c>
      <c r="E1235" s="183">
        <v>11.52</v>
      </c>
    </row>
    <row r="1236" spans="1:5" ht="14.25">
      <c r="A1236">
        <v>2568</v>
      </c>
      <c r="B1236" t="s">
        <v>9249</v>
      </c>
      <c r="C1236" t="s">
        <v>2102</v>
      </c>
      <c r="D1236" t="s">
        <v>2103</v>
      </c>
      <c r="E1236" s="183">
        <v>128.43</v>
      </c>
    </row>
    <row r="1237" spans="1:5" ht="14.25">
      <c r="A1237">
        <v>2594</v>
      </c>
      <c r="B1237" t="s">
        <v>9250</v>
      </c>
      <c r="C1237" t="s">
        <v>2102</v>
      </c>
      <c r="D1237" t="s">
        <v>2103</v>
      </c>
      <c r="E1237" s="183">
        <v>213.96</v>
      </c>
    </row>
    <row r="1238" spans="1:5" ht="14.25">
      <c r="A1238">
        <v>2587</v>
      </c>
      <c r="B1238" t="s">
        <v>9251</v>
      </c>
      <c r="C1238" t="s">
        <v>2102</v>
      </c>
      <c r="D1238" t="s">
        <v>2103</v>
      </c>
      <c r="E1238" s="183">
        <v>36.46</v>
      </c>
    </row>
    <row r="1239" spans="1:5" ht="14.25">
      <c r="A1239">
        <v>2588</v>
      </c>
      <c r="B1239" t="s">
        <v>9252</v>
      </c>
      <c r="C1239" t="s">
        <v>2102</v>
      </c>
      <c r="D1239" t="s">
        <v>2103</v>
      </c>
      <c r="E1239" s="183">
        <v>28.96</v>
      </c>
    </row>
    <row r="1240" spans="1:5" ht="14.25">
      <c r="A1240">
        <v>2569</v>
      </c>
      <c r="B1240" t="s">
        <v>9253</v>
      </c>
      <c r="C1240" t="s">
        <v>2102</v>
      </c>
      <c r="D1240" t="s">
        <v>2103</v>
      </c>
      <c r="E1240" s="183">
        <v>11.16</v>
      </c>
    </row>
    <row r="1241" spans="1:5" ht="14.25">
      <c r="A1241">
        <v>2570</v>
      </c>
      <c r="B1241" t="s">
        <v>9254</v>
      </c>
      <c r="C1241" t="s">
        <v>2102</v>
      </c>
      <c r="D1241" t="s">
        <v>2103</v>
      </c>
      <c r="E1241" s="183">
        <v>18.71</v>
      </c>
    </row>
    <row r="1242" spans="1:5" ht="14.25">
      <c r="A1242">
        <v>2571</v>
      </c>
      <c r="B1242" t="s">
        <v>9255</v>
      </c>
      <c r="C1242" t="s">
        <v>2102</v>
      </c>
      <c r="D1242" t="s">
        <v>2103</v>
      </c>
      <c r="E1242" s="183">
        <v>55.54</v>
      </c>
    </row>
    <row r="1243" spans="1:5" ht="14.25">
      <c r="A1243">
        <v>2593</v>
      </c>
      <c r="B1243" t="s">
        <v>9256</v>
      </c>
      <c r="C1243" t="s">
        <v>2102</v>
      </c>
      <c r="D1243" t="s">
        <v>2103</v>
      </c>
      <c r="E1243" s="183">
        <v>11.9</v>
      </c>
    </row>
    <row r="1244" spans="1:5" ht="14.25">
      <c r="A1244">
        <v>2572</v>
      </c>
      <c r="B1244" t="s">
        <v>9257</v>
      </c>
      <c r="C1244" t="s">
        <v>2102</v>
      </c>
      <c r="D1244" t="s">
        <v>2103</v>
      </c>
      <c r="E1244" s="183">
        <v>164.24</v>
      </c>
    </row>
    <row r="1245" spans="1:5" ht="14.25">
      <c r="A1245">
        <v>2595</v>
      </c>
      <c r="B1245" t="s">
        <v>9258</v>
      </c>
      <c r="C1245" t="s">
        <v>2102</v>
      </c>
      <c r="D1245" t="s">
        <v>2103</v>
      </c>
      <c r="E1245" s="183">
        <v>256.25</v>
      </c>
    </row>
    <row r="1246" spans="1:5" ht="14.25">
      <c r="A1246">
        <v>2576</v>
      </c>
      <c r="B1246" t="s">
        <v>9259</v>
      </c>
      <c r="C1246" t="s">
        <v>2102</v>
      </c>
      <c r="D1246" t="s">
        <v>2103</v>
      </c>
      <c r="E1246" s="183">
        <v>43.68</v>
      </c>
    </row>
    <row r="1247" spans="1:5" ht="14.25">
      <c r="A1247">
        <v>2575</v>
      </c>
      <c r="B1247" t="s">
        <v>9260</v>
      </c>
      <c r="C1247" t="s">
        <v>2102</v>
      </c>
      <c r="D1247" t="s">
        <v>2103</v>
      </c>
      <c r="E1247" s="183">
        <v>32.840000000000003</v>
      </c>
    </row>
    <row r="1248" spans="1:5" ht="14.25">
      <c r="A1248">
        <v>2573</v>
      </c>
      <c r="B1248" t="s">
        <v>9261</v>
      </c>
      <c r="C1248" t="s">
        <v>2102</v>
      </c>
      <c r="D1248" t="s">
        <v>2103</v>
      </c>
      <c r="E1248" s="183">
        <v>13.64</v>
      </c>
    </row>
    <row r="1249" spans="1:5" ht="14.25">
      <c r="A1249">
        <v>2586</v>
      </c>
      <c r="B1249" t="s">
        <v>9262</v>
      </c>
      <c r="C1249" t="s">
        <v>2102</v>
      </c>
      <c r="D1249" t="s">
        <v>2103</v>
      </c>
      <c r="E1249" s="183">
        <v>22.1</v>
      </c>
    </row>
    <row r="1250" spans="1:5" ht="14.25">
      <c r="A1250">
        <v>2577</v>
      </c>
      <c r="B1250" t="s">
        <v>9263</v>
      </c>
      <c r="C1250" t="s">
        <v>2102</v>
      </c>
      <c r="D1250" t="s">
        <v>2103</v>
      </c>
      <c r="E1250" s="183">
        <v>59.19</v>
      </c>
    </row>
    <row r="1251" spans="1:5" ht="14.25">
      <c r="A1251">
        <v>2574</v>
      </c>
      <c r="B1251" t="s">
        <v>9264</v>
      </c>
      <c r="C1251" t="s">
        <v>2102</v>
      </c>
      <c r="D1251" t="s">
        <v>2103</v>
      </c>
      <c r="E1251" s="183">
        <v>13.73</v>
      </c>
    </row>
    <row r="1252" spans="1:5" ht="14.25">
      <c r="A1252">
        <v>2578</v>
      </c>
      <c r="B1252" t="s">
        <v>9265</v>
      </c>
      <c r="C1252" t="s">
        <v>2102</v>
      </c>
      <c r="D1252" t="s">
        <v>2103</v>
      </c>
      <c r="E1252" s="183">
        <v>184.81</v>
      </c>
    </row>
    <row r="1253" spans="1:5" ht="14.25">
      <c r="A1253">
        <v>2585</v>
      </c>
      <c r="B1253" t="s">
        <v>9266</v>
      </c>
      <c r="C1253" t="s">
        <v>2102</v>
      </c>
      <c r="D1253" t="s">
        <v>2103</v>
      </c>
      <c r="E1253" s="183">
        <v>253.6</v>
      </c>
    </row>
    <row r="1254" spans="1:5" ht="14.25">
      <c r="A1254">
        <v>12008</v>
      </c>
      <c r="B1254" t="s">
        <v>9267</v>
      </c>
      <c r="C1254" t="s">
        <v>2102</v>
      </c>
      <c r="D1254" t="s">
        <v>2103</v>
      </c>
      <c r="E1254" s="183">
        <v>136.06</v>
      </c>
    </row>
    <row r="1255" spans="1:5" ht="14.25">
      <c r="A1255">
        <v>2582</v>
      </c>
      <c r="B1255" t="s">
        <v>9268</v>
      </c>
      <c r="C1255" t="s">
        <v>2102</v>
      </c>
      <c r="D1255" t="s">
        <v>2103</v>
      </c>
      <c r="E1255" s="183">
        <v>40.520000000000003</v>
      </c>
    </row>
    <row r="1256" spans="1:5" ht="14.25">
      <c r="A1256">
        <v>2597</v>
      </c>
      <c r="B1256" t="s">
        <v>9269</v>
      </c>
      <c r="C1256" t="s">
        <v>2102</v>
      </c>
      <c r="D1256" t="s">
        <v>2103</v>
      </c>
      <c r="E1256" s="183">
        <v>34.729999999999997</v>
      </c>
    </row>
    <row r="1257" spans="1:5" ht="14.25">
      <c r="A1257">
        <v>2579</v>
      </c>
      <c r="B1257" t="s">
        <v>9270</v>
      </c>
      <c r="C1257" t="s">
        <v>2102</v>
      </c>
      <c r="D1257" t="s">
        <v>2103</v>
      </c>
      <c r="E1257" s="183">
        <v>16.53</v>
      </c>
    </row>
    <row r="1258" spans="1:5" ht="14.25">
      <c r="A1258">
        <v>2581</v>
      </c>
      <c r="B1258" t="s">
        <v>9271</v>
      </c>
      <c r="C1258" t="s">
        <v>2102</v>
      </c>
      <c r="D1258" t="s">
        <v>2103</v>
      </c>
      <c r="E1258" s="183">
        <v>21.16</v>
      </c>
    </row>
    <row r="1259" spans="1:5" ht="14.25">
      <c r="A1259">
        <v>2596</v>
      </c>
      <c r="B1259" t="s">
        <v>9272</v>
      </c>
      <c r="C1259" t="s">
        <v>2102</v>
      </c>
      <c r="D1259" t="s">
        <v>2103</v>
      </c>
      <c r="E1259" s="183">
        <v>62.57</v>
      </c>
    </row>
    <row r="1260" spans="1:5" ht="14.25">
      <c r="A1260">
        <v>2580</v>
      </c>
      <c r="B1260" t="s">
        <v>9273</v>
      </c>
      <c r="C1260" t="s">
        <v>2102</v>
      </c>
      <c r="D1260" t="s">
        <v>2103</v>
      </c>
      <c r="E1260" s="183">
        <v>18.12</v>
      </c>
    </row>
    <row r="1261" spans="1:5" ht="14.25">
      <c r="A1261">
        <v>2583</v>
      </c>
      <c r="B1261" t="s">
        <v>9274</v>
      </c>
      <c r="C1261" t="s">
        <v>2102</v>
      </c>
      <c r="D1261" t="s">
        <v>2103</v>
      </c>
      <c r="E1261" s="183">
        <v>152.18</v>
      </c>
    </row>
    <row r="1262" spans="1:5" ht="14.25">
      <c r="A1262">
        <v>2584</v>
      </c>
      <c r="B1262" t="s">
        <v>9275</v>
      </c>
      <c r="C1262" t="s">
        <v>2102</v>
      </c>
      <c r="D1262" t="s">
        <v>2103</v>
      </c>
      <c r="E1262" s="183">
        <v>253.34</v>
      </c>
    </row>
    <row r="1263" spans="1:5" ht="14.25">
      <c r="A1263">
        <v>12010</v>
      </c>
      <c r="B1263" t="s">
        <v>9276</v>
      </c>
      <c r="C1263" t="s">
        <v>2102</v>
      </c>
      <c r="D1263" t="s">
        <v>2103</v>
      </c>
      <c r="E1263" s="183">
        <v>10.65</v>
      </c>
    </row>
    <row r="1264" spans="1:5" ht="14.25">
      <c r="A1264">
        <v>39329</v>
      </c>
      <c r="B1264" t="s">
        <v>9277</v>
      </c>
      <c r="C1264" t="s">
        <v>2102</v>
      </c>
      <c r="D1264" t="s">
        <v>2103</v>
      </c>
      <c r="E1264" s="183">
        <v>11.14</v>
      </c>
    </row>
    <row r="1265" spans="1:5" ht="14.25">
      <c r="A1265">
        <v>39330</v>
      </c>
      <c r="B1265" t="s">
        <v>9278</v>
      </c>
      <c r="C1265" t="s">
        <v>2102</v>
      </c>
      <c r="D1265" t="s">
        <v>2103</v>
      </c>
      <c r="E1265" s="183">
        <v>11.72</v>
      </c>
    </row>
    <row r="1266" spans="1:5" ht="14.25">
      <c r="A1266">
        <v>39332</v>
      </c>
      <c r="B1266" t="s">
        <v>9279</v>
      </c>
      <c r="C1266" t="s">
        <v>2102</v>
      </c>
      <c r="D1266" t="s">
        <v>2103</v>
      </c>
      <c r="E1266" s="183">
        <v>13.1</v>
      </c>
    </row>
    <row r="1267" spans="1:5" ht="14.25">
      <c r="A1267">
        <v>39331</v>
      </c>
      <c r="B1267" t="s">
        <v>9280</v>
      </c>
      <c r="C1267" t="s">
        <v>2102</v>
      </c>
      <c r="D1267" t="s">
        <v>2103</v>
      </c>
      <c r="E1267" s="183">
        <v>10.43</v>
      </c>
    </row>
    <row r="1268" spans="1:5" ht="14.25">
      <c r="A1268">
        <v>39333</v>
      </c>
      <c r="B1268" t="s">
        <v>9281</v>
      </c>
      <c r="C1268" t="s">
        <v>2102</v>
      </c>
      <c r="D1268" t="s">
        <v>2103</v>
      </c>
      <c r="E1268" s="183">
        <v>10.17</v>
      </c>
    </row>
    <row r="1269" spans="1:5" ht="14.25">
      <c r="A1269">
        <v>39335</v>
      </c>
      <c r="B1269" t="s">
        <v>9282</v>
      </c>
      <c r="C1269" t="s">
        <v>2102</v>
      </c>
      <c r="D1269" t="s">
        <v>2103</v>
      </c>
      <c r="E1269" s="183">
        <v>11.76</v>
      </c>
    </row>
    <row r="1270" spans="1:5" ht="14.25">
      <c r="A1270">
        <v>39334</v>
      </c>
      <c r="B1270" t="s">
        <v>9283</v>
      </c>
      <c r="C1270" t="s">
        <v>2102</v>
      </c>
      <c r="D1270" t="s">
        <v>2103</v>
      </c>
      <c r="E1270" s="183">
        <v>9.35</v>
      </c>
    </row>
    <row r="1271" spans="1:5" ht="14.25">
      <c r="A1271">
        <v>12016</v>
      </c>
      <c r="B1271" t="s">
        <v>9284</v>
      </c>
      <c r="C1271" t="s">
        <v>2102</v>
      </c>
      <c r="D1271" t="s">
        <v>2103</v>
      </c>
      <c r="E1271" s="183">
        <v>11.74</v>
      </c>
    </row>
    <row r="1272" spans="1:5" ht="14.25">
      <c r="A1272">
        <v>12015</v>
      </c>
      <c r="B1272" t="s">
        <v>9285</v>
      </c>
      <c r="C1272" t="s">
        <v>2102</v>
      </c>
      <c r="D1272" t="s">
        <v>2103</v>
      </c>
      <c r="E1272" s="183">
        <v>13.66</v>
      </c>
    </row>
    <row r="1273" spans="1:5" ht="14.25">
      <c r="A1273">
        <v>12020</v>
      </c>
      <c r="B1273" t="s">
        <v>9286</v>
      </c>
      <c r="C1273" t="s">
        <v>2102</v>
      </c>
      <c r="D1273" t="s">
        <v>2103</v>
      </c>
      <c r="E1273" s="183">
        <v>11.74</v>
      </c>
    </row>
    <row r="1274" spans="1:5" ht="14.25">
      <c r="A1274">
        <v>12019</v>
      </c>
      <c r="B1274" t="s">
        <v>9287</v>
      </c>
      <c r="C1274" t="s">
        <v>2102</v>
      </c>
      <c r="D1274" t="s">
        <v>2103</v>
      </c>
      <c r="E1274" s="183">
        <v>13.66</v>
      </c>
    </row>
    <row r="1275" spans="1:5" ht="14.25">
      <c r="A1275">
        <v>39336</v>
      </c>
      <c r="B1275" t="s">
        <v>9288</v>
      </c>
      <c r="C1275" t="s">
        <v>2102</v>
      </c>
      <c r="D1275" t="s">
        <v>2103</v>
      </c>
      <c r="E1275" s="183">
        <v>11.72</v>
      </c>
    </row>
    <row r="1276" spans="1:5" ht="14.25">
      <c r="A1276">
        <v>39338</v>
      </c>
      <c r="B1276" t="s">
        <v>9289</v>
      </c>
      <c r="C1276" t="s">
        <v>2102</v>
      </c>
      <c r="D1276" t="s">
        <v>2103</v>
      </c>
      <c r="E1276" s="183">
        <v>13.1</v>
      </c>
    </row>
    <row r="1277" spans="1:5" ht="14.25">
      <c r="A1277">
        <v>39337</v>
      </c>
      <c r="B1277" t="s">
        <v>9290</v>
      </c>
      <c r="C1277" t="s">
        <v>2102</v>
      </c>
      <c r="D1277" t="s">
        <v>2103</v>
      </c>
      <c r="E1277" s="183">
        <v>10.43</v>
      </c>
    </row>
    <row r="1278" spans="1:5" ht="14.25">
      <c r="A1278">
        <v>39341</v>
      </c>
      <c r="B1278" t="s">
        <v>9291</v>
      </c>
      <c r="C1278" t="s">
        <v>2102</v>
      </c>
      <c r="D1278" t="s">
        <v>2103</v>
      </c>
      <c r="E1278" s="183">
        <v>17.079999999999998</v>
      </c>
    </row>
    <row r="1279" spans="1:5" ht="14.25">
      <c r="A1279">
        <v>39340</v>
      </c>
      <c r="B1279" t="s">
        <v>9292</v>
      </c>
      <c r="C1279" t="s">
        <v>2102</v>
      </c>
      <c r="D1279" t="s">
        <v>2103</v>
      </c>
      <c r="E1279" s="183">
        <v>12.54</v>
      </c>
    </row>
    <row r="1280" spans="1:5" ht="14.25">
      <c r="A1280">
        <v>12025</v>
      </c>
      <c r="B1280" t="s">
        <v>9293</v>
      </c>
      <c r="C1280" t="s">
        <v>2102</v>
      </c>
      <c r="D1280" t="s">
        <v>2103</v>
      </c>
      <c r="E1280" s="183">
        <v>12.95</v>
      </c>
    </row>
    <row r="1281" spans="1:5" ht="14.25">
      <c r="A1281">
        <v>39342</v>
      </c>
      <c r="B1281" t="s">
        <v>9294</v>
      </c>
      <c r="C1281" t="s">
        <v>2102</v>
      </c>
      <c r="D1281" t="s">
        <v>2103</v>
      </c>
      <c r="E1281" s="183">
        <v>17.079999999999998</v>
      </c>
    </row>
    <row r="1282" spans="1:5" ht="14.25">
      <c r="A1282">
        <v>39343</v>
      </c>
      <c r="B1282" t="s">
        <v>9295</v>
      </c>
      <c r="C1282" t="s">
        <v>2102</v>
      </c>
      <c r="D1282" t="s">
        <v>2103</v>
      </c>
      <c r="E1282" s="183">
        <v>14.42</v>
      </c>
    </row>
    <row r="1283" spans="1:5" ht="14.25">
      <c r="A1283">
        <v>39345</v>
      </c>
      <c r="B1283" t="s">
        <v>9296</v>
      </c>
      <c r="C1283" t="s">
        <v>2102</v>
      </c>
      <c r="D1283" t="s">
        <v>2103</v>
      </c>
      <c r="E1283" s="183">
        <v>19.510000000000002</v>
      </c>
    </row>
    <row r="1284" spans="1:5" ht="14.25">
      <c r="A1284">
        <v>39344</v>
      </c>
      <c r="B1284" t="s">
        <v>9297</v>
      </c>
      <c r="C1284" t="s">
        <v>2102</v>
      </c>
      <c r="D1284" t="s">
        <v>2103</v>
      </c>
      <c r="E1284" s="183">
        <v>13.94</v>
      </c>
    </row>
    <row r="1285" spans="1:5" ht="14.25">
      <c r="A1285">
        <v>12623</v>
      </c>
      <c r="B1285" t="s">
        <v>18272</v>
      </c>
      <c r="C1285" t="s">
        <v>2109</v>
      </c>
      <c r="D1285" t="s">
        <v>2103</v>
      </c>
      <c r="E1285" s="183">
        <v>54.17</v>
      </c>
    </row>
    <row r="1286" spans="1:5" ht="14.25">
      <c r="A1286">
        <v>34498</v>
      </c>
      <c r="B1286" t="s">
        <v>9298</v>
      </c>
      <c r="C1286" t="s">
        <v>2102</v>
      </c>
      <c r="D1286" t="s">
        <v>2103</v>
      </c>
      <c r="E1286" s="183">
        <v>130.41999999999999</v>
      </c>
    </row>
    <row r="1287" spans="1:5" ht="14.25">
      <c r="A1287">
        <v>13244</v>
      </c>
      <c r="B1287" t="s">
        <v>9299</v>
      </c>
      <c r="C1287" t="s">
        <v>2102</v>
      </c>
      <c r="D1287" t="s">
        <v>2107</v>
      </c>
      <c r="E1287" s="183">
        <v>54.9</v>
      </c>
    </row>
    <row r="1288" spans="1:5" ht="14.25">
      <c r="A1288">
        <v>38998</v>
      </c>
      <c r="B1288" t="s">
        <v>18273</v>
      </c>
      <c r="C1288" t="s">
        <v>2102</v>
      </c>
      <c r="D1288" t="s">
        <v>2105</v>
      </c>
      <c r="E1288" s="183">
        <v>9.9700000000000006</v>
      </c>
    </row>
    <row r="1289" spans="1:5" ht="14.25">
      <c r="A1289">
        <v>38999</v>
      </c>
      <c r="B1289" t="s">
        <v>18274</v>
      </c>
      <c r="C1289" t="s">
        <v>2102</v>
      </c>
      <c r="D1289" t="s">
        <v>2105</v>
      </c>
      <c r="E1289" s="183">
        <v>25.2</v>
      </c>
    </row>
    <row r="1290" spans="1:5" ht="14.25">
      <c r="A1290">
        <v>38996</v>
      </c>
      <c r="B1290" t="s">
        <v>18275</v>
      </c>
      <c r="C1290" t="s">
        <v>2102</v>
      </c>
      <c r="D1290" t="s">
        <v>2105</v>
      </c>
      <c r="E1290" s="183">
        <v>17.809999999999999</v>
      </c>
    </row>
    <row r="1291" spans="1:5" ht="14.25">
      <c r="A1291">
        <v>44173</v>
      </c>
      <c r="B1291" t="s">
        <v>18276</v>
      </c>
      <c r="C1291" t="s">
        <v>2102</v>
      </c>
      <c r="D1291" t="s">
        <v>2105</v>
      </c>
      <c r="E1291" s="183">
        <v>17.32</v>
      </c>
    </row>
    <row r="1292" spans="1:5" ht="14.25">
      <c r="A1292">
        <v>44174</v>
      </c>
      <c r="B1292" t="s">
        <v>18277</v>
      </c>
      <c r="C1292" t="s">
        <v>2102</v>
      </c>
      <c r="D1292" t="s">
        <v>2105</v>
      </c>
      <c r="E1292" s="183">
        <v>28.36</v>
      </c>
    </row>
    <row r="1293" spans="1:5" ht="14.25">
      <c r="A1293">
        <v>38997</v>
      </c>
      <c r="B1293" t="s">
        <v>18278</v>
      </c>
      <c r="C1293" t="s">
        <v>2102</v>
      </c>
      <c r="D1293" t="s">
        <v>2105</v>
      </c>
      <c r="E1293" s="183">
        <v>25.48</v>
      </c>
    </row>
    <row r="1294" spans="1:5" ht="14.25">
      <c r="A1294">
        <v>39600</v>
      </c>
      <c r="B1294" t="s">
        <v>15213</v>
      </c>
      <c r="C1294" t="s">
        <v>2102</v>
      </c>
      <c r="D1294" t="s">
        <v>2103</v>
      </c>
      <c r="E1294" s="183">
        <v>12.42</v>
      </c>
    </row>
    <row r="1295" spans="1:5" ht="14.25">
      <c r="A1295">
        <v>39601</v>
      </c>
      <c r="B1295" t="s">
        <v>15214</v>
      </c>
      <c r="C1295" t="s">
        <v>2102</v>
      </c>
      <c r="D1295" t="s">
        <v>2103</v>
      </c>
      <c r="E1295" s="183">
        <v>26.36</v>
      </c>
    </row>
    <row r="1296" spans="1:5" ht="14.25">
      <c r="A1296">
        <v>39862</v>
      </c>
      <c r="B1296" t="s">
        <v>9300</v>
      </c>
      <c r="C1296" t="s">
        <v>2102</v>
      </c>
      <c r="D1296" t="s">
        <v>2105</v>
      </c>
      <c r="E1296" s="183">
        <v>13.09</v>
      </c>
    </row>
    <row r="1297" spans="1:5" ht="14.25">
      <c r="A1297">
        <v>39863</v>
      </c>
      <c r="B1297" t="s">
        <v>9301</v>
      </c>
      <c r="C1297" t="s">
        <v>2102</v>
      </c>
      <c r="D1297" t="s">
        <v>2105</v>
      </c>
      <c r="E1297" s="183">
        <v>13.27</v>
      </c>
    </row>
    <row r="1298" spans="1:5" ht="14.25">
      <c r="A1298">
        <v>39864</v>
      </c>
      <c r="B1298" t="s">
        <v>9302</v>
      </c>
      <c r="C1298" t="s">
        <v>2102</v>
      </c>
      <c r="D1298" t="s">
        <v>2105</v>
      </c>
      <c r="E1298" s="183">
        <v>16.47</v>
      </c>
    </row>
    <row r="1299" spans="1:5" ht="14.25">
      <c r="A1299">
        <v>39865</v>
      </c>
      <c r="B1299" t="s">
        <v>9303</v>
      </c>
      <c r="C1299" t="s">
        <v>2102</v>
      </c>
      <c r="D1299" t="s">
        <v>2105</v>
      </c>
      <c r="E1299" s="183">
        <v>23.21</v>
      </c>
    </row>
    <row r="1300" spans="1:5" ht="14.25">
      <c r="A1300">
        <v>2517</v>
      </c>
      <c r="B1300" t="s">
        <v>9304</v>
      </c>
      <c r="C1300" t="s">
        <v>2102</v>
      </c>
      <c r="D1300" t="s">
        <v>2103</v>
      </c>
      <c r="E1300" s="183">
        <v>25.24</v>
      </c>
    </row>
    <row r="1301" spans="1:5" ht="14.25">
      <c r="A1301">
        <v>2522</v>
      </c>
      <c r="B1301" t="s">
        <v>9305</v>
      </c>
      <c r="C1301" t="s">
        <v>2102</v>
      </c>
      <c r="D1301" t="s">
        <v>2103</v>
      </c>
      <c r="E1301" s="183">
        <v>16.309999999999999</v>
      </c>
    </row>
    <row r="1302" spans="1:5" ht="14.25">
      <c r="A1302">
        <v>2548</v>
      </c>
      <c r="B1302" t="s">
        <v>9306</v>
      </c>
      <c r="C1302" t="s">
        <v>2102</v>
      </c>
      <c r="D1302" t="s">
        <v>2103</v>
      </c>
      <c r="E1302" s="183">
        <v>10.029999999999999</v>
      </c>
    </row>
    <row r="1303" spans="1:5" ht="14.25">
      <c r="A1303">
        <v>2516</v>
      </c>
      <c r="B1303" t="s">
        <v>9307</v>
      </c>
      <c r="C1303" t="s">
        <v>2102</v>
      </c>
      <c r="D1303" t="s">
        <v>2103</v>
      </c>
      <c r="E1303" s="183">
        <v>13.1</v>
      </c>
    </row>
    <row r="1304" spans="1:5" ht="14.25">
      <c r="A1304">
        <v>2518</v>
      </c>
      <c r="B1304" t="s">
        <v>9308</v>
      </c>
      <c r="C1304" t="s">
        <v>2102</v>
      </c>
      <c r="D1304" t="s">
        <v>2103</v>
      </c>
      <c r="E1304" s="183">
        <v>120.15</v>
      </c>
    </row>
    <row r="1305" spans="1:5" ht="14.25">
      <c r="A1305">
        <v>2521</v>
      </c>
      <c r="B1305" t="s">
        <v>9309</v>
      </c>
      <c r="C1305" t="s">
        <v>2102</v>
      </c>
      <c r="D1305" t="s">
        <v>2103</v>
      </c>
      <c r="E1305" s="183">
        <v>51.14</v>
      </c>
    </row>
    <row r="1306" spans="1:5" ht="14.25">
      <c r="A1306">
        <v>2515</v>
      </c>
      <c r="B1306" t="s">
        <v>9310</v>
      </c>
      <c r="C1306" t="s">
        <v>2102</v>
      </c>
      <c r="D1306" t="s">
        <v>2103</v>
      </c>
      <c r="E1306" s="183">
        <v>10.9</v>
      </c>
    </row>
    <row r="1307" spans="1:5" ht="14.25">
      <c r="A1307">
        <v>2519</v>
      </c>
      <c r="B1307" t="s">
        <v>9311</v>
      </c>
      <c r="C1307" t="s">
        <v>2102</v>
      </c>
      <c r="D1307" t="s">
        <v>2103</v>
      </c>
      <c r="E1307" s="183">
        <v>144.87</v>
      </c>
    </row>
    <row r="1308" spans="1:5" ht="14.25">
      <c r="A1308">
        <v>2520</v>
      </c>
      <c r="B1308" t="s">
        <v>9312</v>
      </c>
      <c r="C1308" t="s">
        <v>2102</v>
      </c>
      <c r="D1308" t="s">
        <v>2103</v>
      </c>
      <c r="E1308" s="183">
        <v>266.64</v>
      </c>
    </row>
    <row r="1309" spans="1:5" ht="14.25">
      <c r="A1309">
        <v>1602</v>
      </c>
      <c r="B1309" t="s">
        <v>9313</v>
      </c>
      <c r="C1309" t="s">
        <v>2102</v>
      </c>
      <c r="D1309" t="s">
        <v>2103</v>
      </c>
      <c r="E1309" s="183">
        <v>50.58</v>
      </c>
    </row>
    <row r="1310" spans="1:5" ht="14.25">
      <c r="A1310">
        <v>1601</v>
      </c>
      <c r="B1310" t="s">
        <v>9314</v>
      </c>
      <c r="C1310" t="s">
        <v>2102</v>
      </c>
      <c r="D1310" t="s">
        <v>2103</v>
      </c>
      <c r="E1310" s="183">
        <v>45.08</v>
      </c>
    </row>
    <row r="1311" spans="1:5" ht="14.25">
      <c r="A1311">
        <v>1598</v>
      </c>
      <c r="B1311" t="s">
        <v>9315</v>
      </c>
      <c r="C1311" t="s">
        <v>2102</v>
      </c>
      <c r="D1311" t="s">
        <v>2103</v>
      </c>
      <c r="E1311" s="183">
        <v>13.34</v>
      </c>
    </row>
    <row r="1312" spans="1:5" ht="14.25">
      <c r="A1312">
        <v>1600</v>
      </c>
      <c r="B1312" t="s">
        <v>9316</v>
      </c>
      <c r="C1312" t="s">
        <v>2102</v>
      </c>
      <c r="D1312" t="s">
        <v>2103</v>
      </c>
      <c r="E1312" s="183">
        <v>19.690000000000001</v>
      </c>
    </row>
    <row r="1313" spans="1:5" ht="14.25">
      <c r="A1313">
        <v>1603</v>
      </c>
      <c r="B1313" t="s">
        <v>9317</v>
      </c>
      <c r="C1313" t="s">
        <v>2102</v>
      </c>
      <c r="D1313" t="s">
        <v>2103</v>
      </c>
      <c r="E1313" s="183">
        <v>76.37</v>
      </c>
    </row>
    <row r="1314" spans="1:5" ht="14.25">
      <c r="A1314">
        <v>1599</v>
      </c>
      <c r="B1314" t="s">
        <v>9318</v>
      </c>
      <c r="C1314" t="s">
        <v>2102</v>
      </c>
      <c r="D1314" t="s">
        <v>2103</v>
      </c>
      <c r="E1314" s="183">
        <v>15.48</v>
      </c>
    </row>
    <row r="1315" spans="1:5" ht="14.25">
      <c r="A1315">
        <v>1597</v>
      </c>
      <c r="B1315" t="s">
        <v>9319</v>
      </c>
      <c r="C1315" t="s">
        <v>2102</v>
      </c>
      <c r="D1315" t="s">
        <v>2103</v>
      </c>
      <c r="E1315" s="183">
        <v>12.54</v>
      </c>
    </row>
    <row r="1316" spans="1:5" ht="14.25">
      <c r="A1316">
        <v>39602</v>
      </c>
      <c r="B1316" t="s">
        <v>15215</v>
      </c>
      <c r="C1316" t="s">
        <v>2102</v>
      </c>
      <c r="D1316" t="s">
        <v>2103</v>
      </c>
      <c r="E1316" s="183">
        <v>1.31</v>
      </c>
    </row>
    <row r="1317" spans="1:5" ht="14.25">
      <c r="A1317">
        <v>39603</v>
      </c>
      <c r="B1317" t="s">
        <v>15216</v>
      </c>
      <c r="C1317" t="s">
        <v>2102</v>
      </c>
      <c r="D1317" t="s">
        <v>2103</v>
      </c>
      <c r="E1317" s="183">
        <v>2.81</v>
      </c>
    </row>
    <row r="1318" spans="1:5" ht="14.25">
      <c r="A1318">
        <v>11821</v>
      </c>
      <c r="B1318" t="s">
        <v>9320</v>
      </c>
      <c r="C1318" t="s">
        <v>2102</v>
      </c>
      <c r="D1318" t="s">
        <v>2103</v>
      </c>
      <c r="E1318" s="183">
        <v>10.3</v>
      </c>
    </row>
    <row r="1319" spans="1:5" ht="14.25">
      <c r="A1319">
        <v>1562</v>
      </c>
      <c r="B1319" t="s">
        <v>9321</v>
      </c>
      <c r="C1319" t="s">
        <v>2102</v>
      </c>
      <c r="D1319" t="s">
        <v>2103</v>
      </c>
      <c r="E1319" s="183">
        <v>16.87</v>
      </c>
    </row>
    <row r="1320" spans="1:5" ht="14.25">
      <c r="A1320">
        <v>1563</v>
      </c>
      <c r="B1320" t="s">
        <v>9322</v>
      </c>
      <c r="C1320" t="s">
        <v>2102</v>
      </c>
      <c r="D1320" t="s">
        <v>2103</v>
      </c>
      <c r="E1320" s="183">
        <v>22.64</v>
      </c>
    </row>
    <row r="1321" spans="1:5" ht="14.25">
      <c r="A1321">
        <v>11856</v>
      </c>
      <c r="B1321" t="s">
        <v>9323</v>
      </c>
      <c r="C1321" t="s">
        <v>2102</v>
      </c>
      <c r="D1321" t="s">
        <v>2107</v>
      </c>
      <c r="E1321" s="183">
        <v>6.75</v>
      </c>
    </row>
    <row r="1322" spans="1:5" ht="14.25">
      <c r="A1322">
        <v>11857</v>
      </c>
      <c r="B1322" t="s">
        <v>9324</v>
      </c>
      <c r="C1322" t="s">
        <v>2102</v>
      </c>
      <c r="D1322" t="s">
        <v>2103</v>
      </c>
      <c r="E1322" s="183">
        <v>35.520000000000003</v>
      </c>
    </row>
    <row r="1323" spans="1:5" ht="14.25">
      <c r="A1323">
        <v>11858</v>
      </c>
      <c r="B1323" t="s">
        <v>9325</v>
      </c>
      <c r="C1323" t="s">
        <v>2102</v>
      </c>
      <c r="D1323" t="s">
        <v>2103</v>
      </c>
      <c r="E1323" s="183">
        <v>44.09</v>
      </c>
    </row>
    <row r="1324" spans="1:5" ht="14.25">
      <c r="A1324">
        <v>1539</v>
      </c>
      <c r="B1324" t="s">
        <v>9326</v>
      </c>
      <c r="C1324" t="s">
        <v>2102</v>
      </c>
      <c r="D1324" t="s">
        <v>2103</v>
      </c>
      <c r="E1324" s="183">
        <v>7.93</v>
      </c>
    </row>
    <row r="1325" spans="1:5" ht="14.25">
      <c r="A1325">
        <v>11859</v>
      </c>
      <c r="B1325" t="s">
        <v>9327</v>
      </c>
      <c r="C1325" t="s">
        <v>2102</v>
      </c>
      <c r="D1325" t="s">
        <v>2103</v>
      </c>
      <c r="E1325" s="183">
        <v>59.98</v>
      </c>
    </row>
    <row r="1326" spans="1:5" ht="14.25">
      <c r="A1326">
        <v>1550</v>
      </c>
      <c r="B1326" t="s">
        <v>9328</v>
      </c>
      <c r="C1326" t="s">
        <v>2102</v>
      </c>
      <c r="D1326" t="s">
        <v>2103</v>
      </c>
      <c r="E1326" s="183">
        <v>8.3699999999999992</v>
      </c>
    </row>
    <row r="1327" spans="1:5" ht="14.25">
      <c r="A1327">
        <v>11854</v>
      </c>
      <c r="B1327" t="s">
        <v>9329</v>
      </c>
      <c r="C1327" t="s">
        <v>2102</v>
      </c>
      <c r="D1327" t="s">
        <v>2103</v>
      </c>
      <c r="E1327" s="183">
        <v>10.45</v>
      </c>
    </row>
    <row r="1328" spans="1:5" ht="14.25">
      <c r="A1328">
        <v>11862</v>
      </c>
      <c r="B1328" t="s">
        <v>9330</v>
      </c>
      <c r="C1328" t="s">
        <v>2102</v>
      </c>
      <c r="D1328" t="s">
        <v>2103</v>
      </c>
      <c r="E1328" s="183">
        <v>14.67</v>
      </c>
    </row>
    <row r="1329" spans="1:5" ht="14.25">
      <c r="A1329">
        <v>11863</v>
      </c>
      <c r="B1329" t="s">
        <v>9331</v>
      </c>
      <c r="C1329" t="s">
        <v>2102</v>
      </c>
      <c r="D1329" t="s">
        <v>2103</v>
      </c>
      <c r="E1329" s="183">
        <v>5.92</v>
      </c>
    </row>
    <row r="1330" spans="1:5" ht="14.25">
      <c r="A1330">
        <v>11855</v>
      </c>
      <c r="B1330" t="s">
        <v>9332</v>
      </c>
      <c r="C1330" t="s">
        <v>2102</v>
      </c>
      <c r="D1330" t="s">
        <v>2103</v>
      </c>
      <c r="E1330" s="183">
        <v>21.89</v>
      </c>
    </row>
    <row r="1331" spans="1:5" ht="14.25">
      <c r="A1331">
        <v>11864</v>
      </c>
      <c r="B1331" t="s">
        <v>9333</v>
      </c>
      <c r="C1331" t="s">
        <v>2102</v>
      </c>
      <c r="D1331" t="s">
        <v>2103</v>
      </c>
      <c r="E1331" s="183">
        <v>33.1</v>
      </c>
    </row>
    <row r="1332" spans="1:5" ht="14.25">
      <c r="A1332">
        <v>2527</v>
      </c>
      <c r="B1332" t="s">
        <v>9334</v>
      </c>
      <c r="C1332" t="s">
        <v>2102</v>
      </c>
      <c r="D1332" t="s">
        <v>2103</v>
      </c>
      <c r="E1332" s="183">
        <v>9.0299999999999994</v>
      </c>
    </row>
    <row r="1333" spans="1:5" ht="14.25">
      <c r="A1333">
        <v>2526</v>
      </c>
      <c r="B1333" t="s">
        <v>9335</v>
      </c>
      <c r="C1333" t="s">
        <v>2102</v>
      </c>
      <c r="D1333" t="s">
        <v>2103</v>
      </c>
      <c r="E1333" s="183">
        <v>5.79</v>
      </c>
    </row>
    <row r="1334" spans="1:5" ht="14.25">
      <c r="A1334">
        <v>2487</v>
      </c>
      <c r="B1334" t="s">
        <v>9336</v>
      </c>
      <c r="C1334" t="s">
        <v>2102</v>
      </c>
      <c r="D1334" t="s">
        <v>2103</v>
      </c>
      <c r="E1334" s="183">
        <v>1.97</v>
      </c>
    </row>
    <row r="1335" spans="1:5" ht="14.25">
      <c r="A1335">
        <v>2483</v>
      </c>
      <c r="B1335" t="s">
        <v>9337</v>
      </c>
      <c r="C1335" t="s">
        <v>2102</v>
      </c>
      <c r="D1335" t="s">
        <v>2103</v>
      </c>
      <c r="E1335" s="183">
        <v>4.12</v>
      </c>
    </row>
    <row r="1336" spans="1:5" ht="14.25">
      <c r="A1336">
        <v>2528</v>
      </c>
      <c r="B1336" t="s">
        <v>9338</v>
      </c>
      <c r="C1336" t="s">
        <v>2102</v>
      </c>
      <c r="D1336" t="s">
        <v>2103</v>
      </c>
      <c r="E1336" s="183">
        <v>22.73</v>
      </c>
    </row>
    <row r="1337" spans="1:5" ht="14.25">
      <c r="A1337">
        <v>2489</v>
      </c>
      <c r="B1337" t="s">
        <v>9339</v>
      </c>
      <c r="C1337" t="s">
        <v>2102</v>
      </c>
      <c r="D1337" t="s">
        <v>2103</v>
      </c>
      <c r="E1337" s="183">
        <v>10.01</v>
      </c>
    </row>
    <row r="1338" spans="1:5" ht="14.25">
      <c r="A1338">
        <v>2488</v>
      </c>
      <c r="B1338" t="s">
        <v>9340</v>
      </c>
      <c r="C1338" t="s">
        <v>2102</v>
      </c>
      <c r="D1338" t="s">
        <v>2103</v>
      </c>
      <c r="E1338" s="183">
        <v>2.31</v>
      </c>
    </row>
    <row r="1339" spans="1:5" ht="14.25">
      <c r="A1339">
        <v>2484</v>
      </c>
      <c r="B1339" t="s">
        <v>9341</v>
      </c>
      <c r="C1339" t="s">
        <v>2102</v>
      </c>
      <c r="D1339" t="s">
        <v>2103</v>
      </c>
      <c r="E1339" s="183">
        <v>33.020000000000003</v>
      </c>
    </row>
    <row r="1340" spans="1:5" ht="14.25">
      <c r="A1340">
        <v>2485</v>
      </c>
      <c r="B1340" t="s">
        <v>9342</v>
      </c>
      <c r="C1340" t="s">
        <v>2102</v>
      </c>
      <c r="D1340" t="s">
        <v>2103</v>
      </c>
      <c r="E1340" s="183">
        <v>51.75</v>
      </c>
    </row>
    <row r="1341" spans="1:5" ht="14.25">
      <c r="A1341">
        <v>39279</v>
      </c>
      <c r="B1341" t="s">
        <v>18279</v>
      </c>
      <c r="C1341" t="s">
        <v>2102</v>
      </c>
      <c r="D1341" t="s">
        <v>2105</v>
      </c>
      <c r="E1341" s="183">
        <v>8.35</v>
      </c>
    </row>
    <row r="1342" spans="1:5" ht="14.25">
      <c r="A1342">
        <v>39280</v>
      </c>
      <c r="B1342" t="s">
        <v>18280</v>
      </c>
      <c r="C1342" t="s">
        <v>2102</v>
      </c>
      <c r="D1342" t="s">
        <v>2105</v>
      </c>
      <c r="E1342" s="183">
        <v>9.36</v>
      </c>
    </row>
    <row r="1343" spans="1:5" ht="14.25">
      <c r="A1343">
        <v>39281</v>
      </c>
      <c r="B1343" t="s">
        <v>18281</v>
      </c>
      <c r="C1343" t="s">
        <v>2102</v>
      </c>
      <c r="D1343" t="s">
        <v>2105</v>
      </c>
      <c r="E1343" s="183">
        <v>12.37</v>
      </c>
    </row>
    <row r="1344" spans="1:5" ht="14.25">
      <c r="A1344">
        <v>39282</v>
      </c>
      <c r="B1344" t="s">
        <v>18282</v>
      </c>
      <c r="C1344" t="s">
        <v>2102</v>
      </c>
      <c r="D1344" t="s">
        <v>2105</v>
      </c>
      <c r="E1344" s="183">
        <v>17.260000000000002</v>
      </c>
    </row>
    <row r="1345" spans="1:5" ht="14.25">
      <c r="A1345">
        <v>38844</v>
      </c>
      <c r="B1345" t="s">
        <v>18283</v>
      </c>
      <c r="C1345" t="s">
        <v>2102</v>
      </c>
      <c r="D1345" t="s">
        <v>2105</v>
      </c>
      <c r="E1345" s="183">
        <v>8.4700000000000006</v>
      </c>
    </row>
    <row r="1346" spans="1:5" ht="14.25">
      <c r="A1346">
        <v>38846</v>
      </c>
      <c r="B1346" t="s">
        <v>18284</v>
      </c>
      <c r="C1346" t="s">
        <v>2102</v>
      </c>
      <c r="D1346" t="s">
        <v>2105</v>
      </c>
      <c r="E1346" s="183">
        <v>8.6199999999999992</v>
      </c>
    </row>
    <row r="1347" spans="1:5" ht="14.25">
      <c r="A1347">
        <v>38847</v>
      </c>
      <c r="B1347" t="s">
        <v>18285</v>
      </c>
      <c r="C1347" t="s">
        <v>2102</v>
      </c>
      <c r="D1347" t="s">
        <v>2105</v>
      </c>
      <c r="E1347" s="183">
        <v>10.09</v>
      </c>
    </row>
    <row r="1348" spans="1:5" ht="14.25">
      <c r="A1348">
        <v>38850</v>
      </c>
      <c r="B1348" t="s">
        <v>18286</v>
      </c>
      <c r="C1348" t="s">
        <v>2102</v>
      </c>
      <c r="D1348" t="s">
        <v>2105</v>
      </c>
      <c r="E1348" s="183">
        <v>18.23</v>
      </c>
    </row>
    <row r="1349" spans="1:5" ht="14.25">
      <c r="A1349">
        <v>38848</v>
      </c>
      <c r="B1349" t="s">
        <v>18287</v>
      </c>
      <c r="C1349" t="s">
        <v>2102</v>
      </c>
      <c r="D1349" t="s">
        <v>2105</v>
      </c>
      <c r="E1349" s="183">
        <v>11.95</v>
      </c>
    </row>
    <row r="1350" spans="1:5" ht="14.25">
      <c r="A1350">
        <v>38851</v>
      </c>
      <c r="B1350" t="s">
        <v>18288</v>
      </c>
      <c r="C1350" t="s">
        <v>2102</v>
      </c>
      <c r="D1350" t="s">
        <v>2105</v>
      </c>
      <c r="E1350" s="183">
        <v>20.61</v>
      </c>
    </row>
    <row r="1351" spans="1:5" ht="14.25">
      <c r="A1351">
        <v>38854</v>
      </c>
      <c r="B1351" t="s">
        <v>18289</v>
      </c>
      <c r="C1351" t="s">
        <v>2102</v>
      </c>
      <c r="D1351" t="s">
        <v>2105</v>
      </c>
      <c r="E1351" s="183">
        <v>8.9499999999999993</v>
      </c>
    </row>
    <row r="1352" spans="1:5" ht="14.25">
      <c r="A1352">
        <v>44247</v>
      </c>
      <c r="B1352" t="s">
        <v>18290</v>
      </c>
      <c r="C1352" t="s">
        <v>2102</v>
      </c>
      <c r="D1352" t="s">
        <v>2103</v>
      </c>
      <c r="E1352" s="184">
        <v>1710.84</v>
      </c>
    </row>
    <row r="1353" spans="1:5" ht="14.25">
      <c r="A1353">
        <v>38005</v>
      </c>
      <c r="B1353" t="s">
        <v>9343</v>
      </c>
      <c r="C1353" t="s">
        <v>2102</v>
      </c>
      <c r="D1353" t="s">
        <v>2103</v>
      </c>
      <c r="E1353" s="183">
        <v>20.34</v>
      </c>
    </row>
    <row r="1354" spans="1:5" ht="14.25">
      <c r="A1354">
        <v>38006</v>
      </c>
      <c r="B1354" t="s">
        <v>9344</v>
      </c>
      <c r="C1354" t="s">
        <v>2102</v>
      </c>
      <c r="D1354" t="s">
        <v>2103</v>
      </c>
      <c r="E1354" s="183">
        <v>27.03</v>
      </c>
    </row>
    <row r="1355" spans="1:5" ht="14.25">
      <c r="A1355">
        <v>38428</v>
      </c>
      <c r="B1355" t="s">
        <v>9345</v>
      </c>
      <c r="C1355" t="s">
        <v>2102</v>
      </c>
      <c r="D1355" t="s">
        <v>2103</v>
      </c>
      <c r="E1355" s="183">
        <v>24.21</v>
      </c>
    </row>
    <row r="1356" spans="1:5" ht="14.25">
      <c r="A1356">
        <v>38007</v>
      </c>
      <c r="B1356" t="s">
        <v>9346</v>
      </c>
      <c r="C1356" t="s">
        <v>2102</v>
      </c>
      <c r="D1356" t="s">
        <v>2103</v>
      </c>
      <c r="E1356" s="183">
        <v>31.19</v>
      </c>
    </row>
    <row r="1357" spans="1:5" ht="14.25">
      <c r="A1357">
        <v>38008</v>
      </c>
      <c r="B1357" t="s">
        <v>9347</v>
      </c>
      <c r="C1357" t="s">
        <v>2102</v>
      </c>
      <c r="D1357" t="s">
        <v>2103</v>
      </c>
      <c r="E1357" s="183">
        <v>49.91</v>
      </c>
    </row>
    <row r="1358" spans="1:5" ht="14.25">
      <c r="A1358">
        <v>38009</v>
      </c>
      <c r="B1358" t="s">
        <v>9348</v>
      </c>
      <c r="C1358" t="s">
        <v>2102</v>
      </c>
      <c r="D1358" t="s">
        <v>2103</v>
      </c>
      <c r="E1358" s="183">
        <v>61.1</v>
      </c>
    </row>
    <row r="1359" spans="1:5" ht="14.25">
      <c r="A1359">
        <v>44248</v>
      </c>
      <c r="B1359" t="s">
        <v>18291</v>
      </c>
      <c r="C1359" t="s">
        <v>2102</v>
      </c>
      <c r="D1359" t="s">
        <v>2103</v>
      </c>
      <c r="E1359" s="183">
        <v>99.59</v>
      </c>
    </row>
    <row r="1360" spans="1:5" ht="14.25">
      <c r="A1360">
        <v>44249</v>
      </c>
      <c r="B1360" t="s">
        <v>18292</v>
      </c>
      <c r="C1360" t="s">
        <v>2102</v>
      </c>
      <c r="D1360" t="s">
        <v>2103</v>
      </c>
      <c r="E1360" s="183">
        <v>384.23</v>
      </c>
    </row>
    <row r="1361" spans="1:5" ht="14.25">
      <c r="A1361">
        <v>44250</v>
      </c>
      <c r="B1361" t="s">
        <v>18293</v>
      </c>
      <c r="C1361" t="s">
        <v>2102</v>
      </c>
      <c r="D1361" t="s">
        <v>2103</v>
      </c>
      <c r="E1361" s="183">
        <v>557.99</v>
      </c>
    </row>
    <row r="1362" spans="1:5" ht="14.25">
      <c r="A1362">
        <v>3104</v>
      </c>
      <c r="B1362" t="s">
        <v>15217</v>
      </c>
      <c r="C1362" t="s">
        <v>2194</v>
      </c>
      <c r="D1362" t="s">
        <v>2103</v>
      </c>
      <c r="E1362" s="183">
        <v>148.55000000000001</v>
      </c>
    </row>
    <row r="1363" spans="1:5" ht="14.25">
      <c r="A1363">
        <v>1607</v>
      </c>
      <c r="B1363" t="s">
        <v>9349</v>
      </c>
      <c r="C1363" t="s">
        <v>2194</v>
      </c>
      <c r="D1363" t="s">
        <v>2103</v>
      </c>
      <c r="E1363" s="183">
        <v>0.32</v>
      </c>
    </row>
    <row r="1364" spans="1:5" ht="14.25">
      <c r="A1364">
        <v>38169</v>
      </c>
      <c r="B1364" t="s">
        <v>9350</v>
      </c>
      <c r="C1364" t="s">
        <v>2194</v>
      </c>
      <c r="D1364" t="s">
        <v>2103</v>
      </c>
      <c r="E1364" s="183">
        <v>76.989999999999995</v>
      </c>
    </row>
    <row r="1365" spans="1:5" ht="14.25">
      <c r="A1365">
        <v>6142</v>
      </c>
      <c r="B1365" t="s">
        <v>18294</v>
      </c>
      <c r="C1365" t="s">
        <v>2102</v>
      </c>
      <c r="D1365" t="s">
        <v>2103</v>
      </c>
      <c r="E1365" s="183">
        <v>8.5500000000000007</v>
      </c>
    </row>
    <row r="1366" spans="1:5" ht="14.25">
      <c r="A1366">
        <v>11686</v>
      </c>
      <c r="B1366" t="s">
        <v>18295</v>
      </c>
      <c r="C1366" t="s">
        <v>2102</v>
      </c>
      <c r="D1366" t="s">
        <v>2103</v>
      </c>
      <c r="E1366" s="183">
        <v>11.87</v>
      </c>
    </row>
    <row r="1367" spans="1:5" ht="14.25">
      <c r="A1367">
        <v>37598</v>
      </c>
      <c r="B1367" t="s">
        <v>9351</v>
      </c>
      <c r="C1367" t="s">
        <v>2102</v>
      </c>
      <c r="D1367" t="s">
        <v>2105</v>
      </c>
      <c r="E1367" s="183">
        <v>38.11</v>
      </c>
    </row>
    <row r="1368" spans="1:5" ht="14.25">
      <c r="A1368">
        <v>25398</v>
      </c>
      <c r="B1368" t="s">
        <v>18296</v>
      </c>
      <c r="C1368" t="s">
        <v>2102</v>
      </c>
      <c r="D1368" t="s">
        <v>2105</v>
      </c>
      <c r="E1368" s="184">
        <v>4483.43</v>
      </c>
    </row>
    <row r="1369" spans="1:5" ht="14.25">
      <c r="A1369">
        <v>25399</v>
      </c>
      <c r="B1369" t="s">
        <v>9352</v>
      </c>
      <c r="C1369" t="s">
        <v>2102</v>
      </c>
      <c r="D1369" t="s">
        <v>2105</v>
      </c>
      <c r="E1369" s="184">
        <v>2721.83</v>
      </c>
    </row>
    <row r="1370" spans="1:5" ht="14.25">
      <c r="A1370">
        <v>43440</v>
      </c>
      <c r="B1370" t="s">
        <v>9353</v>
      </c>
      <c r="C1370" t="s">
        <v>2102</v>
      </c>
      <c r="D1370" t="s">
        <v>2103</v>
      </c>
      <c r="E1370" s="183">
        <v>407.48</v>
      </c>
    </row>
    <row r="1371" spans="1:5" ht="14.25">
      <c r="A1371">
        <v>10667</v>
      </c>
      <c r="B1371" t="s">
        <v>9354</v>
      </c>
      <c r="C1371" t="s">
        <v>2102</v>
      </c>
      <c r="D1371" t="s">
        <v>2105</v>
      </c>
      <c r="E1371" s="184">
        <v>22500</v>
      </c>
    </row>
    <row r="1372" spans="1:5" ht="14.25">
      <c r="A1372">
        <v>1613</v>
      </c>
      <c r="B1372" t="s">
        <v>9355</v>
      </c>
      <c r="C1372" t="s">
        <v>2102</v>
      </c>
      <c r="D1372" t="s">
        <v>2103</v>
      </c>
      <c r="E1372" s="184">
        <v>1362.22</v>
      </c>
    </row>
    <row r="1373" spans="1:5" ht="14.25">
      <c r="A1373">
        <v>1626</v>
      </c>
      <c r="B1373" t="s">
        <v>9356</v>
      </c>
      <c r="C1373" t="s">
        <v>2102</v>
      </c>
      <c r="D1373" t="s">
        <v>2103</v>
      </c>
      <c r="E1373" s="184">
        <v>2037.36</v>
      </c>
    </row>
    <row r="1374" spans="1:5" ht="14.25">
      <c r="A1374">
        <v>1625</v>
      </c>
      <c r="B1374" t="s">
        <v>9357</v>
      </c>
      <c r="C1374" t="s">
        <v>2102</v>
      </c>
      <c r="D1374" t="s">
        <v>2103</v>
      </c>
      <c r="E1374" s="183">
        <v>142.30000000000001</v>
      </c>
    </row>
    <row r="1375" spans="1:5" ht="14.25">
      <c r="A1375">
        <v>1622</v>
      </c>
      <c r="B1375" t="s">
        <v>9358</v>
      </c>
      <c r="C1375" t="s">
        <v>2102</v>
      </c>
      <c r="D1375" t="s">
        <v>2103</v>
      </c>
      <c r="E1375" s="184">
        <v>4597.49</v>
      </c>
    </row>
    <row r="1376" spans="1:5" ht="14.25">
      <c r="A1376">
        <v>1620</v>
      </c>
      <c r="B1376" t="s">
        <v>9359</v>
      </c>
      <c r="C1376" t="s">
        <v>2102</v>
      </c>
      <c r="D1376" t="s">
        <v>2103</v>
      </c>
      <c r="E1376" s="183">
        <v>299.76</v>
      </c>
    </row>
    <row r="1377" spans="1:5" ht="14.25">
      <c r="A1377">
        <v>1629</v>
      </c>
      <c r="B1377" t="s">
        <v>9360</v>
      </c>
      <c r="C1377" t="s">
        <v>2102</v>
      </c>
      <c r="D1377" t="s">
        <v>2103</v>
      </c>
      <c r="E1377" s="184">
        <v>11189.21</v>
      </c>
    </row>
    <row r="1378" spans="1:5" ht="14.25">
      <c r="A1378">
        <v>1627</v>
      </c>
      <c r="B1378" t="s">
        <v>9361</v>
      </c>
      <c r="C1378" t="s">
        <v>2102</v>
      </c>
      <c r="D1378" t="s">
        <v>2103</v>
      </c>
      <c r="E1378" s="183">
        <v>572.99</v>
      </c>
    </row>
    <row r="1379" spans="1:5" ht="14.25">
      <c r="A1379">
        <v>1623</v>
      </c>
      <c r="B1379" t="s">
        <v>9362</v>
      </c>
      <c r="C1379" t="s">
        <v>2102</v>
      </c>
      <c r="D1379" t="s">
        <v>2103</v>
      </c>
      <c r="E1379" s="183">
        <v>116.05</v>
      </c>
    </row>
    <row r="1380" spans="1:5" ht="14.25">
      <c r="A1380">
        <v>1619</v>
      </c>
      <c r="B1380" t="s">
        <v>9363</v>
      </c>
      <c r="C1380" t="s">
        <v>2102</v>
      </c>
      <c r="D1380" t="s">
        <v>2103</v>
      </c>
      <c r="E1380" s="183">
        <v>159.63999999999999</v>
      </c>
    </row>
    <row r="1381" spans="1:5" ht="14.25">
      <c r="A1381">
        <v>1630</v>
      </c>
      <c r="B1381" t="s">
        <v>9364</v>
      </c>
      <c r="C1381" t="s">
        <v>2102</v>
      </c>
      <c r="D1381" t="s">
        <v>2103</v>
      </c>
      <c r="E1381" s="184">
        <v>3514.88</v>
      </c>
    </row>
    <row r="1382" spans="1:5" ht="14.25">
      <c r="A1382">
        <v>1616</v>
      </c>
      <c r="B1382" t="s">
        <v>9365</v>
      </c>
      <c r="C1382" t="s">
        <v>2102</v>
      </c>
      <c r="D1382" t="s">
        <v>2103</v>
      </c>
      <c r="E1382" s="184">
        <v>5405.95</v>
      </c>
    </row>
    <row r="1383" spans="1:5" ht="14.25">
      <c r="A1383">
        <v>1614</v>
      </c>
      <c r="B1383" t="s">
        <v>9366</v>
      </c>
      <c r="C1383" t="s">
        <v>2102</v>
      </c>
      <c r="D1383" t="s">
        <v>2103</v>
      </c>
      <c r="E1383" s="183">
        <v>247.07</v>
      </c>
    </row>
    <row r="1384" spans="1:5" ht="14.25">
      <c r="A1384">
        <v>1617</v>
      </c>
      <c r="B1384" t="s">
        <v>9367</v>
      </c>
      <c r="C1384" t="s">
        <v>2102</v>
      </c>
      <c r="D1384" t="s">
        <v>2103</v>
      </c>
      <c r="E1384" s="184">
        <v>6453.53</v>
      </c>
    </row>
    <row r="1385" spans="1:5" ht="14.25">
      <c r="A1385">
        <v>1621</v>
      </c>
      <c r="B1385" t="s">
        <v>9368</v>
      </c>
      <c r="C1385" t="s">
        <v>2102</v>
      </c>
      <c r="D1385" t="s">
        <v>2103</v>
      </c>
      <c r="E1385" s="183">
        <v>441.88</v>
      </c>
    </row>
    <row r="1386" spans="1:5" ht="14.25">
      <c r="A1386">
        <v>1624</v>
      </c>
      <c r="B1386" t="s">
        <v>9369</v>
      </c>
      <c r="C1386" t="s">
        <v>2102</v>
      </c>
      <c r="D1386" t="s">
        <v>2103</v>
      </c>
      <c r="E1386" s="184">
        <v>15863.09</v>
      </c>
    </row>
    <row r="1387" spans="1:5" ht="14.25">
      <c r="A1387">
        <v>1615</v>
      </c>
      <c r="B1387" t="s">
        <v>9370</v>
      </c>
      <c r="C1387" t="s">
        <v>2102</v>
      </c>
      <c r="D1387" t="s">
        <v>2103</v>
      </c>
      <c r="E1387" s="183">
        <v>829.78</v>
      </c>
    </row>
    <row r="1388" spans="1:5" ht="14.25">
      <c r="A1388">
        <v>1612</v>
      </c>
      <c r="B1388" t="s">
        <v>9371</v>
      </c>
      <c r="C1388" t="s">
        <v>2102</v>
      </c>
      <c r="D1388" t="s">
        <v>2107</v>
      </c>
      <c r="E1388" s="183">
        <v>109.29</v>
      </c>
    </row>
    <row r="1389" spans="1:5" ht="14.25">
      <c r="A1389">
        <v>1618</v>
      </c>
      <c r="B1389" t="s">
        <v>9372</v>
      </c>
      <c r="C1389" t="s">
        <v>2102</v>
      </c>
      <c r="D1389" t="s">
        <v>2103</v>
      </c>
      <c r="E1389" s="184">
        <v>1140.24</v>
      </c>
    </row>
    <row r="1390" spans="1:5" ht="14.25">
      <c r="A1390">
        <v>14211</v>
      </c>
      <c r="B1390" t="s">
        <v>9373</v>
      </c>
      <c r="C1390" t="s">
        <v>2102</v>
      </c>
      <c r="D1390" t="s">
        <v>2105</v>
      </c>
      <c r="E1390" s="183">
        <v>44.7</v>
      </c>
    </row>
    <row r="1391" spans="1:5" ht="14.25">
      <c r="A1391">
        <v>43657</v>
      </c>
      <c r="B1391" t="s">
        <v>13560</v>
      </c>
      <c r="C1391" t="s">
        <v>2109</v>
      </c>
      <c r="D1391" t="s">
        <v>2105</v>
      </c>
      <c r="E1391" s="183">
        <v>6.88</v>
      </c>
    </row>
    <row r="1392" spans="1:5" ht="14.25">
      <c r="A1392">
        <v>38200</v>
      </c>
      <c r="B1392" t="s">
        <v>9374</v>
      </c>
      <c r="C1392" t="s">
        <v>2196</v>
      </c>
      <c r="D1392" t="s">
        <v>2103</v>
      </c>
      <c r="E1392" s="183">
        <v>646.21</v>
      </c>
    </row>
    <row r="1393" spans="1:5" ht="14.25">
      <c r="A1393">
        <v>39269</v>
      </c>
      <c r="B1393" t="s">
        <v>9375</v>
      </c>
      <c r="C1393" t="s">
        <v>2109</v>
      </c>
      <c r="D1393" t="s">
        <v>2103</v>
      </c>
      <c r="E1393" s="183">
        <v>1.19</v>
      </c>
    </row>
    <row r="1394" spans="1:5" ht="14.25">
      <c r="A1394">
        <v>11889</v>
      </c>
      <c r="B1394" t="s">
        <v>9376</v>
      </c>
      <c r="C1394" t="s">
        <v>2109</v>
      </c>
      <c r="D1394" t="s">
        <v>2103</v>
      </c>
      <c r="E1394" s="183">
        <v>1.64</v>
      </c>
    </row>
    <row r="1395" spans="1:5" ht="14.25">
      <c r="A1395">
        <v>39270</v>
      </c>
      <c r="B1395" t="s">
        <v>9377</v>
      </c>
      <c r="C1395" t="s">
        <v>2109</v>
      </c>
      <c r="D1395" t="s">
        <v>2103</v>
      </c>
      <c r="E1395" s="183">
        <v>2.13</v>
      </c>
    </row>
    <row r="1396" spans="1:5" ht="14.25">
      <c r="A1396">
        <v>11890</v>
      </c>
      <c r="B1396" t="s">
        <v>9378</v>
      </c>
      <c r="C1396" t="s">
        <v>2109</v>
      </c>
      <c r="D1396" t="s">
        <v>2103</v>
      </c>
      <c r="E1396" s="183">
        <v>2.9</v>
      </c>
    </row>
    <row r="1397" spans="1:5" ht="14.25">
      <c r="A1397">
        <v>11891</v>
      </c>
      <c r="B1397" t="s">
        <v>9379</v>
      </c>
      <c r="C1397" t="s">
        <v>2109</v>
      </c>
      <c r="D1397" t="s">
        <v>2103</v>
      </c>
      <c r="E1397" s="183">
        <v>4.7</v>
      </c>
    </row>
    <row r="1398" spans="1:5" ht="14.25">
      <c r="A1398">
        <v>11892</v>
      </c>
      <c r="B1398" t="s">
        <v>9380</v>
      </c>
      <c r="C1398" t="s">
        <v>2109</v>
      </c>
      <c r="D1398" t="s">
        <v>2103</v>
      </c>
      <c r="E1398" s="183">
        <v>7.69</v>
      </c>
    </row>
    <row r="1399" spans="1:5" ht="14.25">
      <c r="A1399">
        <v>37601</v>
      </c>
      <c r="B1399" t="s">
        <v>9381</v>
      </c>
      <c r="C1399" t="s">
        <v>2109</v>
      </c>
      <c r="D1399" t="s">
        <v>2105</v>
      </c>
      <c r="E1399" s="183">
        <v>8.4700000000000006</v>
      </c>
    </row>
    <row r="1400" spans="1:5" ht="14.25">
      <c r="A1400">
        <v>1634</v>
      </c>
      <c r="B1400" t="s">
        <v>9382</v>
      </c>
      <c r="C1400" t="s">
        <v>2109</v>
      </c>
      <c r="D1400" t="s">
        <v>2105</v>
      </c>
      <c r="E1400" s="183">
        <v>8.75</v>
      </c>
    </row>
    <row r="1401" spans="1:5" ht="14.25">
      <c r="A1401">
        <v>5086</v>
      </c>
      <c r="B1401" t="s">
        <v>9383</v>
      </c>
      <c r="C1401" t="s">
        <v>2110</v>
      </c>
      <c r="D1401" t="s">
        <v>2103</v>
      </c>
      <c r="E1401" s="183">
        <v>31.87</v>
      </c>
    </row>
    <row r="1402" spans="1:5" ht="14.25">
      <c r="A1402">
        <v>11280</v>
      </c>
      <c r="B1402" t="s">
        <v>9384</v>
      </c>
      <c r="C1402" t="s">
        <v>2102</v>
      </c>
      <c r="D1402" t="s">
        <v>2105</v>
      </c>
      <c r="E1402" s="184">
        <v>12358.02</v>
      </c>
    </row>
    <row r="1403" spans="1:5" ht="14.25">
      <c r="A1403">
        <v>40519</v>
      </c>
      <c r="B1403" t="s">
        <v>9385</v>
      </c>
      <c r="C1403" t="s">
        <v>2102</v>
      </c>
      <c r="D1403" t="s">
        <v>2105</v>
      </c>
      <c r="E1403" s="184">
        <v>101875.28</v>
      </c>
    </row>
    <row r="1404" spans="1:5" ht="14.25">
      <c r="A1404">
        <v>39869</v>
      </c>
      <c r="B1404" t="s">
        <v>9386</v>
      </c>
      <c r="C1404" t="s">
        <v>2102</v>
      </c>
      <c r="D1404" t="s">
        <v>2105</v>
      </c>
      <c r="E1404" s="183">
        <v>12.99</v>
      </c>
    </row>
    <row r="1405" spans="1:5" ht="14.25">
      <c r="A1405">
        <v>39870</v>
      </c>
      <c r="B1405" t="s">
        <v>9387</v>
      </c>
      <c r="C1405" t="s">
        <v>2102</v>
      </c>
      <c r="D1405" t="s">
        <v>2105</v>
      </c>
      <c r="E1405" s="183">
        <v>19.88</v>
      </c>
    </row>
    <row r="1406" spans="1:5" ht="14.25">
      <c r="A1406">
        <v>39871</v>
      </c>
      <c r="B1406" t="s">
        <v>9388</v>
      </c>
      <c r="C1406" t="s">
        <v>2102</v>
      </c>
      <c r="D1406" t="s">
        <v>2105</v>
      </c>
      <c r="E1406" s="183">
        <v>22.28</v>
      </c>
    </row>
    <row r="1407" spans="1:5" ht="14.25">
      <c r="A1407">
        <v>12722</v>
      </c>
      <c r="B1407" t="s">
        <v>9389</v>
      </c>
      <c r="C1407" t="s">
        <v>2102</v>
      </c>
      <c r="D1407" t="s">
        <v>2105</v>
      </c>
      <c r="E1407" s="183">
        <v>745.61</v>
      </c>
    </row>
    <row r="1408" spans="1:5" ht="14.25">
      <c r="A1408">
        <v>12714</v>
      </c>
      <c r="B1408" t="s">
        <v>9390</v>
      </c>
      <c r="C1408" t="s">
        <v>2102</v>
      </c>
      <c r="D1408" t="s">
        <v>2105</v>
      </c>
      <c r="E1408" s="183">
        <v>4.87</v>
      </c>
    </row>
    <row r="1409" spans="1:5" ht="14.25">
      <c r="A1409">
        <v>12715</v>
      </c>
      <c r="B1409" t="s">
        <v>9391</v>
      </c>
      <c r="C1409" t="s">
        <v>2102</v>
      </c>
      <c r="D1409" t="s">
        <v>2105</v>
      </c>
      <c r="E1409" s="183">
        <v>10.99</v>
      </c>
    </row>
    <row r="1410" spans="1:5" ht="14.25">
      <c r="A1410">
        <v>12716</v>
      </c>
      <c r="B1410" t="s">
        <v>9392</v>
      </c>
      <c r="C1410" t="s">
        <v>2102</v>
      </c>
      <c r="D1410" t="s">
        <v>2105</v>
      </c>
      <c r="E1410" s="183">
        <v>18.87</v>
      </c>
    </row>
    <row r="1411" spans="1:5" ht="14.25">
      <c r="A1411">
        <v>12717</v>
      </c>
      <c r="B1411" t="s">
        <v>9393</v>
      </c>
      <c r="C1411" t="s">
        <v>2102</v>
      </c>
      <c r="D1411" t="s">
        <v>2105</v>
      </c>
      <c r="E1411" s="183">
        <v>37.090000000000003</v>
      </c>
    </row>
    <row r="1412" spans="1:5" ht="14.25">
      <c r="A1412">
        <v>12718</v>
      </c>
      <c r="B1412" t="s">
        <v>9394</v>
      </c>
      <c r="C1412" t="s">
        <v>2102</v>
      </c>
      <c r="D1412" t="s">
        <v>2105</v>
      </c>
      <c r="E1412" s="183">
        <v>56.93</v>
      </c>
    </row>
    <row r="1413" spans="1:5" ht="14.25">
      <c r="A1413">
        <v>12719</v>
      </c>
      <c r="B1413" t="s">
        <v>9395</v>
      </c>
      <c r="C1413" t="s">
        <v>2102</v>
      </c>
      <c r="D1413" t="s">
        <v>2105</v>
      </c>
      <c r="E1413" s="183">
        <v>90.37</v>
      </c>
    </row>
    <row r="1414" spans="1:5" ht="14.25">
      <c r="A1414">
        <v>12720</v>
      </c>
      <c r="B1414" t="s">
        <v>9396</v>
      </c>
      <c r="C1414" t="s">
        <v>2102</v>
      </c>
      <c r="D1414" t="s">
        <v>2105</v>
      </c>
      <c r="E1414" s="183">
        <v>314.67</v>
      </c>
    </row>
    <row r="1415" spans="1:5" ht="14.25">
      <c r="A1415">
        <v>12721</v>
      </c>
      <c r="B1415" t="s">
        <v>9397</v>
      </c>
      <c r="C1415" t="s">
        <v>2102</v>
      </c>
      <c r="D1415" t="s">
        <v>2105</v>
      </c>
      <c r="E1415" s="183">
        <v>301.74</v>
      </c>
    </row>
    <row r="1416" spans="1:5" ht="14.25">
      <c r="A1416">
        <v>3468</v>
      </c>
      <c r="B1416" t="s">
        <v>9398</v>
      </c>
      <c r="C1416" t="s">
        <v>2102</v>
      </c>
      <c r="D1416" t="s">
        <v>2105</v>
      </c>
      <c r="E1416" s="183">
        <v>47.39</v>
      </c>
    </row>
    <row r="1417" spans="1:5" ht="14.25">
      <c r="A1417">
        <v>3465</v>
      </c>
      <c r="B1417" t="s">
        <v>9399</v>
      </c>
      <c r="C1417" t="s">
        <v>2102</v>
      </c>
      <c r="D1417" t="s">
        <v>2105</v>
      </c>
      <c r="E1417" s="183">
        <v>47.37</v>
      </c>
    </row>
    <row r="1418" spans="1:5" ht="14.25">
      <c r="A1418">
        <v>12403</v>
      </c>
      <c r="B1418" t="s">
        <v>9400</v>
      </c>
      <c r="C1418" t="s">
        <v>2102</v>
      </c>
      <c r="D1418" t="s">
        <v>2105</v>
      </c>
      <c r="E1418" s="183">
        <v>33.76</v>
      </c>
    </row>
    <row r="1419" spans="1:5" ht="14.25">
      <c r="A1419">
        <v>3463</v>
      </c>
      <c r="B1419" t="s">
        <v>9401</v>
      </c>
      <c r="C1419" t="s">
        <v>2102</v>
      </c>
      <c r="D1419" t="s">
        <v>2105</v>
      </c>
      <c r="E1419" s="183">
        <v>19.73</v>
      </c>
    </row>
    <row r="1420" spans="1:5" ht="14.25">
      <c r="A1420">
        <v>3464</v>
      </c>
      <c r="B1420" t="s">
        <v>9402</v>
      </c>
      <c r="C1420" t="s">
        <v>2102</v>
      </c>
      <c r="D1420" t="s">
        <v>2105</v>
      </c>
      <c r="E1420" s="183">
        <v>19.73</v>
      </c>
    </row>
    <row r="1421" spans="1:5" ht="14.25">
      <c r="A1421">
        <v>3466</v>
      </c>
      <c r="B1421" t="s">
        <v>9403</v>
      </c>
      <c r="C1421" t="s">
        <v>2102</v>
      </c>
      <c r="D1421" t="s">
        <v>2105</v>
      </c>
      <c r="E1421" s="183">
        <v>120.31</v>
      </c>
    </row>
    <row r="1422" spans="1:5" ht="14.25">
      <c r="A1422">
        <v>3467</v>
      </c>
      <c r="B1422" t="s">
        <v>9404</v>
      </c>
      <c r="C1422" t="s">
        <v>2102</v>
      </c>
      <c r="D1422" t="s">
        <v>2105</v>
      </c>
      <c r="E1422" s="183">
        <v>67.95</v>
      </c>
    </row>
    <row r="1423" spans="1:5" ht="14.25">
      <c r="A1423">
        <v>3462</v>
      </c>
      <c r="B1423" t="s">
        <v>9405</v>
      </c>
      <c r="C1423" t="s">
        <v>2102</v>
      </c>
      <c r="D1423" t="s">
        <v>2105</v>
      </c>
      <c r="E1423" s="183">
        <v>13.01</v>
      </c>
    </row>
    <row r="1424" spans="1:5" ht="14.25">
      <c r="A1424">
        <v>3446</v>
      </c>
      <c r="B1424" t="s">
        <v>9406</v>
      </c>
      <c r="C1424" t="s">
        <v>2102</v>
      </c>
      <c r="D1424" t="s">
        <v>2105</v>
      </c>
      <c r="E1424" s="183">
        <v>40.06</v>
      </c>
    </row>
    <row r="1425" spans="1:5" ht="14.25">
      <c r="A1425">
        <v>3445</v>
      </c>
      <c r="B1425" t="s">
        <v>9407</v>
      </c>
      <c r="C1425" t="s">
        <v>2102</v>
      </c>
      <c r="D1425" t="s">
        <v>2105</v>
      </c>
      <c r="E1425" s="183">
        <v>32.700000000000003</v>
      </c>
    </row>
    <row r="1426" spans="1:5" ht="14.25">
      <c r="A1426">
        <v>3441</v>
      </c>
      <c r="B1426" t="s">
        <v>9408</v>
      </c>
      <c r="C1426" t="s">
        <v>2102</v>
      </c>
      <c r="D1426" t="s">
        <v>2105</v>
      </c>
      <c r="E1426" s="183">
        <v>9.23</v>
      </c>
    </row>
    <row r="1427" spans="1:5" ht="14.25">
      <c r="A1427">
        <v>3444</v>
      </c>
      <c r="B1427" t="s">
        <v>9409</v>
      </c>
      <c r="C1427" t="s">
        <v>2102</v>
      </c>
      <c r="D1427" t="s">
        <v>2105</v>
      </c>
      <c r="E1427" s="183">
        <v>20.13</v>
      </c>
    </row>
    <row r="1428" spans="1:5" ht="14.25">
      <c r="A1428">
        <v>12402</v>
      </c>
      <c r="B1428" t="s">
        <v>9410</v>
      </c>
      <c r="C1428" t="s">
        <v>2102</v>
      </c>
      <c r="D1428" t="s">
        <v>2105</v>
      </c>
      <c r="E1428" s="183">
        <v>112.6</v>
      </c>
    </row>
    <row r="1429" spans="1:5" ht="14.25">
      <c r="A1429">
        <v>3447</v>
      </c>
      <c r="B1429" t="s">
        <v>9411</v>
      </c>
      <c r="C1429" t="s">
        <v>2102</v>
      </c>
      <c r="D1429" t="s">
        <v>2105</v>
      </c>
      <c r="E1429" s="183">
        <v>58.25</v>
      </c>
    </row>
    <row r="1430" spans="1:5" ht="14.25">
      <c r="A1430">
        <v>3442</v>
      </c>
      <c r="B1430" t="s">
        <v>9412</v>
      </c>
      <c r="C1430" t="s">
        <v>2102</v>
      </c>
      <c r="D1430" t="s">
        <v>2105</v>
      </c>
      <c r="E1430" s="183">
        <v>13.8</v>
      </c>
    </row>
    <row r="1431" spans="1:5" ht="14.25">
      <c r="A1431">
        <v>3448</v>
      </c>
      <c r="B1431" t="s">
        <v>9413</v>
      </c>
      <c r="C1431" t="s">
        <v>2102</v>
      </c>
      <c r="D1431" t="s">
        <v>2105</v>
      </c>
      <c r="E1431" s="183">
        <v>164.62</v>
      </c>
    </row>
    <row r="1432" spans="1:5" ht="14.25">
      <c r="A1432">
        <v>3449</v>
      </c>
      <c r="B1432" t="s">
        <v>9414</v>
      </c>
      <c r="C1432" t="s">
        <v>2102</v>
      </c>
      <c r="D1432" t="s">
        <v>2105</v>
      </c>
      <c r="E1432" s="183">
        <v>288.45</v>
      </c>
    </row>
    <row r="1433" spans="1:5" ht="14.25">
      <c r="A1433">
        <v>37438</v>
      </c>
      <c r="B1433" t="s">
        <v>9415</v>
      </c>
      <c r="C1433" t="s">
        <v>2102</v>
      </c>
      <c r="D1433" t="s">
        <v>2105</v>
      </c>
      <c r="E1433" s="183">
        <v>232.23</v>
      </c>
    </row>
    <row r="1434" spans="1:5" ht="14.25">
      <c r="A1434">
        <v>37439</v>
      </c>
      <c r="B1434" t="s">
        <v>9416</v>
      </c>
      <c r="C1434" t="s">
        <v>2102</v>
      </c>
      <c r="D1434" t="s">
        <v>2105</v>
      </c>
      <c r="E1434" s="184">
        <v>1518.32</v>
      </c>
    </row>
    <row r="1435" spans="1:5" ht="14.25">
      <c r="A1435">
        <v>37435</v>
      </c>
      <c r="B1435" t="s">
        <v>9417</v>
      </c>
      <c r="C1435" t="s">
        <v>2102</v>
      </c>
      <c r="D1435" t="s">
        <v>2105</v>
      </c>
      <c r="E1435" s="183">
        <v>27.29</v>
      </c>
    </row>
    <row r="1436" spans="1:5" ht="14.25">
      <c r="A1436">
        <v>37436</v>
      </c>
      <c r="B1436" t="s">
        <v>9418</v>
      </c>
      <c r="C1436" t="s">
        <v>2102</v>
      </c>
      <c r="D1436" t="s">
        <v>2105</v>
      </c>
      <c r="E1436" s="183">
        <v>32.21</v>
      </c>
    </row>
    <row r="1437" spans="1:5" ht="14.25">
      <c r="A1437">
        <v>37437</v>
      </c>
      <c r="B1437" t="s">
        <v>9419</v>
      </c>
      <c r="C1437" t="s">
        <v>2102</v>
      </c>
      <c r="D1437" t="s">
        <v>2105</v>
      </c>
      <c r="E1437" s="183">
        <v>46.58</v>
      </c>
    </row>
    <row r="1438" spans="1:5" ht="14.25">
      <c r="A1438">
        <v>3473</v>
      </c>
      <c r="B1438" t="s">
        <v>9420</v>
      </c>
      <c r="C1438" t="s">
        <v>2102</v>
      </c>
      <c r="D1438" t="s">
        <v>2105</v>
      </c>
      <c r="E1438" s="183">
        <v>45.29</v>
      </c>
    </row>
    <row r="1439" spans="1:5" ht="14.25">
      <c r="A1439">
        <v>3474</v>
      </c>
      <c r="B1439" t="s">
        <v>9421</v>
      </c>
      <c r="C1439" t="s">
        <v>2102</v>
      </c>
      <c r="D1439" t="s">
        <v>2105</v>
      </c>
      <c r="E1439" s="183">
        <v>37.33</v>
      </c>
    </row>
    <row r="1440" spans="1:5" ht="14.25">
      <c r="A1440">
        <v>3450</v>
      </c>
      <c r="B1440" t="s">
        <v>9422</v>
      </c>
      <c r="C1440" t="s">
        <v>2102</v>
      </c>
      <c r="D1440" t="s">
        <v>2105</v>
      </c>
      <c r="E1440" s="183">
        <v>10.82</v>
      </c>
    </row>
    <row r="1441" spans="1:5" ht="14.25">
      <c r="A1441">
        <v>3443</v>
      </c>
      <c r="B1441" t="s">
        <v>9423</v>
      </c>
      <c r="C1441" t="s">
        <v>2102</v>
      </c>
      <c r="D1441" t="s">
        <v>2105</v>
      </c>
      <c r="E1441" s="183">
        <v>23.22</v>
      </c>
    </row>
    <row r="1442" spans="1:5" ht="14.25">
      <c r="A1442">
        <v>3453</v>
      </c>
      <c r="B1442" t="s">
        <v>9424</v>
      </c>
      <c r="C1442" t="s">
        <v>2102</v>
      </c>
      <c r="D1442" t="s">
        <v>2105</v>
      </c>
      <c r="E1442" s="183">
        <v>132.19999999999999</v>
      </c>
    </row>
    <row r="1443" spans="1:5" ht="14.25">
      <c r="A1443">
        <v>3452</v>
      </c>
      <c r="B1443" t="s">
        <v>9425</v>
      </c>
      <c r="C1443" t="s">
        <v>2102</v>
      </c>
      <c r="D1443" t="s">
        <v>2105</v>
      </c>
      <c r="E1443" s="183">
        <v>65.25</v>
      </c>
    </row>
    <row r="1444" spans="1:5" ht="14.25">
      <c r="A1444">
        <v>3451</v>
      </c>
      <c r="B1444" t="s">
        <v>9426</v>
      </c>
      <c r="C1444" t="s">
        <v>2102</v>
      </c>
      <c r="D1444" t="s">
        <v>2105</v>
      </c>
      <c r="E1444" s="183">
        <v>12.94</v>
      </c>
    </row>
    <row r="1445" spans="1:5" ht="14.25">
      <c r="A1445">
        <v>3454</v>
      </c>
      <c r="B1445" t="s">
        <v>9427</v>
      </c>
      <c r="C1445" t="s">
        <v>2102</v>
      </c>
      <c r="D1445" t="s">
        <v>2105</v>
      </c>
      <c r="E1445" s="183">
        <v>201.07</v>
      </c>
    </row>
    <row r="1446" spans="1:5" ht="14.25">
      <c r="A1446">
        <v>3458</v>
      </c>
      <c r="B1446" t="s">
        <v>9428</v>
      </c>
      <c r="C1446" t="s">
        <v>2102</v>
      </c>
      <c r="D1446" t="s">
        <v>2105</v>
      </c>
      <c r="E1446" s="183">
        <v>36.299999999999997</v>
      </c>
    </row>
    <row r="1447" spans="1:5" ht="14.25">
      <c r="A1447">
        <v>3457</v>
      </c>
      <c r="B1447" t="s">
        <v>9429</v>
      </c>
      <c r="C1447" t="s">
        <v>2102</v>
      </c>
      <c r="D1447" t="s">
        <v>2105</v>
      </c>
      <c r="E1447" s="183">
        <v>27.25</v>
      </c>
    </row>
    <row r="1448" spans="1:5" ht="14.25">
      <c r="A1448">
        <v>3455</v>
      </c>
      <c r="B1448" t="s">
        <v>9430</v>
      </c>
      <c r="C1448" t="s">
        <v>2102</v>
      </c>
      <c r="D1448" t="s">
        <v>2105</v>
      </c>
      <c r="E1448" s="183">
        <v>7.74</v>
      </c>
    </row>
    <row r="1449" spans="1:5" ht="14.25">
      <c r="A1449">
        <v>3472</v>
      </c>
      <c r="B1449" t="s">
        <v>9431</v>
      </c>
      <c r="C1449" t="s">
        <v>2102</v>
      </c>
      <c r="D1449" t="s">
        <v>2105</v>
      </c>
      <c r="E1449" s="183">
        <v>17.39</v>
      </c>
    </row>
    <row r="1450" spans="1:5" ht="14.25">
      <c r="A1450">
        <v>3470</v>
      </c>
      <c r="B1450" t="s">
        <v>9432</v>
      </c>
      <c r="C1450" t="s">
        <v>2102</v>
      </c>
      <c r="D1450" t="s">
        <v>2105</v>
      </c>
      <c r="E1450" s="183">
        <v>101.37</v>
      </c>
    </row>
    <row r="1451" spans="1:5" ht="14.25">
      <c r="A1451">
        <v>3471</v>
      </c>
      <c r="B1451" t="s">
        <v>9433</v>
      </c>
      <c r="C1451" t="s">
        <v>2102</v>
      </c>
      <c r="D1451" t="s">
        <v>2105</v>
      </c>
      <c r="E1451" s="183">
        <v>55.7</v>
      </c>
    </row>
    <row r="1452" spans="1:5" ht="14.25">
      <c r="A1452">
        <v>3456</v>
      </c>
      <c r="B1452" t="s">
        <v>9434</v>
      </c>
      <c r="C1452" t="s">
        <v>2102</v>
      </c>
      <c r="D1452" t="s">
        <v>2105</v>
      </c>
      <c r="E1452" s="183">
        <v>11.58</v>
      </c>
    </row>
    <row r="1453" spans="1:5" ht="14.25">
      <c r="A1453">
        <v>3459</v>
      </c>
      <c r="B1453" t="s">
        <v>9435</v>
      </c>
      <c r="C1453" t="s">
        <v>2102</v>
      </c>
      <c r="D1453" t="s">
        <v>2105</v>
      </c>
      <c r="E1453" s="183">
        <v>142.97999999999999</v>
      </c>
    </row>
    <row r="1454" spans="1:5" ht="14.25">
      <c r="A1454">
        <v>3469</v>
      </c>
      <c r="B1454" t="s">
        <v>9436</v>
      </c>
      <c r="C1454" t="s">
        <v>2102</v>
      </c>
      <c r="D1454" t="s">
        <v>2105</v>
      </c>
      <c r="E1454" s="183">
        <v>271.92</v>
      </c>
    </row>
    <row r="1455" spans="1:5" ht="14.25">
      <c r="A1455">
        <v>3460</v>
      </c>
      <c r="B1455" t="s">
        <v>9437</v>
      </c>
      <c r="C1455" t="s">
        <v>2102</v>
      </c>
      <c r="D1455" t="s">
        <v>2105</v>
      </c>
      <c r="E1455" s="183">
        <v>396.77</v>
      </c>
    </row>
    <row r="1456" spans="1:5" ht="14.25">
      <c r="A1456">
        <v>3461</v>
      </c>
      <c r="B1456" t="s">
        <v>9438</v>
      </c>
      <c r="C1456" t="s">
        <v>2102</v>
      </c>
      <c r="D1456" t="s">
        <v>2105</v>
      </c>
      <c r="E1456" s="184">
        <v>1014.11</v>
      </c>
    </row>
    <row r="1457" spans="1:5" ht="14.25">
      <c r="A1457">
        <v>37433</v>
      </c>
      <c r="B1457" t="s">
        <v>9439</v>
      </c>
      <c r="C1457" t="s">
        <v>2102</v>
      </c>
      <c r="D1457" t="s">
        <v>2105</v>
      </c>
      <c r="E1457" s="183">
        <v>232.23</v>
      </c>
    </row>
    <row r="1458" spans="1:5" ht="14.25">
      <c r="A1458">
        <v>37430</v>
      </c>
      <c r="B1458" t="s">
        <v>9440</v>
      </c>
      <c r="C1458" t="s">
        <v>2102</v>
      </c>
      <c r="D1458" t="s">
        <v>2105</v>
      </c>
      <c r="E1458" s="183">
        <v>29.1</v>
      </c>
    </row>
    <row r="1459" spans="1:5" ht="14.25">
      <c r="A1459">
        <v>37434</v>
      </c>
      <c r="B1459" t="s">
        <v>9441</v>
      </c>
      <c r="C1459" t="s">
        <v>2102</v>
      </c>
      <c r="D1459" t="s">
        <v>2105</v>
      </c>
      <c r="E1459" s="184">
        <v>2165.34</v>
      </c>
    </row>
    <row r="1460" spans="1:5" ht="14.25">
      <c r="A1460">
        <v>37431</v>
      </c>
      <c r="B1460" t="s">
        <v>9442</v>
      </c>
      <c r="C1460" t="s">
        <v>2102</v>
      </c>
      <c r="D1460" t="s">
        <v>2105</v>
      </c>
      <c r="E1460" s="183">
        <v>39.479999999999997</v>
      </c>
    </row>
    <row r="1461" spans="1:5" ht="14.25">
      <c r="A1461">
        <v>37432</v>
      </c>
      <c r="B1461" t="s">
        <v>9443</v>
      </c>
      <c r="C1461" t="s">
        <v>2102</v>
      </c>
      <c r="D1461" t="s">
        <v>2105</v>
      </c>
      <c r="E1461" s="183">
        <v>72.819999999999993</v>
      </c>
    </row>
    <row r="1462" spans="1:5" ht="14.25">
      <c r="A1462">
        <v>37413</v>
      </c>
      <c r="B1462" t="s">
        <v>9444</v>
      </c>
      <c r="C1462" t="s">
        <v>2102</v>
      </c>
      <c r="D1462" t="s">
        <v>2105</v>
      </c>
      <c r="E1462" s="183">
        <v>3.83</v>
      </c>
    </row>
    <row r="1463" spans="1:5" ht="14.25">
      <c r="A1463">
        <v>37414</v>
      </c>
      <c r="B1463" t="s">
        <v>9445</v>
      </c>
      <c r="C1463" t="s">
        <v>2102</v>
      </c>
      <c r="D1463" t="s">
        <v>2105</v>
      </c>
      <c r="E1463" s="183">
        <v>4.34</v>
      </c>
    </row>
    <row r="1464" spans="1:5" ht="14.25">
      <c r="A1464">
        <v>37415</v>
      </c>
      <c r="B1464" t="s">
        <v>9446</v>
      </c>
      <c r="C1464" t="s">
        <v>2102</v>
      </c>
      <c r="D1464" t="s">
        <v>2105</v>
      </c>
      <c r="E1464" s="183">
        <v>7.9</v>
      </c>
    </row>
    <row r="1465" spans="1:5" ht="14.25">
      <c r="A1465">
        <v>37416</v>
      </c>
      <c r="B1465" t="s">
        <v>9447</v>
      </c>
      <c r="C1465" t="s">
        <v>2102</v>
      </c>
      <c r="D1465" t="s">
        <v>2105</v>
      </c>
      <c r="E1465" s="183">
        <v>3.58</v>
      </c>
    </row>
    <row r="1466" spans="1:5" ht="14.25">
      <c r="A1466">
        <v>37417</v>
      </c>
      <c r="B1466" t="s">
        <v>9448</v>
      </c>
      <c r="C1466" t="s">
        <v>2102</v>
      </c>
      <c r="D1466" t="s">
        <v>2105</v>
      </c>
      <c r="E1466" s="183">
        <v>5.15</v>
      </c>
    </row>
    <row r="1467" spans="1:5" ht="14.25">
      <c r="A1467">
        <v>43590</v>
      </c>
      <c r="B1467" t="s">
        <v>9449</v>
      </c>
      <c r="C1467" t="s">
        <v>2102</v>
      </c>
      <c r="D1467" t="s">
        <v>2103</v>
      </c>
      <c r="E1467" s="183">
        <v>148.16999999999999</v>
      </c>
    </row>
    <row r="1468" spans="1:5" ht="14.25">
      <c r="A1468">
        <v>43589</v>
      </c>
      <c r="B1468" t="s">
        <v>9450</v>
      </c>
      <c r="C1468" t="s">
        <v>2102</v>
      </c>
      <c r="D1468" t="s">
        <v>2103</v>
      </c>
      <c r="E1468" s="183">
        <v>26.81</v>
      </c>
    </row>
    <row r="1469" spans="1:5" ht="14.25">
      <c r="A1469">
        <v>34519</v>
      </c>
      <c r="B1469" t="s">
        <v>9451</v>
      </c>
      <c r="C1469" t="s">
        <v>2102</v>
      </c>
      <c r="D1469" t="s">
        <v>2105</v>
      </c>
      <c r="E1469" s="183">
        <v>80.41</v>
      </c>
    </row>
    <row r="1470" spans="1:5" ht="14.25">
      <c r="A1470">
        <v>1649</v>
      </c>
      <c r="B1470" t="s">
        <v>9452</v>
      </c>
      <c r="C1470" t="s">
        <v>2102</v>
      </c>
      <c r="D1470" t="s">
        <v>2105</v>
      </c>
      <c r="E1470" s="183">
        <v>85.61</v>
      </c>
    </row>
    <row r="1471" spans="1:5" ht="14.25">
      <c r="A1471">
        <v>1653</v>
      </c>
      <c r="B1471" t="s">
        <v>9453</v>
      </c>
      <c r="C1471" t="s">
        <v>2102</v>
      </c>
      <c r="D1471" t="s">
        <v>2105</v>
      </c>
      <c r="E1471" s="183">
        <v>67.06</v>
      </c>
    </row>
    <row r="1472" spans="1:5" ht="14.25">
      <c r="A1472">
        <v>1647</v>
      </c>
      <c r="B1472" t="s">
        <v>9454</v>
      </c>
      <c r="C1472" t="s">
        <v>2102</v>
      </c>
      <c r="D1472" t="s">
        <v>2105</v>
      </c>
      <c r="E1472" s="183">
        <v>24.01</v>
      </c>
    </row>
    <row r="1473" spans="1:5" ht="14.25">
      <c r="A1473">
        <v>1648</v>
      </c>
      <c r="B1473" t="s">
        <v>9455</v>
      </c>
      <c r="C1473" t="s">
        <v>2102</v>
      </c>
      <c r="D1473" t="s">
        <v>2105</v>
      </c>
      <c r="E1473" s="183">
        <v>46.11</v>
      </c>
    </row>
    <row r="1474" spans="1:5" ht="14.25">
      <c r="A1474">
        <v>1651</v>
      </c>
      <c r="B1474" t="s">
        <v>9456</v>
      </c>
      <c r="C1474" t="s">
        <v>2102</v>
      </c>
      <c r="D1474" t="s">
        <v>2105</v>
      </c>
      <c r="E1474" s="183">
        <v>213.9</v>
      </c>
    </row>
    <row r="1475" spans="1:5" ht="14.25">
      <c r="A1475">
        <v>1650</v>
      </c>
      <c r="B1475" t="s">
        <v>9457</v>
      </c>
      <c r="C1475" t="s">
        <v>2102</v>
      </c>
      <c r="D1475" t="s">
        <v>2105</v>
      </c>
      <c r="E1475" s="183">
        <v>118.23</v>
      </c>
    </row>
    <row r="1476" spans="1:5" ht="14.25">
      <c r="A1476">
        <v>1654</v>
      </c>
      <c r="B1476" t="s">
        <v>9458</v>
      </c>
      <c r="C1476" t="s">
        <v>2102</v>
      </c>
      <c r="D1476" t="s">
        <v>2105</v>
      </c>
      <c r="E1476" s="183">
        <v>32.96</v>
      </c>
    </row>
    <row r="1477" spans="1:5" ht="14.25">
      <c r="A1477">
        <v>1652</v>
      </c>
      <c r="B1477" t="s">
        <v>9459</v>
      </c>
      <c r="C1477" t="s">
        <v>2102</v>
      </c>
      <c r="D1477" t="s">
        <v>2105</v>
      </c>
      <c r="E1477" s="183">
        <v>307.01</v>
      </c>
    </row>
    <row r="1478" spans="1:5" ht="14.25">
      <c r="A1478">
        <v>10510</v>
      </c>
      <c r="B1478" t="s">
        <v>9460</v>
      </c>
      <c r="C1478" t="s">
        <v>2102</v>
      </c>
      <c r="D1478" t="s">
        <v>2105</v>
      </c>
      <c r="E1478" s="183">
        <v>129.9</v>
      </c>
    </row>
    <row r="1479" spans="1:5" ht="14.25">
      <c r="A1479">
        <v>1747</v>
      </c>
      <c r="B1479" t="s">
        <v>9461</v>
      </c>
      <c r="C1479" t="s">
        <v>2102</v>
      </c>
      <c r="D1479" t="s">
        <v>2103</v>
      </c>
      <c r="E1479" s="183">
        <v>215.29</v>
      </c>
    </row>
    <row r="1480" spans="1:5" ht="14.25">
      <c r="A1480">
        <v>1744</v>
      </c>
      <c r="B1480" t="s">
        <v>9462</v>
      </c>
      <c r="C1480" t="s">
        <v>2102</v>
      </c>
      <c r="D1480" t="s">
        <v>2103</v>
      </c>
      <c r="E1480" s="183">
        <v>149.12</v>
      </c>
    </row>
    <row r="1481" spans="1:5" ht="14.25">
      <c r="A1481">
        <v>1743</v>
      </c>
      <c r="B1481" t="s">
        <v>9463</v>
      </c>
      <c r="C1481" t="s">
        <v>2102</v>
      </c>
      <c r="D1481" t="s">
        <v>2103</v>
      </c>
      <c r="E1481" s="183">
        <v>195.82</v>
      </c>
    </row>
    <row r="1482" spans="1:5" ht="14.25">
      <c r="A1482">
        <v>39640</v>
      </c>
      <c r="B1482" t="s">
        <v>9464</v>
      </c>
      <c r="C1482" t="s">
        <v>2102</v>
      </c>
      <c r="D1482" t="s">
        <v>2103</v>
      </c>
      <c r="E1482" s="183">
        <v>11.71</v>
      </c>
    </row>
    <row r="1483" spans="1:5" ht="14.25">
      <c r="A1483">
        <v>7216</v>
      </c>
      <c r="B1483" t="s">
        <v>9465</v>
      </c>
      <c r="C1483" t="s">
        <v>2102</v>
      </c>
      <c r="D1483" t="s">
        <v>2103</v>
      </c>
      <c r="E1483" s="183">
        <v>62.91</v>
      </c>
    </row>
    <row r="1484" spans="1:5" ht="14.25">
      <c r="A1484">
        <v>20235</v>
      </c>
      <c r="B1484" t="s">
        <v>9466</v>
      </c>
      <c r="C1484" t="s">
        <v>2102</v>
      </c>
      <c r="D1484" t="s">
        <v>2103</v>
      </c>
      <c r="E1484" s="183">
        <v>50.58</v>
      </c>
    </row>
    <row r="1485" spans="1:5" ht="14.25">
      <c r="A1485">
        <v>7181</v>
      </c>
      <c r="B1485" t="s">
        <v>9467</v>
      </c>
      <c r="C1485" t="s">
        <v>2102</v>
      </c>
      <c r="D1485" t="s">
        <v>2103</v>
      </c>
      <c r="E1485" s="183">
        <v>2.0699999999999998</v>
      </c>
    </row>
    <row r="1486" spans="1:5" ht="14.25">
      <c r="A1486">
        <v>40742</v>
      </c>
      <c r="B1486" t="s">
        <v>9468</v>
      </c>
      <c r="C1486" t="s">
        <v>2102</v>
      </c>
      <c r="D1486" t="s">
        <v>2103</v>
      </c>
      <c r="E1486" s="183">
        <v>10.43</v>
      </c>
    </row>
    <row r="1487" spans="1:5" ht="14.25">
      <c r="A1487">
        <v>7214</v>
      </c>
      <c r="B1487" t="s">
        <v>9469</v>
      </c>
      <c r="C1487" t="s">
        <v>2102</v>
      </c>
      <c r="D1487" t="s">
        <v>2103</v>
      </c>
      <c r="E1487" s="183">
        <v>61.43</v>
      </c>
    </row>
    <row r="1488" spans="1:5" ht="14.25">
      <c r="A1488">
        <v>7219</v>
      </c>
      <c r="B1488" t="s">
        <v>9470</v>
      </c>
      <c r="C1488" t="s">
        <v>2102</v>
      </c>
      <c r="D1488" t="s">
        <v>2103</v>
      </c>
      <c r="E1488" s="183">
        <v>54.49</v>
      </c>
    </row>
    <row r="1489" spans="1:5" ht="14.25">
      <c r="A1489">
        <v>37971</v>
      </c>
      <c r="B1489" t="s">
        <v>18297</v>
      </c>
      <c r="C1489" t="s">
        <v>2102</v>
      </c>
      <c r="D1489" t="s">
        <v>2103</v>
      </c>
      <c r="E1489" s="183">
        <v>5.53</v>
      </c>
    </row>
    <row r="1490" spans="1:5" ht="14.25">
      <c r="A1490">
        <v>37972</v>
      </c>
      <c r="B1490" t="s">
        <v>9471</v>
      </c>
      <c r="C1490" t="s">
        <v>2102</v>
      </c>
      <c r="D1490" t="s">
        <v>2103</v>
      </c>
      <c r="E1490" s="183">
        <v>7.84</v>
      </c>
    </row>
    <row r="1491" spans="1:5" ht="14.25">
      <c r="A1491">
        <v>37973</v>
      </c>
      <c r="B1491" t="s">
        <v>9472</v>
      </c>
      <c r="C1491" t="s">
        <v>2102</v>
      </c>
      <c r="D1491" t="s">
        <v>2103</v>
      </c>
      <c r="E1491" s="183">
        <v>14.73</v>
      </c>
    </row>
    <row r="1492" spans="1:5" ht="14.25">
      <c r="A1492">
        <v>1926</v>
      </c>
      <c r="B1492" t="s">
        <v>18298</v>
      </c>
      <c r="C1492" t="s">
        <v>2102</v>
      </c>
      <c r="D1492" t="s">
        <v>2103</v>
      </c>
      <c r="E1492" s="183">
        <v>2.92</v>
      </c>
    </row>
    <row r="1493" spans="1:5" ht="14.25">
      <c r="A1493">
        <v>1927</v>
      </c>
      <c r="B1493" t="s">
        <v>18299</v>
      </c>
      <c r="C1493" t="s">
        <v>2102</v>
      </c>
      <c r="D1493" t="s">
        <v>2103</v>
      </c>
      <c r="E1493" s="183">
        <v>3.27</v>
      </c>
    </row>
    <row r="1494" spans="1:5" ht="14.25">
      <c r="A1494">
        <v>1923</v>
      </c>
      <c r="B1494" t="s">
        <v>18300</v>
      </c>
      <c r="C1494" t="s">
        <v>2102</v>
      </c>
      <c r="D1494" t="s">
        <v>2103</v>
      </c>
      <c r="E1494" s="183">
        <v>5.96</v>
      </c>
    </row>
    <row r="1495" spans="1:5" ht="14.25">
      <c r="A1495">
        <v>1929</v>
      </c>
      <c r="B1495" t="s">
        <v>18301</v>
      </c>
      <c r="C1495" t="s">
        <v>2102</v>
      </c>
      <c r="D1495" t="s">
        <v>2103</v>
      </c>
      <c r="E1495" s="183">
        <v>7.23</v>
      </c>
    </row>
    <row r="1496" spans="1:5" ht="14.25">
      <c r="A1496">
        <v>1930</v>
      </c>
      <c r="B1496" t="s">
        <v>18302</v>
      </c>
      <c r="C1496" t="s">
        <v>2102</v>
      </c>
      <c r="D1496" t="s">
        <v>2103</v>
      </c>
      <c r="E1496" s="183">
        <v>12.37</v>
      </c>
    </row>
    <row r="1497" spans="1:5" ht="14.25">
      <c r="A1497">
        <v>1924</v>
      </c>
      <c r="B1497" t="s">
        <v>18303</v>
      </c>
      <c r="C1497" t="s">
        <v>2102</v>
      </c>
      <c r="D1497" t="s">
        <v>2103</v>
      </c>
      <c r="E1497" s="183">
        <v>19.97</v>
      </c>
    </row>
    <row r="1498" spans="1:5" ht="14.25">
      <c r="A1498">
        <v>1922</v>
      </c>
      <c r="B1498" t="s">
        <v>18304</v>
      </c>
      <c r="C1498" t="s">
        <v>2102</v>
      </c>
      <c r="D1498" t="s">
        <v>2103</v>
      </c>
      <c r="E1498" s="183">
        <v>41.29</v>
      </c>
    </row>
    <row r="1499" spans="1:5" ht="14.25">
      <c r="A1499">
        <v>1953</v>
      </c>
      <c r="B1499" t="s">
        <v>18305</v>
      </c>
      <c r="C1499" t="s">
        <v>2102</v>
      </c>
      <c r="D1499" t="s">
        <v>2103</v>
      </c>
      <c r="E1499" s="183">
        <v>50.41</v>
      </c>
    </row>
    <row r="1500" spans="1:5" ht="14.25">
      <c r="A1500">
        <v>1962</v>
      </c>
      <c r="B1500" t="s">
        <v>18306</v>
      </c>
      <c r="C1500" t="s">
        <v>2102</v>
      </c>
      <c r="D1500" t="s">
        <v>2103</v>
      </c>
      <c r="E1500" s="183">
        <v>244.9</v>
      </c>
    </row>
    <row r="1501" spans="1:5" ht="14.25">
      <c r="A1501">
        <v>1955</v>
      </c>
      <c r="B1501" t="s">
        <v>18307</v>
      </c>
      <c r="C1501" t="s">
        <v>2102</v>
      </c>
      <c r="D1501" t="s">
        <v>2103</v>
      </c>
      <c r="E1501" s="183">
        <v>2.82</v>
      </c>
    </row>
    <row r="1502" spans="1:5" ht="14.25">
      <c r="A1502">
        <v>1956</v>
      </c>
      <c r="B1502" t="s">
        <v>18308</v>
      </c>
      <c r="C1502" t="s">
        <v>2102</v>
      </c>
      <c r="D1502" t="s">
        <v>2103</v>
      </c>
      <c r="E1502" s="183">
        <v>3.98</v>
      </c>
    </row>
    <row r="1503" spans="1:5" ht="14.25">
      <c r="A1503">
        <v>1957</v>
      </c>
      <c r="B1503" t="s">
        <v>18309</v>
      </c>
      <c r="C1503" t="s">
        <v>2102</v>
      </c>
      <c r="D1503" t="s">
        <v>2103</v>
      </c>
      <c r="E1503" s="183">
        <v>8.61</v>
      </c>
    </row>
    <row r="1504" spans="1:5" ht="14.25">
      <c r="A1504">
        <v>1958</v>
      </c>
      <c r="B1504" t="s">
        <v>18310</v>
      </c>
      <c r="C1504" t="s">
        <v>2102</v>
      </c>
      <c r="D1504" t="s">
        <v>2103</v>
      </c>
      <c r="E1504" s="183">
        <v>16.04</v>
      </c>
    </row>
    <row r="1505" spans="1:5" ht="14.25">
      <c r="A1505">
        <v>1959</v>
      </c>
      <c r="B1505" t="s">
        <v>18311</v>
      </c>
      <c r="C1505" t="s">
        <v>2102</v>
      </c>
      <c r="D1505" t="s">
        <v>2103</v>
      </c>
      <c r="E1505" s="183">
        <v>17.399999999999999</v>
      </c>
    </row>
    <row r="1506" spans="1:5" ht="14.25">
      <c r="A1506">
        <v>1925</v>
      </c>
      <c r="B1506" t="s">
        <v>18312</v>
      </c>
      <c r="C1506" t="s">
        <v>2102</v>
      </c>
      <c r="D1506" t="s">
        <v>2103</v>
      </c>
      <c r="E1506" s="183">
        <v>45.48</v>
      </c>
    </row>
    <row r="1507" spans="1:5" ht="14.25">
      <c r="A1507">
        <v>1960</v>
      </c>
      <c r="B1507" t="s">
        <v>18313</v>
      </c>
      <c r="C1507" t="s">
        <v>2102</v>
      </c>
      <c r="D1507" t="s">
        <v>2103</v>
      </c>
      <c r="E1507" s="183">
        <v>69.84</v>
      </c>
    </row>
    <row r="1508" spans="1:5" ht="14.25">
      <c r="A1508">
        <v>1961</v>
      </c>
      <c r="B1508" t="s">
        <v>18314</v>
      </c>
      <c r="C1508" t="s">
        <v>2102</v>
      </c>
      <c r="D1508" t="s">
        <v>2103</v>
      </c>
      <c r="E1508" s="183">
        <v>89.47</v>
      </c>
    </row>
    <row r="1509" spans="1:5" ht="14.25">
      <c r="A1509">
        <v>38423</v>
      </c>
      <c r="B1509" t="s">
        <v>18315</v>
      </c>
      <c r="C1509" t="s">
        <v>2102</v>
      </c>
      <c r="D1509" t="s">
        <v>2103</v>
      </c>
      <c r="E1509" s="183">
        <v>43.64</v>
      </c>
    </row>
    <row r="1510" spans="1:5" ht="14.25">
      <c r="A1510">
        <v>39866</v>
      </c>
      <c r="B1510" t="s">
        <v>9473</v>
      </c>
      <c r="C1510" t="s">
        <v>2102</v>
      </c>
      <c r="D1510" t="s">
        <v>2105</v>
      </c>
      <c r="E1510" s="183">
        <v>17.21</v>
      </c>
    </row>
    <row r="1511" spans="1:5" ht="14.25">
      <c r="A1511">
        <v>39867</v>
      </c>
      <c r="B1511" t="s">
        <v>9474</v>
      </c>
      <c r="C1511" t="s">
        <v>2102</v>
      </c>
      <c r="D1511" t="s">
        <v>2105</v>
      </c>
      <c r="E1511" s="183">
        <v>38.26</v>
      </c>
    </row>
    <row r="1512" spans="1:5" ht="14.25">
      <c r="A1512">
        <v>39868</v>
      </c>
      <c r="B1512" t="s">
        <v>9475</v>
      </c>
      <c r="C1512" t="s">
        <v>2102</v>
      </c>
      <c r="D1512" t="s">
        <v>2105</v>
      </c>
      <c r="E1512" s="183">
        <v>68.94</v>
      </c>
    </row>
    <row r="1513" spans="1:5" ht="14.25">
      <c r="A1513">
        <v>37999</v>
      </c>
      <c r="B1513" t="s">
        <v>9476</v>
      </c>
      <c r="C1513" t="s">
        <v>2102</v>
      </c>
      <c r="D1513" t="s">
        <v>2103</v>
      </c>
      <c r="E1513" s="183">
        <v>9.32</v>
      </c>
    </row>
    <row r="1514" spans="1:5" ht="14.25">
      <c r="A1514">
        <v>38000</v>
      </c>
      <c r="B1514" t="s">
        <v>9477</v>
      </c>
      <c r="C1514" t="s">
        <v>2102</v>
      </c>
      <c r="D1514" t="s">
        <v>2103</v>
      </c>
      <c r="E1514" s="183">
        <v>10.88</v>
      </c>
    </row>
    <row r="1515" spans="1:5" ht="14.25">
      <c r="A1515">
        <v>38129</v>
      </c>
      <c r="B1515" t="s">
        <v>18316</v>
      </c>
      <c r="C1515" t="s">
        <v>2102</v>
      </c>
      <c r="D1515" t="s">
        <v>2103</v>
      </c>
      <c r="E1515" s="183">
        <v>6.57</v>
      </c>
    </row>
    <row r="1516" spans="1:5" ht="14.25">
      <c r="A1516">
        <v>38025</v>
      </c>
      <c r="B1516" t="s">
        <v>18317</v>
      </c>
      <c r="C1516" t="s">
        <v>2102</v>
      </c>
      <c r="D1516" t="s">
        <v>2103</v>
      </c>
      <c r="E1516" s="183">
        <v>8.92</v>
      </c>
    </row>
    <row r="1517" spans="1:5" ht="14.25">
      <c r="A1517">
        <v>38026</v>
      </c>
      <c r="B1517" t="s">
        <v>18318</v>
      </c>
      <c r="C1517" t="s">
        <v>2102</v>
      </c>
      <c r="D1517" t="s">
        <v>2103</v>
      </c>
      <c r="E1517" s="183">
        <v>22.01</v>
      </c>
    </row>
    <row r="1518" spans="1:5" ht="14.25">
      <c r="A1518">
        <v>1858</v>
      </c>
      <c r="B1518" t="s">
        <v>18319</v>
      </c>
      <c r="C1518" t="s">
        <v>2102</v>
      </c>
      <c r="D1518" t="s">
        <v>2103</v>
      </c>
      <c r="E1518" s="183">
        <v>67.62</v>
      </c>
    </row>
    <row r="1519" spans="1:5" ht="14.25">
      <c r="A1519">
        <v>1844</v>
      </c>
      <c r="B1519" t="s">
        <v>18320</v>
      </c>
      <c r="C1519" t="s">
        <v>2102</v>
      </c>
      <c r="D1519" t="s">
        <v>2103</v>
      </c>
      <c r="E1519" s="183">
        <v>154.86000000000001</v>
      </c>
    </row>
    <row r="1520" spans="1:5" ht="14.25">
      <c r="A1520">
        <v>1863</v>
      </c>
      <c r="B1520" t="s">
        <v>18321</v>
      </c>
      <c r="C1520" t="s">
        <v>2102</v>
      </c>
      <c r="D1520" t="s">
        <v>2103</v>
      </c>
      <c r="E1520" s="183">
        <v>71.959999999999994</v>
      </c>
    </row>
    <row r="1521" spans="1:5" ht="14.25">
      <c r="A1521">
        <v>1865</v>
      </c>
      <c r="B1521" t="s">
        <v>18322</v>
      </c>
      <c r="C1521" t="s">
        <v>2102</v>
      </c>
      <c r="D1521" t="s">
        <v>2103</v>
      </c>
      <c r="E1521" s="183">
        <v>187.49</v>
      </c>
    </row>
    <row r="1522" spans="1:5" ht="14.25">
      <c r="A1522">
        <v>36355</v>
      </c>
      <c r="B1522" t="s">
        <v>18323</v>
      </c>
      <c r="C1522" t="s">
        <v>2102</v>
      </c>
      <c r="D1522" t="s">
        <v>2105</v>
      </c>
      <c r="E1522" s="183">
        <v>9.4600000000000009</v>
      </c>
    </row>
    <row r="1523" spans="1:5" ht="14.25">
      <c r="A1523">
        <v>36356</v>
      </c>
      <c r="B1523" t="s">
        <v>18324</v>
      </c>
      <c r="C1523" t="s">
        <v>2102</v>
      </c>
      <c r="D1523" t="s">
        <v>2105</v>
      </c>
      <c r="E1523" s="183">
        <v>15.22</v>
      </c>
    </row>
    <row r="1524" spans="1:5" ht="14.25">
      <c r="A1524">
        <v>1966</v>
      </c>
      <c r="B1524" t="s">
        <v>18325</v>
      </c>
      <c r="C1524" t="s">
        <v>2102</v>
      </c>
      <c r="D1524" t="s">
        <v>2103</v>
      </c>
      <c r="E1524" s="183">
        <v>28.7</v>
      </c>
    </row>
    <row r="1525" spans="1:5" ht="14.25">
      <c r="A1525">
        <v>1933</v>
      </c>
      <c r="B1525" t="s">
        <v>9478</v>
      </c>
      <c r="C1525" t="s">
        <v>2102</v>
      </c>
      <c r="D1525" t="s">
        <v>2103</v>
      </c>
      <c r="E1525" s="183">
        <v>6.18</v>
      </c>
    </row>
    <row r="1526" spans="1:5" ht="14.25">
      <c r="A1526">
        <v>1932</v>
      </c>
      <c r="B1526" t="s">
        <v>18326</v>
      </c>
      <c r="C1526" t="s">
        <v>2102</v>
      </c>
      <c r="D1526" t="s">
        <v>2103</v>
      </c>
      <c r="E1526" s="183">
        <v>14.15</v>
      </c>
    </row>
    <row r="1527" spans="1:5" ht="14.25">
      <c r="A1527">
        <v>1951</v>
      </c>
      <c r="B1527" t="s">
        <v>9479</v>
      </c>
      <c r="C1527" t="s">
        <v>2102</v>
      </c>
      <c r="D1527" t="s">
        <v>2103</v>
      </c>
      <c r="E1527" s="183">
        <v>29.52</v>
      </c>
    </row>
    <row r="1528" spans="1:5" ht="14.25">
      <c r="A1528">
        <v>1970</v>
      </c>
      <c r="B1528" t="s">
        <v>18327</v>
      </c>
      <c r="C1528" t="s">
        <v>2102</v>
      </c>
      <c r="D1528" t="s">
        <v>2103</v>
      </c>
      <c r="E1528" s="183">
        <v>71.73</v>
      </c>
    </row>
    <row r="1529" spans="1:5" ht="14.25">
      <c r="A1529">
        <v>1967</v>
      </c>
      <c r="B1529" t="s">
        <v>18328</v>
      </c>
      <c r="C1529" t="s">
        <v>2102</v>
      </c>
      <c r="D1529" t="s">
        <v>2103</v>
      </c>
      <c r="E1529" s="183">
        <v>8.52</v>
      </c>
    </row>
    <row r="1530" spans="1:5" ht="14.25">
      <c r="A1530">
        <v>1968</v>
      </c>
      <c r="B1530" t="s">
        <v>18329</v>
      </c>
      <c r="C1530" t="s">
        <v>2102</v>
      </c>
      <c r="D1530" t="s">
        <v>2103</v>
      </c>
      <c r="E1530" s="183">
        <v>16.829999999999998</v>
      </c>
    </row>
    <row r="1531" spans="1:5" ht="14.25">
      <c r="A1531">
        <v>1969</v>
      </c>
      <c r="B1531" t="s">
        <v>18330</v>
      </c>
      <c r="C1531" t="s">
        <v>2102</v>
      </c>
      <c r="D1531" t="s">
        <v>2103</v>
      </c>
      <c r="E1531" s="183">
        <v>54.8</v>
      </c>
    </row>
    <row r="1532" spans="1:5" ht="14.25">
      <c r="A1532">
        <v>1827</v>
      </c>
      <c r="B1532" t="s">
        <v>9480</v>
      </c>
      <c r="C1532" t="s">
        <v>2102</v>
      </c>
      <c r="D1532" t="s">
        <v>2105</v>
      </c>
      <c r="E1532" s="183">
        <v>114.27</v>
      </c>
    </row>
    <row r="1533" spans="1:5" ht="14.25">
      <c r="A1533">
        <v>1831</v>
      </c>
      <c r="B1533" t="s">
        <v>9481</v>
      </c>
      <c r="C1533" t="s">
        <v>2102</v>
      </c>
      <c r="D1533" t="s">
        <v>2105</v>
      </c>
      <c r="E1533" s="183">
        <v>24.94</v>
      </c>
    </row>
    <row r="1534" spans="1:5" ht="14.25">
      <c r="A1534">
        <v>1825</v>
      </c>
      <c r="B1534" t="s">
        <v>9482</v>
      </c>
      <c r="C1534" t="s">
        <v>2102</v>
      </c>
      <c r="D1534" t="s">
        <v>2105</v>
      </c>
      <c r="E1534" s="183">
        <v>61.56</v>
      </c>
    </row>
    <row r="1535" spans="1:5" ht="14.25">
      <c r="A1535">
        <v>1828</v>
      </c>
      <c r="B1535" t="s">
        <v>9483</v>
      </c>
      <c r="C1535" t="s">
        <v>2102</v>
      </c>
      <c r="D1535" t="s">
        <v>2105</v>
      </c>
      <c r="E1535" s="183">
        <v>139.44</v>
      </c>
    </row>
    <row r="1536" spans="1:5" ht="14.25">
      <c r="A1536">
        <v>1845</v>
      </c>
      <c r="B1536" t="s">
        <v>9484</v>
      </c>
      <c r="C1536" t="s">
        <v>2102</v>
      </c>
      <c r="D1536" t="s">
        <v>2105</v>
      </c>
      <c r="E1536" s="183">
        <v>31.26</v>
      </c>
    </row>
    <row r="1537" spans="1:5" ht="14.25">
      <c r="A1537">
        <v>1824</v>
      </c>
      <c r="B1537" t="s">
        <v>9485</v>
      </c>
      <c r="C1537" t="s">
        <v>2102</v>
      </c>
      <c r="D1537" t="s">
        <v>2105</v>
      </c>
      <c r="E1537" s="183">
        <v>73.8</v>
      </c>
    </row>
    <row r="1538" spans="1:5" ht="14.25">
      <c r="A1538">
        <v>1940</v>
      </c>
      <c r="B1538" t="s">
        <v>18331</v>
      </c>
      <c r="C1538" t="s">
        <v>2102</v>
      </c>
      <c r="D1538" t="s">
        <v>2103</v>
      </c>
      <c r="E1538" s="183">
        <v>44.44</v>
      </c>
    </row>
    <row r="1539" spans="1:5" ht="14.25">
      <c r="A1539">
        <v>1937</v>
      </c>
      <c r="B1539" t="s">
        <v>18332</v>
      </c>
      <c r="C1539" t="s">
        <v>2102</v>
      </c>
      <c r="D1539" t="s">
        <v>2103</v>
      </c>
      <c r="E1539" s="183">
        <v>7.5</v>
      </c>
    </row>
    <row r="1540" spans="1:5" ht="14.25">
      <c r="A1540">
        <v>1939</v>
      </c>
      <c r="B1540" t="s">
        <v>18333</v>
      </c>
      <c r="C1540" t="s">
        <v>2102</v>
      </c>
      <c r="D1540" t="s">
        <v>2103</v>
      </c>
      <c r="E1540" s="183">
        <v>12.19</v>
      </c>
    </row>
    <row r="1541" spans="1:5" ht="14.25">
      <c r="A1541">
        <v>1938</v>
      </c>
      <c r="B1541" t="s">
        <v>18334</v>
      </c>
      <c r="C1541" t="s">
        <v>2102</v>
      </c>
      <c r="D1541" t="s">
        <v>2103</v>
      </c>
      <c r="E1541" s="183">
        <v>8.5299999999999994</v>
      </c>
    </row>
    <row r="1542" spans="1:5" ht="14.25">
      <c r="A1542">
        <v>42693</v>
      </c>
      <c r="B1542" t="s">
        <v>18335</v>
      </c>
      <c r="C1542" t="s">
        <v>2102</v>
      </c>
      <c r="D1542" t="s">
        <v>2103</v>
      </c>
      <c r="E1542" s="183">
        <v>526.69000000000005</v>
      </c>
    </row>
    <row r="1543" spans="1:5" ht="14.25">
      <c r="A1543">
        <v>42695</v>
      </c>
      <c r="B1543" t="s">
        <v>18336</v>
      </c>
      <c r="C1543" t="s">
        <v>2102</v>
      </c>
      <c r="D1543" t="s">
        <v>2103</v>
      </c>
      <c r="E1543" s="183">
        <v>367.97</v>
      </c>
    </row>
    <row r="1544" spans="1:5" ht="14.25">
      <c r="A1544">
        <v>42694</v>
      </c>
      <c r="B1544" t="s">
        <v>18337</v>
      </c>
      <c r="C1544" t="s">
        <v>2102</v>
      </c>
      <c r="D1544" t="s">
        <v>2103</v>
      </c>
      <c r="E1544" s="183">
        <v>704.82</v>
      </c>
    </row>
    <row r="1545" spans="1:5" ht="14.25">
      <c r="A1545">
        <v>20097</v>
      </c>
      <c r="B1545" t="s">
        <v>18338</v>
      </c>
      <c r="C1545" t="s">
        <v>2102</v>
      </c>
      <c r="D1545" t="s">
        <v>2103</v>
      </c>
      <c r="E1545" s="183">
        <v>30.56</v>
      </c>
    </row>
    <row r="1546" spans="1:5" ht="14.25">
      <c r="A1546">
        <v>20098</v>
      </c>
      <c r="B1546" t="s">
        <v>18339</v>
      </c>
      <c r="C1546" t="s">
        <v>2102</v>
      </c>
      <c r="D1546" t="s">
        <v>2103</v>
      </c>
      <c r="E1546" s="183">
        <v>124.9</v>
      </c>
    </row>
    <row r="1547" spans="1:5" ht="14.25">
      <c r="A1547">
        <v>20096</v>
      </c>
      <c r="B1547" t="s">
        <v>18340</v>
      </c>
      <c r="C1547" t="s">
        <v>2102</v>
      </c>
      <c r="D1547" t="s">
        <v>2103</v>
      </c>
      <c r="E1547" s="183">
        <v>31.63</v>
      </c>
    </row>
    <row r="1548" spans="1:5" ht="14.25">
      <c r="A1548">
        <v>1880</v>
      </c>
      <c r="B1548" t="s">
        <v>9486</v>
      </c>
      <c r="C1548" t="s">
        <v>2102</v>
      </c>
      <c r="D1548" t="s">
        <v>2103</v>
      </c>
      <c r="E1548" s="183">
        <v>3.48</v>
      </c>
    </row>
    <row r="1549" spans="1:5" ht="14.25">
      <c r="A1549">
        <v>39274</v>
      </c>
      <c r="B1549" t="s">
        <v>9487</v>
      </c>
      <c r="C1549" t="s">
        <v>2102</v>
      </c>
      <c r="D1549" t="s">
        <v>2103</v>
      </c>
      <c r="E1549" s="183">
        <v>2.7</v>
      </c>
    </row>
    <row r="1550" spans="1:5" ht="14.25">
      <c r="A1550">
        <v>2628</v>
      </c>
      <c r="B1550" t="s">
        <v>9488</v>
      </c>
      <c r="C1550" t="s">
        <v>2102</v>
      </c>
      <c r="D1550" t="s">
        <v>2103</v>
      </c>
      <c r="E1550" s="183">
        <v>176.29</v>
      </c>
    </row>
    <row r="1551" spans="1:5" ht="14.25">
      <c r="A1551">
        <v>2622</v>
      </c>
      <c r="B1551" t="s">
        <v>9489</v>
      </c>
      <c r="C1551" t="s">
        <v>2102</v>
      </c>
      <c r="D1551" t="s">
        <v>2103</v>
      </c>
      <c r="E1551" s="183">
        <v>4.18</v>
      </c>
    </row>
    <row r="1552" spans="1:5" ht="14.25">
      <c r="A1552">
        <v>2623</v>
      </c>
      <c r="B1552" t="s">
        <v>9490</v>
      </c>
      <c r="C1552" t="s">
        <v>2102</v>
      </c>
      <c r="D1552" t="s">
        <v>2103</v>
      </c>
      <c r="E1552" s="183">
        <v>5.04</v>
      </c>
    </row>
    <row r="1553" spans="1:5" ht="14.25">
      <c r="A1553">
        <v>2624</v>
      </c>
      <c r="B1553" t="s">
        <v>9491</v>
      </c>
      <c r="C1553" t="s">
        <v>2102</v>
      </c>
      <c r="D1553" t="s">
        <v>2103</v>
      </c>
      <c r="E1553" s="183">
        <v>8.01</v>
      </c>
    </row>
    <row r="1554" spans="1:5" ht="14.25">
      <c r="A1554">
        <v>2625</v>
      </c>
      <c r="B1554" t="s">
        <v>9492</v>
      </c>
      <c r="C1554" t="s">
        <v>2102</v>
      </c>
      <c r="D1554" t="s">
        <v>2103</v>
      </c>
      <c r="E1554" s="183">
        <v>16.91</v>
      </c>
    </row>
    <row r="1555" spans="1:5" ht="14.25">
      <c r="A1555">
        <v>2626</v>
      </c>
      <c r="B1555" t="s">
        <v>9493</v>
      </c>
      <c r="C1555" t="s">
        <v>2102</v>
      </c>
      <c r="D1555" t="s">
        <v>2103</v>
      </c>
      <c r="E1555" s="183">
        <v>24.78</v>
      </c>
    </row>
    <row r="1556" spans="1:5" ht="14.25">
      <c r="A1556">
        <v>2630</v>
      </c>
      <c r="B1556" t="s">
        <v>9494</v>
      </c>
      <c r="C1556" t="s">
        <v>2102</v>
      </c>
      <c r="D1556" t="s">
        <v>2103</v>
      </c>
      <c r="E1556" s="183">
        <v>37.69</v>
      </c>
    </row>
    <row r="1557" spans="1:5" ht="14.25">
      <c r="A1557">
        <v>2627</v>
      </c>
      <c r="B1557" t="s">
        <v>9495</v>
      </c>
      <c r="C1557" t="s">
        <v>2102</v>
      </c>
      <c r="D1557" t="s">
        <v>2103</v>
      </c>
      <c r="E1557" s="183">
        <v>66.400000000000006</v>
      </c>
    </row>
    <row r="1558" spans="1:5" ht="14.25">
      <c r="A1558">
        <v>2629</v>
      </c>
      <c r="B1558" t="s">
        <v>9496</v>
      </c>
      <c r="C1558" t="s">
        <v>2102</v>
      </c>
      <c r="D1558" t="s">
        <v>2103</v>
      </c>
      <c r="E1558" s="183">
        <v>89.81</v>
      </c>
    </row>
    <row r="1559" spans="1:5" ht="14.25">
      <c r="A1559">
        <v>12033</v>
      </c>
      <c r="B1559" t="s">
        <v>9497</v>
      </c>
      <c r="C1559" t="s">
        <v>2102</v>
      </c>
      <c r="D1559" t="s">
        <v>2103</v>
      </c>
      <c r="E1559" s="183">
        <v>11.12</v>
      </c>
    </row>
    <row r="1560" spans="1:5" ht="14.25">
      <c r="A1560">
        <v>40408</v>
      </c>
      <c r="B1560" t="s">
        <v>9498</v>
      </c>
      <c r="C1560" t="s">
        <v>2102</v>
      </c>
      <c r="D1560" t="s">
        <v>2103</v>
      </c>
      <c r="E1560" s="183">
        <v>7.31</v>
      </c>
    </row>
    <row r="1561" spans="1:5" ht="14.25">
      <c r="A1561">
        <v>40409</v>
      </c>
      <c r="B1561" t="s">
        <v>9499</v>
      </c>
      <c r="C1561" t="s">
        <v>2102</v>
      </c>
      <c r="D1561" t="s">
        <v>2103</v>
      </c>
      <c r="E1561" s="183">
        <v>2.58</v>
      </c>
    </row>
    <row r="1562" spans="1:5" ht="14.25">
      <c r="A1562">
        <v>39276</v>
      </c>
      <c r="B1562" t="s">
        <v>9500</v>
      </c>
      <c r="C1562" t="s">
        <v>2102</v>
      </c>
      <c r="D1562" t="s">
        <v>2103</v>
      </c>
      <c r="E1562" s="183">
        <v>6.59</v>
      </c>
    </row>
    <row r="1563" spans="1:5" ht="14.25">
      <c r="A1563">
        <v>39277</v>
      </c>
      <c r="B1563" t="s">
        <v>9501</v>
      </c>
      <c r="C1563" t="s">
        <v>2102</v>
      </c>
      <c r="D1563" t="s">
        <v>2103</v>
      </c>
      <c r="E1563" s="183">
        <v>17.78</v>
      </c>
    </row>
    <row r="1564" spans="1:5" ht="14.25">
      <c r="A1564">
        <v>12034</v>
      </c>
      <c r="B1564" t="s">
        <v>9502</v>
      </c>
      <c r="C1564" t="s">
        <v>2102</v>
      </c>
      <c r="D1564" t="s">
        <v>2103</v>
      </c>
      <c r="E1564" s="183">
        <v>5.04</v>
      </c>
    </row>
    <row r="1565" spans="1:5" ht="14.25">
      <c r="A1565">
        <v>39879</v>
      </c>
      <c r="B1565" t="s">
        <v>9503</v>
      </c>
      <c r="C1565" t="s">
        <v>2102</v>
      </c>
      <c r="D1565" t="s">
        <v>2105</v>
      </c>
      <c r="E1565" s="183">
        <v>4.84</v>
      </c>
    </row>
    <row r="1566" spans="1:5" ht="14.25">
      <c r="A1566">
        <v>39880</v>
      </c>
      <c r="B1566" t="s">
        <v>9504</v>
      </c>
      <c r="C1566" t="s">
        <v>2102</v>
      </c>
      <c r="D1566" t="s">
        <v>2105</v>
      </c>
      <c r="E1566" s="183">
        <v>10.71</v>
      </c>
    </row>
    <row r="1567" spans="1:5" ht="14.25">
      <c r="A1567">
        <v>39881</v>
      </c>
      <c r="B1567" t="s">
        <v>9505</v>
      </c>
      <c r="C1567" t="s">
        <v>2102</v>
      </c>
      <c r="D1567" t="s">
        <v>2105</v>
      </c>
      <c r="E1567" s="183">
        <v>17.2</v>
      </c>
    </row>
    <row r="1568" spans="1:5" ht="14.25">
      <c r="A1568">
        <v>39882</v>
      </c>
      <c r="B1568" t="s">
        <v>9506</v>
      </c>
      <c r="C1568" t="s">
        <v>2102</v>
      </c>
      <c r="D1568" t="s">
        <v>2105</v>
      </c>
      <c r="E1568" s="183">
        <v>45.3</v>
      </c>
    </row>
    <row r="1569" spans="1:5" ht="14.25">
      <c r="A1569">
        <v>39883</v>
      </c>
      <c r="B1569" t="s">
        <v>9507</v>
      </c>
      <c r="C1569" t="s">
        <v>2102</v>
      </c>
      <c r="D1569" t="s">
        <v>2105</v>
      </c>
      <c r="E1569" s="183">
        <v>72.33</v>
      </c>
    </row>
    <row r="1570" spans="1:5" ht="14.25">
      <c r="A1570">
        <v>39884</v>
      </c>
      <c r="B1570" t="s">
        <v>9508</v>
      </c>
      <c r="C1570" t="s">
        <v>2102</v>
      </c>
      <c r="D1570" t="s">
        <v>2105</v>
      </c>
      <c r="E1570" s="183">
        <v>107.43</v>
      </c>
    </row>
    <row r="1571" spans="1:5" ht="14.25">
      <c r="A1571">
        <v>39885</v>
      </c>
      <c r="B1571" t="s">
        <v>9509</v>
      </c>
      <c r="C1571" t="s">
        <v>2102</v>
      </c>
      <c r="D1571" t="s">
        <v>2105</v>
      </c>
      <c r="E1571" s="183">
        <v>255.33</v>
      </c>
    </row>
    <row r="1572" spans="1:5" ht="14.25">
      <c r="A1572">
        <v>1777</v>
      </c>
      <c r="B1572" t="s">
        <v>9510</v>
      </c>
      <c r="C1572" t="s">
        <v>2102</v>
      </c>
      <c r="D1572" t="s">
        <v>2105</v>
      </c>
      <c r="E1572" s="183">
        <v>92.31</v>
      </c>
    </row>
    <row r="1573" spans="1:5" ht="14.25">
      <c r="A1573">
        <v>1819</v>
      </c>
      <c r="B1573" t="s">
        <v>9511</v>
      </c>
      <c r="C1573" t="s">
        <v>2102</v>
      </c>
      <c r="D1573" t="s">
        <v>2105</v>
      </c>
      <c r="E1573" s="183">
        <v>67.16</v>
      </c>
    </row>
    <row r="1574" spans="1:5" ht="14.25">
      <c r="A1574">
        <v>1775</v>
      </c>
      <c r="B1574" t="s">
        <v>9512</v>
      </c>
      <c r="C1574" t="s">
        <v>2102</v>
      </c>
      <c r="D1574" t="s">
        <v>2105</v>
      </c>
      <c r="E1574" s="183">
        <v>20.079999999999998</v>
      </c>
    </row>
    <row r="1575" spans="1:5" ht="14.25">
      <c r="A1575">
        <v>1776</v>
      </c>
      <c r="B1575" t="s">
        <v>9513</v>
      </c>
      <c r="C1575" t="s">
        <v>2102</v>
      </c>
      <c r="D1575" t="s">
        <v>2105</v>
      </c>
      <c r="E1575" s="183">
        <v>54.64</v>
      </c>
    </row>
    <row r="1576" spans="1:5" ht="14.25">
      <c r="A1576">
        <v>1778</v>
      </c>
      <c r="B1576" t="s">
        <v>9514</v>
      </c>
      <c r="C1576" t="s">
        <v>2102</v>
      </c>
      <c r="D1576" t="s">
        <v>2105</v>
      </c>
      <c r="E1576" s="183">
        <v>223.44</v>
      </c>
    </row>
    <row r="1577" spans="1:5" ht="14.25">
      <c r="A1577">
        <v>1818</v>
      </c>
      <c r="B1577" t="s">
        <v>9515</v>
      </c>
      <c r="C1577" t="s">
        <v>2102</v>
      </c>
      <c r="D1577" t="s">
        <v>2105</v>
      </c>
      <c r="E1577" s="183">
        <v>148.32</v>
      </c>
    </row>
    <row r="1578" spans="1:5" ht="14.25">
      <c r="A1578">
        <v>1820</v>
      </c>
      <c r="B1578" t="s">
        <v>9516</v>
      </c>
      <c r="C1578" t="s">
        <v>2102</v>
      </c>
      <c r="D1578" t="s">
        <v>2105</v>
      </c>
      <c r="E1578" s="183">
        <v>29</v>
      </c>
    </row>
    <row r="1579" spans="1:5" ht="14.25">
      <c r="A1579">
        <v>1779</v>
      </c>
      <c r="B1579" t="s">
        <v>9517</v>
      </c>
      <c r="C1579" t="s">
        <v>2102</v>
      </c>
      <c r="D1579" t="s">
        <v>2105</v>
      </c>
      <c r="E1579" s="183">
        <v>324.95999999999998</v>
      </c>
    </row>
    <row r="1580" spans="1:5" ht="14.25">
      <c r="A1580">
        <v>1780</v>
      </c>
      <c r="B1580" t="s">
        <v>9518</v>
      </c>
      <c r="C1580" t="s">
        <v>2102</v>
      </c>
      <c r="D1580" t="s">
        <v>2105</v>
      </c>
      <c r="E1580" s="183">
        <v>669.91</v>
      </c>
    </row>
    <row r="1581" spans="1:5" ht="14.25">
      <c r="A1581">
        <v>1783</v>
      </c>
      <c r="B1581" t="s">
        <v>9519</v>
      </c>
      <c r="C1581" t="s">
        <v>2102</v>
      </c>
      <c r="D1581" t="s">
        <v>2105</v>
      </c>
      <c r="E1581" s="183">
        <v>70.83</v>
      </c>
    </row>
    <row r="1582" spans="1:5" ht="14.25">
      <c r="A1582">
        <v>1782</v>
      </c>
      <c r="B1582" t="s">
        <v>9520</v>
      </c>
      <c r="C1582" t="s">
        <v>2102</v>
      </c>
      <c r="D1582" t="s">
        <v>2105</v>
      </c>
      <c r="E1582" s="183">
        <v>56</v>
      </c>
    </row>
    <row r="1583" spans="1:5" ht="14.25">
      <c r="A1583">
        <v>1817</v>
      </c>
      <c r="B1583" t="s">
        <v>9521</v>
      </c>
      <c r="C1583" t="s">
        <v>2102</v>
      </c>
      <c r="D1583" t="s">
        <v>2105</v>
      </c>
      <c r="E1583" s="183">
        <v>16.690000000000001</v>
      </c>
    </row>
    <row r="1584" spans="1:5" ht="14.25">
      <c r="A1584">
        <v>1781</v>
      </c>
      <c r="B1584" t="s">
        <v>9522</v>
      </c>
      <c r="C1584" t="s">
        <v>2102</v>
      </c>
      <c r="D1584" t="s">
        <v>2105</v>
      </c>
      <c r="E1584" s="183">
        <v>36.49</v>
      </c>
    </row>
    <row r="1585" spans="1:5" ht="14.25">
      <c r="A1585">
        <v>1784</v>
      </c>
      <c r="B1585" t="s">
        <v>9523</v>
      </c>
      <c r="C1585" t="s">
        <v>2102</v>
      </c>
      <c r="D1585" t="s">
        <v>2105</v>
      </c>
      <c r="E1585" s="183">
        <v>200.01</v>
      </c>
    </row>
    <row r="1586" spans="1:5" ht="14.25">
      <c r="A1586">
        <v>1810</v>
      </c>
      <c r="B1586" t="s">
        <v>9524</v>
      </c>
      <c r="C1586" t="s">
        <v>2102</v>
      </c>
      <c r="D1586" t="s">
        <v>2105</v>
      </c>
      <c r="E1586" s="183">
        <v>110.94</v>
      </c>
    </row>
    <row r="1587" spans="1:5" ht="14.25">
      <c r="A1587">
        <v>1811</v>
      </c>
      <c r="B1587" t="s">
        <v>9525</v>
      </c>
      <c r="C1587" t="s">
        <v>2102</v>
      </c>
      <c r="D1587" t="s">
        <v>2105</v>
      </c>
      <c r="E1587" s="183">
        <v>24</v>
      </c>
    </row>
    <row r="1588" spans="1:5" ht="14.25">
      <c r="A1588">
        <v>1812</v>
      </c>
      <c r="B1588" t="s">
        <v>9526</v>
      </c>
      <c r="C1588" t="s">
        <v>2102</v>
      </c>
      <c r="D1588" t="s">
        <v>2105</v>
      </c>
      <c r="E1588" s="183">
        <v>280.05</v>
      </c>
    </row>
    <row r="1589" spans="1:5" ht="14.25">
      <c r="A1589">
        <v>40386</v>
      </c>
      <c r="B1589" t="s">
        <v>9527</v>
      </c>
      <c r="C1589" t="s">
        <v>2102</v>
      </c>
      <c r="D1589" t="s">
        <v>2103</v>
      </c>
      <c r="E1589" s="183">
        <v>113.37</v>
      </c>
    </row>
    <row r="1590" spans="1:5" ht="14.25">
      <c r="A1590">
        <v>40384</v>
      </c>
      <c r="B1590" t="s">
        <v>9528</v>
      </c>
      <c r="C1590" t="s">
        <v>2102</v>
      </c>
      <c r="D1590" t="s">
        <v>2103</v>
      </c>
      <c r="E1590" s="183">
        <v>77.62</v>
      </c>
    </row>
    <row r="1591" spans="1:5" ht="14.25">
      <c r="A1591">
        <v>40379</v>
      </c>
      <c r="B1591" t="s">
        <v>9529</v>
      </c>
      <c r="C1591" t="s">
        <v>2102</v>
      </c>
      <c r="D1591" t="s">
        <v>2103</v>
      </c>
      <c r="E1591" s="183">
        <v>26.83</v>
      </c>
    </row>
    <row r="1592" spans="1:5" ht="14.25">
      <c r="A1592">
        <v>40423</v>
      </c>
      <c r="B1592" t="s">
        <v>9530</v>
      </c>
      <c r="C1592" t="s">
        <v>2102</v>
      </c>
      <c r="D1592" t="s">
        <v>2103</v>
      </c>
      <c r="E1592" s="183">
        <v>50.78</v>
      </c>
    </row>
    <row r="1593" spans="1:5" ht="14.25">
      <c r="A1593">
        <v>40389</v>
      </c>
      <c r="B1593" t="s">
        <v>9531</v>
      </c>
      <c r="C1593" t="s">
        <v>2102</v>
      </c>
      <c r="D1593" t="s">
        <v>2103</v>
      </c>
      <c r="E1593" s="183">
        <v>322.02</v>
      </c>
    </row>
    <row r="1594" spans="1:5" ht="14.25">
      <c r="A1594">
        <v>40388</v>
      </c>
      <c r="B1594" t="s">
        <v>9532</v>
      </c>
      <c r="C1594" t="s">
        <v>2102</v>
      </c>
      <c r="D1594" t="s">
        <v>2103</v>
      </c>
      <c r="E1594" s="183">
        <v>161.18</v>
      </c>
    </row>
    <row r="1595" spans="1:5" ht="14.25">
      <c r="A1595">
        <v>40381</v>
      </c>
      <c r="B1595" t="s">
        <v>9533</v>
      </c>
      <c r="C1595" t="s">
        <v>2102</v>
      </c>
      <c r="D1595" t="s">
        <v>2103</v>
      </c>
      <c r="E1595" s="183">
        <v>35.78</v>
      </c>
    </row>
    <row r="1596" spans="1:5" ht="14.25">
      <c r="A1596">
        <v>40391</v>
      </c>
      <c r="B1596" t="s">
        <v>9534</v>
      </c>
      <c r="C1596" t="s">
        <v>2102</v>
      </c>
      <c r="D1596" t="s">
        <v>2103</v>
      </c>
      <c r="E1596" s="183">
        <v>835.81</v>
      </c>
    </row>
    <row r="1597" spans="1:5" ht="14.25">
      <c r="A1597">
        <v>40414</v>
      </c>
      <c r="B1597" t="s">
        <v>9535</v>
      </c>
      <c r="C1597" t="s">
        <v>2102</v>
      </c>
      <c r="D1597" t="s">
        <v>2105</v>
      </c>
      <c r="E1597" s="183">
        <v>20.76</v>
      </c>
    </row>
    <row r="1598" spans="1:5" ht="14.25">
      <c r="A1598">
        <v>40416</v>
      </c>
      <c r="B1598" t="s">
        <v>9536</v>
      </c>
      <c r="C1598" t="s">
        <v>2102</v>
      </c>
      <c r="D1598" t="s">
        <v>2105</v>
      </c>
      <c r="E1598" s="183">
        <v>28.7</v>
      </c>
    </row>
    <row r="1599" spans="1:5" ht="14.25">
      <c r="A1599">
        <v>40418</v>
      </c>
      <c r="B1599" t="s">
        <v>9537</v>
      </c>
      <c r="C1599" t="s">
        <v>2102</v>
      </c>
      <c r="D1599" t="s">
        <v>2105</v>
      </c>
      <c r="E1599" s="183">
        <v>34.24</v>
      </c>
    </row>
    <row r="1600" spans="1:5" ht="14.25">
      <c r="A1600">
        <v>2609</v>
      </c>
      <c r="B1600" t="s">
        <v>9538</v>
      </c>
      <c r="C1600" t="s">
        <v>2102</v>
      </c>
      <c r="D1600" t="s">
        <v>2103</v>
      </c>
      <c r="E1600" s="183">
        <v>3.93</v>
      </c>
    </row>
    <row r="1601" spans="1:5" ht="14.25">
      <c r="A1601">
        <v>2634</v>
      </c>
      <c r="B1601" t="s">
        <v>9539</v>
      </c>
      <c r="C1601" t="s">
        <v>2102</v>
      </c>
      <c r="D1601" t="s">
        <v>2103</v>
      </c>
      <c r="E1601" s="183">
        <v>5.16</v>
      </c>
    </row>
    <row r="1602" spans="1:5" ht="14.25">
      <c r="A1602">
        <v>2611</v>
      </c>
      <c r="B1602" t="s">
        <v>9540</v>
      </c>
      <c r="C1602" t="s">
        <v>2102</v>
      </c>
      <c r="D1602" t="s">
        <v>2103</v>
      </c>
      <c r="E1602" s="183">
        <v>14.56</v>
      </c>
    </row>
    <row r="1603" spans="1:5" ht="14.25">
      <c r="A1603">
        <v>34359</v>
      </c>
      <c r="B1603" t="s">
        <v>18341</v>
      </c>
      <c r="C1603" t="s">
        <v>2102</v>
      </c>
      <c r="D1603" t="s">
        <v>2105</v>
      </c>
      <c r="E1603" s="183">
        <v>9.44</v>
      </c>
    </row>
    <row r="1604" spans="1:5" ht="14.25">
      <c r="A1604">
        <v>1789</v>
      </c>
      <c r="B1604" t="s">
        <v>9541</v>
      </c>
      <c r="C1604" t="s">
        <v>2102</v>
      </c>
      <c r="D1604" t="s">
        <v>2105</v>
      </c>
      <c r="E1604" s="183">
        <v>88.6</v>
      </c>
    </row>
    <row r="1605" spans="1:5" ht="14.25">
      <c r="A1605">
        <v>1788</v>
      </c>
      <c r="B1605" t="s">
        <v>9542</v>
      </c>
      <c r="C1605" t="s">
        <v>2102</v>
      </c>
      <c r="D1605" t="s">
        <v>2105</v>
      </c>
      <c r="E1605" s="183">
        <v>71.02</v>
      </c>
    </row>
    <row r="1606" spans="1:5" ht="14.25">
      <c r="A1606">
        <v>1786</v>
      </c>
      <c r="B1606" t="s">
        <v>9543</v>
      </c>
      <c r="C1606" t="s">
        <v>2102</v>
      </c>
      <c r="D1606" t="s">
        <v>2105</v>
      </c>
      <c r="E1606" s="183">
        <v>17.63</v>
      </c>
    </row>
    <row r="1607" spans="1:5" ht="14.25">
      <c r="A1607">
        <v>1787</v>
      </c>
      <c r="B1607" t="s">
        <v>9544</v>
      </c>
      <c r="C1607" t="s">
        <v>2102</v>
      </c>
      <c r="D1607" t="s">
        <v>2105</v>
      </c>
      <c r="E1607" s="183">
        <v>42.22</v>
      </c>
    </row>
    <row r="1608" spans="1:5" ht="14.25">
      <c r="A1608">
        <v>1791</v>
      </c>
      <c r="B1608" t="s">
        <v>9545</v>
      </c>
      <c r="C1608" t="s">
        <v>2102</v>
      </c>
      <c r="D1608" t="s">
        <v>2105</v>
      </c>
      <c r="E1608" s="183">
        <v>256.04000000000002</v>
      </c>
    </row>
    <row r="1609" spans="1:5" ht="14.25">
      <c r="A1609">
        <v>1790</v>
      </c>
      <c r="B1609" t="s">
        <v>9546</v>
      </c>
      <c r="C1609" t="s">
        <v>2102</v>
      </c>
      <c r="D1609" t="s">
        <v>2105</v>
      </c>
      <c r="E1609" s="183">
        <v>147.54</v>
      </c>
    </row>
    <row r="1610" spans="1:5" ht="14.25">
      <c r="A1610">
        <v>1813</v>
      </c>
      <c r="B1610" t="s">
        <v>9547</v>
      </c>
      <c r="C1610" t="s">
        <v>2102</v>
      </c>
      <c r="D1610" t="s">
        <v>2105</v>
      </c>
      <c r="E1610" s="183">
        <v>27.98</v>
      </c>
    </row>
    <row r="1611" spans="1:5" ht="14.25">
      <c r="A1611">
        <v>1792</v>
      </c>
      <c r="B1611" t="s">
        <v>9548</v>
      </c>
      <c r="C1611" t="s">
        <v>2102</v>
      </c>
      <c r="D1611" t="s">
        <v>2105</v>
      </c>
      <c r="E1611" s="183">
        <v>345.62</v>
      </c>
    </row>
    <row r="1612" spans="1:5" ht="14.25">
      <c r="A1612">
        <v>1793</v>
      </c>
      <c r="B1612" t="s">
        <v>9549</v>
      </c>
      <c r="C1612" t="s">
        <v>2102</v>
      </c>
      <c r="D1612" t="s">
        <v>2105</v>
      </c>
      <c r="E1612" s="183">
        <v>698.39</v>
      </c>
    </row>
    <row r="1613" spans="1:5" ht="14.25">
      <c r="A1613">
        <v>1809</v>
      </c>
      <c r="B1613" t="s">
        <v>9550</v>
      </c>
      <c r="C1613" t="s">
        <v>2102</v>
      </c>
      <c r="D1613" t="s">
        <v>2105</v>
      </c>
      <c r="E1613" s="183">
        <v>83.06</v>
      </c>
    </row>
    <row r="1614" spans="1:5" ht="14.25">
      <c r="A1614">
        <v>1814</v>
      </c>
      <c r="B1614" t="s">
        <v>9551</v>
      </c>
      <c r="C1614" t="s">
        <v>2102</v>
      </c>
      <c r="D1614" t="s">
        <v>2105</v>
      </c>
      <c r="E1614" s="183">
        <v>68.23</v>
      </c>
    </row>
    <row r="1615" spans="1:5" ht="14.25">
      <c r="A1615">
        <v>1803</v>
      </c>
      <c r="B1615" t="s">
        <v>9552</v>
      </c>
      <c r="C1615" t="s">
        <v>2102</v>
      </c>
      <c r="D1615" t="s">
        <v>2105</v>
      </c>
      <c r="E1615" s="183">
        <v>17.239999999999998</v>
      </c>
    </row>
    <row r="1616" spans="1:5" ht="14.25">
      <c r="A1616">
        <v>1805</v>
      </c>
      <c r="B1616" t="s">
        <v>9553</v>
      </c>
      <c r="C1616" t="s">
        <v>2102</v>
      </c>
      <c r="D1616" t="s">
        <v>2105</v>
      </c>
      <c r="E1616" s="183">
        <v>39.6</v>
      </c>
    </row>
    <row r="1617" spans="1:5" ht="14.25">
      <c r="A1617">
        <v>1821</v>
      </c>
      <c r="B1617" t="s">
        <v>9554</v>
      </c>
      <c r="C1617" t="s">
        <v>2102</v>
      </c>
      <c r="D1617" t="s">
        <v>2105</v>
      </c>
      <c r="E1617" s="183">
        <v>233.93</v>
      </c>
    </row>
    <row r="1618" spans="1:5" ht="14.25">
      <c r="A1618">
        <v>1806</v>
      </c>
      <c r="B1618" t="s">
        <v>9555</v>
      </c>
      <c r="C1618" t="s">
        <v>2102</v>
      </c>
      <c r="D1618" t="s">
        <v>2105</v>
      </c>
      <c r="E1618" s="183">
        <v>139.24</v>
      </c>
    </row>
    <row r="1619" spans="1:5" ht="14.25">
      <c r="A1619">
        <v>1804</v>
      </c>
      <c r="B1619" t="s">
        <v>9556</v>
      </c>
      <c r="C1619" t="s">
        <v>2102</v>
      </c>
      <c r="D1619" t="s">
        <v>2105</v>
      </c>
      <c r="E1619" s="183">
        <v>24.54</v>
      </c>
    </row>
    <row r="1620" spans="1:5" ht="14.25">
      <c r="A1620">
        <v>1807</v>
      </c>
      <c r="B1620" t="s">
        <v>9557</v>
      </c>
      <c r="C1620" t="s">
        <v>2102</v>
      </c>
      <c r="D1620" t="s">
        <v>2105</v>
      </c>
      <c r="E1620" s="183">
        <v>334.56</v>
      </c>
    </row>
    <row r="1621" spans="1:5" ht="14.25">
      <c r="A1621">
        <v>1808</v>
      </c>
      <c r="B1621" t="s">
        <v>9558</v>
      </c>
      <c r="C1621" t="s">
        <v>2102</v>
      </c>
      <c r="D1621" t="s">
        <v>2105</v>
      </c>
      <c r="E1621" s="183">
        <v>670.74</v>
      </c>
    </row>
    <row r="1622" spans="1:5" ht="14.25">
      <c r="A1622">
        <v>1797</v>
      </c>
      <c r="B1622" t="s">
        <v>9559</v>
      </c>
      <c r="C1622" t="s">
        <v>2102</v>
      </c>
      <c r="D1622" t="s">
        <v>2105</v>
      </c>
      <c r="E1622" s="183">
        <v>100.6</v>
      </c>
    </row>
    <row r="1623" spans="1:5" ht="14.25">
      <c r="A1623">
        <v>1796</v>
      </c>
      <c r="B1623" t="s">
        <v>9560</v>
      </c>
      <c r="C1623" t="s">
        <v>2102</v>
      </c>
      <c r="D1623" t="s">
        <v>2105</v>
      </c>
      <c r="E1623" s="183">
        <v>77.17</v>
      </c>
    </row>
    <row r="1624" spans="1:5" ht="14.25">
      <c r="A1624">
        <v>1794</v>
      </c>
      <c r="B1624" t="s">
        <v>9561</v>
      </c>
      <c r="C1624" t="s">
        <v>2102</v>
      </c>
      <c r="D1624" t="s">
        <v>2105</v>
      </c>
      <c r="E1624" s="183">
        <v>18.420000000000002</v>
      </c>
    </row>
    <row r="1625" spans="1:5" ht="14.25">
      <c r="A1625">
        <v>1816</v>
      </c>
      <c r="B1625" t="s">
        <v>9562</v>
      </c>
      <c r="C1625" t="s">
        <v>2102</v>
      </c>
      <c r="D1625" t="s">
        <v>2105</v>
      </c>
      <c r="E1625" s="183">
        <v>41.53</v>
      </c>
    </row>
    <row r="1626" spans="1:5" ht="14.25">
      <c r="A1626">
        <v>1815</v>
      </c>
      <c r="B1626" t="s">
        <v>9563</v>
      </c>
      <c r="C1626" t="s">
        <v>2102</v>
      </c>
      <c r="D1626" t="s">
        <v>2105</v>
      </c>
      <c r="E1626" s="183">
        <v>318.95999999999998</v>
      </c>
    </row>
    <row r="1627" spans="1:5" ht="14.25">
      <c r="A1627">
        <v>1798</v>
      </c>
      <c r="B1627" t="s">
        <v>9564</v>
      </c>
      <c r="C1627" t="s">
        <v>2102</v>
      </c>
      <c r="D1627" t="s">
        <v>2105</v>
      </c>
      <c r="E1627" s="183">
        <v>142.72</v>
      </c>
    </row>
    <row r="1628" spans="1:5" ht="14.25">
      <c r="A1628">
        <v>1795</v>
      </c>
      <c r="B1628" t="s">
        <v>9565</v>
      </c>
      <c r="C1628" t="s">
        <v>2102</v>
      </c>
      <c r="D1628" t="s">
        <v>2105</v>
      </c>
      <c r="E1628" s="183">
        <v>25.52</v>
      </c>
    </row>
    <row r="1629" spans="1:5" ht="14.25">
      <c r="A1629">
        <v>1799</v>
      </c>
      <c r="B1629" t="s">
        <v>9566</v>
      </c>
      <c r="C1629" t="s">
        <v>2102</v>
      </c>
      <c r="D1629" t="s">
        <v>2105</v>
      </c>
      <c r="E1629" s="183">
        <v>415.42</v>
      </c>
    </row>
    <row r="1630" spans="1:5" ht="14.25">
      <c r="A1630">
        <v>1800</v>
      </c>
      <c r="B1630" t="s">
        <v>9567</v>
      </c>
      <c r="C1630" t="s">
        <v>2102</v>
      </c>
      <c r="D1630" t="s">
        <v>2105</v>
      </c>
      <c r="E1630" s="183">
        <v>793.11</v>
      </c>
    </row>
    <row r="1631" spans="1:5" ht="14.25">
      <c r="A1631">
        <v>1802</v>
      </c>
      <c r="B1631" t="s">
        <v>9568</v>
      </c>
      <c r="C1631" t="s">
        <v>2102</v>
      </c>
      <c r="D1631" t="s">
        <v>2105</v>
      </c>
      <c r="E1631" s="184">
        <v>1983.88</v>
      </c>
    </row>
    <row r="1632" spans="1:5" ht="14.25">
      <c r="A1632">
        <v>40385</v>
      </c>
      <c r="B1632" t="s">
        <v>9569</v>
      </c>
      <c r="C1632" t="s">
        <v>2102</v>
      </c>
      <c r="D1632" t="s">
        <v>2103</v>
      </c>
      <c r="E1632" s="183">
        <v>113.37</v>
      </c>
    </row>
    <row r="1633" spans="1:5" ht="14.25">
      <c r="A1633">
        <v>40383</v>
      </c>
      <c r="B1633" t="s">
        <v>9570</v>
      </c>
      <c r="C1633" t="s">
        <v>2102</v>
      </c>
      <c r="D1633" t="s">
        <v>2103</v>
      </c>
      <c r="E1633" s="183">
        <v>77.62</v>
      </c>
    </row>
    <row r="1634" spans="1:5" ht="14.25">
      <c r="A1634">
        <v>40378</v>
      </c>
      <c r="B1634" t="s">
        <v>9571</v>
      </c>
      <c r="C1634" t="s">
        <v>2102</v>
      </c>
      <c r="D1634" t="s">
        <v>2103</v>
      </c>
      <c r="E1634" s="183">
        <v>26.83</v>
      </c>
    </row>
    <row r="1635" spans="1:5" ht="14.25">
      <c r="A1635">
        <v>40382</v>
      </c>
      <c r="B1635" t="s">
        <v>9572</v>
      </c>
      <c r="C1635" t="s">
        <v>2102</v>
      </c>
      <c r="D1635" t="s">
        <v>2103</v>
      </c>
      <c r="E1635" s="183">
        <v>50.78</v>
      </c>
    </row>
    <row r="1636" spans="1:5" ht="14.25">
      <c r="A1636">
        <v>40422</v>
      </c>
      <c r="B1636" t="s">
        <v>9573</v>
      </c>
      <c r="C1636" t="s">
        <v>2102</v>
      </c>
      <c r="D1636" t="s">
        <v>2103</v>
      </c>
      <c r="E1636" s="183">
        <v>345.93</v>
      </c>
    </row>
    <row r="1637" spans="1:5" ht="14.25">
      <c r="A1637">
        <v>40387</v>
      </c>
      <c r="B1637" t="s">
        <v>9574</v>
      </c>
      <c r="C1637" t="s">
        <v>2102</v>
      </c>
      <c r="D1637" t="s">
        <v>2103</v>
      </c>
      <c r="E1637" s="183">
        <v>176.13</v>
      </c>
    </row>
    <row r="1638" spans="1:5" ht="14.25">
      <c r="A1638">
        <v>40380</v>
      </c>
      <c r="B1638" t="s">
        <v>9575</v>
      </c>
      <c r="C1638" t="s">
        <v>2102</v>
      </c>
      <c r="D1638" t="s">
        <v>2103</v>
      </c>
      <c r="E1638" s="183">
        <v>35.78</v>
      </c>
    </row>
    <row r="1639" spans="1:5" ht="14.25">
      <c r="A1639">
        <v>40390</v>
      </c>
      <c r="B1639" t="s">
        <v>9576</v>
      </c>
      <c r="C1639" t="s">
        <v>2102</v>
      </c>
      <c r="D1639" t="s">
        <v>2103</v>
      </c>
      <c r="E1639" s="183">
        <v>728.56</v>
      </c>
    </row>
    <row r="1640" spans="1:5" ht="14.25">
      <c r="A1640">
        <v>40413</v>
      </c>
      <c r="B1640" t="s">
        <v>9577</v>
      </c>
      <c r="C1640" t="s">
        <v>2102</v>
      </c>
      <c r="D1640" t="s">
        <v>2105</v>
      </c>
      <c r="E1640" s="183">
        <v>22.56</v>
      </c>
    </row>
    <row r="1641" spans="1:5" ht="14.25">
      <c r="A1641">
        <v>40415</v>
      </c>
      <c r="B1641" t="s">
        <v>9578</v>
      </c>
      <c r="C1641" t="s">
        <v>2102</v>
      </c>
      <c r="D1641" t="s">
        <v>2105</v>
      </c>
      <c r="E1641" s="183">
        <v>32.14</v>
      </c>
    </row>
    <row r="1642" spans="1:5" ht="14.25">
      <c r="A1642">
        <v>40417</v>
      </c>
      <c r="B1642" t="s">
        <v>9579</v>
      </c>
      <c r="C1642" t="s">
        <v>2102</v>
      </c>
      <c r="D1642" t="s">
        <v>2105</v>
      </c>
      <c r="E1642" s="183">
        <v>37.92</v>
      </c>
    </row>
    <row r="1643" spans="1:5" ht="14.25">
      <c r="A1643">
        <v>39271</v>
      </c>
      <c r="B1643" t="s">
        <v>9580</v>
      </c>
      <c r="C1643" t="s">
        <v>2102</v>
      </c>
      <c r="D1643" t="s">
        <v>2103</v>
      </c>
      <c r="E1643" s="183">
        <v>2.2400000000000002</v>
      </c>
    </row>
    <row r="1644" spans="1:5" ht="14.25">
      <c r="A1644">
        <v>39273</v>
      </c>
      <c r="B1644" t="s">
        <v>9581</v>
      </c>
      <c r="C1644" t="s">
        <v>2102</v>
      </c>
      <c r="D1644" t="s">
        <v>2103</v>
      </c>
      <c r="E1644" s="183">
        <v>3.8</v>
      </c>
    </row>
    <row r="1645" spans="1:5" ht="14.25">
      <c r="A1645">
        <v>39272</v>
      </c>
      <c r="B1645" t="s">
        <v>9582</v>
      </c>
      <c r="C1645" t="s">
        <v>2102</v>
      </c>
      <c r="D1645" t="s">
        <v>2103</v>
      </c>
      <c r="E1645" s="183">
        <v>2.75</v>
      </c>
    </row>
    <row r="1646" spans="1:5" ht="14.25">
      <c r="A1646">
        <v>1875</v>
      </c>
      <c r="B1646" t="s">
        <v>9583</v>
      </c>
      <c r="C1646" t="s">
        <v>2102</v>
      </c>
      <c r="D1646" t="s">
        <v>2103</v>
      </c>
      <c r="E1646" s="183">
        <v>6.08</v>
      </c>
    </row>
    <row r="1647" spans="1:5" ht="14.25">
      <c r="A1647">
        <v>1874</v>
      </c>
      <c r="B1647" t="s">
        <v>9584</v>
      </c>
      <c r="C1647" t="s">
        <v>2102</v>
      </c>
      <c r="D1647" t="s">
        <v>2103</v>
      </c>
      <c r="E1647" s="183">
        <v>5.0199999999999996</v>
      </c>
    </row>
    <row r="1648" spans="1:5" ht="14.25">
      <c r="A1648">
        <v>1870</v>
      </c>
      <c r="B1648" t="s">
        <v>9585</v>
      </c>
      <c r="C1648" t="s">
        <v>2102</v>
      </c>
      <c r="D1648" t="s">
        <v>2107</v>
      </c>
      <c r="E1648" s="183">
        <v>2.9</v>
      </c>
    </row>
    <row r="1649" spans="1:5" ht="14.25">
      <c r="A1649">
        <v>1884</v>
      </c>
      <c r="B1649" t="s">
        <v>9586</v>
      </c>
      <c r="C1649" t="s">
        <v>2102</v>
      </c>
      <c r="D1649" t="s">
        <v>2103</v>
      </c>
      <c r="E1649" s="183">
        <v>4.45</v>
      </c>
    </row>
    <row r="1650" spans="1:5" ht="14.25">
      <c r="A1650">
        <v>1887</v>
      </c>
      <c r="B1650" t="s">
        <v>9587</v>
      </c>
      <c r="C1650" t="s">
        <v>2102</v>
      </c>
      <c r="D1650" t="s">
        <v>2103</v>
      </c>
      <c r="E1650" s="183">
        <v>25.21</v>
      </c>
    </row>
    <row r="1651" spans="1:5" ht="14.25">
      <c r="A1651">
        <v>1876</v>
      </c>
      <c r="B1651" t="s">
        <v>9588</v>
      </c>
      <c r="C1651" t="s">
        <v>2102</v>
      </c>
      <c r="D1651" t="s">
        <v>2103</v>
      </c>
      <c r="E1651" s="183">
        <v>9.8800000000000008</v>
      </c>
    </row>
    <row r="1652" spans="1:5" ht="14.25">
      <c r="A1652">
        <v>1879</v>
      </c>
      <c r="B1652" t="s">
        <v>9589</v>
      </c>
      <c r="C1652" t="s">
        <v>2102</v>
      </c>
      <c r="D1652" t="s">
        <v>2103</v>
      </c>
      <c r="E1652" s="183">
        <v>2.94</v>
      </c>
    </row>
    <row r="1653" spans="1:5" ht="14.25">
      <c r="A1653">
        <v>1877</v>
      </c>
      <c r="B1653" t="s">
        <v>9590</v>
      </c>
      <c r="C1653" t="s">
        <v>2102</v>
      </c>
      <c r="D1653" t="s">
        <v>2103</v>
      </c>
      <c r="E1653" s="183">
        <v>25.25</v>
      </c>
    </row>
    <row r="1654" spans="1:5" ht="14.25">
      <c r="A1654">
        <v>1878</v>
      </c>
      <c r="B1654" t="s">
        <v>9591</v>
      </c>
      <c r="C1654" t="s">
        <v>2102</v>
      </c>
      <c r="D1654" t="s">
        <v>2103</v>
      </c>
      <c r="E1654" s="183">
        <v>50.72</v>
      </c>
    </row>
    <row r="1655" spans="1:5" ht="14.25">
      <c r="A1655">
        <v>2621</v>
      </c>
      <c r="B1655" t="s">
        <v>9592</v>
      </c>
      <c r="C1655" t="s">
        <v>2102</v>
      </c>
      <c r="D1655" t="s">
        <v>2103</v>
      </c>
      <c r="E1655" s="183">
        <v>124.55</v>
      </c>
    </row>
    <row r="1656" spans="1:5" ht="14.25">
      <c r="A1656">
        <v>2616</v>
      </c>
      <c r="B1656" t="s">
        <v>9593</v>
      </c>
      <c r="C1656" t="s">
        <v>2102</v>
      </c>
      <c r="D1656" t="s">
        <v>2103</v>
      </c>
      <c r="E1656" s="183">
        <v>3.52</v>
      </c>
    </row>
    <row r="1657" spans="1:5" ht="14.25">
      <c r="A1657">
        <v>2633</v>
      </c>
      <c r="B1657" t="s">
        <v>9594</v>
      </c>
      <c r="C1657" t="s">
        <v>2102</v>
      </c>
      <c r="D1657" t="s">
        <v>2103</v>
      </c>
      <c r="E1657" s="183">
        <v>3.98</v>
      </c>
    </row>
    <row r="1658" spans="1:5" ht="14.25">
      <c r="A1658">
        <v>2617</v>
      </c>
      <c r="B1658" t="s">
        <v>9595</v>
      </c>
      <c r="C1658" t="s">
        <v>2102</v>
      </c>
      <c r="D1658" t="s">
        <v>2103</v>
      </c>
      <c r="E1658" s="183">
        <v>5.42</v>
      </c>
    </row>
    <row r="1659" spans="1:5" ht="14.25">
      <c r="A1659">
        <v>2618</v>
      </c>
      <c r="B1659" t="s">
        <v>9596</v>
      </c>
      <c r="C1659" t="s">
        <v>2102</v>
      </c>
      <c r="D1659" t="s">
        <v>2103</v>
      </c>
      <c r="E1659" s="183">
        <v>12.33</v>
      </c>
    </row>
    <row r="1660" spans="1:5" ht="14.25">
      <c r="A1660">
        <v>2632</v>
      </c>
      <c r="B1660" t="s">
        <v>9597</v>
      </c>
      <c r="C1660" t="s">
        <v>2102</v>
      </c>
      <c r="D1660" t="s">
        <v>2103</v>
      </c>
      <c r="E1660" s="183">
        <v>15.05</v>
      </c>
    </row>
    <row r="1661" spans="1:5" ht="14.25">
      <c r="A1661">
        <v>2631</v>
      </c>
      <c r="B1661" t="s">
        <v>9598</v>
      </c>
      <c r="C1661" t="s">
        <v>2102</v>
      </c>
      <c r="D1661" t="s">
        <v>2103</v>
      </c>
      <c r="E1661" s="183">
        <v>22.09</v>
      </c>
    </row>
    <row r="1662" spans="1:5" ht="14.25">
      <c r="A1662">
        <v>2619</v>
      </c>
      <c r="B1662" t="s">
        <v>9599</v>
      </c>
      <c r="C1662" t="s">
        <v>2102</v>
      </c>
      <c r="D1662" t="s">
        <v>2103</v>
      </c>
      <c r="E1662" s="183">
        <v>55.94</v>
      </c>
    </row>
    <row r="1663" spans="1:5" ht="14.25">
      <c r="A1663">
        <v>2620</v>
      </c>
      <c r="B1663" t="s">
        <v>9600</v>
      </c>
      <c r="C1663" t="s">
        <v>2102</v>
      </c>
      <c r="D1663" t="s">
        <v>2103</v>
      </c>
      <c r="E1663" s="183">
        <v>73.44</v>
      </c>
    </row>
    <row r="1664" spans="1:5" ht="14.25">
      <c r="A1664">
        <v>44472</v>
      </c>
      <c r="B1664" t="s">
        <v>13561</v>
      </c>
      <c r="C1664" t="s">
        <v>2102</v>
      </c>
      <c r="D1664" t="s">
        <v>2105</v>
      </c>
      <c r="E1664" s="183">
        <v>48.63</v>
      </c>
    </row>
    <row r="1665" spans="1:5" ht="14.25">
      <c r="A1665">
        <v>38369</v>
      </c>
      <c r="B1665" t="s">
        <v>9601</v>
      </c>
      <c r="C1665" t="s">
        <v>2102</v>
      </c>
      <c r="D1665" t="s">
        <v>2103</v>
      </c>
      <c r="E1665" s="183">
        <v>22.86</v>
      </c>
    </row>
    <row r="1666" spans="1:5" ht="14.25">
      <c r="A1666">
        <v>38370</v>
      </c>
      <c r="B1666" t="s">
        <v>9602</v>
      </c>
      <c r="C1666" t="s">
        <v>2102</v>
      </c>
      <c r="D1666" t="s">
        <v>2103</v>
      </c>
      <c r="E1666" s="183">
        <v>22.86</v>
      </c>
    </row>
    <row r="1667" spans="1:5" ht="14.25">
      <c r="A1667">
        <v>38372</v>
      </c>
      <c r="B1667" t="s">
        <v>9603</v>
      </c>
      <c r="C1667" t="s">
        <v>2102</v>
      </c>
      <c r="D1667" t="s">
        <v>2103</v>
      </c>
      <c r="E1667" s="183">
        <v>22.89</v>
      </c>
    </row>
    <row r="1668" spans="1:5" ht="14.25">
      <c r="A1668">
        <v>2357</v>
      </c>
      <c r="B1668" t="s">
        <v>15218</v>
      </c>
      <c r="C1668" t="s">
        <v>2106</v>
      </c>
      <c r="D1668" t="s">
        <v>2103</v>
      </c>
      <c r="E1668" s="183">
        <v>10.26</v>
      </c>
    </row>
    <row r="1669" spans="1:5" ht="14.25">
      <c r="A1669">
        <v>40806</v>
      </c>
      <c r="B1669" t="s">
        <v>9604</v>
      </c>
      <c r="C1669" t="s">
        <v>2123</v>
      </c>
      <c r="D1669" t="s">
        <v>2103</v>
      </c>
      <c r="E1669" s="184">
        <v>1802.13</v>
      </c>
    </row>
    <row r="1670" spans="1:5" ht="14.25">
      <c r="A1670">
        <v>2355</v>
      </c>
      <c r="B1670" t="s">
        <v>15219</v>
      </c>
      <c r="C1670" t="s">
        <v>2106</v>
      </c>
      <c r="D1670" t="s">
        <v>2103</v>
      </c>
      <c r="E1670" s="183">
        <v>28.45</v>
      </c>
    </row>
    <row r="1671" spans="1:5" ht="14.25">
      <c r="A1671">
        <v>40805</v>
      </c>
      <c r="B1671" t="s">
        <v>9605</v>
      </c>
      <c r="C1671" t="s">
        <v>2123</v>
      </c>
      <c r="D1671" t="s">
        <v>2103</v>
      </c>
      <c r="E1671" s="184">
        <v>4990.46</v>
      </c>
    </row>
    <row r="1672" spans="1:5" ht="14.25">
      <c r="A1672">
        <v>2358</v>
      </c>
      <c r="B1672" t="s">
        <v>15220</v>
      </c>
      <c r="C1672" t="s">
        <v>2106</v>
      </c>
      <c r="D1672" t="s">
        <v>2103</v>
      </c>
      <c r="E1672" s="183">
        <v>18.16</v>
      </c>
    </row>
    <row r="1673" spans="1:5" ht="14.25">
      <c r="A1673">
        <v>40807</v>
      </c>
      <c r="B1673" t="s">
        <v>9606</v>
      </c>
      <c r="C1673" t="s">
        <v>2123</v>
      </c>
      <c r="D1673" t="s">
        <v>2103</v>
      </c>
      <c r="E1673" s="184">
        <v>3185.62</v>
      </c>
    </row>
    <row r="1674" spans="1:5" ht="14.25">
      <c r="A1674">
        <v>2359</v>
      </c>
      <c r="B1674" t="s">
        <v>15221</v>
      </c>
      <c r="C1674" t="s">
        <v>2106</v>
      </c>
      <c r="D1674" t="s">
        <v>2103</v>
      </c>
      <c r="E1674" s="183">
        <v>13.58</v>
      </c>
    </row>
    <row r="1675" spans="1:5" ht="14.25">
      <c r="A1675">
        <v>40808</v>
      </c>
      <c r="B1675" t="s">
        <v>9607</v>
      </c>
      <c r="C1675" t="s">
        <v>2123</v>
      </c>
      <c r="D1675" t="s">
        <v>2103</v>
      </c>
      <c r="E1675" s="184">
        <v>2384.1799999999998</v>
      </c>
    </row>
    <row r="1676" spans="1:5" ht="14.25">
      <c r="A1676">
        <v>44330</v>
      </c>
      <c r="B1676" t="s">
        <v>13562</v>
      </c>
      <c r="C1676" t="s">
        <v>2117</v>
      </c>
      <c r="D1676" t="s">
        <v>2103</v>
      </c>
      <c r="E1676" s="183">
        <v>9.18</v>
      </c>
    </row>
    <row r="1677" spans="1:5" ht="14.25">
      <c r="A1677">
        <v>43144</v>
      </c>
      <c r="B1677" t="s">
        <v>9608</v>
      </c>
      <c r="C1677" t="s">
        <v>2110</v>
      </c>
      <c r="D1677" t="s">
        <v>2103</v>
      </c>
      <c r="E1677" s="183">
        <v>33.76</v>
      </c>
    </row>
    <row r="1678" spans="1:5" ht="14.25">
      <c r="A1678">
        <v>39397</v>
      </c>
      <c r="B1678" t="s">
        <v>9609</v>
      </c>
      <c r="C1678" t="s">
        <v>2117</v>
      </c>
      <c r="D1678" t="s">
        <v>2103</v>
      </c>
      <c r="E1678" s="183">
        <v>15.38</v>
      </c>
    </row>
    <row r="1679" spans="1:5" ht="14.25">
      <c r="A1679">
        <v>2692</v>
      </c>
      <c r="B1679" t="s">
        <v>9610</v>
      </c>
      <c r="C1679" t="s">
        <v>2117</v>
      </c>
      <c r="D1679" t="s">
        <v>2103</v>
      </c>
      <c r="E1679" s="183">
        <v>6.21</v>
      </c>
    </row>
    <row r="1680" spans="1:5" ht="14.25">
      <c r="A1680">
        <v>44329</v>
      </c>
      <c r="B1680" t="s">
        <v>13563</v>
      </c>
      <c r="C1680" t="s">
        <v>2117</v>
      </c>
      <c r="D1680" t="s">
        <v>2103</v>
      </c>
      <c r="E1680" s="183">
        <v>12.03</v>
      </c>
    </row>
    <row r="1681" spans="1:5" ht="14.25">
      <c r="A1681">
        <v>5318</v>
      </c>
      <c r="B1681" t="s">
        <v>13564</v>
      </c>
      <c r="C1681" t="s">
        <v>2117</v>
      </c>
      <c r="D1681" t="s">
        <v>2107</v>
      </c>
      <c r="E1681" s="183">
        <v>19.46</v>
      </c>
    </row>
    <row r="1682" spans="1:5" ht="14.25">
      <c r="A1682">
        <v>5330</v>
      </c>
      <c r="B1682" t="s">
        <v>9611</v>
      </c>
      <c r="C1682" t="s">
        <v>2117</v>
      </c>
      <c r="D1682" t="s">
        <v>2103</v>
      </c>
      <c r="E1682" s="183">
        <v>44.35</v>
      </c>
    </row>
    <row r="1683" spans="1:5" ht="14.25">
      <c r="A1683">
        <v>44532</v>
      </c>
      <c r="B1683" t="s">
        <v>13565</v>
      </c>
      <c r="C1683" t="s">
        <v>2102</v>
      </c>
      <c r="D1683" t="s">
        <v>2103</v>
      </c>
      <c r="E1683" s="183">
        <v>20.76</v>
      </c>
    </row>
    <row r="1684" spans="1:5" ht="14.25">
      <c r="A1684">
        <v>44531</v>
      </c>
      <c r="B1684" t="s">
        <v>13566</v>
      </c>
      <c r="C1684" t="s">
        <v>2102</v>
      </c>
      <c r="D1684" t="s">
        <v>2103</v>
      </c>
      <c r="E1684" s="183">
        <v>65.97</v>
      </c>
    </row>
    <row r="1685" spans="1:5" ht="14.25">
      <c r="A1685">
        <v>38140</v>
      </c>
      <c r="B1685" t="s">
        <v>9612</v>
      </c>
      <c r="C1685" t="s">
        <v>2102</v>
      </c>
      <c r="D1685" t="s">
        <v>2107</v>
      </c>
      <c r="E1685" s="183">
        <v>16</v>
      </c>
    </row>
    <row r="1686" spans="1:5" ht="14.25">
      <c r="A1686">
        <v>13887</v>
      </c>
      <c r="B1686" t="s">
        <v>9613</v>
      </c>
      <c r="C1686" t="s">
        <v>2102</v>
      </c>
      <c r="D1686" t="s">
        <v>2103</v>
      </c>
      <c r="E1686" s="183">
        <v>378.81</v>
      </c>
    </row>
    <row r="1687" spans="1:5" ht="14.25">
      <c r="A1687">
        <v>44495</v>
      </c>
      <c r="B1687" t="s">
        <v>13567</v>
      </c>
      <c r="C1687" t="s">
        <v>2102</v>
      </c>
      <c r="D1687" t="s">
        <v>2103</v>
      </c>
      <c r="E1687" s="183">
        <v>16.86</v>
      </c>
    </row>
    <row r="1688" spans="1:5" ht="14.25">
      <c r="A1688">
        <v>44533</v>
      </c>
      <c r="B1688" t="s">
        <v>13568</v>
      </c>
      <c r="C1688" t="s">
        <v>2102</v>
      </c>
      <c r="D1688" t="s">
        <v>2103</v>
      </c>
      <c r="E1688" s="183">
        <v>15.92</v>
      </c>
    </row>
    <row r="1689" spans="1:5" ht="14.25">
      <c r="A1689">
        <v>44534</v>
      </c>
      <c r="B1689" t="s">
        <v>13569</v>
      </c>
      <c r="C1689" t="s">
        <v>2102</v>
      </c>
      <c r="D1689" t="s">
        <v>2103</v>
      </c>
      <c r="E1689" s="183">
        <v>4.1500000000000004</v>
      </c>
    </row>
    <row r="1690" spans="1:5" ht="14.25">
      <c r="A1690">
        <v>34544</v>
      </c>
      <c r="B1690" t="s">
        <v>9614</v>
      </c>
      <c r="C1690" t="s">
        <v>2102</v>
      </c>
      <c r="D1690" t="s">
        <v>2103</v>
      </c>
      <c r="E1690" s="184">
        <v>1277.97</v>
      </c>
    </row>
    <row r="1691" spans="1:5" ht="14.25">
      <c r="A1691">
        <v>34729</v>
      </c>
      <c r="B1691" t="s">
        <v>18342</v>
      </c>
      <c r="C1691" t="s">
        <v>2102</v>
      </c>
      <c r="D1691" t="s">
        <v>2103</v>
      </c>
      <c r="E1691" s="184">
        <v>1005.32</v>
      </c>
    </row>
    <row r="1692" spans="1:5" ht="14.25">
      <c r="A1692">
        <v>34734</v>
      </c>
      <c r="B1692" t="s">
        <v>18343</v>
      </c>
      <c r="C1692" t="s">
        <v>2102</v>
      </c>
      <c r="D1692" t="s">
        <v>2103</v>
      </c>
      <c r="E1692" s="184">
        <v>1556.56</v>
      </c>
    </row>
    <row r="1693" spans="1:5" ht="14.25">
      <c r="A1693">
        <v>34738</v>
      </c>
      <c r="B1693" t="s">
        <v>18344</v>
      </c>
      <c r="C1693" t="s">
        <v>2102</v>
      </c>
      <c r="D1693" t="s">
        <v>2103</v>
      </c>
      <c r="E1693" s="184">
        <v>3636.61</v>
      </c>
    </row>
    <row r="1694" spans="1:5" ht="14.25">
      <c r="A1694">
        <v>34623</v>
      </c>
      <c r="B1694" t="s">
        <v>18345</v>
      </c>
      <c r="C1694" t="s">
        <v>2102</v>
      </c>
      <c r="D1694" t="s">
        <v>2103</v>
      </c>
      <c r="E1694" s="183">
        <v>43.58</v>
      </c>
    </row>
    <row r="1695" spans="1:5" ht="14.25">
      <c r="A1695">
        <v>34616</v>
      </c>
      <c r="B1695" t="s">
        <v>18346</v>
      </c>
      <c r="C1695" t="s">
        <v>2102</v>
      </c>
      <c r="D1695" t="s">
        <v>2103</v>
      </c>
      <c r="E1695" s="183">
        <v>44.26</v>
      </c>
    </row>
    <row r="1696" spans="1:5" ht="14.25">
      <c r="A1696">
        <v>34628</v>
      </c>
      <c r="B1696" t="s">
        <v>18347</v>
      </c>
      <c r="C1696" t="s">
        <v>2102</v>
      </c>
      <c r="D1696" t="s">
        <v>2103</v>
      </c>
      <c r="E1696" s="183">
        <v>62.42</v>
      </c>
    </row>
    <row r="1697" spans="1:5" ht="14.25">
      <c r="A1697">
        <v>34686</v>
      </c>
      <c r="B1697" t="s">
        <v>18348</v>
      </c>
      <c r="C1697" t="s">
        <v>2102</v>
      </c>
      <c r="D1697" t="s">
        <v>2103</v>
      </c>
      <c r="E1697" s="183">
        <v>11.45</v>
      </c>
    </row>
    <row r="1698" spans="1:5" ht="14.25">
      <c r="A1698">
        <v>34653</v>
      </c>
      <c r="B1698" t="s">
        <v>18349</v>
      </c>
      <c r="C1698" t="s">
        <v>2102</v>
      </c>
      <c r="D1698" t="s">
        <v>2103</v>
      </c>
      <c r="E1698" s="183">
        <v>7.72</v>
      </c>
    </row>
    <row r="1699" spans="1:5" ht="14.25">
      <c r="A1699">
        <v>34688</v>
      </c>
      <c r="B1699" t="s">
        <v>18350</v>
      </c>
      <c r="C1699" t="s">
        <v>2102</v>
      </c>
      <c r="D1699" t="s">
        <v>2103</v>
      </c>
      <c r="E1699" s="183">
        <v>13.99</v>
      </c>
    </row>
    <row r="1700" spans="1:5" ht="14.25">
      <c r="A1700">
        <v>34709</v>
      </c>
      <c r="B1700" t="s">
        <v>18351</v>
      </c>
      <c r="C1700" t="s">
        <v>2102</v>
      </c>
      <c r="D1700" t="s">
        <v>2103</v>
      </c>
      <c r="E1700" s="183">
        <v>54.22</v>
      </c>
    </row>
    <row r="1701" spans="1:5" ht="14.25">
      <c r="A1701">
        <v>34714</v>
      </c>
      <c r="B1701" t="s">
        <v>18352</v>
      </c>
      <c r="C1701" t="s">
        <v>2102</v>
      </c>
      <c r="D1701" t="s">
        <v>2103</v>
      </c>
      <c r="E1701" s="183">
        <v>64.760000000000005</v>
      </c>
    </row>
    <row r="1702" spans="1:5" ht="14.25">
      <c r="A1702">
        <v>2391</v>
      </c>
      <c r="B1702" t="s">
        <v>18353</v>
      </c>
      <c r="C1702" t="s">
        <v>2102</v>
      </c>
      <c r="D1702" t="s">
        <v>2103</v>
      </c>
      <c r="E1702" s="183">
        <v>295.77</v>
      </c>
    </row>
    <row r="1703" spans="1:5" ht="14.25">
      <c r="A1703">
        <v>2374</v>
      </c>
      <c r="B1703" t="s">
        <v>9615</v>
      </c>
      <c r="C1703" t="s">
        <v>2102</v>
      </c>
      <c r="D1703" t="s">
        <v>2103</v>
      </c>
      <c r="E1703" s="183">
        <v>335.55</v>
      </c>
    </row>
    <row r="1704" spans="1:5" ht="14.25">
      <c r="A1704">
        <v>2377</v>
      </c>
      <c r="B1704" t="s">
        <v>9616</v>
      </c>
      <c r="C1704" t="s">
        <v>2102</v>
      </c>
      <c r="D1704" t="s">
        <v>2103</v>
      </c>
      <c r="E1704" s="183">
        <v>470.91</v>
      </c>
    </row>
    <row r="1705" spans="1:5" ht="14.25">
      <c r="A1705">
        <v>2393</v>
      </c>
      <c r="B1705" t="s">
        <v>9617</v>
      </c>
      <c r="C1705" t="s">
        <v>2102</v>
      </c>
      <c r="D1705" t="s">
        <v>2103</v>
      </c>
      <c r="E1705" s="183">
        <v>788.6</v>
      </c>
    </row>
    <row r="1706" spans="1:5" ht="14.25">
      <c r="A1706">
        <v>34705</v>
      </c>
      <c r="B1706" t="s">
        <v>9618</v>
      </c>
      <c r="C1706" t="s">
        <v>2102</v>
      </c>
      <c r="D1706" t="s">
        <v>2103</v>
      </c>
      <c r="E1706" s="183">
        <v>689.74</v>
      </c>
    </row>
    <row r="1707" spans="1:5" ht="14.25">
      <c r="A1707">
        <v>34707</v>
      </c>
      <c r="B1707" t="s">
        <v>9619</v>
      </c>
      <c r="C1707" t="s">
        <v>2102</v>
      </c>
      <c r="D1707" t="s">
        <v>2103</v>
      </c>
      <c r="E1707" s="184">
        <v>1278.0999999999999</v>
      </c>
    </row>
    <row r="1708" spans="1:5" ht="14.25">
      <c r="A1708">
        <v>2378</v>
      </c>
      <c r="B1708" t="s">
        <v>9620</v>
      </c>
      <c r="C1708" t="s">
        <v>2102</v>
      </c>
      <c r="D1708" t="s">
        <v>2103</v>
      </c>
      <c r="E1708" s="184">
        <v>1083.24</v>
      </c>
    </row>
    <row r="1709" spans="1:5" ht="14.25">
      <c r="A1709">
        <v>2379</v>
      </c>
      <c r="B1709" t="s">
        <v>9621</v>
      </c>
      <c r="C1709" t="s">
        <v>2102</v>
      </c>
      <c r="D1709" t="s">
        <v>2103</v>
      </c>
      <c r="E1709" s="184">
        <v>1083.24</v>
      </c>
    </row>
    <row r="1710" spans="1:5" ht="14.25">
      <c r="A1710">
        <v>2376</v>
      </c>
      <c r="B1710" t="s">
        <v>9622</v>
      </c>
      <c r="C1710" t="s">
        <v>2102</v>
      </c>
      <c r="D1710" t="s">
        <v>2103</v>
      </c>
      <c r="E1710" s="184">
        <v>1784.1</v>
      </c>
    </row>
    <row r="1711" spans="1:5" ht="14.25">
      <c r="A1711">
        <v>2394</v>
      </c>
      <c r="B1711" t="s">
        <v>9623</v>
      </c>
      <c r="C1711" t="s">
        <v>2102</v>
      </c>
      <c r="D1711" t="s">
        <v>2103</v>
      </c>
      <c r="E1711" s="184">
        <v>3814.08</v>
      </c>
    </row>
    <row r="1712" spans="1:5" ht="14.25">
      <c r="A1712">
        <v>2388</v>
      </c>
      <c r="B1712" t="s">
        <v>9624</v>
      </c>
      <c r="C1712" t="s">
        <v>2102</v>
      </c>
      <c r="D1712" t="s">
        <v>2103</v>
      </c>
      <c r="E1712" s="183">
        <v>53.82</v>
      </c>
    </row>
    <row r="1713" spans="1:5" ht="14.25">
      <c r="A1713">
        <v>34606</v>
      </c>
      <c r="B1713" t="s">
        <v>9625</v>
      </c>
      <c r="C1713" t="s">
        <v>2102</v>
      </c>
      <c r="D1713" t="s">
        <v>2103</v>
      </c>
      <c r="E1713" s="183">
        <v>82.55</v>
      </c>
    </row>
    <row r="1714" spans="1:5" ht="14.25">
      <c r="A1714">
        <v>34689</v>
      </c>
      <c r="B1714" t="s">
        <v>9626</v>
      </c>
      <c r="C1714" t="s">
        <v>2102</v>
      </c>
      <c r="D1714" t="s">
        <v>2103</v>
      </c>
      <c r="E1714" s="183">
        <v>26.28</v>
      </c>
    </row>
    <row r="1715" spans="1:5" ht="14.25">
      <c r="A1715">
        <v>2370</v>
      </c>
      <c r="B1715" t="s">
        <v>9627</v>
      </c>
      <c r="C1715" t="s">
        <v>2102</v>
      </c>
      <c r="D1715" t="s">
        <v>2107</v>
      </c>
      <c r="E1715" s="183">
        <v>10</v>
      </c>
    </row>
    <row r="1716" spans="1:5" ht="14.25">
      <c r="A1716">
        <v>2386</v>
      </c>
      <c r="B1716" t="s">
        <v>9628</v>
      </c>
      <c r="C1716" t="s">
        <v>2102</v>
      </c>
      <c r="D1716" t="s">
        <v>2103</v>
      </c>
      <c r="E1716" s="183">
        <v>16.77</v>
      </c>
    </row>
    <row r="1717" spans="1:5" ht="14.25">
      <c r="A1717">
        <v>2392</v>
      </c>
      <c r="B1717" t="s">
        <v>9629</v>
      </c>
      <c r="C1717" t="s">
        <v>2102</v>
      </c>
      <c r="D1717" t="s">
        <v>2103</v>
      </c>
      <c r="E1717" s="183">
        <v>67.13</v>
      </c>
    </row>
    <row r="1718" spans="1:5" ht="14.25">
      <c r="A1718">
        <v>2373</v>
      </c>
      <c r="B1718" t="s">
        <v>9630</v>
      </c>
      <c r="C1718" t="s">
        <v>2102</v>
      </c>
      <c r="D1718" t="s">
        <v>2103</v>
      </c>
      <c r="E1718" s="183">
        <v>94.58</v>
      </c>
    </row>
    <row r="1719" spans="1:5" ht="14.25">
      <c r="A1719">
        <v>39465</v>
      </c>
      <c r="B1719" t="s">
        <v>9631</v>
      </c>
      <c r="C1719" t="s">
        <v>2102</v>
      </c>
      <c r="D1719" t="s">
        <v>2103</v>
      </c>
      <c r="E1719" s="183">
        <v>57.77</v>
      </c>
    </row>
    <row r="1720" spans="1:5" ht="14.25">
      <c r="A1720">
        <v>39466</v>
      </c>
      <c r="B1720" t="s">
        <v>9632</v>
      </c>
      <c r="C1720" t="s">
        <v>2102</v>
      </c>
      <c r="D1720" t="s">
        <v>2103</v>
      </c>
      <c r="E1720" s="183">
        <v>65</v>
      </c>
    </row>
    <row r="1721" spans="1:5" ht="14.25">
      <c r="A1721">
        <v>39467</v>
      </c>
      <c r="B1721" t="s">
        <v>9633</v>
      </c>
      <c r="C1721" t="s">
        <v>2102</v>
      </c>
      <c r="D1721" t="s">
        <v>2103</v>
      </c>
      <c r="E1721" s="183">
        <v>83.14</v>
      </c>
    </row>
    <row r="1722" spans="1:5" ht="14.25">
      <c r="A1722">
        <v>39468</v>
      </c>
      <c r="B1722" t="s">
        <v>9634</v>
      </c>
      <c r="C1722" t="s">
        <v>2102</v>
      </c>
      <c r="D1722" t="s">
        <v>2103</v>
      </c>
      <c r="E1722" s="183">
        <v>147.78</v>
      </c>
    </row>
    <row r="1723" spans="1:5" ht="14.25">
      <c r="A1723">
        <v>39469</v>
      </c>
      <c r="B1723" t="s">
        <v>9635</v>
      </c>
      <c r="C1723" t="s">
        <v>2102</v>
      </c>
      <c r="D1723" t="s">
        <v>2103</v>
      </c>
      <c r="E1723" s="183">
        <v>60.2</v>
      </c>
    </row>
    <row r="1724" spans="1:5" ht="14.25">
      <c r="A1724">
        <v>39470</v>
      </c>
      <c r="B1724" t="s">
        <v>9636</v>
      </c>
      <c r="C1724" t="s">
        <v>2102</v>
      </c>
      <c r="D1724" t="s">
        <v>2103</v>
      </c>
      <c r="E1724" s="183">
        <v>73.959999999999994</v>
      </c>
    </row>
    <row r="1725" spans="1:5" ht="14.25">
      <c r="A1725">
        <v>39471</v>
      </c>
      <c r="B1725" t="s">
        <v>9637</v>
      </c>
      <c r="C1725" t="s">
        <v>2102</v>
      </c>
      <c r="D1725" t="s">
        <v>2103</v>
      </c>
      <c r="E1725" s="183">
        <v>88.88</v>
      </c>
    </row>
    <row r="1726" spans="1:5" ht="14.25">
      <c r="A1726">
        <v>39472</v>
      </c>
      <c r="B1726" t="s">
        <v>9638</v>
      </c>
      <c r="C1726" t="s">
        <v>2102</v>
      </c>
      <c r="D1726" t="s">
        <v>2103</v>
      </c>
      <c r="E1726" s="183">
        <v>154.44</v>
      </c>
    </row>
    <row r="1727" spans="1:5" ht="14.25">
      <c r="A1727">
        <v>39473</v>
      </c>
      <c r="B1727" t="s">
        <v>9639</v>
      </c>
      <c r="C1727" t="s">
        <v>2102</v>
      </c>
      <c r="D1727" t="s">
        <v>2103</v>
      </c>
      <c r="E1727" s="183">
        <v>99.77</v>
      </c>
    </row>
    <row r="1728" spans="1:5" ht="14.25">
      <c r="A1728">
        <v>39474</v>
      </c>
      <c r="B1728" t="s">
        <v>9640</v>
      </c>
      <c r="C1728" t="s">
        <v>2102</v>
      </c>
      <c r="D1728" t="s">
        <v>2103</v>
      </c>
      <c r="E1728" s="183">
        <v>106.36</v>
      </c>
    </row>
    <row r="1729" spans="1:5" ht="14.25">
      <c r="A1729">
        <v>39475</v>
      </c>
      <c r="B1729" t="s">
        <v>9641</v>
      </c>
      <c r="C1729" t="s">
        <v>2102</v>
      </c>
      <c r="D1729" t="s">
        <v>2103</v>
      </c>
      <c r="E1729" s="183">
        <v>120.67</v>
      </c>
    </row>
    <row r="1730" spans="1:5" ht="14.25">
      <c r="A1730">
        <v>39476</v>
      </c>
      <c r="B1730" t="s">
        <v>9642</v>
      </c>
      <c r="C1730" t="s">
        <v>2102</v>
      </c>
      <c r="D1730" t="s">
        <v>2103</v>
      </c>
      <c r="E1730" s="183">
        <v>227.16</v>
      </c>
    </row>
    <row r="1731" spans="1:5" ht="14.25">
      <c r="A1731">
        <v>39477</v>
      </c>
      <c r="B1731" t="s">
        <v>9643</v>
      </c>
      <c r="C1731" t="s">
        <v>2102</v>
      </c>
      <c r="D1731" t="s">
        <v>2103</v>
      </c>
      <c r="E1731" s="183">
        <v>111.3</v>
      </c>
    </row>
    <row r="1732" spans="1:5" ht="14.25">
      <c r="A1732">
        <v>39478</v>
      </c>
      <c r="B1732" t="s">
        <v>9644</v>
      </c>
      <c r="C1732" t="s">
        <v>2102</v>
      </c>
      <c r="D1732" t="s">
        <v>2103</v>
      </c>
      <c r="E1732" s="183">
        <v>114.75</v>
      </c>
    </row>
    <row r="1733" spans="1:5" ht="14.25">
      <c r="A1733">
        <v>39479</v>
      </c>
      <c r="B1733" t="s">
        <v>9645</v>
      </c>
      <c r="C1733" t="s">
        <v>2102</v>
      </c>
      <c r="D1733" t="s">
        <v>2103</v>
      </c>
      <c r="E1733" s="183">
        <v>135.19999999999999</v>
      </c>
    </row>
    <row r="1734" spans="1:5" ht="14.25">
      <c r="A1734">
        <v>39480</v>
      </c>
      <c r="B1734" t="s">
        <v>9646</v>
      </c>
      <c r="C1734" t="s">
        <v>2102</v>
      </c>
      <c r="D1734" t="s">
        <v>2103</v>
      </c>
      <c r="E1734" s="183">
        <v>278.97000000000003</v>
      </c>
    </row>
    <row r="1735" spans="1:5" ht="14.25">
      <c r="A1735">
        <v>39459</v>
      </c>
      <c r="B1735" t="s">
        <v>9647</v>
      </c>
      <c r="C1735" t="s">
        <v>2102</v>
      </c>
      <c r="D1735" t="s">
        <v>2103</v>
      </c>
      <c r="E1735" s="183">
        <v>236.78</v>
      </c>
    </row>
    <row r="1736" spans="1:5" ht="14.25">
      <c r="A1736">
        <v>39445</v>
      </c>
      <c r="B1736" t="s">
        <v>9648</v>
      </c>
      <c r="C1736" t="s">
        <v>2102</v>
      </c>
      <c r="D1736" t="s">
        <v>2103</v>
      </c>
      <c r="E1736" s="183">
        <v>118.88</v>
      </c>
    </row>
    <row r="1737" spans="1:5" ht="14.25">
      <c r="A1737">
        <v>39446</v>
      </c>
      <c r="B1737" t="s">
        <v>9649</v>
      </c>
      <c r="C1737" t="s">
        <v>2102</v>
      </c>
      <c r="D1737" t="s">
        <v>2103</v>
      </c>
      <c r="E1737" s="183">
        <v>121</v>
      </c>
    </row>
    <row r="1738" spans="1:5" ht="14.25">
      <c r="A1738">
        <v>39447</v>
      </c>
      <c r="B1738" t="s">
        <v>9650</v>
      </c>
      <c r="C1738" t="s">
        <v>2102</v>
      </c>
      <c r="D1738" t="s">
        <v>2103</v>
      </c>
      <c r="E1738" s="183">
        <v>129.4</v>
      </c>
    </row>
    <row r="1739" spans="1:5" ht="14.25">
      <c r="A1739">
        <v>39448</v>
      </c>
      <c r="B1739" t="s">
        <v>9651</v>
      </c>
      <c r="C1739" t="s">
        <v>2102</v>
      </c>
      <c r="D1739" t="s">
        <v>2103</v>
      </c>
      <c r="E1739" s="183">
        <v>220.65</v>
      </c>
    </row>
    <row r="1740" spans="1:5" ht="14.25">
      <c r="A1740">
        <v>39450</v>
      </c>
      <c r="B1740" t="s">
        <v>9652</v>
      </c>
      <c r="C1740" t="s">
        <v>2102</v>
      </c>
      <c r="D1740" t="s">
        <v>2103</v>
      </c>
      <c r="E1740" s="183">
        <v>134.62</v>
      </c>
    </row>
    <row r="1741" spans="1:5" ht="14.25">
      <c r="A1741">
        <v>39451</v>
      </c>
      <c r="B1741" t="s">
        <v>9653</v>
      </c>
      <c r="C1741" t="s">
        <v>2102</v>
      </c>
      <c r="D1741" t="s">
        <v>2103</v>
      </c>
      <c r="E1741" s="183">
        <v>146.83000000000001</v>
      </c>
    </row>
    <row r="1742" spans="1:5" ht="14.25">
      <c r="A1742">
        <v>39452</v>
      </c>
      <c r="B1742" t="s">
        <v>9654</v>
      </c>
      <c r="C1742" t="s">
        <v>2102</v>
      </c>
      <c r="D1742" t="s">
        <v>2103</v>
      </c>
      <c r="E1742" s="183">
        <v>147.71</v>
      </c>
    </row>
    <row r="1743" spans="1:5" ht="14.25">
      <c r="A1743">
        <v>39523</v>
      </c>
      <c r="B1743" t="s">
        <v>9655</v>
      </c>
      <c r="C1743" t="s">
        <v>2102</v>
      </c>
      <c r="D1743" t="s">
        <v>2103</v>
      </c>
      <c r="E1743" s="183">
        <v>247.18</v>
      </c>
    </row>
    <row r="1744" spans="1:5" ht="14.25">
      <c r="A1744">
        <v>39449</v>
      </c>
      <c r="B1744" t="s">
        <v>9656</v>
      </c>
      <c r="C1744" t="s">
        <v>2102</v>
      </c>
      <c r="D1744" t="s">
        <v>2103</v>
      </c>
      <c r="E1744" s="183">
        <v>273.74</v>
      </c>
    </row>
    <row r="1745" spans="1:5" ht="14.25">
      <c r="A1745">
        <v>39455</v>
      </c>
      <c r="B1745" t="s">
        <v>9657</v>
      </c>
      <c r="C1745" t="s">
        <v>2102</v>
      </c>
      <c r="D1745" t="s">
        <v>2103</v>
      </c>
      <c r="E1745" s="183">
        <v>135.44999999999999</v>
      </c>
    </row>
    <row r="1746" spans="1:5" ht="14.25">
      <c r="A1746">
        <v>39456</v>
      </c>
      <c r="B1746" t="s">
        <v>9658</v>
      </c>
      <c r="C1746" t="s">
        <v>2102</v>
      </c>
      <c r="D1746" t="s">
        <v>2103</v>
      </c>
      <c r="E1746" s="183">
        <v>135.55000000000001</v>
      </c>
    </row>
    <row r="1747" spans="1:5" ht="14.25">
      <c r="A1747">
        <v>39457</v>
      </c>
      <c r="B1747" t="s">
        <v>9659</v>
      </c>
      <c r="C1747" t="s">
        <v>2102</v>
      </c>
      <c r="D1747" t="s">
        <v>2103</v>
      </c>
      <c r="E1747" s="183">
        <v>147.77000000000001</v>
      </c>
    </row>
    <row r="1748" spans="1:5" ht="14.25">
      <c r="A1748">
        <v>39458</v>
      </c>
      <c r="B1748" t="s">
        <v>9660</v>
      </c>
      <c r="C1748" t="s">
        <v>2102</v>
      </c>
      <c r="D1748" t="s">
        <v>2103</v>
      </c>
      <c r="E1748" s="183">
        <v>275.76</v>
      </c>
    </row>
    <row r="1749" spans="1:5" ht="14.25">
      <c r="A1749">
        <v>39464</v>
      </c>
      <c r="B1749" t="s">
        <v>9661</v>
      </c>
      <c r="C1749" t="s">
        <v>2102</v>
      </c>
      <c r="D1749" t="s">
        <v>2103</v>
      </c>
      <c r="E1749" s="183">
        <v>443.44</v>
      </c>
    </row>
    <row r="1750" spans="1:5" ht="14.25">
      <c r="A1750">
        <v>39460</v>
      </c>
      <c r="B1750" t="s">
        <v>9662</v>
      </c>
      <c r="C1750" t="s">
        <v>2102</v>
      </c>
      <c r="D1750" t="s">
        <v>2103</v>
      </c>
      <c r="E1750" s="183">
        <v>168.18</v>
      </c>
    </row>
    <row r="1751" spans="1:5" ht="14.25">
      <c r="A1751">
        <v>39461</v>
      </c>
      <c r="B1751" t="s">
        <v>9663</v>
      </c>
      <c r="C1751" t="s">
        <v>2102</v>
      </c>
      <c r="D1751" t="s">
        <v>2103</v>
      </c>
      <c r="E1751" s="183">
        <v>197.07</v>
      </c>
    </row>
    <row r="1752" spans="1:5" ht="14.25">
      <c r="A1752">
        <v>39462</v>
      </c>
      <c r="B1752" t="s">
        <v>9664</v>
      </c>
      <c r="C1752" t="s">
        <v>2102</v>
      </c>
      <c r="D1752" t="s">
        <v>2103</v>
      </c>
      <c r="E1752" s="183">
        <v>189.93</v>
      </c>
    </row>
    <row r="1753" spans="1:5" ht="14.25">
      <c r="A1753">
        <v>39463</v>
      </c>
      <c r="B1753" t="s">
        <v>9665</v>
      </c>
      <c r="C1753" t="s">
        <v>2102</v>
      </c>
      <c r="D1753" t="s">
        <v>2103</v>
      </c>
      <c r="E1753" s="183">
        <v>440</v>
      </c>
    </row>
    <row r="1754" spans="1:5" ht="14.25">
      <c r="A1754">
        <v>26039</v>
      </c>
      <c r="B1754" t="s">
        <v>9666</v>
      </c>
      <c r="C1754" t="s">
        <v>2102</v>
      </c>
      <c r="D1754" t="s">
        <v>2105</v>
      </c>
      <c r="E1754" s="184">
        <v>391246.87</v>
      </c>
    </row>
    <row r="1755" spans="1:5" ht="14.25">
      <c r="A1755">
        <v>2401</v>
      </c>
      <c r="B1755" t="s">
        <v>9667</v>
      </c>
      <c r="C1755" t="s">
        <v>2102</v>
      </c>
      <c r="D1755" t="s">
        <v>2105</v>
      </c>
      <c r="E1755" s="184">
        <v>89991.11</v>
      </c>
    </row>
    <row r="1756" spans="1:5" ht="14.25">
      <c r="A1756">
        <v>38870</v>
      </c>
      <c r="B1756" t="s">
        <v>18354</v>
      </c>
      <c r="C1756" t="s">
        <v>2102</v>
      </c>
      <c r="D1756" t="s">
        <v>2105</v>
      </c>
      <c r="E1756" s="183">
        <v>29.51</v>
      </c>
    </row>
    <row r="1757" spans="1:5" ht="14.25">
      <c r="A1757">
        <v>38869</v>
      </c>
      <c r="B1757" t="s">
        <v>18355</v>
      </c>
      <c r="C1757" t="s">
        <v>2102</v>
      </c>
      <c r="D1757" t="s">
        <v>2105</v>
      </c>
      <c r="E1757" s="183">
        <v>19.91</v>
      </c>
    </row>
    <row r="1758" spans="1:5" ht="14.25">
      <c r="A1758">
        <v>38872</v>
      </c>
      <c r="B1758" t="s">
        <v>18356</v>
      </c>
      <c r="C1758" t="s">
        <v>2102</v>
      </c>
      <c r="D1758" t="s">
        <v>2105</v>
      </c>
      <c r="E1758" s="183">
        <v>37.590000000000003</v>
      </c>
    </row>
    <row r="1759" spans="1:5" ht="14.25">
      <c r="A1759">
        <v>38871</v>
      </c>
      <c r="B1759" t="s">
        <v>18357</v>
      </c>
      <c r="C1759" t="s">
        <v>2102</v>
      </c>
      <c r="D1759" t="s">
        <v>2105</v>
      </c>
      <c r="E1759" s="183">
        <v>25.99</v>
      </c>
    </row>
    <row r="1760" spans="1:5" ht="14.25">
      <c r="A1760">
        <v>39283</v>
      </c>
      <c r="B1760" t="s">
        <v>18358</v>
      </c>
      <c r="C1760" t="s">
        <v>2102</v>
      </c>
      <c r="D1760" t="s">
        <v>2105</v>
      </c>
      <c r="E1760" s="183">
        <v>121.76</v>
      </c>
    </row>
    <row r="1761" spans="1:5" ht="14.25">
      <c r="A1761">
        <v>39285</v>
      </c>
      <c r="B1761" t="s">
        <v>18359</v>
      </c>
      <c r="C1761" t="s">
        <v>2102</v>
      </c>
      <c r="D1761" t="s">
        <v>2105</v>
      </c>
      <c r="E1761" s="183">
        <v>139.16</v>
      </c>
    </row>
    <row r="1762" spans="1:5" ht="14.25">
      <c r="A1762">
        <v>39286</v>
      </c>
      <c r="B1762" t="s">
        <v>18360</v>
      </c>
      <c r="C1762" t="s">
        <v>2102</v>
      </c>
      <c r="D1762" t="s">
        <v>2105</v>
      </c>
      <c r="E1762" s="183">
        <v>133.37</v>
      </c>
    </row>
    <row r="1763" spans="1:5" ht="14.25">
      <c r="A1763">
        <v>39288</v>
      </c>
      <c r="B1763" t="s">
        <v>18361</v>
      </c>
      <c r="C1763" t="s">
        <v>2102</v>
      </c>
      <c r="D1763" t="s">
        <v>2105</v>
      </c>
      <c r="E1763" s="183">
        <v>162.34</v>
      </c>
    </row>
    <row r="1764" spans="1:5" ht="14.25">
      <c r="A1764">
        <v>44476</v>
      </c>
      <c r="B1764" t="s">
        <v>13570</v>
      </c>
      <c r="C1764" t="s">
        <v>2104</v>
      </c>
      <c r="D1764" t="s">
        <v>2103</v>
      </c>
      <c r="E1764" s="183">
        <v>397.32</v>
      </c>
    </row>
    <row r="1765" spans="1:5" ht="14.25">
      <c r="A1765">
        <v>10629</v>
      </c>
      <c r="B1765" t="s">
        <v>9668</v>
      </c>
      <c r="C1765" t="s">
        <v>2104</v>
      </c>
      <c r="D1765" t="s">
        <v>2103</v>
      </c>
      <c r="E1765" s="183">
        <v>294.18</v>
      </c>
    </row>
    <row r="1766" spans="1:5" ht="14.25">
      <c r="A1766">
        <v>10698</v>
      </c>
      <c r="B1766" t="s">
        <v>9669</v>
      </c>
      <c r="C1766" t="s">
        <v>2104</v>
      </c>
      <c r="D1766" t="s">
        <v>2105</v>
      </c>
      <c r="E1766" s="183">
        <v>207.56</v>
      </c>
    </row>
    <row r="1767" spans="1:5" ht="14.25">
      <c r="A1767">
        <v>40521</v>
      </c>
      <c r="B1767" t="s">
        <v>18362</v>
      </c>
      <c r="C1767" t="s">
        <v>2102</v>
      </c>
      <c r="D1767" t="s">
        <v>2105</v>
      </c>
      <c r="E1767" s="184">
        <v>107971.41</v>
      </c>
    </row>
    <row r="1768" spans="1:5" ht="14.25">
      <c r="A1768">
        <v>2432</v>
      </c>
      <c r="B1768" t="s">
        <v>9670</v>
      </c>
      <c r="C1768" t="s">
        <v>2102</v>
      </c>
      <c r="D1768" t="s">
        <v>2103</v>
      </c>
      <c r="E1768" s="183">
        <v>18.690000000000001</v>
      </c>
    </row>
    <row r="1769" spans="1:5" ht="14.25">
      <c r="A1769">
        <v>2433</v>
      </c>
      <c r="B1769" t="s">
        <v>9671</v>
      </c>
      <c r="C1769" t="s">
        <v>2102</v>
      </c>
      <c r="D1769" t="s">
        <v>2103</v>
      </c>
      <c r="E1769" s="183">
        <v>6.33</v>
      </c>
    </row>
    <row r="1770" spans="1:5" ht="14.25">
      <c r="A1770">
        <v>2418</v>
      </c>
      <c r="B1770" t="s">
        <v>15222</v>
      </c>
      <c r="C1770" t="s">
        <v>2102</v>
      </c>
      <c r="D1770" t="s">
        <v>2107</v>
      </c>
      <c r="E1770" s="183">
        <v>8.67</v>
      </c>
    </row>
    <row r="1771" spans="1:5" ht="14.25">
      <c r="A1771">
        <v>2420</v>
      </c>
      <c r="B1771" t="s">
        <v>9672</v>
      </c>
      <c r="C1771" t="s">
        <v>2102</v>
      </c>
      <c r="D1771" t="s">
        <v>2103</v>
      </c>
      <c r="E1771" s="183">
        <v>10.87</v>
      </c>
    </row>
    <row r="1772" spans="1:5" ht="14.25">
      <c r="A1772">
        <v>11447</v>
      </c>
      <c r="B1772" t="s">
        <v>9673</v>
      </c>
      <c r="C1772" t="s">
        <v>2102</v>
      </c>
      <c r="D1772" t="s">
        <v>2103</v>
      </c>
      <c r="E1772" s="183">
        <v>21.49</v>
      </c>
    </row>
    <row r="1773" spans="1:5" ht="14.25">
      <c r="A1773">
        <v>11451</v>
      </c>
      <c r="B1773" t="s">
        <v>9674</v>
      </c>
      <c r="C1773" t="s">
        <v>2102</v>
      </c>
      <c r="D1773" t="s">
        <v>2103</v>
      </c>
      <c r="E1773" s="183">
        <v>57.61</v>
      </c>
    </row>
    <row r="1774" spans="1:5" ht="14.25">
      <c r="A1774">
        <v>11116</v>
      </c>
      <c r="B1774" t="s">
        <v>9675</v>
      </c>
      <c r="C1774" t="s">
        <v>2102</v>
      </c>
      <c r="D1774" t="s">
        <v>2105</v>
      </c>
      <c r="E1774" s="183">
        <v>838.13</v>
      </c>
    </row>
    <row r="1775" spans="1:5" ht="14.25">
      <c r="A1775">
        <v>38411</v>
      </c>
      <c r="B1775" t="s">
        <v>9676</v>
      </c>
      <c r="C1775" t="s">
        <v>2102</v>
      </c>
      <c r="D1775" t="s">
        <v>2103</v>
      </c>
      <c r="E1775" s="184">
        <v>1607.96</v>
      </c>
    </row>
    <row r="1776" spans="1:5" ht="14.25">
      <c r="A1776">
        <v>38189</v>
      </c>
      <c r="B1776" t="s">
        <v>13571</v>
      </c>
      <c r="C1776" t="s">
        <v>2102</v>
      </c>
      <c r="D1776" t="s">
        <v>2103</v>
      </c>
      <c r="E1776" s="183">
        <v>135.57</v>
      </c>
    </row>
    <row r="1777" spans="1:5" ht="14.25">
      <c r="A1777">
        <v>38190</v>
      </c>
      <c r="B1777" t="s">
        <v>13572</v>
      </c>
      <c r="C1777" t="s">
        <v>2102</v>
      </c>
      <c r="D1777" t="s">
        <v>2103</v>
      </c>
      <c r="E1777" s="183">
        <v>285.60000000000002</v>
      </c>
    </row>
    <row r="1778" spans="1:5" ht="14.25">
      <c r="A1778">
        <v>7608</v>
      </c>
      <c r="B1778" t="s">
        <v>9677</v>
      </c>
      <c r="C1778" t="s">
        <v>2102</v>
      </c>
      <c r="D1778" t="s">
        <v>2103</v>
      </c>
      <c r="E1778" s="183">
        <v>12.7</v>
      </c>
    </row>
    <row r="1779" spans="1:5" ht="14.25">
      <c r="A1779">
        <v>1370</v>
      </c>
      <c r="B1779" t="s">
        <v>9678</v>
      </c>
      <c r="C1779" t="s">
        <v>2102</v>
      </c>
      <c r="D1779" t="s">
        <v>2103</v>
      </c>
      <c r="E1779" s="183">
        <v>104.17</v>
      </c>
    </row>
    <row r="1780" spans="1:5" ht="14.25">
      <c r="A1780">
        <v>36516</v>
      </c>
      <c r="B1780" t="s">
        <v>9679</v>
      </c>
      <c r="C1780" t="s">
        <v>2102</v>
      </c>
      <c r="D1780" t="s">
        <v>2105</v>
      </c>
      <c r="E1780" s="184">
        <v>135491.73000000001</v>
      </c>
    </row>
    <row r="1781" spans="1:5" ht="14.25">
      <c r="A1781">
        <v>34777</v>
      </c>
      <c r="B1781" t="s">
        <v>9680</v>
      </c>
      <c r="C1781" t="s">
        <v>2102</v>
      </c>
      <c r="D1781" t="s">
        <v>2103</v>
      </c>
      <c r="E1781" s="183">
        <v>1.97</v>
      </c>
    </row>
    <row r="1782" spans="1:5" ht="14.25">
      <c r="A1782">
        <v>7272</v>
      </c>
      <c r="B1782" t="s">
        <v>13573</v>
      </c>
      <c r="C1782" t="s">
        <v>2102</v>
      </c>
      <c r="D1782" t="s">
        <v>2103</v>
      </c>
      <c r="E1782" s="183">
        <v>1.66</v>
      </c>
    </row>
    <row r="1783" spans="1:5" ht="14.25">
      <c r="A1783">
        <v>10605</v>
      </c>
      <c r="B1783" t="s">
        <v>9681</v>
      </c>
      <c r="C1783" t="s">
        <v>2102</v>
      </c>
      <c r="D1783" t="s">
        <v>2103</v>
      </c>
      <c r="E1783" s="183">
        <v>4.88</v>
      </c>
    </row>
    <row r="1784" spans="1:5" ht="14.25">
      <c r="A1784">
        <v>10604</v>
      </c>
      <c r="B1784" t="s">
        <v>9682</v>
      </c>
      <c r="C1784" t="s">
        <v>2102</v>
      </c>
      <c r="D1784" t="s">
        <v>2103</v>
      </c>
      <c r="E1784" s="183">
        <v>11.38</v>
      </c>
    </row>
    <row r="1785" spans="1:5" ht="14.25">
      <c r="A1785">
        <v>672</v>
      </c>
      <c r="B1785" t="s">
        <v>9683</v>
      </c>
      <c r="C1785" t="s">
        <v>2102</v>
      </c>
      <c r="D1785" t="s">
        <v>2103</v>
      </c>
      <c r="E1785" s="183">
        <v>15.65</v>
      </c>
    </row>
    <row r="1786" spans="1:5" ht="14.25">
      <c r="A1786">
        <v>668</v>
      </c>
      <c r="B1786" t="s">
        <v>9684</v>
      </c>
      <c r="C1786" t="s">
        <v>2102</v>
      </c>
      <c r="D1786" t="s">
        <v>2103</v>
      </c>
      <c r="E1786" s="183">
        <v>18.899999999999999</v>
      </c>
    </row>
    <row r="1787" spans="1:5" ht="14.25">
      <c r="A1787">
        <v>10578</v>
      </c>
      <c r="B1787" t="s">
        <v>9685</v>
      </c>
      <c r="C1787" t="s">
        <v>2102</v>
      </c>
      <c r="D1787" t="s">
        <v>2103</v>
      </c>
      <c r="E1787" s="183">
        <v>22.01</v>
      </c>
    </row>
    <row r="1788" spans="1:5" ht="14.25">
      <c r="A1788">
        <v>666</v>
      </c>
      <c r="B1788" t="s">
        <v>9686</v>
      </c>
      <c r="C1788" t="s">
        <v>2102</v>
      </c>
      <c r="D1788" t="s">
        <v>2103</v>
      </c>
      <c r="E1788" s="183">
        <v>24.48</v>
      </c>
    </row>
    <row r="1789" spans="1:5" ht="14.25">
      <c r="A1789">
        <v>665</v>
      </c>
      <c r="B1789" t="s">
        <v>9687</v>
      </c>
      <c r="C1789" t="s">
        <v>2102</v>
      </c>
      <c r="D1789" t="s">
        <v>2103</v>
      </c>
      <c r="E1789" s="183">
        <v>32.729999999999997</v>
      </c>
    </row>
    <row r="1790" spans="1:5" ht="14.25">
      <c r="A1790">
        <v>10577</v>
      </c>
      <c r="B1790" t="s">
        <v>9688</v>
      </c>
      <c r="C1790" t="s">
        <v>2102</v>
      </c>
      <c r="D1790" t="s">
        <v>2103</v>
      </c>
      <c r="E1790" s="183">
        <v>29.03</v>
      </c>
    </row>
    <row r="1791" spans="1:5" ht="14.25">
      <c r="A1791">
        <v>10583</v>
      </c>
      <c r="B1791" t="s">
        <v>9689</v>
      </c>
      <c r="C1791" t="s">
        <v>2102</v>
      </c>
      <c r="D1791" t="s">
        <v>2103</v>
      </c>
      <c r="E1791" s="183">
        <v>15.08</v>
      </c>
    </row>
    <row r="1792" spans="1:5" ht="14.25">
      <c r="A1792">
        <v>10579</v>
      </c>
      <c r="B1792" t="s">
        <v>9690</v>
      </c>
      <c r="C1792" t="s">
        <v>2102</v>
      </c>
      <c r="D1792" t="s">
        <v>2103</v>
      </c>
      <c r="E1792" s="183">
        <v>26.29</v>
      </c>
    </row>
    <row r="1793" spans="1:5" ht="14.25">
      <c r="A1793">
        <v>10582</v>
      </c>
      <c r="B1793" t="s">
        <v>9691</v>
      </c>
      <c r="C1793" t="s">
        <v>2102</v>
      </c>
      <c r="D1793" t="s">
        <v>2103</v>
      </c>
      <c r="E1793" s="183">
        <v>13.28</v>
      </c>
    </row>
    <row r="1794" spans="1:5" ht="14.25">
      <c r="A1794">
        <v>2436</v>
      </c>
      <c r="B1794" t="s">
        <v>15223</v>
      </c>
      <c r="C1794" t="s">
        <v>2106</v>
      </c>
      <c r="D1794" t="s">
        <v>2107</v>
      </c>
      <c r="E1794" s="183">
        <v>23.44</v>
      </c>
    </row>
    <row r="1795" spans="1:5" ht="14.25">
      <c r="A1795">
        <v>40918</v>
      </c>
      <c r="B1795" t="s">
        <v>9692</v>
      </c>
      <c r="C1795" t="s">
        <v>2123</v>
      </c>
      <c r="D1795" t="s">
        <v>2103</v>
      </c>
      <c r="E1795" s="184">
        <v>4108.8100000000004</v>
      </c>
    </row>
    <row r="1796" spans="1:5" ht="14.25">
      <c r="A1796">
        <v>2439</v>
      </c>
      <c r="B1796" t="s">
        <v>15224</v>
      </c>
      <c r="C1796" t="s">
        <v>2106</v>
      </c>
      <c r="D1796" t="s">
        <v>2103</v>
      </c>
      <c r="E1796" s="183">
        <v>22.74</v>
      </c>
    </row>
    <row r="1797" spans="1:5" ht="14.25">
      <c r="A1797">
        <v>40923</v>
      </c>
      <c r="B1797" t="s">
        <v>9693</v>
      </c>
      <c r="C1797" t="s">
        <v>2123</v>
      </c>
      <c r="D1797" t="s">
        <v>2103</v>
      </c>
      <c r="E1797" s="184">
        <v>3990.41</v>
      </c>
    </row>
    <row r="1798" spans="1:5" ht="14.25">
      <c r="A1798">
        <v>10998</v>
      </c>
      <c r="B1798" t="s">
        <v>9694</v>
      </c>
      <c r="C1798" t="s">
        <v>2110</v>
      </c>
      <c r="D1798" t="s">
        <v>2103</v>
      </c>
      <c r="E1798" s="183">
        <v>30.92</v>
      </c>
    </row>
    <row r="1799" spans="1:5" ht="14.25">
      <c r="A1799">
        <v>11002</v>
      </c>
      <c r="B1799" t="s">
        <v>9695</v>
      </c>
      <c r="C1799" t="s">
        <v>2110</v>
      </c>
      <c r="D1799" t="s">
        <v>2103</v>
      </c>
      <c r="E1799" s="183">
        <v>28.33</v>
      </c>
    </row>
    <row r="1800" spans="1:5" ht="14.25">
      <c r="A1800">
        <v>10999</v>
      </c>
      <c r="B1800" t="s">
        <v>9696</v>
      </c>
      <c r="C1800" t="s">
        <v>2110</v>
      </c>
      <c r="D1800" t="s">
        <v>2103</v>
      </c>
      <c r="E1800" s="183">
        <v>27.22</v>
      </c>
    </row>
    <row r="1801" spans="1:5" ht="14.25">
      <c r="A1801">
        <v>10997</v>
      </c>
      <c r="B1801" t="s">
        <v>9697</v>
      </c>
      <c r="C1801" t="s">
        <v>2110</v>
      </c>
      <c r="D1801" t="s">
        <v>2107</v>
      </c>
      <c r="E1801" s="183">
        <v>29.5</v>
      </c>
    </row>
    <row r="1802" spans="1:5" ht="14.25">
      <c r="A1802">
        <v>2685</v>
      </c>
      <c r="B1802" t="s">
        <v>9698</v>
      </c>
      <c r="C1802" t="s">
        <v>2109</v>
      </c>
      <c r="D1802" t="s">
        <v>2103</v>
      </c>
      <c r="E1802" s="183">
        <v>6.3</v>
      </c>
    </row>
    <row r="1803" spans="1:5" ht="14.25">
      <c r="A1803">
        <v>2680</v>
      </c>
      <c r="B1803" t="s">
        <v>9699</v>
      </c>
      <c r="C1803" t="s">
        <v>2109</v>
      </c>
      <c r="D1803" t="s">
        <v>2103</v>
      </c>
      <c r="E1803" s="183">
        <v>9.2200000000000006</v>
      </c>
    </row>
    <row r="1804" spans="1:5" ht="14.25">
      <c r="A1804">
        <v>2684</v>
      </c>
      <c r="B1804" t="s">
        <v>9700</v>
      </c>
      <c r="C1804" t="s">
        <v>2109</v>
      </c>
      <c r="D1804" t="s">
        <v>2103</v>
      </c>
      <c r="E1804" s="183">
        <v>8.39</v>
      </c>
    </row>
    <row r="1805" spans="1:5" ht="14.25">
      <c r="A1805">
        <v>2673</v>
      </c>
      <c r="B1805" t="s">
        <v>9701</v>
      </c>
      <c r="C1805" t="s">
        <v>2109</v>
      </c>
      <c r="D1805" t="s">
        <v>2107</v>
      </c>
      <c r="E1805" s="183">
        <v>3.24</v>
      </c>
    </row>
    <row r="1806" spans="1:5" ht="14.25">
      <c r="A1806">
        <v>2681</v>
      </c>
      <c r="B1806" t="s">
        <v>9702</v>
      </c>
      <c r="C1806" t="s">
        <v>2109</v>
      </c>
      <c r="D1806" t="s">
        <v>2103</v>
      </c>
      <c r="E1806" s="183">
        <v>15.07</v>
      </c>
    </row>
    <row r="1807" spans="1:5" ht="14.25">
      <c r="A1807">
        <v>2682</v>
      </c>
      <c r="B1807" t="s">
        <v>9703</v>
      </c>
      <c r="C1807" t="s">
        <v>2109</v>
      </c>
      <c r="D1807" t="s">
        <v>2103</v>
      </c>
      <c r="E1807" s="183">
        <v>21.99</v>
      </c>
    </row>
    <row r="1808" spans="1:5" ht="14.25">
      <c r="A1808">
        <v>2686</v>
      </c>
      <c r="B1808" t="s">
        <v>9704</v>
      </c>
      <c r="C1808" t="s">
        <v>2109</v>
      </c>
      <c r="D1808" t="s">
        <v>2103</v>
      </c>
      <c r="E1808" s="183">
        <v>27.58</v>
      </c>
    </row>
    <row r="1809" spans="1:5" ht="14.25">
      <c r="A1809">
        <v>2674</v>
      </c>
      <c r="B1809" t="s">
        <v>9705</v>
      </c>
      <c r="C1809" t="s">
        <v>2109</v>
      </c>
      <c r="D1809" t="s">
        <v>2103</v>
      </c>
      <c r="E1809" s="183">
        <v>4.03</v>
      </c>
    </row>
    <row r="1810" spans="1:5" ht="14.25">
      <c r="A1810">
        <v>2683</v>
      </c>
      <c r="B1810" t="s">
        <v>9706</v>
      </c>
      <c r="C1810" t="s">
        <v>2109</v>
      </c>
      <c r="D1810" t="s">
        <v>2103</v>
      </c>
      <c r="E1810" s="183">
        <v>43.46</v>
      </c>
    </row>
    <row r="1811" spans="1:5" ht="14.25">
      <c r="A1811">
        <v>2676</v>
      </c>
      <c r="B1811" t="s">
        <v>9707</v>
      </c>
      <c r="C1811" t="s">
        <v>2109</v>
      </c>
      <c r="D1811" t="s">
        <v>2103</v>
      </c>
      <c r="E1811" s="183">
        <v>1.88</v>
      </c>
    </row>
    <row r="1812" spans="1:5" ht="14.25">
      <c r="A1812">
        <v>2678</v>
      </c>
      <c r="B1812" t="s">
        <v>9708</v>
      </c>
      <c r="C1812" t="s">
        <v>2109</v>
      </c>
      <c r="D1812" t="s">
        <v>2103</v>
      </c>
      <c r="E1812" s="183">
        <v>2.36</v>
      </c>
    </row>
    <row r="1813" spans="1:5" ht="14.25">
      <c r="A1813">
        <v>2679</v>
      </c>
      <c r="B1813" t="s">
        <v>9709</v>
      </c>
      <c r="C1813" t="s">
        <v>2109</v>
      </c>
      <c r="D1813" t="s">
        <v>2103</v>
      </c>
      <c r="E1813" s="183">
        <v>3.64</v>
      </c>
    </row>
    <row r="1814" spans="1:5" ht="14.25">
      <c r="A1814">
        <v>12070</v>
      </c>
      <c r="B1814" t="s">
        <v>9710</v>
      </c>
      <c r="C1814" t="s">
        <v>2109</v>
      </c>
      <c r="D1814" t="s">
        <v>2103</v>
      </c>
      <c r="E1814" s="183">
        <v>5.0599999999999996</v>
      </c>
    </row>
    <row r="1815" spans="1:5" ht="14.25">
      <c r="A1815">
        <v>2675</v>
      </c>
      <c r="B1815" t="s">
        <v>9711</v>
      </c>
      <c r="C1815" t="s">
        <v>2109</v>
      </c>
      <c r="D1815" t="s">
        <v>2103</v>
      </c>
      <c r="E1815" s="183">
        <v>6.58</v>
      </c>
    </row>
    <row r="1816" spans="1:5" ht="14.25">
      <c r="A1816">
        <v>12067</v>
      </c>
      <c r="B1816" t="s">
        <v>9712</v>
      </c>
      <c r="C1816" t="s">
        <v>2109</v>
      </c>
      <c r="D1816" t="s">
        <v>2103</v>
      </c>
      <c r="E1816" s="183">
        <v>8.93</v>
      </c>
    </row>
    <row r="1817" spans="1:5" ht="14.25">
      <c r="A1817">
        <v>21136</v>
      </c>
      <c r="B1817" t="s">
        <v>15225</v>
      </c>
      <c r="C1817" t="s">
        <v>2109</v>
      </c>
      <c r="D1817" t="s">
        <v>2103</v>
      </c>
      <c r="E1817" s="183">
        <v>10.54</v>
      </c>
    </row>
    <row r="1818" spans="1:5" ht="14.25">
      <c r="A1818">
        <v>21128</v>
      </c>
      <c r="B1818" t="s">
        <v>15226</v>
      </c>
      <c r="C1818" t="s">
        <v>2109</v>
      </c>
      <c r="D1818" t="s">
        <v>2107</v>
      </c>
      <c r="E1818" s="183">
        <v>8.16</v>
      </c>
    </row>
    <row r="1819" spans="1:5" ht="14.25">
      <c r="A1819">
        <v>21130</v>
      </c>
      <c r="B1819" t="s">
        <v>15227</v>
      </c>
      <c r="C1819" t="s">
        <v>2109</v>
      </c>
      <c r="D1819" t="s">
        <v>2103</v>
      </c>
      <c r="E1819" s="183">
        <v>20.61</v>
      </c>
    </row>
    <row r="1820" spans="1:5" ht="14.25">
      <c r="A1820">
        <v>21135</v>
      </c>
      <c r="B1820" t="s">
        <v>15228</v>
      </c>
      <c r="C1820" t="s">
        <v>2109</v>
      </c>
      <c r="D1820" t="s">
        <v>2103</v>
      </c>
      <c r="E1820" s="183">
        <v>20.29</v>
      </c>
    </row>
    <row r="1821" spans="1:5" ht="14.25">
      <c r="A1821">
        <v>40401</v>
      </c>
      <c r="B1821" t="s">
        <v>9713</v>
      </c>
      <c r="C1821" t="s">
        <v>2109</v>
      </c>
      <c r="D1821" t="s">
        <v>2103</v>
      </c>
      <c r="E1821" s="183">
        <v>3.1</v>
      </c>
    </row>
    <row r="1822" spans="1:5" ht="14.25">
      <c r="A1822">
        <v>40402</v>
      </c>
      <c r="B1822" t="s">
        <v>9714</v>
      </c>
      <c r="C1822" t="s">
        <v>2109</v>
      </c>
      <c r="D1822" t="s">
        <v>2103</v>
      </c>
      <c r="E1822" s="183">
        <v>3.98</v>
      </c>
    </row>
    <row r="1823" spans="1:5" ht="14.25">
      <c r="A1823">
        <v>40400</v>
      </c>
      <c r="B1823" t="s">
        <v>9715</v>
      </c>
      <c r="C1823" t="s">
        <v>2109</v>
      </c>
      <c r="D1823" t="s">
        <v>2103</v>
      </c>
      <c r="E1823" s="183">
        <v>2.1</v>
      </c>
    </row>
    <row r="1824" spans="1:5" ht="14.25">
      <c r="A1824">
        <v>2504</v>
      </c>
      <c r="B1824" t="s">
        <v>9716</v>
      </c>
      <c r="C1824" t="s">
        <v>2109</v>
      </c>
      <c r="D1824" t="s">
        <v>2103</v>
      </c>
      <c r="E1824" s="183">
        <v>9.0500000000000007</v>
      </c>
    </row>
    <row r="1825" spans="1:5" ht="14.25">
      <c r="A1825">
        <v>2501</v>
      </c>
      <c r="B1825" t="s">
        <v>9717</v>
      </c>
      <c r="C1825" t="s">
        <v>2109</v>
      </c>
      <c r="D1825" t="s">
        <v>2103</v>
      </c>
      <c r="E1825" s="183">
        <v>11.87</v>
      </c>
    </row>
    <row r="1826" spans="1:5" ht="14.25">
      <c r="A1826">
        <v>2502</v>
      </c>
      <c r="B1826" t="s">
        <v>9718</v>
      </c>
      <c r="C1826" t="s">
        <v>2109</v>
      </c>
      <c r="D1826" t="s">
        <v>2103</v>
      </c>
      <c r="E1826" s="183">
        <v>17.91</v>
      </c>
    </row>
    <row r="1827" spans="1:5" ht="14.25">
      <c r="A1827">
        <v>2503</v>
      </c>
      <c r="B1827" t="s">
        <v>9719</v>
      </c>
      <c r="C1827" t="s">
        <v>2109</v>
      </c>
      <c r="D1827" t="s">
        <v>2103</v>
      </c>
      <c r="E1827" s="183">
        <v>23.06</v>
      </c>
    </row>
    <row r="1828" spans="1:5" ht="14.25">
      <c r="A1828">
        <v>2500</v>
      </c>
      <c r="B1828" t="s">
        <v>9720</v>
      </c>
      <c r="C1828" t="s">
        <v>2109</v>
      </c>
      <c r="D1828" t="s">
        <v>2103</v>
      </c>
      <c r="E1828" s="183">
        <v>30.71</v>
      </c>
    </row>
    <row r="1829" spans="1:5" ht="14.25">
      <c r="A1829">
        <v>2505</v>
      </c>
      <c r="B1829" t="s">
        <v>9721</v>
      </c>
      <c r="C1829" t="s">
        <v>2109</v>
      </c>
      <c r="D1829" t="s">
        <v>2103</v>
      </c>
      <c r="E1829" s="183">
        <v>47.86</v>
      </c>
    </row>
    <row r="1830" spans="1:5" ht="14.25">
      <c r="A1830">
        <v>12056</v>
      </c>
      <c r="B1830" t="s">
        <v>9722</v>
      </c>
      <c r="C1830" t="s">
        <v>2109</v>
      </c>
      <c r="D1830" t="s">
        <v>2103</v>
      </c>
      <c r="E1830" s="183">
        <v>19.34</v>
      </c>
    </row>
    <row r="1831" spans="1:5" ht="14.25">
      <c r="A1831">
        <v>12057</v>
      </c>
      <c r="B1831" t="s">
        <v>9723</v>
      </c>
      <c r="C1831" t="s">
        <v>2109</v>
      </c>
      <c r="D1831" t="s">
        <v>2103</v>
      </c>
      <c r="E1831" s="183">
        <v>16.43</v>
      </c>
    </row>
    <row r="1832" spans="1:5" ht="14.25">
      <c r="A1832">
        <v>12059</v>
      </c>
      <c r="B1832" t="s">
        <v>9724</v>
      </c>
      <c r="C1832" t="s">
        <v>2109</v>
      </c>
      <c r="D1832" t="s">
        <v>2103</v>
      </c>
      <c r="E1832" s="183">
        <v>5.76</v>
      </c>
    </row>
    <row r="1833" spans="1:5" ht="14.25">
      <c r="A1833">
        <v>12058</v>
      </c>
      <c r="B1833" t="s">
        <v>9725</v>
      </c>
      <c r="C1833" t="s">
        <v>2109</v>
      </c>
      <c r="D1833" t="s">
        <v>2103</v>
      </c>
      <c r="E1833" s="183">
        <v>10.24</v>
      </c>
    </row>
    <row r="1834" spans="1:5" ht="14.25">
      <c r="A1834">
        <v>12060</v>
      </c>
      <c r="B1834" t="s">
        <v>9726</v>
      </c>
      <c r="C1834" t="s">
        <v>2109</v>
      </c>
      <c r="D1834" t="s">
        <v>2103</v>
      </c>
      <c r="E1834" s="183">
        <v>42.68</v>
      </c>
    </row>
    <row r="1835" spans="1:5" ht="14.25">
      <c r="A1835">
        <v>12061</v>
      </c>
      <c r="B1835" t="s">
        <v>9727</v>
      </c>
      <c r="C1835" t="s">
        <v>2109</v>
      </c>
      <c r="D1835" t="s">
        <v>2103</v>
      </c>
      <c r="E1835" s="183">
        <v>26.06</v>
      </c>
    </row>
    <row r="1836" spans="1:5" ht="14.25">
      <c r="A1836">
        <v>12062</v>
      </c>
      <c r="B1836" t="s">
        <v>9728</v>
      </c>
      <c r="C1836" t="s">
        <v>2109</v>
      </c>
      <c r="D1836" t="s">
        <v>2103</v>
      </c>
      <c r="E1836" s="183">
        <v>48.06</v>
      </c>
    </row>
    <row r="1837" spans="1:5" ht="14.25">
      <c r="A1837">
        <v>21137</v>
      </c>
      <c r="B1837" t="s">
        <v>9729</v>
      </c>
      <c r="C1837" t="s">
        <v>2109</v>
      </c>
      <c r="D1837" t="s">
        <v>2103</v>
      </c>
      <c r="E1837" s="183">
        <v>8.35</v>
      </c>
    </row>
    <row r="1838" spans="1:5" ht="14.25">
      <c r="A1838">
        <v>2687</v>
      </c>
      <c r="B1838" t="s">
        <v>9730</v>
      </c>
      <c r="C1838" t="s">
        <v>2109</v>
      </c>
      <c r="D1838" t="s">
        <v>2103</v>
      </c>
      <c r="E1838" s="183">
        <v>1.64</v>
      </c>
    </row>
    <row r="1839" spans="1:5" ht="14.25">
      <c r="A1839">
        <v>2689</v>
      </c>
      <c r="B1839" t="s">
        <v>9731</v>
      </c>
      <c r="C1839" t="s">
        <v>2109</v>
      </c>
      <c r="D1839" t="s">
        <v>2103</v>
      </c>
      <c r="E1839" s="183">
        <v>1.96</v>
      </c>
    </row>
    <row r="1840" spans="1:5" ht="14.25">
      <c r="A1840">
        <v>2688</v>
      </c>
      <c r="B1840" t="s">
        <v>9732</v>
      </c>
      <c r="C1840" t="s">
        <v>2109</v>
      </c>
      <c r="D1840" t="s">
        <v>2103</v>
      </c>
      <c r="E1840" s="183">
        <v>2.12</v>
      </c>
    </row>
    <row r="1841" spans="1:5" ht="14.25">
      <c r="A1841">
        <v>2690</v>
      </c>
      <c r="B1841" t="s">
        <v>9733</v>
      </c>
      <c r="C1841" t="s">
        <v>2109</v>
      </c>
      <c r="D1841" t="s">
        <v>2103</v>
      </c>
      <c r="E1841" s="183">
        <v>3.63</v>
      </c>
    </row>
    <row r="1842" spans="1:5" ht="14.25">
      <c r="A1842">
        <v>39243</v>
      </c>
      <c r="B1842" t="s">
        <v>9734</v>
      </c>
      <c r="C1842" t="s">
        <v>2109</v>
      </c>
      <c r="D1842" t="s">
        <v>2103</v>
      </c>
      <c r="E1842" s="183">
        <v>2.39</v>
      </c>
    </row>
    <row r="1843" spans="1:5" ht="14.25">
      <c r="A1843">
        <v>39244</v>
      </c>
      <c r="B1843" t="s">
        <v>9735</v>
      </c>
      <c r="C1843" t="s">
        <v>2109</v>
      </c>
      <c r="D1843" t="s">
        <v>2103</v>
      </c>
      <c r="E1843" s="183">
        <v>3.23</v>
      </c>
    </row>
    <row r="1844" spans="1:5" ht="14.25">
      <c r="A1844">
        <v>39245</v>
      </c>
      <c r="B1844" t="s">
        <v>9736</v>
      </c>
      <c r="C1844" t="s">
        <v>2109</v>
      </c>
      <c r="D1844" t="s">
        <v>2103</v>
      </c>
      <c r="E1844" s="183">
        <v>6.22</v>
      </c>
    </row>
    <row r="1845" spans="1:5" ht="14.25">
      <c r="A1845">
        <v>39254</v>
      </c>
      <c r="B1845" t="s">
        <v>9737</v>
      </c>
      <c r="C1845" t="s">
        <v>2109</v>
      </c>
      <c r="D1845" t="s">
        <v>2103</v>
      </c>
      <c r="E1845" s="183">
        <v>9.3000000000000007</v>
      </c>
    </row>
    <row r="1846" spans="1:5" ht="14.25">
      <c r="A1846">
        <v>39255</v>
      </c>
      <c r="B1846" t="s">
        <v>9738</v>
      </c>
      <c r="C1846" t="s">
        <v>2109</v>
      </c>
      <c r="D1846" t="s">
        <v>2103</v>
      </c>
      <c r="E1846" s="183">
        <v>17.22</v>
      </c>
    </row>
    <row r="1847" spans="1:5" ht="14.25">
      <c r="A1847">
        <v>39253</v>
      </c>
      <c r="B1847" t="s">
        <v>9739</v>
      </c>
      <c r="C1847" t="s">
        <v>2109</v>
      </c>
      <c r="D1847" t="s">
        <v>2103</v>
      </c>
      <c r="E1847" s="183">
        <v>11.86</v>
      </c>
    </row>
    <row r="1848" spans="1:5" ht="14.25">
      <c r="A1848">
        <v>39246</v>
      </c>
      <c r="B1848" t="s">
        <v>18363</v>
      </c>
      <c r="C1848" t="s">
        <v>2109</v>
      </c>
      <c r="D1848" t="s">
        <v>2103</v>
      </c>
      <c r="E1848" s="183">
        <v>5.38</v>
      </c>
    </row>
    <row r="1849" spans="1:5" ht="14.25">
      <c r="A1849">
        <v>39247</v>
      </c>
      <c r="B1849" t="s">
        <v>18364</v>
      </c>
      <c r="C1849" t="s">
        <v>2109</v>
      </c>
      <c r="D1849" t="s">
        <v>2103</v>
      </c>
      <c r="E1849" s="183">
        <v>4.6900000000000004</v>
      </c>
    </row>
    <row r="1850" spans="1:5" ht="14.25">
      <c r="A1850">
        <v>2446</v>
      </c>
      <c r="B1850" t="s">
        <v>18365</v>
      </c>
      <c r="C1850" t="s">
        <v>2109</v>
      </c>
      <c r="D1850" t="s">
        <v>2107</v>
      </c>
      <c r="E1850" s="183">
        <v>7.73</v>
      </c>
    </row>
    <row r="1851" spans="1:5" ht="14.25">
      <c r="A1851">
        <v>2442</v>
      </c>
      <c r="B1851" t="s">
        <v>18366</v>
      </c>
      <c r="C1851" t="s">
        <v>2109</v>
      </c>
      <c r="D1851" t="s">
        <v>2103</v>
      </c>
      <c r="E1851" s="183">
        <v>10.83</v>
      </c>
    </row>
    <row r="1852" spans="1:5" ht="14.25">
      <c r="A1852">
        <v>39248</v>
      </c>
      <c r="B1852" t="s">
        <v>18367</v>
      </c>
      <c r="C1852" t="s">
        <v>2109</v>
      </c>
      <c r="D1852" t="s">
        <v>2103</v>
      </c>
      <c r="E1852" s="183">
        <v>15.09</v>
      </c>
    </row>
    <row r="1853" spans="1:5" ht="14.25">
      <c r="A1853">
        <v>2438</v>
      </c>
      <c r="B1853" t="s">
        <v>15229</v>
      </c>
      <c r="C1853" t="s">
        <v>2106</v>
      </c>
      <c r="D1853" t="s">
        <v>2103</v>
      </c>
      <c r="E1853" s="183">
        <v>26.93</v>
      </c>
    </row>
    <row r="1854" spans="1:5" ht="14.25">
      <c r="A1854">
        <v>40922</v>
      </c>
      <c r="B1854" t="s">
        <v>9740</v>
      </c>
      <c r="C1854" t="s">
        <v>2123</v>
      </c>
      <c r="D1854" t="s">
        <v>2103</v>
      </c>
      <c r="E1854" s="184">
        <v>4724.63</v>
      </c>
    </row>
    <row r="1855" spans="1:5" ht="14.25">
      <c r="A1855">
        <v>36486</v>
      </c>
      <c r="B1855" t="s">
        <v>9741</v>
      </c>
      <c r="C1855" t="s">
        <v>2102</v>
      </c>
      <c r="D1855" t="s">
        <v>2105</v>
      </c>
      <c r="E1855" s="184">
        <v>70127.199999999997</v>
      </c>
    </row>
    <row r="1856" spans="1:5" ht="14.25">
      <c r="A1856">
        <v>37777</v>
      </c>
      <c r="B1856" t="s">
        <v>9742</v>
      </c>
      <c r="C1856" t="s">
        <v>2102</v>
      </c>
      <c r="D1856" t="s">
        <v>2105</v>
      </c>
      <c r="E1856" s="184">
        <v>330157.49</v>
      </c>
    </row>
    <row r="1857" spans="1:5" ht="14.25">
      <c r="A1857">
        <v>12624</v>
      </c>
      <c r="B1857" t="s">
        <v>18368</v>
      </c>
      <c r="C1857" t="s">
        <v>2102</v>
      </c>
      <c r="D1857" t="s">
        <v>2103</v>
      </c>
      <c r="E1857" s="183">
        <v>39.46</v>
      </c>
    </row>
    <row r="1858" spans="1:5" ht="14.25">
      <c r="A1858">
        <v>517</v>
      </c>
      <c r="B1858" t="s">
        <v>9743</v>
      </c>
      <c r="C1858" t="s">
        <v>2117</v>
      </c>
      <c r="D1858" t="s">
        <v>2103</v>
      </c>
      <c r="E1858" s="183">
        <v>10.94</v>
      </c>
    </row>
    <row r="1859" spans="1:5" ht="14.25">
      <c r="A1859">
        <v>37534</v>
      </c>
      <c r="B1859" t="s">
        <v>9744</v>
      </c>
      <c r="C1859" t="s">
        <v>2110</v>
      </c>
      <c r="D1859" t="s">
        <v>2105</v>
      </c>
      <c r="E1859" s="183">
        <v>21.64</v>
      </c>
    </row>
    <row r="1860" spans="1:5" ht="14.25">
      <c r="A1860">
        <v>37535</v>
      </c>
      <c r="B1860" t="s">
        <v>9745</v>
      </c>
      <c r="C1860" t="s">
        <v>2110</v>
      </c>
      <c r="D1860" t="s">
        <v>2105</v>
      </c>
      <c r="E1860" s="183">
        <v>21.64</v>
      </c>
    </row>
    <row r="1861" spans="1:5" ht="14.25">
      <c r="A1861">
        <v>37533</v>
      </c>
      <c r="B1861" t="s">
        <v>9746</v>
      </c>
      <c r="C1861" t="s">
        <v>2110</v>
      </c>
      <c r="D1861" t="s">
        <v>2105</v>
      </c>
      <c r="E1861" s="183">
        <v>21.64</v>
      </c>
    </row>
    <row r="1862" spans="1:5" ht="14.25">
      <c r="A1862">
        <v>37537</v>
      </c>
      <c r="B1862" t="s">
        <v>9747</v>
      </c>
      <c r="C1862" t="s">
        <v>2110</v>
      </c>
      <c r="D1862" t="s">
        <v>2105</v>
      </c>
      <c r="E1862" s="183">
        <v>16.38</v>
      </c>
    </row>
    <row r="1863" spans="1:5" ht="14.25">
      <c r="A1863">
        <v>37536</v>
      </c>
      <c r="B1863" t="s">
        <v>9748</v>
      </c>
      <c r="C1863" t="s">
        <v>2110</v>
      </c>
      <c r="D1863" t="s">
        <v>2105</v>
      </c>
      <c r="E1863" s="183">
        <v>16.38</v>
      </c>
    </row>
    <row r="1864" spans="1:5" ht="14.25">
      <c r="A1864">
        <v>37532</v>
      </c>
      <c r="B1864" t="s">
        <v>9749</v>
      </c>
      <c r="C1864" t="s">
        <v>2110</v>
      </c>
      <c r="D1864" t="s">
        <v>2105</v>
      </c>
      <c r="E1864" s="183">
        <v>16.38</v>
      </c>
    </row>
    <row r="1865" spans="1:5" ht="14.25">
      <c r="A1865">
        <v>2696</v>
      </c>
      <c r="B1865" t="s">
        <v>15230</v>
      </c>
      <c r="C1865" t="s">
        <v>2106</v>
      </c>
      <c r="D1865" t="s">
        <v>2107</v>
      </c>
      <c r="E1865" s="183">
        <v>19.18</v>
      </c>
    </row>
    <row r="1866" spans="1:5" ht="14.25">
      <c r="A1866">
        <v>40928</v>
      </c>
      <c r="B1866" t="s">
        <v>9750</v>
      </c>
      <c r="C1866" t="s">
        <v>2123</v>
      </c>
      <c r="D1866" t="s">
        <v>2103</v>
      </c>
      <c r="E1866" s="184">
        <v>3363.14</v>
      </c>
    </row>
    <row r="1867" spans="1:5" ht="14.25">
      <c r="A1867">
        <v>4083</v>
      </c>
      <c r="B1867" t="s">
        <v>15231</v>
      </c>
      <c r="C1867" t="s">
        <v>2106</v>
      </c>
      <c r="D1867" t="s">
        <v>2107</v>
      </c>
      <c r="E1867" s="183">
        <v>36.22</v>
      </c>
    </row>
    <row r="1868" spans="1:5" ht="14.25">
      <c r="A1868">
        <v>40818</v>
      </c>
      <c r="B1868" t="s">
        <v>9751</v>
      </c>
      <c r="C1868" t="s">
        <v>2123</v>
      </c>
      <c r="D1868" t="s">
        <v>2103</v>
      </c>
      <c r="E1868" s="184">
        <v>6349.64</v>
      </c>
    </row>
    <row r="1869" spans="1:5" ht="14.25">
      <c r="A1869">
        <v>43146</v>
      </c>
      <c r="B1869" t="s">
        <v>9752</v>
      </c>
      <c r="C1869" t="s">
        <v>2110</v>
      </c>
      <c r="D1869" t="s">
        <v>2103</v>
      </c>
      <c r="E1869" s="183">
        <v>7.95</v>
      </c>
    </row>
    <row r="1870" spans="1:5" ht="14.25">
      <c r="A1870">
        <v>2705</v>
      </c>
      <c r="B1870" t="s">
        <v>9753</v>
      </c>
      <c r="C1870" t="s">
        <v>15232</v>
      </c>
      <c r="D1870" t="s">
        <v>2103</v>
      </c>
      <c r="E1870" s="183">
        <v>0.85</v>
      </c>
    </row>
    <row r="1871" spans="1:5" ht="14.25">
      <c r="A1871">
        <v>14250</v>
      </c>
      <c r="B1871" t="s">
        <v>9754</v>
      </c>
      <c r="C1871" t="s">
        <v>15232</v>
      </c>
      <c r="D1871" t="s">
        <v>2107</v>
      </c>
      <c r="E1871" s="183">
        <v>0.87</v>
      </c>
    </row>
    <row r="1872" spans="1:5" ht="14.25">
      <c r="A1872">
        <v>11683</v>
      </c>
      <c r="B1872" t="s">
        <v>9755</v>
      </c>
      <c r="C1872" t="s">
        <v>2102</v>
      </c>
      <c r="D1872" t="s">
        <v>2103</v>
      </c>
      <c r="E1872" s="183">
        <v>40.86</v>
      </c>
    </row>
    <row r="1873" spans="1:5" ht="14.25">
      <c r="A1873">
        <v>11684</v>
      </c>
      <c r="B1873" t="s">
        <v>9756</v>
      </c>
      <c r="C1873" t="s">
        <v>2102</v>
      </c>
      <c r="D1873" t="s">
        <v>2103</v>
      </c>
      <c r="E1873" s="183">
        <v>44.73</v>
      </c>
    </row>
    <row r="1874" spans="1:5" ht="14.25">
      <c r="A1874">
        <v>6141</v>
      </c>
      <c r="B1874" t="s">
        <v>9757</v>
      </c>
      <c r="C1874" t="s">
        <v>2102</v>
      </c>
      <c r="D1874" t="s">
        <v>2103</v>
      </c>
      <c r="E1874" s="183">
        <v>4.84</v>
      </c>
    </row>
    <row r="1875" spans="1:5" ht="14.25">
      <c r="A1875">
        <v>11681</v>
      </c>
      <c r="B1875" t="s">
        <v>9758</v>
      </c>
      <c r="C1875" t="s">
        <v>2102</v>
      </c>
      <c r="D1875" t="s">
        <v>2103</v>
      </c>
      <c r="E1875" s="183">
        <v>6.1</v>
      </c>
    </row>
    <row r="1876" spans="1:5" ht="14.25">
      <c r="A1876">
        <v>2706</v>
      </c>
      <c r="B1876" t="s">
        <v>18369</v>
      </c>
      <c r="C1876" t="s">
        <v>2106</v>
      </c>
      <c r="D1876" t="s">
        <v>2107</v>
      </c>
      <c r="E1876" s="183">
        <v>110.7</v>
      </c>
    </row>
    <row r="1877" spans="1:5" ht="14.25">
      <c r="A1877">
        <v>40811</v>
      </c>
      <c r="B1877" t="s">
        <v>9759</v>
      </c>
      <c r="C1877" t="s">
        <v>2123</v>
      </c>
      <c r="D1877" t="s">
        <v>2103</v>
      </c>
      <c r="E1877" s="184">
        <v>19402.740000000002</v>
      </c>
    </row>
    <row r="1878" spans="1:5" ht="14.25">
      <c r="A1878">
        <v>2707</v>
      </c>
      <c r="B1878" t="s">
        <v>18370</v>
      </c>
      <c r="C1878" t="s">
        <v>2106</v>
      </c>
      <c r="D1878" t="s">
        <v>2103</v>
      </c>
      <c r="E1878" s="183">
        <v>118.92</v>
      </c>
    </row>
    <row r="1879" spans="1:5" ht="14.25">
      <c r="A1879">
        <v>40813</v>
      </c>
      <c r="B1879" t="s">
        <v>9760</v>
      </c>
      <c r="C1879" t="s">
        <v>2123</v>
      </c>
      <c r="D1879" t="s">
        <v>2103</v>
      </c>
      <c r="E1879" s="184">
        <v>20845.439999999999</v>
      </c>
    </row>
    <row r="1880" spans="1:5" ht="14.25">
      <c r="A1880">
        <v>2708</v>
      </c>
      <c r="B1880" t="s">
        <v>18371</v>
      </c>
      <c r="C1880" t="s">
        <v>2106</v>
      </c>
      <c r="D1880" t="s">
        <v>2103</v>
      </c>
      <c r="E1880" s="183">
        <v>139.04</v>
      </c>
    </row>
    <row r="1881" spans="1:5" ht="14.25">
      <c r="A1881">
        <v>40814</v>
      </c>
      <c r="B1881" t="s">
        <v>9761</v>
      </c>
      <c r="C1881" t="s">
        <v>2123</v>
      </c>
      <c r="D1881" t="s">
        <v>2103</v>
      </c>
      <c r="E1881" s="184">
        <v>24374.32</v>
      </c>
    </row>
    <row r="1882" spans="1:5" ht="14.25">
      <c r="A1882">
        <v>38403</v>
      </c>
      <c r="B1882" t="s">
        <v>9762</v>
      </c>
      <c r="C1882" t="s">
        <v>2102</v>
      </c>
      <c r="D1882" t="s">
        <v>2103</v>
      </c>
      <c r="E1882" s="183">
        <v>56.6</v>
      </c>
    </row>
    <row r="1883" spans="1:5" ht="14.25">
      <c r="A1883">
        <v>43482</v>
      </c>
      <c r="B1883" t="s">
        <v>9763</v>
      </c>
      <c r="C1883" t="s">
        <v>2106</v>
      </c>
      <c r="D1883" t="s">
        <v>2107</v>
      </c>
      <c r="E1883" s="183">
        <v>0.79</v>
      </c>
    </row>
    <row r="1884" spans="1:5" ht="14.25">
      <c r="A1884">
        <v>43494</v>
      </c>
      <c r="B1884" t="s">
        <v>9764</v>
      </c>
      <c r="C1884" t="s">
        <v>2123</v>
      </c>
      <c r="D1884" t="s">
        <v>2107</v>
      </c>
      <c r="E1884" s="183">
        <v>148.04</v>
      </c>
    </row>
    <row r="1885" spans="1:5" ht="14.25">
      <c r="A1885">
        <v>43483</v>
      </c>
      <c r="B1885" t="s">
        <v>9765</v>
      </c>
      <c r="C1885" t="s">
        <v>2106</v>
      </c>
      <c r="D1885" t="s">
        <v>2107</v>
      </c>
      <c r="E1885" s="183">
        <v>1.43</v>
      </c>
    </row>
    <row r="1886" spans="1:5" ht="14.25">
      <c r="A1886">
        <v>43495</v>
      </c>
      <c r="B1886" t="s">
        <v>9766</v>
      </c>
      <c r="C1886" t="s">
        <v>2123</v>
      </c>
      <c r="D1886" t="s">
        <v>2107</v>
      </c>
      <c r="E1886" s="183">
        <v>269.97000000000003</v>
      </c>
    </row>
    <row r="1887" spans="1:5" ht="14.25">
      <c r="A1887">
        <v>43484</v>
      </c>
      <c r="B1887" t="s">
        <v>9767</v>
      </c>
      <c r="C1887" t="s">
        <v>2106</v>
      </c>
      <c r="D1887" t="s">
        <v>2107</v>
      </c>
      <c r="E1887" s="183">
        <v>1.2</v>
      </c>
    </row>
    <row r="1888" spans="1:5" ht="14.25">
      <c r="A1888">
        <v>43496</v>
      </c>
      <c r="B1888" t="s">
        <v>9768</v>
      </c>
      <c r="C1888" t="s">
        <v>2123</v>
      </c>
      <c r="D1888" t="s">
        <v>2107</v>
      </c>
      <c r="E1888" s="183">
        <v>226.41</v>
      </c>
    </row>
    <row r="1889" spans="1:5" ht="14.25">
      <c r="A1889">
        <v>43485</v>
      </c>
      <c r="B1889" t="s">
        <v>9769</v>
      </c>
      <c r="C1889" t="s">
        <v>2106</v>
      </c>
      <c r="D1889" t="s">
        <v>2107</v>
      </c>
      <c r="E1889" s="183">
        <v>1.06</v>
      </c>
    </row>
    <row r="1890" spans="1:5" ht="14.25">
      <c r="A1890">
        <v>43497</v>
      </c>
      <c r="B1890" t="s">
        <v>9770</v>
      </c>
      <c r="C1890" t="s">
        <v>2123</v>
      </c>
      <c r="D1890" t="s">
        <v>2107</v>
      </c>
      <c r="E1890" s="183">
        <v>199.2</v>
      </c>
    </row>
    <row r="1891" spans="1:5" ht="14.25">
      <c r="A1891">
        <v>43487</v>
      </c>
      <c r="B1891" t="s">
        <v>9771</v>
      </c>
      <c r="C1891" t="s">
        <v>2106</v>
      </c>
      <c r="D1891" t="s">
        <v>2107</v>
      </c>
      <c r="E1891" s="183">
        <v>1.25</v>
      </c>
    </row>
    <row r="1892" spans="1:5" ht="14.25">
      <c r="A1892">
        <v>43499</v>
      </c>
      <c r="B1892" t="s">
        <v>9772</v>
      </c>
      <c r="C1892" t="s">
        <v>2123</v>
      </c>
      <c r="D1892" t="s">
        <v>2107</v>
      </c>
      <c r="E1892" s="183">
        <v>236.16</v>
      </c>
    </row>
    <row r="1893" spans="1:5" ht="14.25">
      <c r="A1893">
        <v>43486</v>
      </c>
      <c r="B1893" t="s">
        <v>9773</v>
      </c>
      <c r="C1893" t="s">
        <v>2106</v>
      </c>
      <c r="D1893" t="s">
        <v>2107</v>
      </c>
      <c r="E1893" s="183">
        <v>0.74</v>
      </c>
    </row>
    <row r="1894" spans="1:5" ht="14.25">
      <c r="A1894">
        <v>43498</v>
      </c>
      <c r="B1894" t="s">
        <v>9774</v>
      </c>
      <c r="C1894" t="s">
        <v>2123</v>
      </c>
      <c r="D1894" t="s">
        <v>2107</v>
      </c>
      <c r="E1894" s="183">
        <v>140.22999999999999</v>
      </c>
    </row>
    <row r="1895" spans="1:5" ht="14.25">
      <c r="A1895">
        <v>43488</v>
      </c>
      <c r="B1895" t="s">
        <v>9775</v>
      </c>
      <c r="C1895" t="s">
        <v>2106</v>
      </c>
      <c r="D1895" t="s">
        <v>2107</v>
      </c>
      <c r="E1895" s="183">
        <v>0.86</v>
      </c>
    </row>
    <row r="1896" spans="1:5" ht="14.25">
      <c r="A1896">
        <v>43500</v>
      </c>
      <c r="B1896" t="s">
        <v>9776</v>
      </c>
      <c r="C1896" t="s">
        <v>2123</v>
      </c>
      <c r="D1896" t="s">
        <v>2107</v>
      </c>
      <c r="E1896" s="183">
        <v>162.97</v>
      </c>
    </row>
    <row r="1897" spans="1:5" ht="14.25">
      <c r="A1897">
        <v>43489</v>
      </c>
      <c r="B1897" t="s">
        <v>9777</v>
      </c>
      <c r="C1897" t="s">
        <v>2106</v>
      </c>
      <c r="D1897" t="s">
        <v>2107</v>
      </c>
      <c r="E1897" s="183">
        <v>1.24</v>
      </c>
    </row>
    <row r="1898" spans="1:5" ht="14.25">
      <c r="A1898">
        <v>43501</v>
      </c>
      <c r="B1898" t="s">
        <v>9778</v>
      </c>
      <c r="C1898" t="s">
        <v>2123</v>
      </c>
      <c r="D1898" t="s">
        <v>2107</v>
      </c>
      <c r="E1898" s="183">
        <v>233.35</v>
      </c>
    </row>
    <row r="1899" spans="1:5" ht="14.25">
      <c r="A1899">
        <v>43490</v>
      </c>
      <c r="B1899" t="s">
        <v>9779</v>
      </c>
      <c r="C1899" t="s">
        <v>2106</v>
      </c>
      <c r="D1899" t="s">
        <v>2107</v>
      </c>
      <c r="E1899" s="183">
        <v>1.73</v>
      </c>
    </row>
    <row r="1900" spans="1:5" ht="14.25">
      <c r="A1900">
        <v>43502</v>
      </c>
      <c r="B1900" t="s">
        <v>9780</v>
      </c>
      <c r="C1900" t="s">
        <v>2123</v>
      </c>
      <c r="D1900" t="s">
        <v>2107</v>
      </c>
      <c r="E1900" s="183">
        <v>325.51</v>
      </c>
    </row>
    <row r="1901" spans="1:5" ht="14.25">
      <c r="A1901">
        <v>43491</v>
      </c>
      <c r="B1901" t="s">
        <v>9781</v>
      </c>
      <c r="C1901" t="s">
        <v>2106</v>
      </c>
      <c r="D1901" t="s">
        <v>2107</v>
      </c>
      <c r="E1901" s="183">
        <v>1.33</v>
      </c>
    </row>
    <row r="1902" spans="1:5" ht="14.25">
      <c r="A1902">
        <v>43503</v>
      </c>
      <c r="B1902" t="s">
        <v>9782</v>
      </c>
      <c r="C1902" t="s">
        <v>2123</v>
      </c>
      <c r="D1902" t="s">
        <v>2107</v>
      </c>
      <c r="E1902" s="183">
        <v>250.24</v>
      </c>
    </row>
    <row r="1903" spans="1:5" ht="14.25">
      <c r="A1903">
        <v>43492</v>
      </c>
      <c r="B1903" t="s">
        <v>9783</v>
      </c>
      <c r="C1903" t="s">
        <v>2106</v>
      </c>
      <c r="D1903" t="s">
        <v>2107</v>
      </c>
      <c r="E1903" s="183">
        <v>1.79</v>
      </c>
    </row>
    <row r="1904" spans="1:5" ht="14.25">
      <c r="A1904">
        <v>43504</v>
      </c>
      <c r="B1904" t="s">
        <v>9784</v>
      </c>
      <c r="C1904" t="s">
        <v>2123</v>
      </c>
      <c r="D1904" t="s">
        <v>2107</v>
      </c>
      <c r="E1904" s="183">
        <v>337.87</v>
      </c>
    </row>
    <row r="1905" spans="1:5" ht="14.25">
      <c r="A1905">
        <v>43493</v>
      </c>
      <c r="B1905" t="s">
        <v>9785</v>
      </c>
      <c r="C1905" t="s">
        <v>2106</v>
      </c>
      <c r="D1905" t="s">
        <v>2107</v>
      </c>
      <c r="E1905" s="183">
        <v>0.71</v>
      </c>
    </row>
    <row r="1906" spans="1:5" ht="14.25">
      <c r="A1906">
        <v>43505</v>
      </c>
      <c r="B1906" t="s">
        <v>9786</v>
      </c>
      <c r="C1906" t="s">
        <v>2123</v>
      </c>
      <c r="D1906" t="s">
        <v>2107</v>
      </c>
      <c r="E1906" s="183">
        <v>132.94</v>
      </c>
    </row>
    <row r="1907" spans="1:5" ht="14.25">
      <c r="A1907">
        <v>37774</v>
      </c>
      <c r="B1907" t="s">
        <v>9787</v>
      </c>
      <c r="C1907" t="s">
        <v>2102</v>
      </c>
      <c r="D1907" t="s">
        <v>2105</v>
      </c>
      <c r="E1907" s="184">
        <v>565124.71</v>
      </c>
    </row>
    <row r="1908" spans="1:5" ht="14.25">
      <c r="A1908">
        <v>38629</v>
      </c>
      <c r="B1908" t="s">
        <v>18372</v>
      </c>
      <c r="C1908" t="s">
        <v>2102</v>
      </c>
      <c r="D1908" t="s">
        <v>2103</v>
      </c>
      <c r="E1908" s="184">
        <v>2513671.87</v>
      </c>
    </row>
    <row r="1909" spans="1:5" ht="14.25">
      <c r="A1909">
        <v>38630</v>
      </c>
      <c r="B1909" t="s">
        <v>9788</v>
      </c>
      <c r="C1909" t="s">
        <v>2102</v>
      </c>
      <c r="D1909" t="s">
        <v>2103</v>
      </c>
      <c r="E1909" s="184">
        <v>1688671.87</v>
      </c>
    </row>
    <row r="1910" spans="1:5" ht="14.25">
      <c r="A1910">
        <v>38476</v>
      </c>
      <c r="B1910" t="s">
        <v>9789</v>
      </c>
      <c r="C1910" t="s">
        <v>2102</v>
      </c>
      <c r="D1910" t="s">
        <v>2103</v>
      </c>
      <c r="E1910" s="183">
        <v>425.36</v>
      </c>
    </row>
    <row r="1911" spans="1:5" ht="14.25">
      <c r="A1911">
        <v>38477</v>
      </c>
      <c r="B1911" t="s">
        <v>9790</v>
      </c>
      <c r="C1911" t="s">
        <v>2102</v>
      </c>
      <c r="D1911" t="s">
        <v>2103</v>
      </c>
      <c r="E1911" s="184">
        <v>1204.6099999999999</v>
      </c>
    </row>
    <row r="1912" spans="1:5" ht="14.25">
      <c r="A1912">
        <v>40635</v>
      </c>
      <c r="B1912" t="s">
        <v>9791</v>
      </c>
      <c r="C1912" t="s">
        <v>2102</v>
      </c>
      <c r="D1912" t="s">
        <v>2103</v>
      </c>
      <c r="E1912" s="184">
        <v>960573.9</v>
      </c>
    </row>
    <row r="1913" spans="1:5" ht="14.25">
      <c r="A1913">
        <v>36483</v>
      </c>
      <c r="B1913" t="s">
        <v>9792</v>
      </c>
      <c r="C1913" t="s">
        <v>2102</v>
      </c>
      <c r="D1913" t="s">
        <v>2103</v>
      </c>
      <c r="E1913" s="184">
        <v>870433.83</v>
      </c>
    </row>
    <row r="1914" spans="1:5" ht="14.25">
      <c r="A1914">
        <v>14525</v>
      </c>
      <c r="B1914" t="s">
        <v>9793</v>
      </c>
      <c r="C1914" t="s">
        <v>2102</v>
      </c>
      <c r="D1914" t="s">
        <v>2103</v>
      </c>
      <c r="E1914" s="184">
        <v>911395.42</v>
      </c>
    </row>
    <row r="1915" spans="1:5" ht="14.25">
      <c r="A1915">
        <v>36482</v>
      </c>
      <c r="B1915" t="s">
        <v>9794</v>
      </c>
      <c r="C1915" t="s">
        <v>2102</v>
      </c>
      <c r="D1915" t="s">
        <v>2103</v>
      </c>
      <c r="E1915" s="184">
        <v>781648.51</v>
      </c>
    </row>
    <row r="1916" spans="1:5" ht="14.25">
      <c r="A1916">
        <v>36408</v>
      </c>
      <c r="B1916" t="s">
        <v>9795</v>
      </c>
      <c r="C1916" t="s">
        <v>2102</v>
      </c>
      <c r="D1916" t="s">
        <v>2103</v>
      </c>
      <c r="E1916" s="184">
        <v>933924.29</v>
      </c>
    </row>
    <row r="1917" spans="1:5" ht="14.25">
      <c r="A1917">
        <v>2723</v>
      </c>
      <c r="B1917" t="s">
        <v>9796</v>
      </c>
      <c r="C1917" t="s">
        <v>2102</v>
      </c>
      <c r="D1917" t="s">
        <v>2103</v>
      </c>
      <c r="E1917" s="184">
        <v>716827.86</v>
      </c>
    </row>
    <row r="1918" spans="1:5" ht="14.25">
      <c r="A1918">
        <v>36481</v>
      </c>
      <c r="B1918" t="s">
        <v>9797</v>
      </c>
      <c r="C1918" t="s">
        <v>2102</v>
      </c>
      <c r="D1918" t="s">
        <v>2103</v>
      </c>
      <c r="E1918" s="184">
        <v>855073.23</v>
      </c>
    </row>
    <row r="1919" spans="1:5" ht="14.25">
      <c r="A1919">
        <v>10685</v>
      </c>
      <c r="B1919" t="s">
        <v>9798</v>
      </c>
      <c r="C1919" t="s">
        <v>2102</v>
      </c>
      <c r="D1919" t="s">
        <v>2107</v>
      </c>
      <c r="E1919" s="184">
        <v>819231.84</v>
      </c>
    </row>
    <row r="1920" spans="1:5" ht="14.25">
      <c r="A1920">
        <v>40636</v>
      </c>
      <c r="B1920" t="s">
        <v>9799</v>
      </c>
      <c r="C1920" t="s">
        <v>2102</v>
      </c>
      <c r="D1920" t="s">
        <v>2103</v>
      </c>
      <c r="E1920" s="184">
        <v>924732.51</v>
      </c>
    </row>
    <row r="1921" spans="1:5" ht="14.25">
      <c r="A1921">
        <v>4111</v>
      </c>
      <c r="B1921" t="s">
        <v>9800</v>
      </c>
      <c r="C1921" t="s">
        <v>2102</v>
      </c>
      <c r="D1921" t="s">
        <v>2103</v>
      </c>
      <c r="E1921" s="183">
        <v>60.27</v>
      </c>
    </row>
    <row r="1922" spans="1:5" ht="14.25">
      <c r="A1922">
        <v>44538</v>
      </c>
      <c r="B1922" t="s">
        <v>13574</v>
      </c>
      <c r="C1922" t="s">
        <v>2102</v>
      </c>
      <c r="D1922" t="s">
        <v>2103</v>
      </c>
      <c r="E1922" s="183">
        <v>38.33</v>
      </c>
    </row>
    <row r="1923" spans="1:5" ht="14.25">
      <c r="A1923">
        <v>12</v>
      </c>
      <c r="B1923" t="s">
        <v>9801</v>
      </c>
      <c r="C1923" t="s">
        <v>2102</v>
      </c>
      <c r="D1923" t="s">
        <v>2107</v>
      </c>
      <c r="E1923" s="183">
        <v>12.35</v>
      </c>
    </row>
    <row r="1924" spans="1:5" ht="14.25">
      <c r="A1924">
        <v>37554</v>
      </c>
      <c r="B1924" t="s">
        <v>9802</v>
      </c>
      <c r="C1924" t="s">
        <v>2102</v>
      </c>
      <c r="D1924" t="s">
        <v>2103</v>
      </c>
      <c r="E1924" s="183">
        <v>223.13</v>
      </c>
    </row>
    <row r="1925" spans="1:5" ht="14.25">
      <c r="A1925">
        <v>37555</v>
      </c>
      <c r="B1925" t="s">
        <v>9803</v>
      </c>
      <c r="C1925" t="s">
        <v>2102</v>
      </c>
      <c r="D1925" t="s">
        <v>2103</v>
      </c>
      <c r="E1925" s="183">
        <v>271.42</v>
      </c>
    </row>
    <row r="1926" spans="1:5" ht="14.25">
      <c r="A1926">
        <v>10902</v>
      </c>
      <c r="B1926" t="s">
        <v>9804</v>
      </c>
      <c r="C1926" t="s">
        <v>2102</v>
      </c>
      <c r="D1926" t="s">
        <v>2103</v>
      </c>
      <c r="E1926" s="183">
        <v>68.11</v>
      </c>
    </row>
    <row r="1927" spans="1:5" ht="14.25">
      <c r="A1927">
        <v>20965</v>
      </c>
      <c r="B1927" t="s">
        <v>9805</v>
      </c>
      <c r="C1927" t="s">
        <v>2102</v>
      </c>
      <c r="D1927" t="s">
        <v>2103</v>
      </c>
      <c r="E1927" s="183">
        <v>68.739999999999995</v>
      </c>
    </row>
    <row r="1928" spans="1:5" ht="14.25">
      <c r="A1928">
        <v>20966</v>
      </c>
      <c r="B1928" t="s">
        <v>9806</v>
      </c>
      <c r="C1928" t="s">
        <v>2102</v>
      </c>
      <c r="D1928" t="s">
        <v>2103</v>
      </c>
      <c r="E1928" s="183">
        <v>74.010000000000005</v>
      </c>
    </row>
    <row r="1929" spans="1:5" ht="14.25">
      <c r="A1929">
        <v>10903</v>
      </c>
      <c r="B1929" t="s">
        <v>9807</v>
      </c>
      <c r="C1929" t="s">
        <v>2102</v>
      </c>
      <c r="D1929" t="s">
        <v>2103</v>
      </c>
      <c r="E1929" s="183">
        <v>112.19</v>
      </c>
    </row>
    <row r="1930" spans="1:5" ht="14.25">
      <c r="A1930">
        <v>20967</v>
      </c>
      <c r="B1930" t="s">
        <v>9808</v>
      </c>
      <c r="C1930" t="s">
        <v>2102</v>
      </c>
      <c r="D1930" t="s">
        <v>2103</v>
      </c>
      <c r="E1930" s="183">
        <v>112.19</v>
      </c>
    </row>
    <row r="1931" spans="1:5" ht="14.25">
      <c r="A1931">
        <v>20968</v>
      </c>
      <c r="B1931" t="s">
        <v>9809</v>
      </c>
      <c r="C1931" t="s">
        <v>2102</v>
      </c>
      <c r="D1931" t="s">
        <v>2103</v>
      </c>
      <c r="E1931" s="183">
        <v>123.04</v>
      </c>
    </row>
    <row r="1932" spans="1:5" ht="14.25">
      <c r="A1932">
        <v>11359</v>
      </c>
      <c r="B1932" t="s">
        <v>9810</v>
      </c>
      <c r="C1932" t="s">
        <v>2102</v>
      </c>
      <c r="D1932" t="s">
        <v>2105</v>
      </c>
      <c r="E1932" s="183">
        <v>894.5</v>
      </c>
    </row>
    <row r="1933" spans="1:5" ht="14.25">
      <c r="A1933">
        <v>39017</v>
      </c>
      <c r="B1933" t="s">
        <v>9811</v>
      </c>
      <c r="C1933" t="s">
        <v>2102</v>
      </c>
      <c r="D1933" t="s">
        <v>2105</v>
      </c>
      <c r="E1933" s="183">
        <v>0.22</v>
      </c>
    </row>
    <row r="1934" spans="1:5" ht="14.25">
      <c r="A1934">
        <v>39315</v>
      </c>
      <c r="B1934" t="s">
        <v>9812</v>
      </c>
      <c r="C1934" t="s">
        <v>2102</v>
      </c>
      <c r="D1934" t="s">
        <v>2105</v>
      </c>
      <c r="E1934" s="183">
        <v>0.35</v>
      </c>
    </row>
    <row r="1935" spans="1:5" ht="14.25">
      <c r="A1935">
        <v>39016</v>
      </c>
      <c r="B1935" t="s">
        <v>9813</v>
      </c>
      <c r="C1935" t="s">
        <v>2102</v>
      </c>
      <c r="D1935" t="s">
        <v>2105</v>
      </c>
      <c r="E1935" s="183">
        <v>0.36</v>
      </c>
    </row>
    <row r="1936" spans="1:5" ht="14.25">
      <c r="A1936">
        <v>39481</v>
      </c>
      <c r="B1936" t="s">
        <v>9814</v>
      </c>
      <c r="C1936" t="s">
        <v>2102</v>
      </c>
      <c r="D1936" t="s">
        <v>2105</v>
      </c>
      <c r="E1936" s="183">
        <v>1.74</v>
      </c>
    </row>
    <row r="1937" spans="1:5" ht="14.25">
      <c r="A1937">
        <v>39013</v>
      </c>
      <c r="B1937" t="s">
        <v>15233</v>
      </c>
      <c r="C1937" t="s">
        <v>2102</v>
      </c>
      <c r="D1937" t="s">
        <v>2105</v>
      </c>
      <c r="E1937" s="183">
        <v>1.48</v>
      </c>
    </row>
    <row r="1938" spans="1:5" ht="14.25">
      <c r="A1938">
        <v>44919</v>
      </c>
      <c r="B1938" t="s">
        <v>15234</v>
      </c>
      <c r="C1938" t="s">
        <v>2102</v>
      </c>
      <c r="D1938" t="s">
        <v>2105</v>
      </c>
      <c r="E1938" s="183">
        <v>2.77</v>
      </c>
    </row>
    <row r="1939" spans="1:5" ht="14.25">
      <c r="A1939">
        <v>40433</v>
      </c>
      <c r="B1939" t="s">
        <v>9815</v>
      </c>
      <c r="C1939" t="s">
        <v>2102</v>
      </c>
      <c r="D1939" t="s">
        <v>2105</v>
      </c>
      <c r="E1939" s="183">
        <v>1.53</v>
      </c>
    </row>
    <row r="1940" spans="1:5" ht="14.25">
      <c r="A1940">
        <v>20219</v>
      </c>
      <c r="B1940" t="s">
        <v>9816</v>
      </c>
      <c r="C1940" t="s">
        <v>2102</v>
      </c>
      <c r="D1940" t="s">
        <v>2105</v>
      </c>
      <c r="E1940" s="184">
        <v>116000</v>
      </c>
    </row>
    <row r="1941" spans="1:5" ht="14.25">
      <c r="A1941">
        <v>36484</v>
      </c>
      <c r="B1941" t="s">
        <v>9817</v>
      </c>
      <c r="C1941" t="s">
        <v>2102</v>
      </c>
      <c r="D1941" t="s">
        <v>2105</v>
      </c>
      <c r="E1941" s="184">
        <v>246246.87</v>
      </c>
    </row>
    <row r="1942" spans="1:5" ht="14.25">
      <c r="A1942">
        <v>38367</v>
      </c>
      <c r="B1942" t="s">
        <v>9818</v>
      </c>
      <c r="C1942" t="s">
        <v>2102</v>
      </c>
      <c r="D1942" t="s">
        <v>2103</v>
      </c>
      <c r="E1942" s="183">
        <v>22.85</v>
      </c>
    </row>
    <row r="1943" spans="1:5" ht="14.25">
      <c r="A1943">
        <v>38368</v>
      </c>
      <c r="B1943" t="s">
        <v>9819</v>
      </c>
      <c r="C1943" t="s">
        <v>2102</v>
      </c>
      <c r="D1943" t="s">
        <v>2103</v>
      </c>
      <c r="E1943" s="183">
        <v>8.9</v>
      </c>
    </row>
    <row r="1944" spans="1:5" ht="14.25">
      <c r="A1944">
        <v>38091</v>
      </c>
      <c r="B1944" t="s">
        <v>9820</v>
      </c>
      <c r="C1944" t="s">
        <v>2102</v>
      </c>
      <c r="D1944" t="s">
        <v>2103</v>
      </c>
      <c r="E1944" s="183">
        <v>2.8</v>
      </c>
    </row>
    <row r="1945" spans="1:5" ht="14.25">
      <c r="A1945">
        <v>38095</v>
      </c>
      <c r="B1945" t="s">
        <v>9821</v>
      </c>
      <c r="C1945" t="s">
        <v>2102</v>
      </c>
      <c r="D1945" t="s">
        <v>2103</v>
      </c>
      <c r="E1945" s="183">
        <v>5.93</v>
      </c>
    </row>
    <row r="1946" spans="1:5" ht="14.25">
      <c r="A1946">
        <v>38092</v>
      </c>
      <c r="B1946" t="s">
        <v>9822</v>
      </c>
      <c r="C1946" t="s">
        <v>2102</v>
      </c>
      <c r="D1946" t="s">
        <v>2103</v>
      </c>
      <c r="E1946" s="183">
        <v>2.66</v>
      </c>
    </row>
    <row r="1947" spans="1:5" ht="14.25">
      <c r="A1947">
        <v>38093</v>
      </c>
      <c r="B1947" t="s">
        <v>9823</v>
      </c>
      <c r="C1947" t="s">
        <v>2102</v>
      </c>
      <c r="D1947" t="s">
        <v>2103</v>
      </c>
      <c r="E1947" s="183">
        <v>2.75</v>
      </c>
    </row>
    <row r="1948" spans="1:5" ht="14.25">
      <c r="A1948">
        <v>38096</v>
      </c>
      <c r="B1948" t="s">
        <v>9824</v>
      </c>
      <c r="C1948" t="s">
        <v>2102</v>
      </c>
      <c r="D1948" t="s">
        <v>2103</v>
      </c>
      <c r="E1948" s="183">
        <v>6.38</v>
      </c>
    </row>
    <row r="1949" spans="1:5" ht="14.25">
      <c r="A1949">
        <v>38094</v>
      </c>
      <c r="B1949" t="s">
        <v>9825</v>
      </c>
      <c r="C1949" t="s">
        <v>2102</v>
      </c>
      <c r="D1949" t="s">
        <v>2103</v>
      </c>
      <c r="E1949" s="183">
        <v>3.36</v>
      </c>
    </row>
    <row r="1950" spans="1:5" ht="14.25">
      <c r="A1950">
        <v>38097</v>
      </c>
      <c r="B1950" t="s">
        <v>9826</v>
      </c>
      <c r="C1950" t="s">
        <v>2102</v>
      </c>
      <c r="D1950" t="s">
        <v>2103</v>
      </c>
      <c r="E1950" s="183">
        <v>6.83</v>
      </c>
    </row>
    <row r="1951" spans="1:5" ht="14.25">
      <c r="A1951">
        <v>38098</v>
      </c>
      <c r="B1951" t="s">
        <v>9827</v>
      </c>
      <c r="C1951" t="s">
        <v>2102</v>
      </c>
      <c r="D1951" t="s">
        <v>2103</v>
      </c>
      <c r="E1951" s="183">
        <v>6.83</v>
      </c>
    </row>
    <row r="1952" spans="1:5" ht="14.25">
      <c r="A1952">
        <v>11186</v>
      </c>
      <c r="B1952" t="s">
        <v>9828</v>
      </c>
      <c r="C1952" t="s">
        <v>2104</v>
      </c>
      <c r="D1952" t="s">
        <v>2103</v>
      </c>
      <c r="E1952" s="183">
        <v>442.9</v>
      </c>
    </row>
    <row r="1953" spans="1:5" ht="14.25">
      <c r="A1953">
        <v>11558</v>
      </c>
      <c r="B1953" t="s">
        <v>9829</v>
      </c>
      <c r="C1953" t="s">
        <v>2136</v>
      </c>
      <c r="D1953" t="s">
        <v>2103</v>
      </c>
      <c r="E1953" s="183">
        <v>13.96</v>
      </c>
    </row>
    <row r="1954" spans="1:5" ht="14.25">
      <c r="A1954">
        <v>11557</v>
      </c>
      <c r="B1954" t="s">
        <v>9830</v>
      </c>
      <c r="C1954" t="s">
        <v>2136</v>
      </c>
      <c r="D1954" t="s">
        <v>2103</v>
      </c>
      <c r="E1954" s="183">
        <v>35.35</v>
      </c>
    </row>
    <row r="1955" spans="1:5" ht="14.25">
      <c r="A1955">
        <v>2759</v>
      </c>
      <c r="B1955" t="s">
        <v>9831</v>
      </c>
      <c r="C1955" t="s">
        <v>2102</v>
      </c>
      <c r="D1955" t="s">
        <v>2105</v>
      </c>
      <c r="E1955" s="183">
        <v>9.68</v>
      </c>
    </row>
    <row r="1956" spans="1:5" ht="14.25">
      <c r="A1956">
        <v>38124</v>
      </c>
      <c r="B1956" t="s">
        <v>9832</v>
      </c>
      <c r="C1956" t="s">
        <v>2102</v>
      </c>
      <c r="D1956" t="s">
        <v>2107</v>
      </c>
      <c r="E1956" s="183">
        <v>33</v>
      </c>
    </row>
    <row r="1957" spans="1:5" ht="14.25">
      <c r="A1957">
        <v>38380</v>
      </c>
      <c r="B1957" t="s">
        <v>9833</v>
      </c>
      <c r="C1957" t="s">
        <v>2102</v>
      </c>
      <c r="D1957" t="s">
        <v>2103</v>
      </c>
      <c r="E1957" s="183">
        <v>36.31</v>
      </c>
    </row>
    <row r="1958" spans="1:5" ht="14.25">
      <c r="A1958">
        <v>42429</v>
      </c>
      <c r="B1958" t="s">
        <v>9834</v>
      </c>
      <c r="C1958" t="s">
        <v>2102</v>
      </c>
      <c r="D1958" t="s">
        <v>2105</v>
      </c>
      <c r="E1958" s="184">
        <v>6025.1</v>
      </c>
    </row>
    <row r="1959" spans="1:5" ht="14.25">
      <c r="A1959">
        <v>39616</v>
      </c>
      <c r="B1959" t="s">
        <v>9835</v>
      </c>
      <c r="C1959" t="s">
        <v>2102</v>
      </c>
      <c r="D1959" t="s">
        <v>2105</v>
      </c>
      <c r="E1959" s="183">
        <v>443.87</v>
      </c>
    </row>
    <row r="1960" spans="1:5" ht="14.25">
      <c r="A1960">
        <v>39618</v>
      </c>
      <c r="B1960" t="s">
        <v>9836</v>
      </c>
      <c r="C1960" t="s">
        <v>2102</v>
      </c>
      <c r="D1960" t="s">
        <v>2105</v>
      </c>
      <c r="E1960" s="183">
        <v>805.1</v>
      </c>
    </row>
    <row r="1961" spans="1:5" ht="14.25">
      <c r="A1961">
        <v>39619</v>
      </c>
      <c r="B1961" t="s">
        <v>9837</v>
      </c>
      <c r="C1961" t="s">
        <v>2102</v>
      </c>
      <c r="D1961" t="s">
        <v>2105</v>
      </c>
      <c r="E1961" s="184">
        <v>1102.67</v>
      </c>
    </row>
    <row r="1962" spans="1:5" ht="14.25">
      <c r="A1962">
        <v>39613</v>
      </c>
      <c r="B1962" t="s">
        <v>9838</v>
      </c>
      <c r="C1962" t="s">
        <v>2102</v>
      </c>
      <c r="D1962" t="s">
        <v>2105</v>
      </c>
      <c r="E1962" s="183">
        <v>176.31</v>
      </c>
    </row>
    <row r="1963" spans="1:5" ht="14.25">
      <c r="A1963">
        <v>39614</v>
      </c>
      <c r="B1963" t="s">
        <v>9839</v>
      </c>
      <c r="C1963" t="s">
        <v>2102</v>
      </c>
      <c r="D1963" t="s">
        <v>2105</v>
      </c>
      <c r="E1963" s="183">
        <v>257.23</v>
      </c>
    </row>
    <row r="1964" spans="1:5" ht="14.25">
      <c r="A1964">
        <v>38538</v>
      </c>
      <c r="B1964" t="s">
        <v>9840</v>
      </c>
      <c r="C1964" t="s">
        <v>2109</v>
      </c>
      <c r="D1964" t="s">
        <v>2105</v>
      </c>
      <c r="E1964" s="183">
        <v>81.8</v>
      </c>
    </row>
    <row r="1965" spans="1:5" ht="14.25">
      <c r="A1965">
        <v>38539</v>
      </c>
      <c r="B1965" t="s">
        <v>9841</v>
      </c>
      <c r="C1965" t="s">
        <v>2109</v>
      </c>
      <c r="D1965" t="s">
        <v>2105</v>
      </c>
      <c r="E1965" s="183">
        <v>111.23</v>
      </c>
    </row>
    <row r="1966" spans="1:5" ht="14.25">
      <c r="A1966">
        <v>38540</v>
      </c>
      <c r="B1966" t="s">
        <v>9842</v>
      </c>
      <c r="C1966" t="s">
        <v>2109</v>
      </c>
      <c r="D1966" t="s">
        <v>2105</v>
      </c>
      <c r="E1966" s="183">
        <v>285.07</v>
      </c>
    </row>
    <row r="1967" spans="1:5" ht="14.25">
      <c r="A1967">
        <v>38384</v>
      </c>
      <c r="B1967" t="s">
        <v>9843</v>
      </c>
      <c r="C1967" t="s">
        <v>2102</v>
      </c>
      <c r="D1967" t="s">
        <v>2103</v>
      </c>
      <c r="E1967" s="183">
        <v>23.07</v>
      </c>
    </row>
    <row r="1968" spans="1:5" ht="14.25">
      <c r="A1968">
        <v>13</v>
      </c>
      <c r="B1968" t="s">
        <v>9844</v>
      </c>
      <c r="C1968" t="s">
        <v>2110</v>
      </c>
      <c r="D1968" t="s">
        <v>2103</v>
      </c>
      <c r="E1968" s="183">
        <v>19.010000000000002</v>
      </c>
    </row>
    <row r="1969" spans="1:5" ht="14.25">
      <c r="A1969">
        <v>2762</v>
      </c>
      <c r="B1969" t="s">
        <v>9845</v>
      </c>
      <c r="C1969" t="s">
        <v>2109</v>
      </c>
      <c r="D1969" t="s">
        <v>2105</v>
      </c>
      <c r="E1969" s="183">
        <v>12.1</v>
      </c>
    </row>
    <row r="1970" spans="1:5" ht="14.25">
      <c r="A1970">
        <v>21142</v>
      </c>
      <c r="B1970" t="s">
        <v>9846</v>
      </c>
      <c r="C1970" t="s">
        <v>2102</v>
      </c>
      <c r="D1970" t="s">
        <v>2103</v>
      </c>
      <c r="E1970" s="183">
        <v>40.299999999999997</v>
      </c>
    </row>
    <row r="1971" spans="1:5" ht="14.25">
      <c r="A1971">
        <v>4223</v>
      </c>
      <c r="B1971" t="s">
        <v>9847</v>
      </c>
      <c r="C1971" t="s">
        <v>2117</v>
      </c>
      <c r="D1971" t="s">
        <v>2107</v>
      </c>
      <c r="E1971" s="183">
        <v>4.1100000000000003</v>
      </c>
    </row>
    <row r="1972" spans="1:5" ht="14.25">
      <c r="A1972">
        <v>37372</v>
      </c>
      <c r="B1972" t="s">
        <v>18373</v>
      </c>
      <c r="C1972" t="s">
        <v>2106</v>
      </c>
      <c r="D1972" t="s">
        <v>2107</v>
      </c>
      <c r="E1972" s="183">
        <v>1.34</v>
      </c>
    </row>
    <row r="1973" spans="1:5" ht="14.25">
      <c r="A1973">
        <v>40863</v>
      </c>
      <c r="B1973" t="s">
        <v>18374</v>
      </c>
      <c r="C1973" t="s">
        <v>2123</v>
      </c>
      <c r="D1973" t="s">
        <v>2107</v>
      </c>
      <c r="E1973" s="183">
        <v>252.08</v>
      </c>
    </row>
    <row r="1974" spans="1:5" ht="14.25">
      <c r="A1974">
        <v>38475</v>
      </c>
      <c r="B1974" t="s">
        <v>9848</v>
      </c>
      <c r="C1974" t="s">
        <v>2102</v>
      </c>
      <c r="D1974" t="s">
        <v>2103</v>
      </c>
      <c r="E1974" s="183">
        <v>36.9</v>
      </c>
    </row>
    <row r="1975" spans="1:5" ht="14.25">
      <c r="A1975">
        <v>38474</v>
      </c>
      <c r="B1975" t="s">
        <v>9849</v>
      </c>
      <c r="C1975" t="s">
        <v>2102</v>
      </c>
      <c r="D1975" t="s">
        <v>2103</v>
      </c>
      <c r="E1975" s="183">
        <v>45.62</v>
      </c>
    </row>
    <row r="1976" spans="1:5" ht="14.25">
      <c r="A1976">
        <v>10886</v>
      </c>
      <c r="B1976" t="s">
        <v>9850</v>
      </c>
      <c r="C1976" t="s">
        <v>2102</v>
      </c>
      <c r="D1976" t="s">
        <v>2103</v>
      </c>
      <c r="E1976" s="183">
        <v>192.5</v>
      </c>
    </row>
    <row r="1977" spans="1:5" ht="14.25">
      <c r="A1977">
        <v>10888</v>
      </c>
      <c r="B1977" t="s">
        <v>9851</v>
      </c>
      <c r="C1977" t="s">
        <v>2102</v>
      </c>
      <c r="D1977" t="s">
        <v>2103</v>
      </c>
      <c r="E1977" s="183">
        <v>609.23</v>
      </c>
    </row>
    <row r="1978" spans="1:5" ht="14.25">
      <c r="A1978">
        <v>10889</v>
      </c>
      <c r="B1978" t="s">
        <v>9852</v>
      </c>
      <c r="C1978" t="s">
        <v>2102</v>
      </c>
      <c r="D1978" t="s">
        <v>2103</v>
      </c>
      <c r="E1978" s="183">
        <v>660</v>
      </c>
    </row>
    <row r="1979" spans="1:5" ht="14.25">
      <c r="A1979">
        <v>10890</v>
      </c>
      <c r="B1979" t="s">
        <v>9853</v>
      </c>
      <c r="C1979" t="s">
        <v>2102</v>
      </c>
      <c r="D1979" t="s">
        <v>2103</v>
      </c>
      <c r="E1979" s="183">
        <v>304.61</v>
      </c>
    </row>
    <row r="1980" spans="1:5" ht="14.25">
      <c r="A1980">
        <v>10891</v>
      </c>
      <c r="B1980" t="s">
        <v>9854</v>
      </c>
      <c r="C1980" t="s">
        <v>2102</v>
      </c>
      <c r="D1980" t="s">
        <v>2103</v>
      </c>
      <c r="E1980" s="183">
        <v>186.15</v>
      </c>
    </row>
    <row r="1981" spans="1:5" ht="14.25">
      <c r="A1981">
        <v>10892</v>
      </c>
      <c r="B1981" t="s">
        <v>9855</v>
      </c>
      <c r="C1981" t="s">
        <v>2102</v>
      </c>
      <c r="D1981" t="s">
        <v>2107</v>
      </c>
      <c r="E1981" s="183">
        <v>220</v>
      </c>
    </row>
    <row r="1982" spans="1:5" ht="14.25">
      <c r="A1982">
        <v>20977</v>
      </c>
      <c r="B1982" t="s">
        <v>9856</v>
      </c>
      <c r="C1982" t="s">
        <v>2102</v>
      </c>
      <c r="D1982" t="s">
        <v>2103</v>
      </c>
      <c r="E1982" s="183">
        <v>262.3</v>
      </c>
    </row>
    <row r="1983" spans="1:5" ht="14.25">
      <c r="A1983">
        <v>3073</v>
      </c>
      <c r="B1983" t="s">
        <v>9857</v>
      </c>
      <c r="C1983" t="s">
        <v>2102</v>
      </c>
      <c r="D1983" t="s">
        <v>2105</v>
      </c>
      <c r="E1983" s="183">
        <v>168.07</v>
      </c>
    </row>
    <row r="1984" spans="1:5" ht="14.25">
      <c r="A1984">
        <v>3074</v>
      </c>
      <c r="B1984" t="s">
        <v>9858</v>
      </c>
      <c r="C1984" t="s">
        <v>2102</v>
      </c>
      <c r="D1984" t="s">
        <v>2105</v>
      </c>
      <c r="E1984" s="183">
        <v>106.1</v>
      </c>
    </row>
    <row r="1985" spans="1:5" ht="14.25">
      <c r="A1985">
        <v>3076</v>
      </c>
      <c r="B1985" t="s">
        <v>9859</v>
      </c>
      <c r="C1985" t="s">
        <v>2102</v>
      </c>
      <c r="D1985" t="s">
        <v>2105</v>
      </c>
      <c r="E1985" s="183">
        <v>138.16999999999999</v>
      </c>
    </row>
    <row r="1986" spans="1:5" ht="14.25">
      <c r="A1986">
        <v>3075</v>
      </c>
      <c r="B1986" t="s">
        <v>9860</v>
      </c>
      <c r="C1986" t="s">
        <v>2102</v>
      </c>
      <c r="D1986" t="s">
        <v>2105</v>
      </c>
      <c r="E1986" s="183">
        <v>87.31</v>
      </c>
    </row>
    <row r="1987" spans="1:5" ht="14.25">
      <c r="A1987">
        <v>10781</v>
      </c>
      <c r="B1987" t="s">
        <v>9861</v>
      </c>
      <c r="C1987" t="s">
        <v>2102</v>
      </c>
      <c r="D1987" t="s">
        <v>2105</v>
      </c>
      <c r="E1987" s="183">
        <v>11.84</v>
      </c>
    </row>
    <row r="1988" spans="1:5" ht="14.25">
      <c r="A1988">
        <v>43612</v>
      </c>
      <c r="B1988" t="s">
        <v>9862</v>
      </c>
      <c r="C1988" t="s">
        <v>2194</v>
      </c>
      <c r="D1988" t="s">
        <v>2103</v>
      </c>
      <c r="E1988" s="183">
        <v>93.82</v>
      </c>
    </row>
    <row r="1989" spans="1:5" ht="14.25">
      <c r="A1989">
        <v>43613</v>
      </c>
      <c r="B1989" t="s">
        <v>9863</v>
      </c>
      <c r="C1989" t="s">
        <v>2194</v>
      </c>
      <c r="D1989" t="s">
        <v>2103</v>
      </c>
      <c r="E1989" s="183">
        <v>77.67</v>
      </c>
    </row>
    <row r="1990" spans="1:5" ht="14.25">
      <c r="A1990">
        <v>11480</v>
      </c>
      <c r="B1990" t="s">
        <v>9864</v>
      </c>
      <c r="C1990" t="s">
        <v>2194</v>
      </c>
      <c r="D1990" t="s">
        <v>2103</v>
      </c>
      <c r="E1990" s="183">
        <v>119.2</v>
      </c>
    </row>
    <row r="1991" spans="1:5" ht="14.25">
      <c r="A1991">
        <v>11469</v>
      </c>
      <c r="B1991" t="s">
        <v>9865</v>
      </c>
      <c r="C1991" t="s">
        <v>2102</v>
      </c>
      <c r="D1991" t="s">
        <v>2103</v>
      </c>
      <c r="E1991" s="183">
        <v>12.72</v>
      </c>
    </row>
    <row r="1992" spans="1:5" ht="14.25">
      <c r="A1992">
        <v>11468</v>
      </c>
      <c r="B1992" t="s">
        <v>9866</v>
      </c>
      <c r="C1992" t="s">
        <v>2102</v>
      </c>
      <c r="D1992" t="s">
        <v>2103</v>
      </c>
      <c r="E1992" s="183">
        <v>12.73</v>
      </c>
    </row>
    <row r="1993" spans="1:5" ht="14.25">
      <c r="A1993">
        <v>11484</v>
      </c>
      <c r="B1993" t="s">
        <v>9867</v>
      </c>
      <c r="C1993" t="s">
        <v>2102</v>
      </c>
      <c r="D1993" t="s">
        <v>2103</v>
      </c>
      <c r="E1993" s="183">
        <v>55.92</v>
      </c>
    </row>
    <row r="1994" spans="1:5" ht="14.25">
      <c r="A1994">
        <v>38155</v>
      </c>
      <c r="B1994" t="s">
        <v>9868</v>
      </c>
      <c r="C1994" t="s">
        <v>2102</v>
      </c>
      <c r="D1994" t="s">
        <v>2103</v>
      </c>
      <c r="E1994" s="183">
        <v>86.83</v>
      </c>
    </row>
    <row r="1995" spans="1:5" ht="14.25">
      <c r="A1995">
        <v>11467</v>
      </c>
      <c r="B1995" t="s">
        <v>9869</v>
      </c>
      <c r="C1995" t="s">
        <v>2102</v>
      </c>
      <c r="D1995" t="s">
        <v>2103</v>
      </c>
      <c r="E1995" s="183">
        <v>19.84</v>
      </c>
    </row>
    <row r="1996" spans="1:5" ht="14.25">
      <c r="A1996">
        <v>38153</v>
      </c>
      <c r="B1996" t="s">
        <v>9870</v>
      </c>
      <c r="C1996" t="s">
        <v>2194</v>
      </c>
      <c r="D1996" t="s">
        <v>2103</v>
      </c>
      <c r="E1996" s="183">
        <v>50.68</v>
      </c>
    </row>
    <row r="1997" spans="1:5" ht="14.25">
      <c r="A1997">
        <v>43607</v>
      </c>
      <c r="B1997" t="s">
        <v>9871</v>
      </c>
      <c r="C1997" t="s">
        <v>2194</v>
      </c>
      <c r="D1997" t="s">
        <v>2103</v>
      </c>
      <c r="E1997" s="183">
        <v>95.85</v>
      </c>
    </row>
    <row r="1998" spans="1:5" ht="14.25">
      <c r="A1998">
        <v>3080</v>
      </c>
      <c r="B1998" t="s">
        <v>9872</v>
      </c>
      <c r="C1998" t="s">
        <v>2194</v>
      </c>
      <c r="D1998" t="s">
        <v>2107</v>
      </c>
      <c r="E1998" s="183">
        <v>64.45</v>
      </c>
    </row>
    <row r="1999" spans="1:5" ht="14.25">
      <c r="A1999">
        <v>3081</v>
      </c>
      <c r="B1999" t="s">
        <v>9873</v>
      </c>
      <c r="C1999" t="s">
        <v>2194</v>
      </c>
      <c r="D1999" t="s">
        <v>2103</v>
      </c>
      <c r="E1999" s="183">
        <v>127.51</v>
      </c>
    </row>
    <row r="2000" spans="1:5" ht="14.25">
      <c r="A2000">
        <v>3090</v>
      </c>
      <c r="B2000" t="s">
        <v>9874</v>
      </c>
      <c r="C2000" t="s">
        <v>2194</v>
      </c>
      <c r="D2000" t="s">
        <v>2103</v>
      </c>
      <c r="E2000" s="183">
        <v>57.52</v>
      </c>
    </row>
    <row r="2001" spans="1:5" ht="14.25">
      <c r="A2001">
        <v>43611</v>
      </c>
      <c r="B2001" t="s">
        <v>9875</v>
      </c>
      <c r="C2001" t="s">
        <v>2194</v>
      </c>
      <c r="D2001" t="s">
        <v>2103</v>
      </c>
      <c r="E2001" s="183">
        <v>95.45</v>
      </c>
    </row>
    <row r="2002" spans="1:5" ht="14.25">
      <c r="A2002">
        <v>3103</v>
      </c>
      <c r="B2002" t="s">
        <v>9876</v>
      </c>
      <c r="C2002" t="s">
        <v>2102</v>
      </c>
      <c r="D2002" t="s">
        <v>2103</v>
      </c>
      <c r="E2002" s="183">
        <v>47.69</v>
      </c>
    </row>
    <row r="2003" spans="1:5" ht="14.25">
      <c r="A2003">
        <v>3097</v>
      </c>
      <c r="B2003" t="s">
        <v>9877</v>
      </c>
      <c r="C2003" t="s">
        <v>2194</v>
      </c>
      <c r="D2003" t="s">
        <v>2103</v>
      </c>
      <c r="E2003" s="183">
        <v>72.16</v>
      </c>
    </row>
    <row r="2004" spans="1:5" ht="14.25">
      <c r="A2004">
        <v>3099</v>
      </c>
      <c r="B2004" t="s">
        <v>9878</v>
      </c>
      <c r="C2004" t="s">
        <v>2194</v>
      </c>
      <c r="D2004" t="s">
        <v>2103</v>
      </c>
      <c r="E2004" s="183">
        <v>115.54</v>
      </c>
    </row>
    <row r="2005" spans="1:5" ht="14.25">
      <c r="A2005">
        <v>38151</v>
      </c>
      <c r="B2005" t="s">
        <v>9879</v>
      </c>
      <c r="C2005" t="s">
        <v>2194</v>
      </c>
      <c r="D2005" t="s">
        <v>2103</v>
      </c>
      <c r="E2005" s="183">
        <v>83.76</v>
      </c>
    </row>
    <row r="2006" spans="1:5" ht="14.25">
      <c r="A2006">
        <v>38152</v>
      </c>
      <c r="B2006" t="s">
        <v>9880</v>
      </c>
      <c r="C2006" t="s">
        <v>2194</v>
      </c>
      <c r="D2006" t="s">
        <v>2103</v>
      </c>
      <c r="E2006" s="183">
        <v>135.12</v>
      </c>
    </row>
    <row r="2007" spans="1:5" ht="14.25">
      <c r="A2007">
        <v>43610</v>
      </c>
      <c r="B2007" t="s">
        <v>9881</v>
      </c>
      <c r="C2007" t="s">
        <v>2194</v>
      </c>
      <c r="D2007" t="s">
        <v>2103</v>
      </c>
      <c r="E2007" s="183">
        <v>71.599999999999994</v>
      </c>
    </row>
    <row r="2008" spans="1:5" ht="14.25">
      <c r="A2008">
        <v>3093</v>
      </c>
      <c r="B2008" t="s">
        <v>9882</v>
      </c>
      <c r="C2008" t="s">
        <v>2194</v>
      </c>
      <c r="D2008" t="s">
        <v>2103</v>
      </c>
      <c r="E2008" s="183">
        <v>115.54</v>
      </c>
    </row>
    <row r="2009" spans="1:5" ht="14.25">
      <c r="A2009">
        <v>38165</v>
      </c>
      <c r="B2009" t="s">
        <v>9883</v>
      </c>
      <c r="C2009" t="s">
        <v>2194</v>
      </c>
      <c r="D2009" t="s">
        <v>2103</v>
      </c>
      <c r="E2009" s="183">
        <v>67.180000000000007</v>
      </c>
    </row>
    <row r="2010" spans="1:5" ht="14.25">
      <c r="A2010">
        <v>38177</v>
      </c>
      <c r="B2010" t="s">
        <v>9884</v>
      </c>
      <c r="C2010" t="s">
        <v>2102</v>
      </c>
      <c r="D2010" t="s">
        <v>2103</v>
      </c>
      <c r="E2010" s="183">
        <v>19.96</v>
      </c>
    </row>
    <row r="2011" spans="1:5" ht="14.25">
      <c r="A2011">
        <v>11458</v>
      </c>
      <c r="B2011" t="s">
        <v>9885</v>
      </c>
      <c r="C2011" t="s">
        <v>2102</v>
      </c>
      <c r="D2011" t="s">
        <v>2103</v>
      </c>
      <c r="E2011" s="183">
        <v>23.83</v>
      </c>
    </row>
    <row r="2012" spans="1:5" ht="14.25">
      <c r="A2012">
        <v>3108</v>
      </c>
      <c r="B2012" t="s">
        <v>9886</v>
      </c>
      <c r="C2012" t="s">
        <v>2102</v>
      </c>
      <c r="D2012" t="s">
        <v>2103</v>
      </c>
      <c r="E2012" s="183">
        <v>101.31</v>
      </c>
    </row>
    <row r="2013" spans="1:5" ht="14.25">
      <c r="A2013">
        <v>3105</v>
      </c>
      <c r="B2013" t="s">
        <v>9887</v>
      </c>
      <c r="C2013" t="s">
        <v>2102</v>
      </c>
      <c r="D2013" t="s">
        <v>2103</v>
      </c>
      <c r="E2013" s="183">
        <v>132.5</v>
      </c>
    </row>
    <row r="2014" spans="1:5" ht="14.25">
      <c r="A2014">
        <v>38178</v>
      </c>
      <c r="B2014" t="s">
        <v>9888</v>
      </c>
      <c r="C2014" t="s">
        <v>2102</v>
      </c>
      <c r="D2014" t="s">
        <v>2103</v>
      </c>
      <c r="E2014" s="183">
        <v>21.96</v>
      </c>
    </row>
    <row r="2015" spans="1:5" ht="14.25">
      <c r="A2015">
        <v>43575</v>
      </c>
      <c r="B2015" t="s">
        <v>9889</v>
      </c>
      <c r="C2015" t="s">
        <v>2102</v>
      </c>
      <c r="D2015" t="s">
        <v>2103</v>
      </c>
      <c r="E2015" s="183">
        <v>47.59</v>
      </c>
    </row>
    <row r="2016" spans="1:5" ht="14.25">
      <c r="A2016">
        <v>43577</v>
      </c>
      <c r="B2016" t="s">
        <v>9890</v>
      </c>
      <c r="C2016" t="s">
        <v>2102</v>
      </c>
      <c r="D2016" t="s">
        <v>2103</v>
      </c>
      <c r="E2016" s="183">
        <v>82.73</v>
      </c>
    </row>
    <row r="2017" spans="1:5" ht="14.25">
      <c r="A2017">
        <v>43458</v>
      </c>
      <c r="B2017" t="s">
        <v>9891</v>
      </c>
      <c r="C2017" t="s">
        <v>2106</v>
      </c>
      <c r="D2017" t="s">
        <v>2107</v>
      </c>
      <c r="E2017" s="183">
        <v>0.06</v>
      </c>
    </row>
    <row r="2018" spans="1:5" ht="14.25">
      <c r="A2018">
        <v>43470</v>
      </c>
      <c r="B2018" t="s">
        <v>9892</v>
      </c>
      <c r="C2018" t="s">
        <v>2123</v>
      </c>
      <c r="D2018" t="s">
        <v>2107</v>
      </c>
      <c r="E2018" s="183">
        <v>10.89</v>
      </c>
    </row>
    <row r="2019" spans="1:5" ht="14.25">
      <c r="A2019">
        <v>43459</v>
      </c>
      <c r="B2019" t="s">
        <v>9893</v>
      </c>
      <c r="C2019" t="s">
        <v>2106</v>
      </c>
      <c r="D2019" t="s">
        <v>2107</v>
      </c>
      <c r="E2019" s="183">
        <v>0.49</v>
      </c>
    </row>
    <row r="2020" spans="1:5" ht="14.25">
      <c r="A2020">
        <v>43471</v>
      </c>
      <c r="B2020" t="s">
        <v>9894</v>
      </c>
      <c r="C2020" t="s">
        <v>2123</v>
      </c>
      <c r="D2020" t="s">
        <v>2107</v>
      </c>
      <c r="E2020" s="183">
        <v>92.26</v>
      </c>
    </row>
    <row r="2021" spans="1:5" ht="14.25">
      <c r="A2021">
        <v>43460</v>
      </c>
      <c r="B2021" t="s">
        <v>9895</v>
      </c>
      <c r="C2021" t="s">
        <v>2106</v>
      </c>
      <c r="D2021" t="s">
        <v>2107</v>
      </c>
      <c r="E2021" s="183">
        <v>0.85</v>
      </c>
    </row>
    <row r="2022" spans="1:5" ht="14.25">
      <c r="A2022">
        <v>43472</v>
      </c>
      <c r="B2022" t="s">
        <v>9896</v>
      </c>
      <c r="C2022" t="s">
        <v>2123</v>
      </c>
      <c r="D2022" t="s">
        <v>2107</v>
      </c>
      <c r="E2022" s="183">
        <v>159.72999999999999</v>
      </c>
    </row>
    <row r="2023" spans="1:5" ht="14.25">
      <c r="A2023">
        <v>43461</v>
      </c>
      <c r="B2023" t="s">
        <v>9897</v>
      </c>
      <c r="C2023" t="s">
        <v>2106</v>
      </c>
      <c r="D2023" t="s">
        <v>2107</v>
      </c>
      <c r="E2023" s="183">
        <v>0.31</v>
      </c>
    </row>
    <row r="2024" spans="1:5" ht="14.25">
      <c r="A2024">
        <v>43473</v>
      </c>
      <c r="B2024" t="s">
        <v>9898</v>
      </c>
      <c r="C2024" t="s">
        <v>2123</v>
      </c>
      <c r="D2024" t="s">
        <v>2107</v>
      </c>
      <c r="E2024" s="183">
        <v>59.28</v>
      </c>
    </row>
    <row r="2025" spans="1:5" ht="14.25">
      <c r="A2025">
        <v>43463</v>
      </c>
      <c r="B2025" t="s">
        <v>9899</v>
      </c>
      <c r="C2025" t="s">
        <v>2106</v>
      </c>
      <c r="D2025" t="s">
        <v>2107</v>
      </c>
      <c r="E2025" s="183">
        <v>0.1</v>
      </c>
    </row>
    <row r="2026" spans="1:5" ht="14.25">
      <c r="A2026">
        <v>43475</v>
      </c>
      <c r="B2026" t="s">
        <v>9900</v>
      </c>
      <c r="C2026" t="s">
        <v>2123</v>
      </c>
      <c r="D2026" t="s">
        <v>2107</v>
      </c>
      <c r="E2026" s="183">
        <v>18.73</v>
      </c>
    </row>
    <row r="2027" spans="1:5" ht="14.25">
      <c r="A2027">
        <v>43462</v>
      </c>
      <c r="B2027" t="s">
        <v>9901</v>
      </c>
      <c r="C2027" t="s">
        <v>2106</v>
      </c>
      <c r="D2027" t="s">
        <v>2107</v>
      </c>
      <c r="E2027" s="183">
        <v>0.01</v>
      </c>
    </row>
    <row r="2028" spans="1:5" ht="14.25">
      <c r="A2028">
        <v>43474</v>
      </c>
      <c r="B2028" t="s">
        <v>9902</v>
      </c>
      <c r="C2028" t="s">
        <v>2123</v>
      </c>
      <c r="D2028" t="s">
        <v>2107</v>
      </c>
      <c r="E2028" s="183">
        <v>2.29</v>
      </c>
    </row>
    <row r="2029" spans="1:5" ht="14.25">
      <c r="A2029">
        <v>43464</v>
      </c>
      <c r="B2029" t="s">
        <v>9903</v>
      </c>
      <c r="C2029" t="s">
        <v>2106</v>
      </c>
      <c r="D2029" t="s">
        <v>2107</v>
      </c>
      <c r="E2029" s="183">
        <v>0.01</v>
      </c>
    </row>
    <row r="2030" spans="1:5" ht="14.25">
      <c r="A2030">
        <v>43476</v>
      </c>
      <c r="B2030" t="s">
        <v>9904</v>
      </c>
      <c r="C2030" t="s">
        <v>2123</v>
      </c>
      <c r="D2030" t="s">
        <v>2107</v>
      </c>
      <c r="E2030" s="183">
        <v>0.01</v>
      </c>
    </row>
    <row r="2031" spans="1:5" ht="14.25">
      <c r="A2031">
        <v>43465</v>
      </c>
      <c r="B2031" t="s">
        <v>9905</v>
      </c>
      <c r="C2031" t="s">
        <v>2106</v>
      </c>
      <c r="D2031" t="s">
        <v>2107</v>
      </c>
      <c r="E2031" s="183">
        <v>0.82</v>
      </c>
    </row>
    <row r="2032" spans="1:5" ht="14.25">
      <c r="A2032">
        <v>43477</v>
      </c>
      <c r="B2032" t="s">
        <v>9906</v>
      </c>
      <c r="C2032" t="s">
        <v>2123</v>
      </c>
      <c r="D2032" t="s">
        <v>2107</v>
      </c>
      <c r="E2032" s="183">
        <v>155.21</v>
      </c>
    </row>
    <row r="2033" spans="1:5" ht="14.25">
      <c r="A2033">
        <v>43466</v>
      </c>
      <c r="B2033" t="s">
        <v>9907</v>
      </c>
      <c r="C2033" t="s">
        <v>2106</v>
      </c>
      <c r="D2033" t="s">
        <v>2107</v>
      </c>
      <c r="E2033" s="183">
        <v>1.97</v>
      </c>
    </row>
    <row r="2034" spans="1:5" ht="14.25">
      <c r="A2034">
        <v>43478</v>
      </c>
      <c r="B2034" t="s">
        <v>9908</v>
      </c>
      <c r="C2034" t="s">
        <v>2123</v>
      </c>
      <c r="D2034" t="s">
        <v>2107</v>
      </c>
      <c r="E2034" s="183">
        <v>371.21</v>
      </c>
    </row>
    <row r="2035" spans="1:5" ht="14.25">
      <c r="A2035">
        <v>43467</v>
      </c>
      <c r="B2035" t="s">
        <v>9909</v>
      </c>
      <c r="C2035" t="s">
        <v>2106</v>
      </c>
      <c r="D2035" t="s">
        <v>2107</v>
      </c>
      <c r="E2035" s="183">
        <v>0.61</v>
      </c>
    </row>
    <row r="2036" spans="1:5" ht="14.25">
      <c r="A2036">
        <v>43479</v>
      </c>
      <c r="B2036" t="s">
        <v>9910</v>
      </c>
      <c r="C2036" t="s">
        <v>2123</v>
      </c>
      <c r="D2036" t="s">
        <v>2107</v>
      </c>
      <c r="E2036" s="183">
        <v>114.72</v>
      </c>
    </row>
    <row r="2037" spans="1:5" ht="14.25">
      <c r="A2037">
        <v>43468</v>
      </c>
      <c r="B2037" t="s">
        <v>9911</v>
      </c>
      <c r="C2037" t="s">
        <v>2106</v>
      </c>
      <c r="D2037" t="s">
        <v>2107</v>
      </c>
      <c r="E2037" s="183">
        <v>1.23</v>
      </c>
    </row>
    <row r="2038" spans="1:5" ht="14.25">
      <c r="A2038">
        <v>43480</v>
      </c>
      <c r="B2038" t="s">
        <v>9912</v>
      </c>
      <c r="C2038" t="s">
        <v>2123</v>
      </c>
      <c r="D2038" t="s">
        <v>2107</v>
      </c>
      <c r="E2038" s="183">
        <v>232.31</v>
      </c>
    </row>
    <row r="2039" spans="1:5" ht="14.25">
      <c r="A2039">
        <v>43469</v>
      </c>
      <c r="B2039" t="s">
        <v>9913</v>
      </c>
      <c r="C2039" t="s">
        <v>2106</v>
      </c>
      <c r="D2039" t="s">
        <v>2107</v>
      </c>
      <c r="E2039" s="183">
        <v>7.0000000000000007E-2</v>
      </c>
    </row>
    <row r="2040" spans="1:5" ht="14.25">
      <c r="A2040">
        <v>43481</v>
      </c>
      <c r="B2040" t="s">
        <v>9914</v>
      </c>
      <c r="C2040" t="s">
        <v>2123</v>
      </c>
      <c r="D2040" t="s">
        <v>2107</v>
      </c>
      <c r="E2040" s="183">
        <v>12.77</v>
      </c>
    </row>
    <row r="2041" spans="1:5" ht="14.25">
      <c r="A2041">
        <v>3119</v>
      </c>
      <c r="B2041" t="s">
        <v>9915</v>
      </c>
      <c r="C2041" t="s">
        <v>2102</v>
      </c>
      <c r="D2041" t="s">
        <v>2103</v>
      </c>
      <c r="E2041" s="183">
        <v>2.58</v>
      </c>
    </row>
    <row r="2042" spans="1:5" ht="14.25">
      <c r="A2042">
        <v>3122</v>
      </c>
      <c r="B2042" t="s">
        <v>9916</v>
      </c>
      <c r="C2042" t="s">
        <v>2102</v>
      </c>
      <c r="D2042" t="s">
        <v>2103</v>
      </c>
      <c r="E2042" s="183">
        <v>5.25</v>
      </c>
    </row>
    <row r="2043" spans="1:5" ht="14.25">
      <c r="A2043">
        <v>3121</v>
      </c>
      <c r="B2043" t="s">
        <v>9917</v>
      </c>
      <c r="C2043" t="s">
        <v>2102</v>
      </c>
      <c r="D2043" t="s">
        <v>2103</v>
      </c>
      <c r="E2043" s="183">
        <v>5.95</v>
      </c>
    </row>
    <row r="2044" spans="1:5" ht="14.25">
      <c r="A2044">
        <v>3120</v>
      </c>
      <c r="B2044" t="s">
        <v>9918</v>
      </c>
      <c r="C2044" t="s">
        <v>2102</v>
      </c>
      <c r="D2044" t="s">
        <v>2103</v>
      </c>
      <c r="E2044" s="183">
        <v>11.28</v>
      </c>
    </row>
    <row r="2045" spans="1:5" ht="14.25">
      <c r="A2045">
        <v>11455</v>
      </c>
      <c r="B2045" t="s">
        <v>9919</v>
      </c>
      <c r="C2045" t="s">
        <v>2102</v>
      </c>
      <c r="D2045" t="s">
        <v>2103</v>
      </c>
      <c r="E2045" s="183">
        <v>16.309999999999999</v>
      </c>
    </row>
    <row r="2046" spans="1:5" ht="14.25">
      <c r="A2046">
        <v>11456</v>
      </c>
      <c r="B2046" t="s">
        <v>9920</v>
      </c>
      <c r="C2046" t="s">
        <v>2102</v>
      </c>
      <c r="D2046" t="s">
        <v>2103</v>
      </c>
      <c r="E2046" s="183">
        <v>19.5</v>
      </c>
    </row>
    <row r="2047" spans="1:5" ht="14.25">
      <c r="A2047">
        <v>3107</v>
      </c>
      <c r="B2047" t="s">
        <v>9921</v>
      </c>
      <c r="C2047" t="s">
        <v>2102</v>
      </c>
      <c r="D2047" t="s">
        <v>2103</v>
      </c>
      <c r="E2047" s="183">
        <v>8.2200000000000006</v>
      </c>
    </row>
    <row r="2048" spans="1:5" ht="14.25">
      <c r="A2048">
        <v>43583</v>
      </c>
      <c r="B2048" t="s">
        <v>9922</v>
      </c>
      <c r="C2048" t="s">
        <v>2102</v>
      </c>
      <c r="D2048" t="s">
        <v>2103</v>
      </c>
      <c r="E2048" s="183">
        <v>9.2799999999999994</v>
      </c>
    </row>
    <row r="2049" spans="1:5" ht="14.25">
      <c r="A2049">
        <v>43586</v>
      </c>
      <c r="B2049" t="s">
        <v>9923</v>
      </c>
      <c r="C2049" t="s">
        <v>2102</v>
      </c>
      <c r="D2049" t="s">
        <v>2103</v>
      </c>
      <c r="E2049" s="183">
        <v>9.51</v>
      </c>
    </row>
    <row r="2050" spans="1:5" ht="14.25">
      <c r="A2050">
        <v>11461</v>
      </c>
      <c r="B2050" t="s">
        <v>9924</v>
      </c>
      <c r="C2050" t="s">
        <v>2102</v>
      </c>
      <c r="D2050" t="s">
        <v>2103</v>
      </c>
      <c r="E2050" s="183">
        <v>10.36</v>
      </c>
    </row>
    <row r="2051" spans="1:5" ht="14.25">
      <c r="A2051">
        <v>43587</v>
      </c>
      <c r="B2051" t="s">
        <v>9925</v>
      </c>
      <c r="C2051" t="s">
        <v>2102</v>
      </c>
      <c r="D2051" t="s">
        <v>2103</v>
      </c>
      <c r="E2051" s="183">
        <v>11.95</v>
      </c>
    </row>
    <row r="2052" spans="1:5" ht="14.25">
      <c r="A2052">
        <v>3106</v>
      </c>
      <c r="B2052" t="s">
        <v>9926</v>
      </c>
      <c r="C2052" t="s">
        <v>2102</v>
      </c>
      <c r="D2052" t="s">
        <v>2103</v>
      </c>
      <c r="E2052" s="183">
        <v>15.17</v>
      </c>
    </row>
    <row r="2053" spans="1:5" ht="14.25">
      <c r="A2053">
        <v>44539</v>
      </c>
      <c r="B2053" t="s">
        <v>13575</v>
      </c>
      <c r="C2053" t="s">
        <v>2110</v>
      </c>
      <c r="D2053" t="s">
        <v>2103</v>
      </c>
      <c r="E2053" s="183">
        <v>2.08</v>
      </c>
    </row>
    <row r="2054" spans="1:5" ht="14.25">
      <c r="A2054">
        <v>3123</v>
      </c>
      <c r="B2054" t="s">
        <v>9927</v>
      </c>
      <c r="C2054" t="s">
        <v>2110</v>
      </c>
      <c r="D2054" t="s">
        <v>2107</v>
      </c>
      <c r="E2054" s="183">
        <v>1.94</v>
      </c>
    </row>
    <row r="2055" spans="1:5" ht="14.25">
      <c r="A2055">
        <v>38125</v>
      </c>
      <c r="B2055" t="s">
        <v>9928</v>
      </c>
      <c r="C2055" t="s">
        <v>2110</v>
      </c>
      <c r="D2055" t="s">
        <v>2103</v>
      </c>
      <c r="E2055" s="183">
        <v>1.4</v>
      </c>
    </row>
    <row r="2056" spans="1:5" ht="14.25">
      <c r="A2056">
        <v>39014</v>
      </c>
      <c r="B2056" t="s">
        <v>9929</v>
      </c>
      <c r="C2056" t="s">
        <v>2110</v>
      </c>
      <c r="D2056" t="s">
        <v>2105</v>
      </c>
      <c r="E2056" s="183">
        <v>8.76</v>
      </c>
    </row>
    <row r="2057" spans="1:5" ht="14.25">
      <c r="A2057">
        <v>39365</v>
      </c>
      <c r="B2057" t="s">
        <v>9930</v>
      </c>
      <c r="C2057" t="s">
        <v>2102</v>
      </c>
      <c r="D2057" t="s">
        <v>2103</v>
      </c>
      <c r="E2057" s="184">
        <v>1995.79</v>
      </c>
    </row>
    <row r="2058" spans="1:5" ht="14.25">
      <c r="A2058">
        <v>39366</v>
      </c>
      <c r="B2058" t="s">
        <v>9931</v>
      </c>
      <c r="C2058" t="s">
        <v>2102</v>
      </c>
      <c r="D2058" t="s">
        <v>2103</v>
      </c>
      <c r="E2058" s="184">
        <v>3027.95</v>
      </c>
    </row>
    <row r="2059" spans="1:5" ht="14.25">
      <c r="A2059">
        <v>39367</v>
      </c>
      <c r="B2059" t="s">
        <v>9932</v>
      </c>
      <c r="C2059" t="s">
        <v>2102</v>
      </c>
      <c r="D2059" t="s">
        <v>2103</v>
      </c>
      <c r="E2059" s="184">
        <v>5188.1899999999996</v>
      </c>
    </row>
    <row r="2060" spans="1:5" ht="14.25">
      <c r="A2060">
        <v>37394</v>
      </c>
      <c r="B2060" t="s">
        <v>15235</v>
      </c>
      <c r="C2060" t="s">
        <v>2218</v>
      </c>
      <c r="D2060" t="s">
        <v>2105</v>
      </c>
      <c r="E2060" s="183">
        <v>42.47</v>
      </c>
    </row>
    <row r="2061" spans="1:5" ht="14.25">
      <c r="A2061">
        <v>14146</v>
      </c>
      <c r="B2061" t="s">
        <v>15236</v>
      </c>
      <c r="C2061" t="s">
        <v>2218</v>
      </c>
      <c r="D2061" t="s">
        <v>2105</v>
      </c>
      <c r="E2061" s="183">
        <v>68.3</v>
      </c>
    </row>
    <row r="2062" spans="1:5" ht="14.25">
      <c r="A2062">
        <v>938</v>
      </c>
      <c r="B2062" t="s">
        <v>9933</v>
      </c>
      <c r="C2062" t="s">
        <v>2109</v>
      </c>
      <c r="D2062" t="s">
        <v>2103</v>
      </c>
      <c r="E2062" s="183">
        <v>1.37</v>
      </c>
    </row>
    <row r="2063" spans="1:5" ht="14.25">
      <c r="A2063">
        <v>937</v>
      </c>
      <c r="B2063" t="s">
        <v>9934</v>
      </c>
      <c r="C2063" t="s">
        <v>2109</v>
      </c>
      <c r="D2063" t="s">
        <v>2103</v>
      </c>
      <c r="E2063" s="183">
        <v>8.01</v>
      </c>
    </row>
    <row r="2064" spans="1:5" ht="14.25">
      <c r="A2064">
        <v>939</v>
      </c>
      <c r="B2064" t="s">
        <v>9935</v>
      </c>
      <c r="C2064" t="s">
        <v>2109</v>
      </c>
      <c r="D2064" t="s">
        <v>2103</v>
      </c>
      <c r="E2064" s="183">
        <v>2.2200000000000002</v>
      </c>
    </row>
    <row r="2065" spans="1:5" ht="14.25">
      <c r="A2065">
        <v>944</v>
      </c>
      <c r="B2065" t="s">
        <v>9936</v>
      </c>
      <c r="C2065" t="s">
        <v>2109</v>
      </c>
      <c r="D2065" t="s">
        <v>2103</v>
      </c>
      <c r="E2065" s="183">
        <v>3.51</v>
      </c>
    </row>
    <row r="2066" spans="1:5" ht="14.25">
      <c r="A2066">
        <v>940</v>
      </c>
      <c r="B2066" t="s">
        <v>9937</v>
      </c>
      <c r="C2066" t="s">
        <v>2109</v>
      </c>
      <c r="D2066" t="s">
        <v>2103</v>
      </c>
      <c r="E2066" s="183">
        <v>5.07</v>
      </c>
    </row>
    <row r="2067" spans="1:5" ht="14.25">
      <c r="A2067">
        <v>44397</v>
      </c>
      <c r="B2067" t="s">
        <v>9938</v>
      </c>
      <c r="C2067" t="s">
        <v>2109</v>
      </c>
      <c r="D2067" t="s">
        <v>2103</v>
      </c>
      <c r="E2067" s="183">
        <v>4.28</v>
      </c>
    </row>
    <row r="2068" spans="1:5" ht="14.25">
      <c r="A2068">
        <v>406</v>
      </c>
      <c r="B2068" t="s">
        <v>9939</v>
      </c>
      <c r="C2068" t="s">
        <v>2102</v>
      </c>
      <c r="D2068" t="s">
        <v>2103</v>
      </c>
      <c r="E2068" s="183">
        <v>93.03</v>
      </c>
    </row>
    <row r="2069" spans="1:5" ht="14.25">
      <c r="A2069">
        <v>42529</v>
      </c>
      <c r="B2069" t="s">
        <v>9940</v>
      </c>
      <c r="C2069" t="s">
        <v>2109</v>
      </c>
      <c r="D2069" t="s">
        <v>2103</v>
      </c>
      <c r="E2069" s="183">
        <v>1</v>
      </c>
    </row>
    <row r="2070" spans="1:5" ht="14.25">
      <c r="A2070">
        <v>39634</v>
      </c>
      <c r="B2070" t="s">
        <v>9941</v>
      </c>
      <c r="C2070" t="s">
        <v>2109</v>
      </c>
      <c r="D2070" t="s">
        <v>2103</v>
      </c>
      <c r="E2070" s="183">
        <v>5.55</v>
      </c>
    </row>
    <row r="2071" spans="1:5" ht="14.25">
      <c r="A2071">
        <v>39701</v>
      </c>
      <c r="B2071" t="s">
        <v>9942</v>
      </c>
      <c r="C2071" t="s">
        <v>2102</v>
      </c>
      <c r="D2071" t="s">
        <v>2103</v>
      </c>
      <c r="E2071" s="183">
        <v>110.68</v>
      </c>
    </row>
    <row r="2072" spans="1:5" ht="14.25">
      <c r="A2072">
        <v>12815</v>
      </c>
      <c r="B2072" t="s">
        <v>9943</v>
      </c>
      <c r="C2072" t="s">
        <v>2102</v>
      </c>
      <c r="D2072" t="s">
        <v>2103</v>
      </c>
      <c r="E2072" s="183">
        <v>10.16</v>
      </c>
    </row>
    <row r="2073" spans="1:5" ht="14.25">
      <c r="A2073">
        <v>39431</v>
      </c>
      <c r="B2073" t="s">
        <v>9944</v>
      </c>
      <c r="C2073" t="s">
        <v>2109</v>
      </c>
      <c r="D2073" t="s">
        <v>2103</v>
      </c>
      <c r="E2073" s="183">
        <v>0.32</v>
      </c>
    </row>
    <row r="2074" spans="1:5" ht="14.25">
      <c r="A2074">
        <v>39432</v>
      </c>
      <c r="B2074" t="s">
        <v>9945</v>
      </c>
      <c r="C2074" t="s">
        <v>2109</v>
      </c>
      <c r="D2074" t="s">
        <v>2103</v>
      </c>
      <c r="E2074" s="183">
        <v>2.82</v>
      </c>
    </row>
    <row r="2075" spans="1:5" ht="14.25">
      <c r="A2075">
        <v>20111</v>
      </c>
      <c r="B2075" t="s">
        <v>9946</v>
      </c>
      <c r="C2075" t="s">
        <v>2102</v>
      </c>
      <c r="D2075" t="s">
        <v>2107</v>
      </c>
      <c r="E2075" s="183">
        <v>11.4</v>
      </c>
    </row>
    <row r="2076" spans="1:5" ht="14.25">
      <c r="A2076">
        <v>21127</v>
      </c>
      <c r="B2076" t="s">
        <v>9947</v>
      </c>
      <c r="C2076" t="s">
        <v>2102</v>
      </c>
      <c r="D2076" t="s">
        <v>2103</v>
      </c>
      <c r="E2076" s="183">
        <v>4.3099999999999996</v>
      </c>
    </row>
    <row r="2077" spans="1:5" ht="14.25">
      <c r="A2077">
        <v>404</v>
      </c>
      <c r="B2077" t="s">
        <v>9948</v>
      </c>
      <c r="C2077" t="s">
        <v>2109</v>
      </c>
      <c r="D2077" t="s">
        <v>2103</v>
      </c>
      <c r="E2077" s="183">
        <v>1.55</v>
      </c>
    </row>
    <row r="2078" spans="1:5" ht="14.25">
      <c r="A2078">
        <v>14151</v>
      </c>
      <c r="B2078" t="s">
        <v>9949</v>
      </c>
      <c r="C2078" t="s">
        <v>2102</v>
      </c>
      <c r="D2078" t="s">
        <v>2105</v>
      </c>
      <c r="E2078" s="183">
        <v>49.09</v>
      </c>
    </row>
    <row r="2079" spans="1:5" ht="14.25">
      <c r="A2079">
        <v>14153</v>
      </c>
      <c r="B2079" t="s">
        <v>9950</v>
      </c>
      <c r="C2079" t="s">
        <v>2102</v>
      </c>
      <c r="D2079" t="s">
        <v>2105</v>
      </c>
      <c r="E2079" s="183">
        <v>55.49</v>
      </c>
    </row>
    <row r="2080" spans="1:5" ht="14.25">
      <c r="A2080">
        <v>14152</v>
      </c>
      <c r="B2080" t="s">
        <v>9951</v>
      </c>
      <c r="C2080" t="s">
        <v>2102</v>
      </c>
      <c r="D2080" t="s">
        <v>2105</v>
      </c>
      <c r="E2080" s="183">
        <v>42.6</v>
      </c>
    </row>
    <row r="2081" spans="1:5" ht="14.25">
      <c r="A2081">
        <v>14154</v>
      </c>
      <c r="B2081" t="s">
        <v>9952</v>
      </c>
      <c r="C2081" t="s">
        <v>2102</v>
      </c>
      <c r="D2081" t="s">
        <v>2105</v>
      </c>
      <c r="E2081" s="183">
        <v>149.1</v>
      </c>
    </row>
    <row r="2082" spans="1:5" ht="14.25">
      <c r="A2082">
        <v>3146</v>
      </c>
      <c r="B2082" t="s">
        <v>9953</v>
      </c>
      <c r="C2082" t="s">
        <v>2102</v>
      </c>
      <c r="D2082" t="s">
        <v>2107</v>
      </c>
      <c r="E2082" s="183">
        <v>2.85</v>
      </c>
    </row>
    <row r="2083" spans="1:5" ht="14.25">
      <c r="A2083">
        <v>3143</v>
      </c>
      <c r="B2083" t="s">
        <v>9954</v>
      </c>
      <c r="C2083" t="s">
        <v>2102</v>
      </c>
      <c r="D2083" t="s">
        <v>2103</v>
      </c>
      <c r="E2083" s="183">
        <v>6.48</v>
      </c>
    </row>
    <row r="2084" spans="1:5" ht="14.25">
      <c r="A2084">
        <v>3148</v>
      </c>
      <c r="B2084" t="s">
        <v>9955</v>
      </c>
      <c r="C2084" t="s">
        <v>2102</v>
      </c>
      <c r="D2084" t="s">
        <v>2103</v>
      </c>
      <c r="E2084" s="183">
        <v>10.51</v>
      </c>
    </row>
    <row r="2085" spans="1:5" ht="14.25">
      <c r="A2085">
        <v>4310</v>
      </c>
      <c r="B2085" t="s">
        <v>9956</v>
      </c>
      <c r="C2085" t="s">
        <v>2102</v>
      </c>
      <c r="D2085" t="s">
        <v>2103</v>
      </c>
      <c r="E2085" s="183">
        <v>3.85</v>
      </c>
    </row>
    <row r="2086" spans="1:5" ht="14.25">
      <c r="A2086">
        <v>4311</v>
      </c>
      <c r="B2086" t="s">
        <v>9957</v>
      </c>
      <c r="C2086" t="s">
        <v>2102</v>
      </c>
      <c r="D2086" t="s">
        <v>2103</v>
      </c>
      <c r="E2086" s="183">
        <v>2.71</v>
      </c>
    </row>
    <row r="2087" spans="1:5" ht="14.25">
      <c r="A2087">
        <v>4312</v>
      </c>
      <c r="B2087" t="s">
        <v>9958</v>
      </c>
      <c r="C2087" t="s">
        <v>2102</v>
      </c>
      <c r="D2087" t="s">
        <v>2103</v>
      </c>
      <c r="E2087" s="183">
        <v>3.79</v>
      </c>
    </row>
    <row r="2088" spans="1:5" ht="14.25">
      <c r="A2088">
        <v>13261</v>
      </c>
      <c r="B2088" t="s">
        <v>9959</v>
      </c>
      <c r="C2088" t="s">
        <v>2102</v>
      </c>
      <c r="D2088" t="s">
        <v>2103</v>
      </c>
      <c r="E2088" s="183">
        <v>2.92</v>
      </c>
    </row>
    <row r="2089" spans="1:5" ht="14.25">
      <c r="A2089">
        <v>3272</v>
      </c>
      <c r="B2089" t="s">
        <v>9960</v>
      </c>
      <c r="C2089" t="s">
        <v>2102</v>
      </c>
      <c r="D2089" t="s">
        <v>2105</v>
      </c>
      <c r="E2089" s="183">
        <v>59.03</v>
      </c>
    </row>
    <row r="2090" spans="1:5" ht="14.25">
      <c r="A2090">
        <v>3265</v>
      </c>
      <c r="B2090" t="s">
        <v>9961</v>
      </c>
      <c r="C2090" t="s">
        <v>2102</v>
      </c>
      <c r="D2090" t="s">
        <v>2105</v>
      </c>
      <c r="E2090" s="183">
        <v>46.9</v>
      </c>
    </row>
    <row r="2091" spans="1:5" ht="14.25">
      <c r="A2091">
        <v>3262</v>
      </c>
      <c r="B2091" t="s">
        <v>9962</v>
      </c>
      <c r="C2091" t="s">
        <v>2102</v>
      </c>
      <c r="D2091" t="s">
        <v>2105</v>
      </c>
      <c r="E2091" s="183">
        <v>20.53</v>
      </c>
    </row>
    <row r="2092" spans="1:5" ht="14.25">
      <c r="A2092">
        <v>3264</v>
      </c>
      <c r="B2092" t="s">
        <v>9963</v>
      </c>
      <c r="C2092" t="s">
        <v>2102</v>
      </c>
      <c r="D2092" t="s">
        <v>2105</v>
      </c>
      <c r="E2092" s="183">
        <v>33.72</v>
      </c>
    </row>
    <row r="2093" spans="1:5" ht="14.25">
      <c r="A2093">
        <v>3267</v>
      </c>
      <c r="B2093" t="s">
        <v>9964</v>
      </c>
      <c r="C2093" t="s">
        <v>2102</v>
      </c>
      <c r="D2093" t="s">
        <v>2105</v>
      </c>
      <c r="E2093" s="183">
        <v>110.13</v>
      </c>
    </row>
    <row r="2094" spans="1:5" ht="14.25">
      <c r="A2094">
        <v>3266</v>
      </c>
      <c r="B2094" t="s">
        <v>9965</v>
      </c>
      <c r="C2094" t="s">
        <v>2102</v>
      </c>
      <c r="D2094" t="s">
        <v>2105</v>
      </c>
      <c r="E2094" s="183">
        <v>70.069999999999993</v>
      </c>
    </row>
    <row r="2095" spans="1:5" ht="14.25">
      <c r="A2095">
        <v>3263</v>
      </c>
      <c r="B2095" t="s">
        <v>9966</v>
      </c>
      <c r="C2095" t="s">
        <v>2102</v>
      </c>
      <c r="D2095" t="s">
        <v>2105</v>
      </c>
      <c r="E2095" s="183">
        <v>28.04</v>
      </c>
    </row>
    <row r="2096" spans="1:5" ht="14.25">
      <c r="A2096">
        <v>3268</v>
      </c>
      <c r="B2096" t="s">
        <v>9967</v>
      </c>
      <c r="C2096" t="s">
        <v>2102</v>
      </c>
      <c r="D2096" t="s">
        <v>2105</v>
      </c>
      <c r="E2096" s="183">
        <v>148.9</v>
      </c>
    </row>
    <row r="2097" spans="1:5" ht="14.25">
      <c r="A2097">
        <v>3271</v>
      </c>
      <c r="B2097" t="s">
        <v>9968</v>
      </c>
      <c r="C2097" t="s">
        <v>2102</v>
      </c>
      <c r="D2097" t="s">
        <v>2105</v>
      </c>
      <c r="E2097" s="183">
        <v>220.14</v>
      </c>
    </row>
    <row r="2098" spans="1:5" ht="14.25">
      <c r="A2098">
        <v>3270</v>
      </c>
      <c r="B2098" t="s">
        <v>9969</v>
      </c>
      <c r="C2098" t="s">
        <v>2102</v>
      </c>
      <c r="D2098" t="s">
        <v>2105</v>
      </c>
      <c r="E2098" s="183">
        <v>369.85</v>
      </c>
    </row>
    <row r="2099" spans="1:5" ht="14.25">
      <c r="A2099">
        <v>3275</v>
      </c>
      <c r="B2099" t="s">
        <v>9970</v>
      </c>
      <c r="C2099" t="s">
        <v>2104</v>
      </c>
      <c r="D2099" t="s">
        <v>2103</v>
      </c>
      <c r="E2099" s="183">
        <v>105.1</v>
      </c>
    </row>
    <row r="2100" spans="1:5" ht="14.25">
      <c r="A2100">
        <v>39512</v>
      </c>
      <c r="B2100" t="s">
        <v>9971</v>
      </c>
      <c r="C2100" t="s">
        <v>2104</v>
      </c>
      <c r="D2100" t="s">
        <v>2105</v>
      </c>
      <c r="E2100" s="183">
        <v>123.96</v>
      </c>
    </row>
    <row r="2101" spans="1:5" ht="14.25">
      <c r="A2101">
        <v>39511</v>
      </c>
      <c r="B2101" t="s">
        <v>9972</v>
      </c>
      <c r="C2101" t="s">
        <v>2104</v>
      </c>
      <c r="D2101" t="s">
        <v>2105</v>
      </c>
      <c r="E2101" s="183">
        <v>135.21</v>
      </c>
    </row>
    <row r="2102" spans="1:5" ht="14.25">
      <c r="A2102">
        <v>39513</v>
      </c>
      <c r="B2102" t="s">
        <v>9973</v>
      </c>
      <c r="C2102" t="s">
        <v>2104</v>
      </c>
      <c r="D2102" t="s">
        <v>2105</v>
      </c>
      <c r="E2102" s="183">
        <v>145.03</v>
      </c>
    </row>
    <row r="2103" spans="1:5" ht="14.25">
      <c r="A2103">
        <v>3286</v>
      </c>
      <c r="B2103" t="s">
        <v>9974</v>
      </c>
      <c r="C2103" t="s">
        <v>2104</v>
      </c>
      <c r="D2103" t="s">
        <v>2105</v>
      </c>
      <c r="E2103" s="183">
        <v>86.02</v>
      </c>
    </row>
    <row r="2104" spans="1:5" ht="14.25">
      <c r="A2104">
        <v>3287</v>
      </c>
      <c r="B2104" t="s">
        <v>9975</v>
      </c>
      <c r="C2104" t="s">
        <v>2104</v>
      </c>
      <c r="D2104" t="s">
        <v>2105</v>
      </c>
      <c r="E2104" s="183">
        <v>130</v>
      </c>
    </row>
    <row r="2105" spans="1:5" ht="14.25">
      <c r="A2105">
        <v>3283</v>
      </c>
      <c r="B2105" t="s">
        <v>9976</v>
      </c>
      <c r="C2105" t="s">
        <v>2104</v>
      </c>
      <c r="D2105" t="s">
        <v>2105</v>
      </c>
      <c r="E2105" s="183">
        <v>27.3</v>
      </c>
    </row>
    <row r="2106" spans="1:5" ht="14.25">
      <c r="A2106">
        <v>11587</v>
      </c>
      <c r="B2106" t="s">
        <v>9977</v>
      </c>
      <c r="C2106" t="s">
        <v>2104</v>
      </c>
      <c r="D2106" t="s">
        <v>2103</v>
      </c>
      <c r="E2106" s="183">
        <v>72.069999999999993</v>
      </c>
    </row>
    <row r="2107" spans="1:5" ht="14.25">
      <c r="A2107">
        <v>36225</v>
      </c>
      <c r="B2107" t="s">
        <v>9978</v>
      </c>
      <c r="C2107" t="s">
        <v>2104</v>
      </c>
      <c r="D2107" t="s">
        <v>2103</v>
      </c>
      <c r="E2107" s="183">
        <v>29.28</v>
      </c>
    </row>
    <row r="2108" spans="1:5" ht="14.25">
      <c r="A2108">
        <v>36230</v>
      </c>
      <c r="B2108" t="s">
        <v>9979</v>
      </c>
      <c r="C2108" t="s">
        <v>2104</v>
      </c>
      <c r="D2108" t="s">
        <v>2107</v>
      </c>
      <c r="E2108" s="183">
        <v>21.51</v>
      </c>
    </row>
    <row r="2109" spans="1:5" ht="14.25">
      <c r="A2109">
        <v>36238</v>
      </c>
      <c r="B2109" t="s">
        <v>9980</v>
      </c>
      <c r="C2109" t="s">
        <v>2104</v>
      </c>
      <c r="D2109" t="s">
        <v>2103</v>
      </c>
      <c r="E2109" s="183">
        <v>21.02</v>
      </c>
    </row>
    <row r="2110" spans="1:5" ht="14.25">
      <c r="A2110">
        <v>39363</v>
      </c>
      <c r="B2110" t="s">
        <v>18375</v>
      </c>
      <c r="C2110" t="s">
        <v>2102</v>
      </c>
      <c r="D2110" t="s">
        <v>2103</v>
      </c>
      <c r="E2110" s="184">
        <v>5882.92</v>
      </c>
    </row>
    <row r="2111" spans="1:5" ht="14.25">
      <c r="A2111">
        <v>39361</v>
      </c>
      <c r="B2111" t="s">
        <v>18376</v>
      </c>
      <c r="C2111" t="s">
        <v>2102</v>
      </c>
      <c r="D2111" t="s">
        <v>2103</v>
      </c>
      <c r="E2111" s="184">
        <v>1797.27</v>
      </c>
    </row>
    <row r="2112" spans="1:5" ht="14.25">
      <c r="A2112">
        <v>39362</v>
      </c>
      <c r="B2112" t="s">
        <v>18377</v>
      </c>
      <c r="C2112" t="s">
        <v>2102</v>
      </c>
      <c r="D2112" t="s">
        <v>2103</v>
      </c>
      <c r="E2112" s="184">
        <v>3174.97</v>
      </c>
    </row>
    <row r="2113" spans="1:5" ht="14.25">
      <c r="A2113">
        <v>39364</v>
      </c>
      <c r="B2113" t="s">
        <v>18378</v>
      </c>
      <c r="C2113" t="s">
        <v>2102</v>
      </c>
      <c r="D2113" t="s">
        <v>2103</v>
      </c>
      <c r="E2113" s="184">
        <v>12408.64</v>
      </c>
    </row>
    <row r="2114" spans="1:5" ht="14.25">
      <c r="A2114">
        <v>14576</v>
      </c>
      <c r="B2114" t="s">
        <v>9981</v>
      </c>
      <c r="C2114" t="s">
        <v>2102</v>
      </c>
      <c r="D2114" t="s">
        <v>2105</v>
      </c>
      <c r="E2114" s="184">
        <v>5322666.32</v>
      </c>
    </row>
    <row r="2115" spans="1:5" ht="14.25">
      <c r="A2115">
        <v>13877</v>
      </c>
      <c r="B2115" t="s">
        <v>9982</v>
      </c>
      <c r="C2115" t="s">
        <v>2102</v>
      </c>
      <c r="D2115" t="s">
        <v>2105</v>
      </c>
      <c r="E2115" s="184">
        <v>2278554.06</v>
      </c>
    </row>
    <row r="2116" spans="1:5" ht="14.25">
      <c r="A2116">
        <v>7307</v>
      </c>
      <c r="B2116" t="s">
        <v>9983</v>
      </c>
      <c r="C2116" t="s">
        <v>2117</v>
      </c>
      <c r="D2116" t="s">
        <v>2103</v>
      </c>
      <c r="E2116" s="183">
        <v>42.13</v>
      </c>
    </row>
    <row r="2117" spans="1:5" ht="14.25">
      <c r="A2117">
        <v>38122</v>
      </c>
      <c r="B2117" t="s">
        <v>9984</v>
      </c>
      <c r="C2117" t="s">
        <v>2117</v>
      </c>
      <c r="D2117" t="s">
        <v>2103</v>
      </c>
      <c r="E2117" s="183">
        <v>22.38</v>
      </c>
    </row>
    <row r="2118" spans="1:5" ht="14.25">
      <c r="A2118">
        <v>43653</v>
      </c>
      <c r="B2118" t="s">
        <v>13576</v>
      </c>
      <c r="C2118" t="s">
        <v>2117</v>
      </c>
      <c r="D2118" t="s">
        <v>2103</v>
      </c>
      <c r="E2118" s="183">
        <v>46.43</v>
      </c>
    </row>
    <row r="2119" spans="1:5" ht="14.25">
      <c r="A2119">
        <v>38633</v>
      </c>
      <c r="B2119" t="s">
        <v>9985</v>
      </c>
      <c r="C2119" t="s">
        <v>2102</v>
      </c>
      <c r="D2119" t="s">
        <v>2103</v>
      </c>
      <c r="E2119" s="183">
        <v>10.28</v>
      </c>
    </row>
    <row r="2120" spans="1:5" ht="14.25">
      <c r="A2120">
        <v>12344</v>
      </c>
      <c r="B2120" t="s">
        <v>9986</v>
      </c>
      <c r="C2120" t="s">
        <v>2102</v>
      </c>
      <c r="D2120" t="s">
        <v>2103</v>
      </c>
      <c r="E2120" s="183">
        <v>4.2</v>
      </c>
    </row>
    <row r="2121" spans="1:5" ht="14.25">
      <c r="A2121">
        <v>12343</v>
      </c>
      <c r="B2121" t="s">
        <v>9987</v>
      </c>
      <c r="C2121" t="s">
        <v>2102</v>
      </c>
      <c r="D2121" t="s">
        <v>2103</v>
      </c>
      <c r="E2121" s="183">
        <v>6.51</v>
      </c>
    </row>
    <row r="2122" spans="1:5" ht="14.25">
      <c r="A2122">
        <v>3295</v>
      </c>
      <c r="B2122" t="s">
        <v>9988</v>
      </c>
      <c r="C2122" t="s">
        <v>2102</v>
      </c>
      <c r="D2122" t="s">
        <v>2103</v>
      </c>
      <c r="E2122" s="183">
        <v>22.74</v>
      </c>
    </row>
    <row r="2123" spans="1:5" ht="14.25">
      <c r="A2123">
        <v>3302</v>
      </c>
      <c r="B2123" t="s">
        <v>9989</v>
      </c>
      <c r="C2123" t="s">
        <v>2102</v>
      </c>
      <c r="D2123" t="s">
        <v>2103</v>
      </c>
      <c r="E2123" s="183">
        <v>23.78</v>
      </c>
    </row>
    <row r="2124" spans="1:5" ht="14.25">
      <c r="A2124">
        <v>3297</v>
      </c>
      <c r="B2124" t="s">
        <v>9990</v>
      </c>
      <c r="C2124" t="s">
        <v>2102</v>
      </c>
      <c r="D2124" t="s">
        <v>2103</v>
      </c>
      <c r="E2124" s="183">
        <v>25.38</v>
      </c>
    </row>
    <row r="2125" spans="1:5" ht="14.25">
      <c r="A2125">
        <v>3294</v>
      </c>
      <c r="B2125" t="s">
        <v>9991</v>
      </c>
      <c r="C2125" t="s">
        <v>2102</v>
      </c>
      <c r="D2125" t="s">
        <v>2103</v>
      </c>
      <c r="E2125" s="183">
        <v>25.77</v>
      </c>
    </row>
    <row r="2126" spans="1:5" ht="14.25">
      <c r="A2126">
        <v>3292</v>
      </c>
      <c r="B2126" t="s">
        <v>9992</v>
      </c>
      <c r="C2126" t="s">
        <v>2102</v>
      </c>
      <c r="D2126" t="s">
        <v>2107</v>
      </c>
      <c r="E2126" s="183">
        <v>24.21</v>
      </c>
    </row>
    <row r="2127" spans="1:5" ht="14.25">
      <c r="A2127">
        <v>3298</v>
      </c>
      <c r="B2127" t="s">
        <v>9993</v>
      </c>
      <c r="C2127" t="s">
        <v>2102</v>
      </c>
      <c r="D2127" t="s">
        <v>2103</v>
      </c>
      <c r="E2127" s="183">
        <v>56.74</v>
      </c>
    </row>
    <row r="2128" spans="1:5" ht="14.25">
      <c r="A2128">
        <v>11596</v>
      </c>
      <c r="B2128" t="s">
        <v>9994</v>
      </c>
      <c r="C2128" t="s">
        <v>2102</v>
      </c>
      <c r="D2128" t="s">
        <v>2103</v>
      </c>
      <c r="E2128" s="183">
        <v>568.11</v>
      </c>
    </row>
    <row r="2129" spans="1:5" ht="14.25">
      <c r="A2129">
        <v>34802</v>
      </c>
      <c r="B2129" t="s">
        <v>9995</v>
      </c>
      <c r="C2129" t="s">
        <v>2102</v>
      </c>
      <c r="D2129" t="s">
        <v>2103</v>
      </c>
      <c r="E2129" s="184">
        <v>1560.23</v>
      </c>
    </row>
    <row r="2130" spans="1:5" ht="14.25">
      <c r="A2130">
        <v>11588</v>
      </c>
      <c r="B2130" t="s">
        <v>9996</v>
      </c>
      <c r="C2130" t="s">
        <v>2102</v>
      </c>
      <c r="D2130" t="s">
        <v>2103</v>
      </c>
      <c r="E2130" s="184">
        <v>1683.23</v>
      </c>
    </row>
    <row r="2131" spans="1:5" ht="14.25">
      <c r="A2131">
        <v>34383</v>
      </c>
      <c r="B2131" t="s">
        <v>9997</v>
      </c>
      <c r="C2131" t="s">
        <v>2102</v>
      </c>
      <c r="D2131" t="s">
        <v>2103</v>
      </c>
      <c r="E2131" s="184">
        <v>1851.67</v>
      </c>
    </row>
    <row r="2132" spans="1:5" ht="14.25">
      <c r="A2132">
        <v>40451</v>
      </c>
      <c r="B2132" t="s">
        <v>9998</v>
      </c>
      <c r="C2132" t="s">
        <v>2104</v>
      </c>
      <c r="D2132" t="s">
        <v>2103</v>
      </c>
      <c r="E2132" s="183">
        <v>149.68</v>
      </c>
    </row>
    <row r="2133" spans="1:5" ht="14.25">
      <c r="A2133">
        <v>40453</v>
      </c>
      <c r="B2133" t="s">
        <v>9999</v>
      </c>
      <c r="C2133" t="s">
        <v>2104</v>
      </c>
      <c r="D2133" t="s">
        <v>2103</v>
      </c>
      <c r="E2133" s="183">
        <v>161.94999999999999</v>
      </c>
    </row>
    <row r="2134" spans="1:5" ht="14.25">
      <c r="A2134">
        <v>40452</v>
      </c>
      <c r="B2134" t="s">
        <v>10000</v>
      </c>
      <c r="C2134" t="s">
        <v>2104</v>
      </c>
      <c r="D2134" t="s">
        <v>2103</v>
      </c>
      <c r="E2134" s="183">
        <v>177.64</v>
      </c>
    </row>
    <row r="2135" spans="1:5" ht="14.25">
      <c r="A2135">
        <v>11594</v>
      </c>
      <c r="B2135" t="s">
        <v>10001</v>
      </c>
      <c r="C2135" t="s">
        <v>2102</v>
      </c>
      <c r="D2135" t="s">
        <v>2103</v>
      </c>
      <c r="E2135" s="183">
        <v>536.49</v>
      </c>
    </row>
    <row r="2136" spans="1:5" ht="14.25">
      <c r="A2136">
        <v>3311</v>
      </c>
      <c r="B2136" t="s">
        <v>10002</v>
      </c>
      <c r="C2136" t="s">
        <v>2122</v>
      </c>
      <c r="D2136" t="s">
        <v>2103</v>
      </c>
      <c r="E2136" s="183">
        <v>536.49</v>
      </c>
    </row>
    <row r="2137" spans="1:5" ht="14.25">
      <c r="A2137">
        <v>11599</v>
      </c>
      <c r="B2137" t="s">
        <v>10003</v>
      </c>
      <c r="C2137" t="s">
        <v>2102</v>
      </c>
      <c r="D2137" t="s">
        <v>2103</v>
      </c>
      <c r="E2137" s="183">
        <v>713.47</v>
      </c>
    </row>
    <row r="2138" spans="1:5" ht="14.25">
      <c r="A2138">
        <v>11593</v>
      </c>
      <c r="B2138" t="s">
        <v>10004</v>
      </c>
      <c r="C2138" t="s">
        <v>2102</v>
      </c>
      <c r="D2138" t="s">
        <v>2103</v>
      </c>
      <c r="E2138" s="184">
        <v>1000.25</v>
      </c>
    </row>
    <row r="2139" spans="1:5" ht="14.25">
      <c r="A2139">
        <v>3314</v>
      </c>
      <c r="B2139" t="s">
        <v>10005</v>
      </c>
      <c r="C2139" t="s">
        <v>2122</v>
      </c>
      <c r="D2139" t="s">
        <v>2103</v>
      </c>
      <c r="E2139" s="183">
        <v>715.38</v>
      </c>
    </row>
    <row r="2140" spans="1:5" ht="14.25">
      <c r="A2140">
        <v>11597</v>
      </c>
      <c r="B2140" t="s">
        <v>10006</v>
      </c>
      <c r="C2140" t="s">
        <v>2102</v>
      </c>
      <c r="D2140" t="s">
        <v>2103</v>
      </c>
      <c r="E2140" s="183">
        <v>831.9</v>
      </c>
    </row>
    <row r="2141" spans="1:5" ht="14.25">
      <c r="A2141">
        <v>3309</v>
      </c>
      <c r="B2141" t="s">
        <v>10007</v>
      </c>
      <c r="C2141" t="s">
        <v>2122</v>
      </c>
      <c r="D2141" t="s">
        <v>2103</v>
      </c>
      <c r="E2141" s="183">
        <v>568.11</v>
      </c>
    </row>
    <row r="2142" spans="1:5" ht="14.25">
      <c r="A2142">
        <v>34612</v>
      </c>
      <c r="B2142" t="s">
        <v>10008</v>
      </c>
      <c r="C2142" t="s">
        <v>2102</v>
      </c>
      <c r="D2142" t="s">
        <v>2103</v>
      </c>
      <c r="E2142" s="184">
        <v>1028.9100000000001</v>
      </c>
    </row>
    <row r="2143" spans="1:5" ht="14.25">
      <c r="A2143">
        <v>34635</v>
      </c>
      <c r="B2143" t="s">
        <v>10009</v>
      </c>
      <c r="C2143" t="s">
        <v>2102</v>
      </c>
      <c r="D2143" t="s">
        <v>2103</v>
      </c>
      <c r="E2143" s="184">
        <v>1323.13</v>
      </c>
    </row>
    <row r="2144" spans="1:5" ht="14.25">
      <c r="A2144">
        <v>34633</v>
      </c>
      <c r="B2144" t="s">
        <v>10010</v>
      </c>
      <c r="C2144" t="s">
        <v>2102</v>
      </c>
      <c r="D2144" t="s">
        <v>2103</v>
      </c>
      <c r="E2144" s="184">
        <v>1458.44</v>
      </c>
    </row>
    <row r="2145" spans="1:5" ht="14.25">
      <c r="A2145">
        <v>40440</v>
      </c>
      <c r="B2145" t="s">
        <v>10011</v>
      </c>
      <c r="C2145" t="s">
        <v>2122</v>
      </c>
      <c r="D2145" t="s">
        <v>2103</v>
      </c>
      <c r="E2145" s="183">
        <v>745.14</v>
      </c>
    </row>
    <row r="2146" spans="1:5" ht="14.25">
      <c r="A2146">
        <v>40441</v>
      </c>
      <c r="B2146" t="s">
        <v>10012</v>
      </c>
      <c r="C2146" t="s">
        <v>2122</v>
      </c>
      <c r="D2146" t="s">
        <v>2103</v>
      </c>
      <c r="E2146" s="183">
        <v>475.73</v>
      </c>
    </row>
    <row r="2147" spans="1:5" ht="14.25">
      <c r="A2147">
        <v>40449</v>
      </c>
      <c r="B2147" t="s">
        <v>10013</v>
      </c>
      <c r="C2147" t="s">
        <v>2122</v>
      </c>
      <c r="D2147" t="s">
        <v>2103</v>
      </c>
      <c r="E2147" s="183">
        <v>399.93</v>
      </c>
    </row>
    <row r="2148" spans="1:5" ht="14.25">
      <c r="A2148">
        <v>34800</v>
      </c>
      <c r="B2148" t="s">
        <v>10014</v>
      </c>
      <c r="C2148" t="s">
        <v>2122</v>
      </c>
      <c r="D2148" t="s">
        <v>2103</v>
      </c>
      <c r="E2148" s="183">
        <v>500.12</v>
      </c>
    </row>
    <row r="2149" spans="1:5" ht="14.25">
      <c r="A2149">
        <v>11592</v>
      </c>
      <c r="B2149" t="s">
        <v>10015</v>
      </c>
      <c r="C2149" t="s">
        <v>2102</v>
      </c>
      <c r="D2149" t="s">
        <v>2103</v>
      </c>
      <c r="E2149" s="183">
        <v>715.38</v>
      </c>
    </row>
    <row r="2150" spans="1:5" ht="14.25">
      <c r="A2150">
        <v>40438</v>
      </c>
      <c r="B2150" t="s">
        <v>10016</v>
      </c>
      <c r="C2150" t="s">
        <v>2122</v>
      </c>
      <c r="D2150" t="s">
        <v>2103</v>
      </c>
      <c r="E2150" s="183">
        <v>333.19</v>
      </c>
    </row>
    <row r="2151" spans="1:5" ht="14.25">
      <c r="A2151">
        <v>40436</v>
      </c>
      <c r="B2151" t="s">
        <v>10017</v>
      </c>
      <c r="C2151" t="s">
        <v>2122</v>
      </c>
      <c r="D2151" t="s">
        <v>2103</v>
      </c>
      <c r="E2151" s="183">
        <v>415.46</v>
      </c>
    </row>
    <row r="2152" spans="1:5" ht="14.25">
      <c r="A2152">
        <v>4315</v>
      </c>
      <c r="B2152" t="s">
        <v>10018</v>
      </c>
      <c r="C2152" t="s">
        <v>2102</v>
      </c>
      <c r="D2152" t="s">
        <v>2103</v>
      </c>
      <c r="E2152" s="183">
        <v>2.79</v>
      </c>
    </row>
    <row r="2153" spans="1:5" ht="14.25">
      <c r="A2153">
        <v>402</v>
      </c>
      <c r="B2153" t="s">
        <v>10019</v>
      </c>
      <c r="C2153" t="s">
        <v>2102</v>
      </c>
      <c r="D2153" t="s">
        <v>2103</v>
      </c>
      <c r="E2153" s="183">
        <v>17.36</v>
      </c>
    </row>
    <row r="2154" spans="1:5" ht="14.25">
      <c r="A2154">
        <v>4226</v>
      </c>
      <c r="B2154" t="s">
        <v>10020</v>
      </c>
      <c r="C2154" t="s">
        <v>2110</v>
      </c>
      <c r="D2154" t="s">
        <v>2107</v>
      </c>
      <c r="E2154" s="183">
        <v>7.39</v>
      </c>
    </row>
    <row r="2155" spans="1:5" ht="14.25">
      <c r="A2155">
        <v>4222</v>
      </c>
      <c r="B2155" t="s">
        <v>10021</v>
      </c>
      <c r="C2155" t="s">
        <v>2117</v>
      </c>
      <c r="D2155" t="s">
        <v>2107</v>
      </c>
      <c r="E2155" s="183">
        <v>5.67</v>
      </c>
    </row>
    <row r="2156" spans="1:5" ht="14.25">
      <c r="A2156">
        <v>34804</v>
      </c>
      <c r="B2156" t="s">
        <v>10022</v>
      </c>
      <c r="C2156" t="s">
        <v>2104</v>
      </c>
      <c r="D2156" t="s">
        <v>2103</v>
      </c>
      <c r="E2156" s="183">
        <v>60.39</v>
      </c>
    </row>
    <row r="2157" spans="1:5" ht="14.25">
      <c r="A2157">
        <v>4013</v>
      </c>
      <c r="B2157" t="s">
        <v>10023</v>
      </c>
      <c r="C2157" t="s">
        <v>2104</v>
      </c>
      <c r="D2157" t="s">
        <v>2103</v>
      </c>
      <c r="E2157" s="183">
        <v>7.8</v>
      </c>
    </row>
    <row r="2158" spans="1:5" ht="14.25">
      <c r="A2158">
        <v>4011</v>
      </c>
      <c r="B2158" t="s">
        <v>10024</v>
      </c>
      <c r="C2158" t="s">
        <v>2104</v>
      </c>
      <c r="D2158" t="s">
        <v>2103</v>
      </c>
      <c r="E2158" s="183">
        <v>8.7200000000000006</v>
      </c>
    </row>
    <row r="2159" spans="1:5" ht="14.25">
      <c r="A2159">
        <v>4021</v>
      </c>
      <c r="B2159" t="s">
        <v>10025</v>
      </c>
      <c r="C2159" t="s">
        <v>2104</v>
      </c>
      <c r="D2159" t="s">
        <v>2103</v>
      </c>
      <c r="E2159" s="183">
        <v>10.87</v>
      </c>
    </row>
    <row r="2160" spans="1:5" ht="14.25">
      <c r="A2160">
        <v>4019</v>
      </c>
      <c r="B2160" t="s">
        <v>10026</v>
      </c>
      <c r="C2160" t="s">
        <v>2104</v>
      </c>
      <c r="D2160" t="s">
        <v>2103</v>
      </c>
      <c r="E2160" s="183">
        <v>13.05</v>
      </c>
    </row>
    <row r="2161" spans="1:5" ht="14.25">
      <c r="A2161">
        <v>4012</v>
      </c>
      <c r="B2161" t="s">
        <v>10027</v>
      </c>
      <c r="C2161" t="s">
        <v>2104</v>
      </c>
      <c r="D2161" t="s">
        <v>2103</v>
      </c>
      <c r="E2161" s="183">
        <v>17.489999999999998</v>
      </c>
    </row>
    <row r="2162" spans="1:5" ht="14.25">
      <c r="A2162">
        <v>4020</v>
      </c>
      <c r="B2162" t="s">
        <v>10028</v>
      </c>
      <c r="C2162" t="s">
        <v>2104</v>
      </c>
      <c r="D2162" t="s">
        <v>2103</v>
      </c>
      <c r="E2162" s="183">
        <v>21.9</v>
      </c>
    </row>
    <row r="2163" spans="1:5" ht="14.25">
      <c r="A2163">
        <v>4018</v>
      </c>
      <c r="B2163" t="s">
        <v>10029</v>
      </c>
      <c r="C2163" t="s">
        <v>2104</v>
      </c>
      <c r="D2163" t="s">
        <v>2103</v>
      </c>
      <c r="E2163" s="183">
        <v>26.24</v>
      </c>
    </row>
    <row r="2164" spans="1:5" ht="14.25">
      <c r="A2164">
        <v>36498</v>
      </c>
      <c r="B2164" t="s">
        <v>10030</v>
      </c>
      <c r="C2164" t="s">
        <v>2102</v>
      </c>
      <c r="D2164" t="s">
        <v>2105</v>
      </c>
      <c r="E2164" s="184">
        <v>8600.61</v>
      </c>
    </row>
    <row r="2165" spans="1:5" ht="14.25">
      <c r="A2165">
        <v>12872</v>
      </c>
      <c r="B2165" t="s">
        <v>15237</v>
      </c>
      <c r="C2165" t="s">
        <v>2106</v>
      </c>
      <c r="D2165" t="s">
        <v>2103</v>
      </c>
      <c r="E2165" s="183">
        <v>14.47</v>
      </c>
    </row>
    <row r="2166" spans="1:5" ht="14.25">
      <c r="A2166">
        <v>41075</v>
      </c>
      <c r="B2166" t="s">
        <v>10031</v>
      </c>
      <c r="C2166" t="s">
        <v>2123</v>
      </c>
      <c r="D2166" t="s">
        <v>2103</v>
      </c>
      <c r="E2166" s="184">
        <v>2538.6799999999998</v>
      </c>
    </row>
    <row r="2167" spans="1:5" ht="14.25">
      <c r="A2167">
        <v>44324</v>
      </c>
      <c r="B2167" t="s">
        <v>13577</v>
      </c>
      <c r="C2167" t="s">
        <v>2110</v>
      </c>
      <c r="D2167" t="s">
        <v>2103</v>
      </c>
      <c r="E2167" s="183">
        <v>2.79</v>
      </c>
    </row>
    <row r="2168" spans="1:5" ht="14.25">
      <c r="A2168">
        <v>3315</v>
      </c>
      <c r="B2168" t="s">
        <v>10032</v>
      </c>
      <c r="C2168" t="s">
        <v>2110</v>
      </c>
      <c r="D2168" t="s">
        <v>2103</v>
      </c>
      <c r="E2168" s="183">
        <v>0.81</v>
      </c>
    </row>
    <row r="2169" spans="1:5" ht="14.25">
      <c r="A2169">
        <v>36870</v>
      </c>
      <c r="B2169" t="s">
        <v>10033</v>
      </c>
      <c r="C2169" t="s">
        <v>2110</v>
      </c>
      <c r="D2169" t="s">
        <v>2103</v>
      </c>
      <c r="E2169" s="183">
        <v>0.62</v>
      </c>
    </row>
    <row r="2170" spans="1:5" ht="14.25">
      <c r="A2170">
        <v>5092</v>
      </c>
      <c r="B2170" t="s">
        <v>10034</v>
      </c>
      <c r="C2170" t="s">
        <v>2136</v>
      </c>
      <c r="D2170" t="s">
        <v>2103</v>
      </c>
      <c r="E2170" s="183">
        <v>17.09</v>
      </c>
    </row>
    <row r="2171" spans="1:5" ht="14.25">
      <c r="A2171">
        <v>11462</v>
      </c>
      <c r="B2171" t="s">
        <v>10035</v>
      </c>
      <c r="C2171" t="s">
        <v>2136</v>
      </c>
      <c r="D2171" t="s">
        <v>2103</v>
      </c>
      <c r="E2171" s="183">
        <v>17.48</v>
      </c>
    </row>
    <row r="2172" spans="1:5" ht="14.25">
      <c r="A2172">
        <v>36529</v>
      </c>
      <c r="B2172" t="s">
        <v>10036</v>
      </c>
      <c r="C2172" t="s">
        <v>2102</v>
      </c>
      <c r="D2172" t="s">
        <v>2105</v>
      </c>
      <c r="E2172" s="184">
        <v>66326.53</v>
      </c>
    </row>
    <row r="2173" spans="1:5" ht="14.25">
      <c r="A2173">
        <v>3318</v>
      </c>
      <c r="B2173" t="s">
        <v>10037</v>
      </c>
      <c r="C2173" t="s">
        <v>2102</v>
      </c>
      <c r="D2173" t="s">
        <v>2105</v>
      </c>
      <c r="E2173" s="184">
        <v>52000</v>
      </c>
    </row>
    <row r="2174" spans="1:5" ht="14.25">
      <c r="A2174">
        <v>3324</v>
      </c>
      <c r="B2174" t="s">
        <v>10038</v>
      </c>
      <c r="C2174" t="s">
        <v>2104</v>
      </c>
      <c r="D2174" t="s">
        <v>2103</v>
      </c>
      <c r="E2174" s="183">
        <v>8.92</v>
      </c>
    </row>
    <row r="2175" spans="1:5" ht="14.25">
      <c r="A2175">
        <v>3322</v>
      </c>
      <c r="B2175" t="s">
        <v>10039</v>
      </c>
      <c r="C2175" t="s">
        <v>2104</v>
      </c>
      <c r="D2175" t="s">
        <v>2107</v>
      </c>
      <c r="E2175" s="183">
        <v>12.5</v>
      </c>
    </row>
    <row r="2176" spans="1:5" ht="14.25">
      <c r="A2176">
        <v>5076</v>
      </c>
      <c r="B2176" t="s">
        <v>10040</v>
      </c>
      <c r="C2176" t="s">
        <v>2110</v>
      </c>
      <c r="D2176" t="s">
        <v>2103</v>
      </c>
      <c r="E2176" s="183">
        <v>20.22</v>
      </c>
    </row>
    <row r="2177" spans="1:5" ht="14.25">
      <c r="A2177">
        <v>5077</v>
      </c>
      <c r="B2177" t="s">
        <v>10041</v>
      </c>
      <c r="C2177" t="s">
        <v>2110</v>
      </c>
      <c r="D2177" t="s">
        <v>2103</v>
      </c>
      <c r="E2177" s="183">
        <v>22.35</v>
      </c>
    </row>
    <row r="2178" spans="1:5" ht="14.25">
      <c r="A2178">
        <v>11837</v>
      </c>
      <c r="B2178" t="s">
        <v>10042</v>
      </c>
      <c r="C2178" t="s">
        <v>2102</v>
      </c>
      <c r="D2178" t="s">
        <v>2103</v>
      </c>
      <c r="E2178" s="183">
        <v>68.680000000000007</v>
      </c>
    </row>
    <row r="2179" spans="1:5" ht="14.25">
      <c r="A2179">
        <v>38055</v>
      </c>
      <c r="B2179" t="s">
        <v>10043</v>
      </c>
      <c r="C2179" t="s">
        <v>2102</v>
      </c>
      <c r="D2179" t="s">
        <v>2103</v>
      </c>
      <c r="E2179" s="183">
        <v>6.23</v>
      </c>
    </row>
    <row r="2180" spans="1:5" ht="14.25">
      <c r="A2180">
        <v>415</v>
      </c>
      <c r="B2180" t="s">
        <v>10044</v>
      </c>
      <c r="C2180" t="s">
        <v>2102</v>
      </c>
      <c r="D2180" t="s">
        <v>2103</v>
      </c>
      <c r="E2180" s="183">
        <v>28.16</v>
      </c>
    </row>
    <row r="2181" spans="1:5" ht="14.25">
      <c r="A2181">
        <v>416</v>
      </c>
      <c r="B2181" t="s">
        <v>10045</v>
      </c>
      <c r="C2181" t="s">
        <v>2102</v>
      </c>
      <c r="D2181" t="s">
        <v>2103</v>
      </c>
      <c r="E2181" s="183">
        <v>10.31</v>
      </c>
    </row>
    <row r="2182" spans="1:5" ht="14.25">
      <c r="A2182">
        <v>425</v>
      </c>
      <c r="B2182" t="s">
        <v>10046</v>
      </c>
      <c r="C2182" t="s">
        <v>2102</v>
      </c>
      <c r="D2182" t="s">
        <v>2103</v>
      </c>
      <c r="E2182" s="183">
        <v>6.39</v>
      </c>
    </row>
    <row r="2183" spans="1:5" ht="14.25">
      <c r="A2183">
        <v>426</v>
      </c>
      <c r="B2183" t="s">
        <v>10047</v>
      </c>
      <c r="C2183" t="s">
        <v>2102</v>
      </c>
      <c r="D2183" t="s">
        <v>2103</v>
      </c>
      <c r="E2183" s="183">
        <v>35.19</v>
      </c>
    </row>
    <row r="2184" spans="1:5" ht="14.25">
      <c r="A2184">
        <v>38056</v>
      </c>
      <c r="B2184" t="s">
        <v>10048</v>
      </c>
      <c r="C2184" t="s">
        <v>2102</v>
      </c>
      <c r="D2184" t="s">
        <v>2103</v>
      </c>
      <c r="E2184" s="183">
        <v>34.369999999999997</v>
      </c>
    </row>
    <row r="2185" spans="1:5" ht="14.25">
      <c r="A2185">
        <v>1564</v>
      </c>
      <c r="B2185" t="s">
        <v>10049</v>
      </c>
      <c r="C2185" t="s">
        <v>2102</v>
      </c>
      <c r="D2185" t="s">
        <v>2103</v>
      </c>
      <c r="E2185" s="183">
        <v>13.11</v>
      </c>
    </row>
    <row r="2186" spans="1:5" ht="14.25">
      <c r="A2186">
        <v>11032</v>
      </c>
      <c r="B2186" t="s">
        <v>10050</v>
      </c>
      <c r="C2186" t="s">
        <v>2102</v>
      </c>
      <c r="D2186" t="s">
        <v>2103</v>
      </c>
      <c r="E2186" s="183">
        <v>15.74</v>
      </c>
    </row>
    <row r="2187" spans="1:5" ht="14.25">
      <c r="A2187">
        <v>36786</v>
      </c>
      <c r="B2187" t="s">
        <v>10051</v>
      </c>
      <c r="C2187" t="s">
        <v>2228</v>
      </c>
      <c r="D2187" t="s">
        <v>2105</v>
      </c>
      <c r="E2187" s="183">
        <v>158.34</v>
      </c>
    </row>
    <row r="2188" spans="1:5" ht="14.25">
      <c r="A2188">
        <v>36785</v>
      </c>
      <c r="B2188" t="s">
        <v>10052</v>
      </c>
      <c r="C2188" t="s">
        <v>2228</v>
      </c>
      <c r="D2188" t="s">
        <v>2105</v>
      </c>
      <c r="E2188" s="183">
        <v>137.59</v>
      </c>
    </row>
    <row r="2189" spans="1:5" ht="14.25">
      <c r="A2189">
        <v>36782</v>
      </c>
      <c r="B2189" t="s">
        <v>10053</v>
      </c>
      <c r="C2189" t="s">
        <v>2228</v>
      </c>
      <c r="D2189" t="s">
        <v>2105</v>
      </c>
      <c r="E2189" s="183">
        <v>164.24</v>
      </c>
    </row>
    <row r="2190" spans="1:5" ht="14.25">
      <c r="A2190">
        <v>44481</v>
      </c>
      <c r="B2190" t="s">
        <v>13578</v>
      </c>
      <c r="C2190" t="s">
        <v>2228</v>
      </c>
      <c r="D2190" t="s">
        <v>2105</v>
      </c>
      <c r="E2190" s="183">
        <v>185</v>
      </c>
    </row>
    <row r="2191" spans="1:5" ht="14.25">
      <c r="A2191">
        <v>4824</v>
      </c>
      <c r="B2191" t="s">
        <v>10054</v>
      </c>
      <c r="C2191" t="s">
        <v>2110</v>
      </c>
      <c r="D2191" t="s">
        <v>2103</v>
      </c>
      <c r="E2191" s="183">
        <v>0.27</v>
      </c>
    </row>
    <row r="2192" spans="1:5" ht="14.25">
      <c r="A2192">
        <v>11795</v>
      </c>
      <c r="B2192" t="s">
        <v>10055</v>
      </c>
      <c r="C2192" t="s">
        <v>2104</v>
      </c>
      <c r="D2192" t="s">
        <v>2103</v>
      </c>
      <c r="E2192" s="183">
        <v>358.49</v>
      </c>
    </row>
    <row r="2193" spans="1:5" ht="14.25">
      <c r="A2193">
        <v>134</v>
      </c>
      <c r="B2193" t="s">
        <v>10056</v>
      </c>
      <c r="C2193" t="s">
        <v>2110</v>
      </c>
      <c r="D2193" t="s">
        <v>2103</v>
      </c>
      <c r="E2193" s="183">
        <v>1.52</v>
      </c>
    </row>
    <row r="2194" spans="1:5" ht="14.25">
      <c r="A2194">
        <v>4229</v>
      </c>
      <c r="B2194" t="s">
        <v>18379</v>
      </c>
      <c r="C2194" t="s">
        <v>2110</v>
      </c>
      <c r="D2194" t="s">
        <v>2103</v>
      </c>
      <c r="E2194" s="183">
        <v>44.46</v>
      </c>
    </row>
    <row r="2195" spans="1:5" ht="14.25">
      <c r="A2195">
        <v>11731</v>
      </c>
      <c r="B2195" t="s">
        <v>10057</v>
      </c>
      <c r="C2195" t="s">
        <v>2102</v>
      </c>
      <c r="D2195" t="s">
        <v>2103</v>
      </c>
      <c r="E2195" s="183">
        <v>10.61</v>
      </c>
    </row>
    <row r="2196" spans="1:5" ht="14.25">
      <c r="A2196">
        <v>11732</v>
      </c>
      <c r="B2196" t="s">
        <v>10058</v>
      </c>
      <c r="C2196" t="s">
        <v>2102</v>
      </c>
      <c r="D2196" t="s">
        <v>2103</v>
      </c>
      <c r="E2196" s="183">
        <v>27.8</v>
      </c>
    </row>
    <row r="2197" spans="1:5" ht="14.25">
      <c r="A2197">
        <v>11244</v>
      </c>
      <c r="B2197" t="s">
        <v>10059</v>
      </c>
      <c r="C2197" t="s">
        <v>2102</v>
      </c>
      <c r="D2197" t="s">
        <v>2105</v>
      </c>
      <c r="E2197" s="183">
        <v>278.66000000000003</v>
      </c>
    </row>
    <row r="2198" spans="1:5" ht="14.25">
      <c r="A2198">
        <v>11245</v>
      </c>
      <c r="B2198" t="s">
        <v>10060</v>
      </c>
      <c r="C2198" t="s">
        <v>2102</v>
      </c>
      <c r="D2198" t="s">
        <v>2105</v>
      </c>
      <c r="E2198" s="183">
        <v>385.43</v>
      </c>
    </row>
    <row r="2199" spans="1:5" ht="14.25">
      <c r="A2199">
        <v>11235</v>
      </c>
      <c r="B2199" t="s">
        <v>10061</v>
      </c>
      <c r="C2199" t="s">
        <v>2102</v>
      </c>
      <c r="D2199" t="s">
        <v>2105</v>
      </c>
      <c r="E2199" s="183">
        <v>212.65</v>
      </c>
    </row>
    <row r="2200" spans="1:5" ht="14.25">
      <c r="A2200">
        <v>11236</v>
      </c>
      <c r="B2200" t="s">
        <v>10062</v>
      </c>
      <c r="C2200" t="s">
        <v>2102</v>
      </c>
      <c r="D2200" t="s">
        <v>2105</v>
      </c>
      <c r="E2200" s="183">
        <v>270.24</v>
      </c>
    </row>
    <row r="2201" spans="1:5" ht="14.25">
      <c r="A2201">
        <v>36494</v>
      </c>
      <c r="B2201" t="s">
        <v>10063</v>
      </c>
      <c r="C2201" t="s">
        <v>2102</v>
      </c>
      <c r="D2201" t="s">
        <v>2105</v>
      </c>
      <c r="E2201" s="184">
        <v>719505.07</v>
      </c>
    </row>
    <row r="2202" spans="1:5" ht="14.25">
      <c r="A2202">
        <v>36493</v>
      </c>
      <c r="B2202" t="s">
        <v>10064</v>
      </c>
      <c r="C2202" t="s">
        <v>2102</v>
      </c>
      <c r="D2202" t="s">
        <v>2105</v>
      </c>
      <c r="E2202" s="184">
        <v>815170.02</v>
      </c>
    </row>
    <row r="2203" spans="1:5" ht="14.25">
      <c r="A2203">
        <v>36492</v>
      </c>
      <c r="B2203" t="s">
        <v>10065</v>
      </c>
      <c r="C2203" t="s">
        <v>2102</v>
      </c>
      <c r="D2203" t="s">
        <v>2105</v>
      </c>
      <c r="E2203" s="184">
        <v>1514276.75</v>
      </c>
    </row>
    <row r="2204" spans="1:5" ht="14.25">
      <c r="A2204">
        <v>36499</v>
      </c>
      <c r="B2204" t="s">
        <v>10066</v>
      </c>
      <c r="C2204" t="s">
        <v>2102</v>
      </c>
      <c r="D2204" t="s">
        <v>2105</v>
      </c>
      <c r="E2204" s="184">
        <v>4644.33</v>
      </c>
    </row>
    <row r="2205" spans="1:5" ht="14.25">
      <c r="A2205">
        <v>13533</v>
      </c>
      <c r="B2205" t="s">
        <v>15238</v>
      </c>
      <c r="C2205" t="s">
        <v>2102</v>
      </c>
      <c r="D2205" t="s">
        <v>2105</v>
      </c>
      <c r="E2205" s="184">
        <v>212898.11</v>
      </c>
    </row>
    <row r="2206" spans="1:5" ht="14.25">
      <c r="A2206">
        <v>13333</v>
      </c>
      <c r="B2206" t="s">
        <v>15239</v>
      </c>
      <c r="C2206" t="s">
        <v>2102</v>
      </c>
      <c r="D2206" t="s">
        <v>2105</v>
      </c>
      <c r="E2206" s="184">
        <v>238170.66</v>
      </c>
    </row>
    <row r="2207" spans="1:5" ht="14.25">
      <c r="A2207">
        <v>39585</v>
      </c>
      <c r="B2207" t="s">
        <v>10067</v>
      </c>
      <c r="C2207" t="s">
        <v>2102</v>
      </c>
      <c r="D2207" t="s">
        <v>2105</v>
      </c>
      <c r="E2207" s="184">
        <v>153786.79</v>
      </c>
    </row>
    <row r="2208" spans="1:5" ht="14.25">
      <c r="A2208">
        <v>39586</v>
      </c>
      <c r="B2208" t="s">
        <v>10068</v>
      </c>
      <c r="C2208" t="s">
        <v>2102</v>
      </c>
      <c r="D2208" t="s">
        <v>2105</v>
      </c>
      <c r="E2208" s="184">
        <v>180381.49</v>
      </c>
    </row>
    <row r="2209" spans="1:5" ht="14.25">
      <c r="A2209">
        <v>39587</v>
      </c>
      <c r="B2209" t="s">
        <v>10069</v>
      </c>
      <c r="C2209" t="s">
        <v>2102</v>
      </c>
      <c r="D2209" t="s">
        <v>2105</v>
      </c>
      <c r="E2209" s="184">
        <v>219695.42</v>
      </c>
    </row>
    <row r="2210" spans="1:5" ht="14.25">
      <c r="A2210">
        <v>39588</v>
      </c>
      <c r="B2210" t="s">
        <v>10070</v>
      </c>
      <c r="C2210" t="s">
        <v>2102</v>
      </c>
      <c r="D2210" t="s">
        <v>2105</v>
      </c>
      <c r="E2210" s="184">
        <v>254384.16</v>
      </c>
    </row>
    <row r="2211" spans="1:5" ht="14.25">
      <c r="A2211">
        <v>39584</v>
      </c>
      <c r="B2211" t="s">
        <v>10071</v>
      </c>
      <c r="C2211" t="s">
        <v>2102</v>
      </c>
      <c r="D2211" t="s">
        <v>2105</v>
      </c>
      <c r="E2211" s="184">
        <v>136951.18</v>
      </c>
    </row>
    <row r="2212" spans="1:5" ht="14.25">
      <c r="A2212">
        <v>39590</v>
      </c>
      <c r="B2212" t="s">
        <v>10072</v>
      </c>
      <c r="C2212" t="s">
        <v>2102</v>
      </c>
      <c r="D2212" t="s">
        <v>2105</v>
      </c>
      <c r="E2212" s="184">
        <v>133667.32</v>
      </c>
    </row>
    <row r="2213" spans="1:5" ht="14.25">
      <c r="A2213">
        <v>39592</v>
      </c>
      <c r="B2213" t="s">
        <v>10073</v>
      </c>
      <c r="C2213" t="s">
        <v>2102</v>
      </c>
      <c r="D2213" t="s">
        <v>2105</v>
      </c>
      <c r="E2213" s="184">
        <v>192083.16</v>
      </c>
    </row>
    <row r="2214" spans="1:5" ht="14.25">
      <c r="A2214">
        <v>39593</v>
      </c>
      <c r="B2214" t="s">
        <v>10074</v>
      </c>
      <c r="C2214" t="s">
        <v>2102</v>
      </c>
      <c r="D2214" t="s">
        <v>2105</v>
      </c>
      <c r="E2214" s="184">
        <v>219695.42</v>
      </c>
    </row>
    <row r="2215" spans="1:5" ht="14.25">
      <c r="A2215">
        <v>14254</v>
      </c>
      <c r="B2215" t="s">
        <v>10075</v>
      </c>
      <c r="C2215" t="s">
        <v>2102</v>
      </c>
      <c r="D2215" t="s">
        <v>2105</v>
      </c>
      <c r="E2215" s="184">
        <v>124879.5</v>
      </c>
    </row>
    <row r="2216" spans="1:5" ht="14.25">
      <c r="A2216">
        <v>44494</v>
      </c>
      <c r="B2216" t="s">
        <v>13579</v>
      </c>
      <c r="C2216" t="s">
        <v>2102</v>
      </c>
      <c r="D2216" t="s">
        <v>2105</v>
      </c>
      <c r="E2216" s="184">
        <v>104284.34</v>
      </c>
    </row>
    <row r="2217" spans="1:5" ht="14.25">
      <c r="A2217">
        <v>25019</v>
      </c>
      <c r="B2217" t="s">
        <v>10076</v>
      </c>
      <c r="C2217" t="s">
        <v>2102</v>
      </c>
      <c r="D2217" t="s">
        <v>2105</v>
      </c>
      <c r="E2217" s="184">
        <v>178755.02</v>
      </c>
    </row>
    <row r="2218" spans="1:5" ht="14.25">
      <c r="A2218">
        <v>36501</v>
      </c>
      <c r="B2218" t="s">
        <v>10077</v>
      </c>
      <c r="C2218" t="s">
        <v>2102</v>
      </c>
      <c r="D2218" t="s">
        <v>2105</v>
      </c>
      <c r="E2218" s="184">
        <v>159153.57</v>
      </c>
    </row>
    <row r="2219" spans="1:5" ht="14.25">
      <c r="A2219">
        <v>44493</v>
      </c>
      <c r="B2219" t="s">
        <v>13580</v>
      </c>
      <c r="C2219" t="s">
        <v>2102</v>
      </c>
      <c r="D2219" t="s">
        <v>2105</v>
      </c>
      <c r="E2219" s="184">
        <v>191333.08</v>
      </c>
    </row>
    <row r="2220" spans="1:5" ht="14.25">
      <c r="A2220">
        <v>36500</v>
      </c>
      <c r="B2220" t="s">
        <v>10078</v>
      </c>
      <c r="C2220" t="s">
        <v>2102</v>
      </c>
      <c r="D2220" t="s">
        <v>2105</v>
      </c>
      <c r="E2220" s="184">
        <v>112469.48</v>
      </c>
    </row>
    <row r="2221" spans="1:5" ht="14.25">
      <c r="A2221">
        <v>20017</v>
      </c>
      <c r="B2221" t="s">
        <v>10079</v>
      </c>
      <c r="C2221" t="s">
        <v>2109</v>
      </c>
      <c r="D2221" t="s">
        <v>2103</v>
      </c>
      <c r="E2221" s="183">
        <v>7.09</v>
      </c>
    </row>
    <row r="2222" spans="1:5" ht="14.25">
      <c r="A2222">
        <v>20007</v>
      </c>
      <c r="B2222" t="s">
        <v>10080</v>
      </c>
      <c r="C2222" t="s">
        <v>2109</v>
      </c>
      <c r="D2222" t="s">
        <v>2103</v>
      </c>
      <c r="E2222" s="183">
        <v>4.2300000000000004</v>
      </c>
    </row>
    <row r="2223" spans="1:5" ht="14.25">
      <c r="A2223">
        <v>39831</v>
      </c>
      <c r="B2223" t="s">
        <v>10081</v>
      </c>
      <c r="C2223" t="s">
        <v>2140</v>
      </c>
      <c r="D2223" t="s">
        <v>2105</v>
      </c>
      <c r="E2223" s="183">
        <v>273.31</v>
      </c>
    </row>
    <row r="2224" spans="1:5" ht="14.25">
      <c r="A2224">
        <v>36888</v>
      </c>
      <c r="B2224" t="s">
        <v>13581</v>
      </c>
      <c r="C2224" t="s">
        <v>2109</v>
      </c>
      <c r="D2224" t="s">
        <v>2105</v>
      </c>
      <c r="E2224" s="183">
        <v>26.24</v>
      </c>
    </row>
    <row r="2225" spans="1:5" ht="14.25">
      <c r="A2225">
        <v>39836</v>
      </c>
      <c r="B2225" t="s">
        <v>10082</v>
      </c>
      <c r="C2225" t="s">
        <v>2140</v>
      </c>
      <c r="D2225" t="s">
        <v>2105</v>
      </c>
      <c r="E2225" s="183">
        <v>240.15</v>
      </c>
    </row>
    <row r="2226" spans="1:5" ht="14.25">
      <c r="A2226">
        <v>39830</v>
      </c>
      <c r="B2226" t="s">
        <v>10083</v>
      </c>
      <c r="C2226" t="s">
        <v>2140</v>
      </c>
      <c r="D2226" t="s">
        <v>2105</v>
      </c>
      <c r="E2226" s="183">
        <v>273.89</v>
      </c>
    </row>
    <row r="2227" spans="1:5" ht="14.25">
      <c r="A2227">
        <v>40527</v>
      </c>
      <c r="B2227" t="s">
        <v>10084</v>
      </c>
      <c r="C2227" t="s">
        <v>2102</v>
      </c>
      <c r="D2227" t="s">
        <v>2105</v>
      </c>
      <c r="E2227" s="184">
        <v>2360.29</v>
      </c>
    </row>
    <row r="2228" spans="1:5" ht="14.25">
      <c r="A2228">
        <v>36497</v>
      </c>
      <c r="B2228" t="s">
        <v>10085</v>
      </c>
      <c r="C2228" t="s">
        <v>2102</v>
      </c>
      <c r="D2228" t="s">
        <v>2105</v>
      </c>
      <c r="E2228" s="184">
        <v>2694.53</v>
      </c>
    </row>
    <row r="2229" spans="1:5" ht="14.25">
      <c r="A2229">
        <v>36487</v>
      </c>
      <c r="B2229" t="s">
        <v>10086</v>
      </c>
      <c r="C2229" t="s">
        <v>2102</v>
      </c>
      <c r="D2229" t="s">
        <v>2105</v>
      </c>
      <c r="E2229" s="184">
        <v>4691.58</v>
      </c>
    </row>
    <row r="2230" spans="1:5" ht="14.25">
      <c r="A2230">
        <v>44475</v>
      </c>
      <c r="B2230" t="s">
        <v>13582</v>
      </c>
      <c r="C2230" t="s">
        <v>2102</v>
      </c>
      <c r="D2230" t="s">
        <v>2105</v>
      </c>
      <c r="E2230" s="184">
        <v>1258165.24</v>
      </c>
    </row>
    <row r="2231" spans="1:5" ht="14.25">
      <c r="A2231">
        <v>44474</v>
      </c>
      <c r="B2231" t="s">
        <v>13583</v>
      </c>
      <c r="C2231" t="s">
        <v>2102</v>
      </c>
      <c r="D2231" t="s">
        <v>2105</v>
      </c>
      <c r="E2231" s="184">
        <v>2419548.54</v>
      </c>
    </row>
    <row r="2232" spans="1:5" ht="14.25">
      <c r="A2232">
        <v>44490</v>
      </c>
      <c r="B2232" t="s">
        <v>13584</v>
      </c>
      <c r="C2232" t="s">
        <v>2102</v>
      </c>
      <c r="D2232" t="s">
        <v>2105</v>
      </c>
      <c r="E2232" s="184">
        <v>4113232.5</v>
      </c>
    </row>
    <row r="2233" spans="1:5" ht="14.25">
      <c r="A2233">
        <v>37776</v>
      </c>
      <c r="B2233" t="s">
        <v>10087</v>
      </c>
      <c r="C2233" t="s">
        <v>2102</v>
      </c>
      <c r="D2233" t="s">
        <v>2105</v>
      </c>
      <c r="E2233" s="184">
        <v>252088.58</v>
      </c>
    </row>
    <row r="2234" spans="1:5" ht="14.25">
      <c r="A2234">
        <v>37775</v>
      </c>
      <c r="B2234" t="s">
        <v>10088</v>
      </c>
      <c r="C2234" t="s">
        <v>2102</v>
      </c>
      <c r="D2234" t="s">
        <v>2105</v>
      </c>
      <c r="E2234" s="184">
        <v>397058.59</v>
      </c>
    </row>
    <row r="2235" spans="1:5" ht="14.25">
      <c r="A2235">
        <v>36491</v>
      </c>
      <c r="B2235" t="s">
        <v>10089</v>
      </c>
      <c r="C2235" t="s">
        <v>2102</v>
      </c>
      <c r="D2235" t="s">
        <v>2105</v>
      </c>
      <c r="E2235" s="184">
        <v>1470425.78</v>
      </c>
    </row>
    <row r="2236" spans="1:5" ht="14.25">
      <c r="A2236">
        <v>10712</v>
      </c>
      <c r="B2236" t="s">
        <v>10090</v>
      </c>
      <c r="C2236" t="s">
        <v>2102</v>
      </c>
      <c r="D2236" t="s">
        <v>2105</v>
      </c>
      <c r="E2236" s="184">
        <v>99264.639999999999</v>
      </c>
    </row>
    <row r="2237" spans="1:5" ht="14.25">
      <c r="A2237">
        <v>3363</v>
      </c>
      <c r="B2237" t="s">
        <v>10091</v>
      </c>
      <c r="C2237" t="s">
        <v>2102</v>
      </c>
      <c r="D2237" t="s">
        <v>2105</v>
      </c>
      <c r="E2237" s="184">
        <v>139625</v>
      </c>
    </row>
    <row r="2238" spans="1:5" ht="14.25">
      <c r="A2238">
        <v>3365</v>
      </c>
      <c r="B2238" t="s">
        <v>10092</v>
      </c>
      <c r="C2238" t="s">
        <v>2102</v>
      </c>
      <c r="D2238" t="s">
        <v>2105</v>
      </c>
      <c r="E2238" s="184">
        <v>326373.43</v>
      </c>
    </row>
    <row r="2239" spans="1:5" ht="14.25">
      <c r="A2239">
        <v>7569</v>
      </c>
      <c r="B2239" t="s">
        <v>10093</v>
      </c>
      <c r="C2239" t="s">
        <v>2102</v>
      </c>
      <c r="D2239" t="s">
        <v>2103</v>
      </c>
      <c r="E2239" s="183">
        <v>81.099999999999994</v>
      </c>
    </row>
    <row r="2240" spans="1:5" ht="14.25">
      <c r="A2240">
        <v>34349</v>
      </c>
      <c r="B2240" t="s">
        <v>10094</v>
      </c>
      <c r="C2240" t="s">
        <v>2102</v>
      </c>
      <c r="D2240" t="s">
        <v>2103</v>
      </c>
      <c r="E2240" s="183">
        <v>34.31</v>
      </c>
    </row>
    <row r="2241" spans="1:5" ht="14.25">
      <c r="A2241">
        <v>3378</v>
      </c>
      <c r="B2241" t="s">
        <v>15240</v>
      </c>
      <c r="C2241" t="s">
        <v>2102</v>
      </c>
      <c r="D2241" t="s">
        <v>2103</v>
      </c>
      <c r="E2241" s="183">
        <v>99.68</v>
      </c>
    </row>
    <row r="2242" spans="1:5" ht="14.25">
      <c r="A2242">
        <v>3380</v>
      </c>
      <c r="B2242" t="s">
        <v>15241</v>
      </c>
      <c r="C2242" t="s">
        <v>2102</v>
      </c>
      <c r="D2242" t="s">
        <v>2107</v>
      </c>
      <c r="E2242" s="183">
        <v>69.78</v>
      </c>
    </row>
    <row r="2243" spans="1:5" ht="14.25">
      <c r="A2243">
        <v>3379</v>
      </c>
      <c r="B2243" t="s">
        <v>15242</v>
      </c>
      <c r="C2243" t="s">
        <v>2102</v>
      </c>
      <c r="D2243" t="s">
        <v>2103</v>
      </c>
      <c r="E2243" s="183">
        <v>67.37</v>
      </c>
    </row>
    <row r="2244" spans="1:5" ht="14.25">
      <c r="A2244">
        <v>11991</v>
      </c>
      <c r="B2244" t="s">
        <v>10095</v>
      </c>
      <c r="C2244" t="s">
        <v>2102</v>
      </c>
      <c r="D2244" t="s">
        <v>2103</v>
      </c>
      <c r="E2244" s="183">
        <v>78.22</v>
      </c>
    </row>
    <row r="2245" spans="1:5" ht="14.25">
      <c r="A2245">
        <v>11029</v>
      </c>
      <c r="B2245" t="s">
        <v>10096</v>
      </c>
      <c r="C2245" t="s">
        <v>2194</v>
      </c>
      <c r="D2245" t="s">
        <v>2103</v>
      </c>
      <c r="E2245" s="183">
        <v>2.41</v>
      </c>
    </row>
    <row r="2246" spans="1:5" ht="14.25">
      <c r="A2246">
        <v>4316</v>
      </c>
      <c r="B2246" t="s">
        <v>10097</v>
      </c>
      <c r="C2246" t="s">
        <v>2102</v>
      </c>
      <c r="D2246" t="s">
        <v>2103</v>
      </c>
      <c r="E2246" s="183">
        <v>2.44</v>
      </c>
    </row>
    <row r="2247" spans="1:5" ht="14.25">
      <c r="A2247">
        <v>4313</v>
      </c>
      <c r="B2247" t="s">
        <v>10098</v>
      </c>
      <c r="C2247" t="s">
        <v>2194</v>
      </c>
      <c r="D2247" t="s">
        <v>2103</v>
      </c>
      <c r="E2247" s="183">
        <v>3.5</v>
      </c>
    </row>
    <row r="2248" spans="1:5" ht="14.25">
      <c r="A2248">
        <v>4317</v>
      </c>
      <c r="B2248" t="s">
        <v>10099</v>
      </c>
      <c r="C2248" t="s">
        <v>2102</v>
      </c>
      <c r="D2248" t="s">
        <v>2103</v>
      </c>
      <c r="E2248" s="183">
        <v>3.98</v>
      </c>
    </row>
    <row r="2249" spans="1:5" ht="14.25">
      <c r="A2249">
        <v>4314</v>
      </c>
      <c r="B2249" t="s">
        <v>10100</v>
      </c>
      <c r="C2249" t="s">
        <v>2194</v>
      </c>
      <c r="D2249" t="s">
        <v>2103</v>
      </c>
      <c r="E2249" s="183">
        <v>4.66</v>
      </c>
    </row>
    <row r="2250" spans="1:5" ht="14.25">
      <c r="A2250">
        <v>10921</v>
      </c>
      <c r="B2250" t="s">
        <v>10101</v>
      </c>
      <c r="C2250" t="s">
        <v>2102</v>
      </c>
      <c r="D2250" t="s">
        <v>2105</v>
      </c>
      <c r="E2250" s="184">
        <v>5965</v>
      </c>
    </row>
    <row r="2251" spans="1:5" ht="14.25">
      <c r="A2251">
        <v>10922</v>
      </c>
      <c r="B2251" t="s">
        <v>10102</v>
      </c>
      <c r="C2251" t="s">
        <v>2102</v>
      </c>
      <c r="D2251" t="s">
        <v>2105</v>
      </c>
      <c r="E2251" s="184">
        <v>5402.94</v>
      </c>
    </row>
    <row r="2252" spans="1:5" ht="14.25">
      <c r="A2252">
        <v>10923</v>
      </c>
      <c r="B2252" t="s">
        <v>10103</v>
      </c>
      <c r="C2252" t="s">
        <v>2102</v>
      </c>
      <c r="D2252" t="s">
        <v>2105</v>
      </c>
      <c r="E2252" s="184">
        <v>3193.37</v>
      </c>
    </row>
    <row r="2253" spans="1:5" ht="14.25">
      <c r="A2253">
        <v>10924</v>
      </c>
      <c r="B2253" t="s">
        <v>10104</v>
      </c>
      <c r="C2253" t="s">
        <v>2102</v>
      </c>
      <c r="D2253" t="s">
        <v>2105</v>
      </c>
      <c r="E2253" s="184">
        <v>3363.24</v>
      </c>
    </row>
    <row r="2254" spans="1:5" ht="14.25">
      <c r="A2254">
        <v>37772</v>
      </c>
      <c r="B2254" t="s">
        <v>10105</v>
      </c>
      <c r="C2254" t="s">
        <v>2102</v>
      </c>
      <c r="D2254" t="s">
        <v>2105</v>
      </c>
      <c r="E2254" s="184">
        <v>342998.8</v>
      </c>
    </row>
    <row r="2255" spans="1:5" ht="14.25">
      <c r="A2255">
        <v>37771</v>
      </c>
      <c r="B2255" t="s">
        <v>10106</v>
      </c>
      <c r="C2255" t="s">
        <v>2102</v>
      </c>
      <c r="D2255" t="s">
        <v>2105</v>
      </c>
      <c r="E2255" s="184">
        <v>364896.09</v>
      </c>
    </row>
    <row r="2256" spans="1:5" ht="14.25">
      <c r="A2256">
        <v>12772</v>
      </c>
      <c r="B2256" t="s">
        <v>10107</v>
      </c>
      <c r="C2256" t="s">
        <v>2102</v>
      </c>
      <c r="D2256" t="s">
        <v>2105</v>
      </c>
      <c r="E2256" s="183">
        <v>815.58</v>
      </c>
    </row>
    <row r="2257" spans="1:5" ht="14.25">
      <c r="A2257">
        <v>12770</v>
      </c>
      <c r="B2257" t="s">
        <v>10108</v>
      </c>
      <c r="C2257" t="s">
        <v>2102</v>
      </c>
      <c r="D2257" t="s">
        <v>2105</v>
      </c>
      <c r="E2257" s="183">
        <v>490.73</v>
      </c>
    </row>
    <row r="2258" spans="1:5" ht="14.25">
      <c r="A2258">
        <v>12775</v>
      </c>
      <c r="B2258" t="s">
        <v>10109</v>
      </c>
      <c r="C2258" t="s">
        <v>2102</v>
      </c>
      <c r="D2258" t="s">
        <v>2105</v>
      </c>
      <c r="E2258" s="183">
        <v>359.41</v>
      </c>
    </row>
    <row r="2259" spans="1:5" ht="14.25">
      <c r="A2259">
        <v>12768</v>
      </c>
      <c r="B2259" t="s">
        <v>10110</v>
      </c>
      <c r="C2259" t="s">
        <v>2102</v>
      </c>
      <c r="D2259" t="s">
        <v>2105</v>
      </c>
      <c r="E2259" s="184">
        <v>1147.3499999999999</v>
      </c>
    </row>
    <row r="2260" spans="1:5" ht="14.25">
      <c r="A2260">
        <v>12769</v>
      </c>
      <c r="B2260" t="s">
        <v>10111</v>
      </c>
      <c r="C2260" t="s">
        <v>2102</v>
      </c>
      <c r="D2260" t="s">
        <v>2105</v>
      </c>
      <c r="E2260" s="183">
        <v>94</v>
      </c>
    </row>
    <row r="2261" spans="1:5" ht="14.25">
      <c r="A2261">
        <v>12773</v>
      </c>
      <c r="B2261" t="s">
        <v>10112</v>
      </c>
      <c r="C2261" t="s">
        <v>2102</v>
      </c>
      <c r="D2261" t="s">
        <v>2105</v>
      </c>
      <c r="E2261" s="183">
        <v>100.91</v>
      </c>
    </row>
    <row r="2262" spans="1:5" ht="14.25">
      <c r="A2262">
        <v>12774</v>
      </c>
      <c r="B2262" t="s">
        <v>10113</v>
      </c>
      <c r="C2262" t="s">
        <v>2102</v>
      </c>
      <c r="D2262" t="s">
        <v>2105</v>
      </c>
      <c r="E2262" s="183">
        <v>124.41</v>
      </c>
    </row>
    <row r="2263" spans="1:5" ht="14.25">
      <c r="A2263">
        <v>12776</v>
      </c>
      <c r="B2263" t="s">
        <v>10114</v>
      </c>
      <c r="C2263" t="s">
        <v>2102</v>
      </c>
      <c r="D2263" t="s">
        <v>2105</v>
      </c>
      <c r="E2263" s="184">
        <v>1852.35</v>
      </c>
    </row>
    <row r="2264" spans="1:5" ht="14.25">
      <c r="A2264">
        <v>12777</v>
      </c>
      <c r="B2264" t="s">
        <v>10115</v>
      </c>
      <c r="C2264" t="s">
        <v>2102</v>
      </c>
      <c r="D2264" t="s">
        <v>2105</v>
      </c>
      <c r="E2264" s="184">
        <v>2419.11</v>
      </c>
    </row>
    <row r="2265" spans="1:5" ht="14.25">
      <c r="A2265">
        <v>3391</v>
      </c>
      <c r="B2265" t="s">
        <v>10116</v>
      </c>
      <c r="C2265" t="s">
        <v>2102</v>
      </c>
      <c r="D2265" t="s">
        <v>2105</v>
      </c>
      <c r="E2265" s="183">
        <v>53.01</v>
      </c>
    </row>
    <row r="2266" spans="1:5" ht="14.25">
      <c r="A2266">
        <v>3389</v>
      </c>
      <c r="B2266" t="s">
        <v>10117</v>
      </c>
      <c r="C2266" t="s">
        <v>2102</v>
      </c>
      <c r="D2266" t="s">
        <v>2105</v>
      </c>
      <c r="E2266" s="183">
        <v>27.5</v>
      </c>
    </row>
    <row r="2267" spans="1:5" ht="14.25">
      <c r="A2267">
        <v>3390</v>
      </c>
      <c r="B2267" t="s">
        <v>10118</v>
      </c>
      <c r="C2267" t="s">
        <v>2102</v>
      </c>
      <c r="D2267" t="s">
        <v>2105</v>
      </c>
      <c r="E2267" s="183">
        <v>30.95</v>
      </c>
    </row>
    <row r="2268" spans="1:5" ht="14.25">
      <c r="A2268">
        <v>12873</v>
      </c>
      <c r="B2268" t="s">
        <v>15243</v>
      </c>
      <c r="C2268" t="s">
        <v>2106</v>
      </c>
      <c r="D2268" t="s">
        <v>2103</v>
      </c>
      <c r="E2268" s="183">
        <v>18.510000000000002</v>
      </c>
    </row>
    <row r="2269" spans="1:5" ht="14.25">
      <c r="A2269">
        <v>41076</v>
      </c>
      <c r="B2269" t="s">
        <v>10119</v>
      </c>
      <c r="C2269" t="s">
        <v>2123</v>
      </c>
      <c r="D2269" t="s">
        <v>2103</v>
      </c>
      <c r="E2269" s="184">
        <v>3247.57</v>
      </c>
    </row>
    <row r="2270" spans="1:5" ht="14.25">
      <c r="A2270">
        <v>140</v>
      </c>
      <c r="B2270" t="s">
        <v>10120</v>
      </c>
      <c r="C2270" t="s">
        <v>2110</v>
      </c>
      <c r="D2270" t="s">
        <v>2103</v>
      </c>
      <c r="E2270" s="183">
        <v>16.98</v>
      </c>
    </row>
    <row r="2271" spans="1:5" ht="14.25">
      <c r="A2271">
        <v>151</v>
      </c>
      <c r="B2271" t="s">
        <v>13585</v>
      </c>
      <c r="C2271" t="s">
        <v>2117</v>
      </c>
      <c r="D2271" t="s">
        <v>2103</v>
      </c>
      <c r="E2271" s="183">
        <v>25.06</v>
      </c>
    </row>
    <row r="2272" spans="1:5" ht="14.25">
      <c r="A2272">
        <v>7340</v>
      </c>
      <c r="B2272" t="s">
        <v>10121</v>
      </c>
      <c r="C2272" t="s">
        <v>2117</v>
      </c>
      <c r="D2272" t="s">
        <v>2103</v>
      </c>
      <c r="E2272" s="183">
        <v>24.96</v>
      </c>
    </row>
    <row r="2273" spans="1:5" ht="14.25">
      <c r="A2273">
        <v>40929</v>
      </c>
      <c r="B2273" t="s">
        <v>10122</v>
      </c>
      <c r="C2273" t="s">
        <v>2123</v>
      </c>
      <c r="D2273" t="s">
        <v>2103</v>
      </c>
      <c r="E2273" s="184">
        <v>4782.17</v>
      </c>
    </row>
    <row r="2274" spans="1:5" ht="14.25">
      <c r="A2274">
        <v>2701</v>
      </c>
      <c r="B2274" t="s">
        <v>18380</v>
      </c>
      <c r="C2274" t="s">
        <v>2106</v>
      </c>
      <c r="D2274" t="s">
        <v>2103</v>
      </c>
      <c r="E2274" s="183">
        <v>27.26</v>
      </c>
    </row>
    <row r="2275" spans="1:5" ht="14.25">
      <c r="A2275">
        <v>38114</v>
      </c>
      <c r="B2275" t="s">
        <v>10123</v>
      </c>
      <c r="C2275" t="s">
        <v>2102</v>
      </c>
      <c r="D2275" t="s">
        <v>2103</v>
      </c>
      <c r="E2275" s="183">
        <v>20.58</v>
      </c>
    </row>
    <row r="2276" spans="1:5" ht="14.25">
      <c r="A2276">
        <v>38064</v>
      </c>
      <c r="B2276" t="s">
        <v>10124</v>
      </c>
      <c r="C2276" t="s">
        <v>2102</v>
      </c>
      <c r="D2276" t="s">
        <v>2103</v>
      </c>
      <c r="E2276" s="183">
        <v>23.01</v>
      </c>
    </row>
    <row r="2277" spans="1:5" ht="14.25">
      <c r="A2277">
        <v>38115</v>
      </c>
      <c r="B2277" t="s">
        <v>10125</v>
      </c>
      <c r="C2277" t="s">
        <v>2102</v>
      </c>
      <c r="D2277" t="s">
        <v>2103</v>
      </c>
      <c r="E2277" s="183">
        <v>21.97</v>
      </c>
    </row>
    <row r="2278" spans="1:5" ht="14.25">
      <c r="A2278">
        <v>38065</v>
      </c>
      <c r="B2278" t="s">
        <v>10126</v>
      </c>
      <c r="C2278" t="s">
        <v>2102</v>
      </c>
      <c r="D2278" t="s">
        <v>2103</v>
      </c>
      <c r="E2278" s="183">
        <v>32.64</v>
      </c>
    </row>
    <row r="2279" spans="1:5" ht="14.25">
      <c r="A2279">
        <v>38078</v>
      </c>
      <c r="B2279" t="s">
        <v>10127</v>
      </c>
      <c r="C2279" t="s">
        <v>2102</v>
      </c>
      <c r="D2279" t="s">
        <v>2103</v>
      </c>
      <c r="E2279" s="183">
        <v>19.04</v>
      </c>
    </row>
    <row r="2280" spans="1:5" ht="14.25">
      <c r="A2280">
        <v>38113</v>
      </c>
      <c r="B2280" t="s">
        <v>10128</v>
      </c>
      <c r="C2280" t="s">
        <v>2102</v>
      </c>
      <c r="D2280" t="s">
        <v>2103</v>
      </c>
      <c r="E2280" s="183">
        <v>10.34</v>
      </c>
    </row>
    <row r="2281" spans="1:5" ht="14.25">
      <c r="A2281">
        <v>38063</v>
      </c>
      <c r="B2281" t="s">
        <v>10129</v>
      </c>
      <c r="C2281" t="s">
        <v>2102</v>
      </c>
      <c r="D2281" t="s">
        <v>2103</v>
      </c>
      <c r="E2281" s="183">
        <v>11.1</v>
      </c>
    </row>
    <row r="2282" spans="1:5" ht="14.25">
      <c r="A2282">
        <v>38080</v>
      </c>
      <c r="B2282" t="s">
        <v>10130</v>
      </c>
      <c r="C2282" t="s">
        <v>2102</v>
      </c>
      <c r="D2282" t="s">
        <v>2103</v>
      </c>
      <c r="E2282" s="183">
        <v>33.07</v>
      </c>
    </row>
    <row r="2283" spans="1:5" ht="14.25">
      <c r="A2283">
        <v>38069</v>
      </c>
      <c r="B2283" t="s">
        <v>10131</v>
      </c>
      <c r="C2283" t="s">
        <v>2102</v>
      </c>
      <c r="D2283" t="s">
        <v>2103</v>
      </c>
      <c r="E2283" s="183">
        <v>18.09</v>
      </c>
    </row>
    <row r="2284" spans="1:5" ht="14.25">
      <c r="A2284">
        <v>38077</v>
      </c>
      <c r="B2284" t="s">
        <v>10132</v>
      </c>
      <c r="C2284" t="s">
        <v>2102</v>
      </c>
      <c r="D2284" t="s">
        <v>2103</v>
      </c>
      <c r="E2284" s="183">
        <v>17.670000000000002</v>
      </c>
    </row>
    <row r="2285" spans="1:5" ht="14.25">
      <c r="A2285">
        <v>38073</v>
      </c>
      <c r="B2285" t="s">
        <v>10133</v>
      </c>
      <c r="C2285" t="s">
        <v>2102</v>
      </c>
      <c r="D2285" t="s">
        <v>2103</v>
      </c>
      <c r="E2285" s="183">
        <v>26.93</v>
      </c>
    </row>
    <row r="2286" spans="1:5" ht="14.25">
      <c r="A2286">
        <v>38112</v>
      </c>
      <c r="B2286" t="s">
        <v>10134</v>
      </c>
      <c r="C2286" t="s">
        <v>2102</v>
      </c>
      <c r="D2286" t="s">
        <v>2103</v>
      </c>
      <c r="E2286" s="183">
        <v>7.94</v>
      </c>
    </row>
    <row r="2287" spans="1:5" ht="14.25">
      <c r="A2287">
        <v>38062</v>
      </c>
      <c r="B2287" t="s">
        <v>10135</v>
      </c>
      <c r="C2287" t="s">
        <v>2102</v>
      </c>
      <c r="D2287" t="s">
        <v>2103</v>
      </c>
      <c r="E2287" s="183">
        <v>8.15</v>
      </c>
    </row>
    <row r="2288" spans="1:5" ht="14.25">
      <c r="A2288">
        <v>12128</v>
      </c>
      <c r="B2288" t="s">
        <v>10136</v>
      </c>
      <c r="C2288" t="s">
        <v>2102</v>
      </c>
      <c r="D2288" t="s">
        <v>2103</v>
      </c>
      <c r="E2288" s="183">
        <v>10.9</v>
      </c>
    </row>
    <row r="2289" spans="1:5" ht="14.25">
      <c r="A2289">
        <v>12129</v>
      </c>
      <c r="B2289" t="s">
        <v>10137</v>
      </c>
      <c r="C2289" t="s">
        <v>2102</v>
      </c>
      <c r="D2289" t="s">
        <v>2103</v>
      </c>
      <c r="E2289" s="183">
        <v>14.4</v>
      </c>
    </row>
    <row r="2290" spans="1:5" ht="14.25">
      <c r="A2290">
        <v>38081</v>
      </c>
      <c r="B2290" t="s">
        <v>10138</v>
      </c>
      <c r="C2290" t="s">
        <v>2102</v>
      </c>
      <c r="D2290" t="s">
        <v>2103</v>
      </c>
      <c r="E2290" s="183">
        <v>28.05</v>
      </c>
    </row>
    <row r="2291" spans="1:5" ht="14.25">
      <c r="A2291">
        <v>38070</v>
      </c>
      <c r="B2291" t="s">
        <v>10139</v>
      </c>
      <c r="C2291" t="s">
        <v>2102</v>
      </c>
      <c r="D2291" t="s">
        <v>2103</v>
      </c>
      <c r="E2291" s="183">
        <v>19.329999999999998</v>
      </c>
    </row>
    <row r="2292" spans="1:5" ht="14.25">
      <c r="A2292">
        <v>38074</v>
      </c>
      <c r="B2292" t="s">
        <v>10140</v>
      </c>
      <c r="C2292" t="s">
        <v>2102</v>
      </c>
      <c r="D2292" t="s">
        <v>2103</v>
      </c>
      <c r="E2292" s="183">
        <v>29.39</v>
      </c>
    </row>
    <row r="2293" spans="1:5" ht="14.25">
      <c r="A2293">
        <v>38079</v>
      </c>
      <c r="B2293" t="s">
        <v>10141</v>
      </c>
      <c r="C2293" t="s">
        <v>2102</v>
      </c>
      <c r="D2293" t="s">
        <v>2103</v>
      </c>
      <c r="E2293" s="183">
        <v>25.23</v>
      </c>
    </row>
    <row r="2294" spans="1:5" ht="14.25">
      <c r="A2294">
        <v>38072</v>
      </c>
      <c r="B2294" t="s">
        <v>10142</v>
      </c>
      <c r="C2294" t="s">
        <v>2102</v>
      </c>
      <c r="D2294" t="s">
        <v>2103</v>
      </c>
      <c r="E2294" s="183">
        <v>24.24</v>
      </c>
    </row>
    <row r="2295" spans="1:5" ht="14.25">
      <c r="A2295">
        <v>38068</v>
      </c>
      <c r="B2295" t="s">
        <v>10143</v>
      </c>
      <c r="C2295" t="s">
        <v>2102</v>
      </c>
      <c r="D2295" t="s">
        <v>2103</v>
      </c>
      <c r="E2295" s="183">
        <v>16.73</v>
      </c>
    </row>
    <row r="2296" spans="1:5" ht="14.25">
      <c r="A2296">
        <v>38071</v>
      </c>
      <c r="B2296" t="s">
        <v>10144</v>
      </c>
      <c r="C2296" t="s">
        <v>2102</v>
      </c>
      <c r="D2296" t="s">
        <v>2103</v>
      </c>
      <c r="E2296" s="183">
        <v>20.010000000000002</v>
      </c>
    </row>
    <row r="2297" spans="1:5" ht="14.25">
      <c r="A2297">
        <v>38412</v>
      </c>
      <c r="B2297" t="s">
        <v>10145</v>
      </c>
      <c r="C2297" t="s">
        <v>2102</v>
      </c>
      <c r="D2297" t="s">
        <v>2105</v>
      </c>
      <c r="E2297" s="183">
        <v>917</v>
      </c>
    </row>
    <row r="2298" spans="1:5" ht="14.25">
      <c r="A2298">
        <v>3405</v>
      </c>
      <c r="B2298" t="s">
        <v>10146</v>
      </c>
      <c r="C2298" t="s">
        <v>2102</v>
      </c>
      <c r="D2298" t="s">
        <v>2103</v>
      </c>
      <c r="E2298" s="183">
        <v>124.6</v>
      </c>
    </row>
    <row r="2299" spans="1:5" ht="14.25">
      <c r="A2299">
        <v>3394</v>
      </c>
      <c r="B2299" t="s">
        <v>10147</v>
      </c>
      <c r="C2299" t="s">
        <v>2102</v>
      </c>
      <c r="D2299" t="s">
        <v>2103</v>
      </c>
      <c r="E2299" s="183">
        <v>657.74</v>
      </c>
    </row>
    <row r="2300" spans="1:5" ht="14.25">
      <c r="A2300">
        <v>3393</v>
      </c>
      <c r="B2300" t="s">
        <v>10148</v>
      </c>
      <c r="C2300" t="s">
        <v>2102</v>
      </c>
      <c r="D2300" t="s">
        <v>2103</v>
      </c>
      <c r="E2300" s="184">
        <v>1119.8699999999999</v>
      </c>
    </row>
    <row r="2301" spans="1:5" ht="14.25">
      <c r="A2301">
        <v>3406</v>
      </c>
      <c r="B2301" t="s">
        <v>10149</v>
      </c>
      <c r="C2301" t="s">
        <v>2102</v>
      </c>
      <c r="D2301" t="s">
        <v>2107</v>
      </c>
      <c r="E2301" s="183">
        <v>38.14</v>
      </c>
    </row>
    <row r="2302" spans="1:5" ht="14.25">
      <c r="A2302">
        <v>3395</v>
      </c>
      <c r="B2302" t="s">
        <v>10150</v>
      </c>
      <c r="C2302" t="s">
        <v>2102</v>
      </c>
      <c r="D2302" t="s">
        <v>2103</v>
      </c>
      <c r="E2302" s="183">
        <v>160.88999999999999</v>
      </c>
    </row>
    <row r="2303" spans="1:5" ht="14.25">
      <c r="A2303">
        <v>3398</v>
      </c>
      <c r="B2303" t="s">
        <v>10151</v>
      </c>
      <c r="C2303" t="s">
        <v>2102</v>
      </c>
      <c r="D2303" t="s">
        <v>2103</v>
      </c>
      <c r="E2303" s="183">
        <v>7.65</v>
      </c>
    </row>
    <row r="2304" spans="1:5" ht="14.25">
      <c r="A2304">
        <v>40662</v>
      </c>
      <c r="B2304" t="s">
        <v>10152</v>
      </c>
      <c r="C2304" t="s">
        <v>2102</v>
      </c>
      <c r="D2304" t="s">
        <v>2105</v>
      </c>
      <c r="E2304" s="183">
        <v>348.79</v>
      </c>
    </row>
    <row r="2305" spans="1:5" ht="14.25">
      <c r="A2305">
        <v>3437</v>
      </c>
      <c r="B2305" t="s">
        <v>10153</v>
      </c>
      <c r="C2305" t="s">
        <v>2104</v>
      </c>
      <c r="D2305" t="s">
        <v>2105</v>
      </c>
      <c r="E2305" s="183">
        <v>968.87</v>
      </c>
    </row>
    <row r="2306" spans="1:5" ht="14.25">
      <c r="A2306">
        <v>11190</v>
      </c>
      <c r="B2306" t="s">
        <v>10154</v>
      </c>
      <c r="C2306" t="s">
        <v>2102</v>
      </c>
      <c r="D2306" t="s">
        <v>2105</v>
      </c>
      <c r="E2306" s="183">
        <v>171.25</v>
      </c>
    </row>
    <row r="2307" spans="1:5" ht="14.25">
      <c r="A2307">
        <v>34377</v>
      </c>
      <c r="B2307" t="s">
        <v>18381</v>
      </c>
      <c r="C2307" t="s">
        <v>2102</v>
      </c>
      <c r="D2307" t="s">
        <v>2105</v>
      </c>
      <c r="E2307" s="183">
        <v>184.79</v>
      </c>
    </row>
    <row r="2308" spans="1:5" ht="14.25">
      <c r="A2308">
        <v>3428</v>
      </c>
      <c r="B2308" t="s">
        <v>10155</v>
      </c>
      <c r="C2308" t="s">
        <v>2104</v>
      </c>
      <c r="D2308" t="s">
        <v>2105</v>
      </c>
      <c r="E2308" s="184">
        <v>1437.16</v>
      </c>
    </row>
    <row r="2309" spans="1:5" ht="14.25">
      <c r="A2309">
        <v>3429</v>
      </c>
      <c r="B2309" t="s">
        <v>10156</v>
      </c>
      <c r="C2309" t="s">
        <v>2104</v>
      </c>
      <c r="D2309" t="s">
        <v>2105</v>
      </c>
      <c r="E2309" s="183">
        <v>821.11</v>
      </c>
    </row>
    <row r="2310" spans="1:5" ht="14.25">
      <c r="A2310">
        <v>11199</v>
      </c>
      <c r="B2310" t="s">
        <v>15244</v>
      </c>
      <c r="C2310" t="s">
        <v>2102</v>
      </c>
      <c r="D2310" t="s">
        <v>2105</v>
      </c>
      <c r="E2310" s="183">
        <v>945.78</v>
      </c>
    </row>
    <row r="2311" spans="1:5" ht="14.25">
      <c r="A2311">
        <v>34369</v>
      </c>
      <c r="B2311" t="s">
        <v>18382</v>
      </c>
      <c r="C2311" t="s">
        <v>2102</v>
      </c>
      <c r="D2311" t="s">
        <v>2105</v>
      </c>
      <c r="E2311" s="183">
        <v>642.72</v>
      </c>
    </row>
    <row r="2312" spans="1:5" ht="14.25">
      <c r="A2312">
        <v>36896</v>
      </c>
      <c r="B2312" t="s">
        <v>18383</v>
      </c>
      <c r="C2312" t="s">
        <v>2102</v>
      </c>
      <c r="D2312" t="s">
        <v>2105</v>
      </c>
      <c r="E2312" s="183">
        <v>357.9</v>
      </c>
    </row>
    <row r="2313" spans="1:5" ht="14.25">
      <c r="A2313">
        <v>34367</v>
      </c>
      <c r="B2313" t="s">
        <v>18384</v>
      </c>
      <c r="C2313" t="s">
        <v>2102</v>
      </c>
      <c r="D2313" t="s">
        <v>2105</v>
      </c>
      <c r="E2313" s="183">
        <v>461.28</v>
      </c>
    </row>
    <row r="2314" spans="1:5" ht="14.25">
      <c r="A2314">
        <v>36897</v>
      </c>
      <c r="B2314" t="s">
        <v>18385</v>
      </c>
      <c r="C2314" t="s">
        <v>2102</v>
      </c>
      <c r="D2314" t="s">
        <v>2105</v>
      </c>
      <c r="E2314" s="183">
        <v>558.49</v>
      </c>
    </row>
    <row r="2315" spans="1:5" ht="14.25">
      <c r="A2315">
        <v>34364</v>
      </c>
      <c r="B2315" t="s">
        <v>18386</v>
      </c>
      <c r="C2315" t="s">
        <v>2102</v>
      </c>
      <c r="D2315" t="s">
        <v>2105</v>
      </c>
      <c r="E2315" s="183">
        <v>606.33000000000004</v>
      </c>
    </row>
    <row r="2316" spans="1:5" ht="14.25">
      <c r="A2316">
        <v>40659</v>
      </c>
      <c r="B2316" t="s">
        <v>10157</v>
      </c>
      <c r="C2316" t="s">
        <v>2104</v>
      </c>
      <c r="D2316" t="s">
        <v>2105</v>
      </c>
      <c r="E2316" s="184">
        <v>1370.82</v>
      </c>
    </row>
    <row r="2317" spans="1:5" ht="14.25">
      <c r="A2317">
        <v>40660</v>
      </c>
      <c r="B2317" t="s">
        <v>10158</v>
      </c>
      <c r="C2317" t="s">
        <v>2104</v>
      </c>
      <c r="D2317" t="s">
        <v>2105</v>
      </c>
      <c r="E2317" s="184">
        <v>1737.35</v>
      </c>
    </row>
    <row r="2318" spans="1:5" ht="14.25">
      <c r="A2318">
        <v>40661</v>
      </c>
      <c r="B2318" t="s">
        <v>10159</v>
      </c>
      <c r="C2318" t="s">
        <v>2104</v>
      </c>
      <c r="D2318" t="s">
        <v>2105</v>
      </c>
      <c r="E2318" s="184">
        <v>1068.17</v>
      </c>
    </row>
    <row r="2319" spans="1:5" ht="14.25">
      <c r="A2319">
        <v>3421</v>
      </c>
      <c r="B2319" t="s">
        <v>10160</v>
      </c>
      <c r="C2319" t="s">
        <v>2104</v>
      </c>
      <c r="D2319" t="s">
        <v>2105</v>
      </c>
      <c r="E2319" s="184">
        <v>1076.3399999999999</v>
      </c>
    </row>
    <row r="2320" spans="1:5" ht="14.25">
      <c r="A2320">
        <v>599</v>
      </c>
      <c r="B2320" t="s">
        <v>13586</v>
      </c>
      <c r="C2320" t="s">
        <v>2104</v>
      </c>
      <c r="D2320" t="s">
        <v>2105</v>
      </c>
      <c r="E2320" s="183">
        <v>652.73</v>
      </c>
    </row>
    <row r="2321" spans="1:5" ht="14.25">
      <c r="A2321">
        <v>44053</v>
      </c>
      <c r="B2321" t="s">
        <v>18387</v>
      </c>
      <c r="C2321" t="s">
        <v>2102</v>
      </c>
      <c r="D2321" t="s">
        <v>2105</v>
      </c>
      <c r="E2321" s="184">
        <v>1448.76</v>
      </c>
    </row>
    <row r="2322" spans="1:5" ht="14.25">
      <c r="A2322">
        <v>3423</v>
      </c>
      <c r="B2322" t="s">
        <v>10161</v>
      </c>
      <c r="C2322" t="s">
        <v>2104</v>
      </c>
      <c r="D2322" t="s">
        <v>2105</v>
      </c>
      <c r="E2322" s="184">
        <v>1517.9</v>
      </c>
    </row>
    <row r="2323" spans="1:5" ht="14.25">
      <c r="A2323">
        <v>34381</v>
      </c>
      <c r="B2323" t="s">
        <v>18388</v>
      </c>
      <c r="C2323" t="s">
        <v>2102</v>
      </c>
      <c r="D2323" t="s">
        <v>2105</v>
      </c>
      <c r="E2323" s="183">
        <v>263.56</v>
      </c>
    </row>
    <row r="2324" spans="1:5" ht="14.25">
      <c r="A2324">
        <v>34797</v>
      </c>
      <c r="B2324" t="s">
        <v>10162</v>
      </c>
      <c r="C2324" t="s">
        <v>2102</v>
      </c>
      <c r="D2324" t="s">
        <v>2105</v>
      </c>
      <c r="E2324" s="183">
        <v>373.01</v>
      </c>
    </row>
    <row r="2325" spans="1:5" ht="14.25">
      <c r="A2325">
        <v>44054</v>
      </c>
      <c r="B2325" t="s">
        <v>18389</v>
      </c>
      <c r="C2325" t="s">
        <v>2102</v>
      </c>
      <c r="D2325" t="s">
        <v>2105</v>
      </c>
      <c r="E2325" s="183">
        <v>519.72</v>
      </c>
    </row>
    <row r="2326" spans="1:5" ht="14.25">
      <c r="A2326">
        <v>44399</v>
      </c>
      <c r="B2326" t="s">
        <v>18390</v>
      </c>
      <c r="C2326" t="s">
        <v>2102</v>
      </c>
      <c r="D2326" t="s">
        <v>2105</v>
      </c>
      <c r="E2326" s="183">
        <v>710.11</v>
      </c>
    </row>
    <row r="2327" spans="1:5" ht="14.25">
      <c r="A2327">
        <v>44503</v>
      </c>
      <c r="B2327" t="s">
        <v>15245</v>
      </c>
      <c r="C2327" t="s">
        <v>2106</v>
      </c>
      <c r="D2327" t="s">
        <v>2103</v>
      </c>
      <c r="E2327" s="183">
        <v>16.100000000000001</v>
      </c>
    </row>
    <row r="2328" spans="1:5" ht="14.25">
      <c r="A2328">
        <v>41077</v>
      </c>
      <c r="B2328" t="s">
        <v>10163</v>
      </c>
      <c r="C2328" t="s">
        <v>2123</v>
      </c>
      <c r="D2328" t="s">
        <v>2103</v>
      </c>
      <c r="E2328" s="184">
        <v>2824.48</v>
      </c>
    </row>
    <row r="2329" spans="1:5" ht="14.25">
      <c r="A2329">
        <v>37963</v>
      </c>
      <c r="B2329" t="s">
        <v>10164</v>
      </c>
      <c r="C2329" t="s">
        <v>2102</v>
      </c>
      <c r="D2329" t="s">
        <v>2103</v>
      </c>
      <c r="E2329" s="183">
        <v>4.83</v>
      </c>
    </row>
    <row r="2330" spans="1:5" ht="14.25">
      <c r="A2330">
        <v>37964</v>
      </c>
      <c r="B2330" t="s">
        <v>10165</v>
      </c>
      <c r="C2330" t="s">
        <v>2102</v>
      </c>
      <c r="D2330" t="s">
        <v>2103</v>
      </c>
      <c r="E2330" s="183">
        <v>6.45</v>
      </c>
    </row>
    <row r="2331" spans="1:5" ht="14.25">
      <c r="A2331">
        <v>37965</v>
      </c>
      <c r="B2331" t="s">
        <v>10166</v>
      </c>
      <c r="C2331" t="s">
        <v>2102</v>
      </c>
      <c r="D2331" t="s">
        <v>2103</v>
      </c>
      <c r="E2331" s="183">
        <v>9.31</v>
      </c>
    </row>
    <row r="2332" spans="1:5" ht="14.25">
      <c r="A2332">
        <v>37966</v>
      </c>
      <c r="B2332" t="s">
        <v>10167</v>
      </c>
      <c r="C2332" t="s">
        <v>2102</v>
      </c>
      <c r="D2332" t="s">
        <v>2103</v>
      </c>
      <c r="E2332" s="183">
        <v>16.350000000000001</v>
      </c>
    </row>
    <row r="2333" spans="1:5" ht="14.25">
      <c r="A2333">
        <v>37967</v>
      </c>
      <c r="B2333" t="s">
        <v>10168</v>
      </c>
      <c r="C2333" t="s">
        <v>2102</v>
      </c>
      <c r="D2333" t="s">
        <v>2103</v>
      </c>
      <c r="E2333" s="183">
        <v>27.47</v>
      </c>
    </row>
    <row r="2334" spans="1:5" ht="14.25">
      <c r="A2334">
        <v>37968</v>
      </c>
      <c r="B2334" t="s">
        <v>10169</v>
      </c>
      <c r="C2334" t="s">
        <v>2102</v>
      </c>
      <c r="D2334" t="s">
        <v>2103</v>
      </c>
      <c r="E2334" s="183">
        <v>58.32</v>
      </c>
    </row>
    <row r="2335" spans="1:5" ht="14.25">
      <c r="A2335">
        <v>37969</v>
      </c>
      <c r="B2335" t="s">
        <v>10170</v>
      </c>
      <c r="C2335" t="s">
        <v>2102</v>
      </c>
      <c r="D2335" t="s">
        <v>2103</v>
      </c>
      <c r="E2335" s="183">
        <v>147.38</v>
      </c>
    </row>
    <row r="2336" spans="1:5" ht="14.25">
      <c r="A2336">
        <v>37970</v>
      </c>
      <c r="B2336" t="s">
        <v>10171</v>
      </c>
      <c r="C2336" t="s">
        <v>2102</v>
      </c>
      <c r="D2336" t="s">
        <v>2103</v>
      </c>
      <c r="E2336" s="183">
        <v>213.22</v>
      </c>
    </row>
    <row r="2337" spans="1:5" ht="14.25">
      <c r="A2337">
        <v>44251</v>
      </c>
      <c r="B2337" t="s">
        <v>18391</v>
      </c>
      <c r="C2337" t="s">
        <v>2102</v>
      </c>
      <c r="D2337" t="s">
        <v>2103</v>
      </c>
      <c r="E2337" s="183">
        <v>246.29</v>
      </c>
    </row>
    <row r="2338" spans="1:5" ht="14.25">
      <c r="A2338">
        <v>21118</v>
      </c>
      <c r="B2338" t="s">
        <v>10172</v>
      </c>
      <c r="C2338" t="s">
        <v>2102</v>
      </c>
      <c r="D2338" t="s">
        <v>2103</v>
      </c>
      <c r="E2338" s="183">
        <v>3.84</v>
      </c>
    </row>
    <row r="2339" spans="1:5" ht="14.25">
      <c r="A2339">
        <v>37956</v>
      </c>
      <c r="B2339" t="s">
        <v>10173</v>
      </c>
      <c r="C2339" t="s">
        <v>2102</v>
      </c>
      <c r="D2339" t="s">
        <v>2103</v>
      </c>
      <c r="E2339" s="183">
        <v>4.71</v>
      </c>
    </row>
    <row r="2340" spans="1:5" ht="14.25">
      <c r="A2340">
        <v>37957</v>
      </c>
      <c r="B2340" t="s">
        <v>10174</v>
      </c>
      <c r="C2340" t="s">
        <v>2102</v>
      </c>
      <c r="D2340" t="s">
        <v>2103</v>
      </c>
      <c r="E2340" s="183">
        <v>10.029999999999999</v>
      </c>
    </row>
    <row r="2341" spans="1:5" ht="14.25">
      <c r="A2341">
        <v>37958</v>
      </c>
      <c r="B2341" t="s">
        <v>10175</v>
      </c>
      <c r="C2341" t="s">
        <v>2102</v>
      </c>
      <c r="D2341" t="s">
        <v>2103</v>
      </c>
      <c r="E2341" s="183">
        <v>18.13</v>
      </c>
    </row>
    <row r="2342" spans="1:5" ht="14.25">
      <c r="A2342">
        <v>37959</v>
      </c>
      <c r="B2342" t="s">
        <v>10176</v>
      </c>
      <c r="C2342" t="s">
        <v>2102</v>
      </c>
      <c r="D2342" t="s">
        <v>2103</v>
      </c>
      <c r="E2342" s="183">
        <v>27.91</v>
      </c>
    </row>
    <row r="2343" spans="1:5" ht="14.25">
      <c r="A2343">
        <v>37960</v>
      </c>
      <c r="B2343" t="s">
        <v>10177</v>
      </c>
      <c r="C2343" t="s">
        <v>2102</v>
      </c>
      <c r="D2343" t="s">
        <v>2103</v>
      </c>
      <c r="E2343" s="183">
        <v>71.31</v>
      </c>
    </row>
    <row r="2344" spans="1:5" ht="14.25">
      <c r="A2344">
        <v>37961</v>
      </c>
      <c r="B2344" t="s">
        <v>10178</v>
      </c>
      <c r="C2344" t="s">
        <v>2102</v>
      </c>
      <c r="D2344" t="s">
        <v>2103</v>
      </c>
      <c r="E2344" s="183">
        <v>153.25</v>
      </c>
    </row>
    <row r="2345" spans="1:5" ht="14.25">
      <c r="A2345">
        <v>37962</v>
      </c>
      <c r="B2345" t="s">
        <v>10179</v>
      </c>
      <c r="C2345" t="s">
        <v>2102</v>
      </c>
      <c r="D2345" t="s">
        <v>2103</v>
      </c>
      <c r="E2345" s="183">
        <v>176.68</v>
      </c>
    </row>
    <row r="2346" spans="1:5" ht="14.25">
      <c r="A2346">
        <v>3533</v>
      </c>
      <c r="B2346" t="s">
        <v>18392</v>
      </c>
      <c r="C2346" t="s">
        <v>2102</v>
      </c>
      <c r="D2346" t="s">
        <v>2103</v>
      </c>
      <c r="E2346" s="183">
        <v>3.65</v>
      </c>
    </row>
    <row r="2347" spans="1:5" ht="14.25">
      <c r="A2347">
        <v>3538</v>
      </c>
      <c r="B2347" t="s">
        <v>18393</v>
      </c>
      <c r="C2347" t="s">
        <v>2102</v>
      </c>
      <c r="D2347" t="s">
        <v>2103</v>
      </c>
      <c r="E2347" s="183">
        <v>6.91</v>
      </c>
    </row>
    <row r="2348" spans="1:5" ht="14.25">
      <c r="A2348">
        <v>3498</v>
      </c>
      <c r="B2348" t="s">
        <v>18394</v>
      </c>
      <c r="C2348" t="s">
        <v>2102</v>
      </c>
      <c r="D2348" t="s">
        <v>2103</v>
      </c>
      <c r="E2348" s="183">
        <v>6.7</v>
      </c>
    </row>
    <row r="2349" spans="1:5" ht="14.25">
      <c r="A2349">
        <v>3496</v>
      </c>
      <c r="B2349" t="s">
        <v>18395</v>
      </c>
      <c r="C2349" t="s">
        <v>2102</v>
      </c>
      <c r="D2349" t="s">
        <v>2103</v>
      </c>
      <c r="E2349" s="183">
        <v>4.4800000000000004</v>
      </c>
    </row>
    <row r="2350" spans="1:5" ht="14.25">
      <c r="A2350">
        <v>38429</v>
      </c>
      <c r="B2350" t="s">
        <v>10180</v>
      </c>
      <c r="C2350" t="s">
        <v>2102</v>
      </c>
      <c r="D2350" t="s">
        <v>2103</v>
      </c>
      <c r="E2350" s="183">
        <v>13.05</v>
      </c>
    </row>
    <row r="2351" spans="1:5" ht="14.25">
      <c r="A2351">
        <v>38431</v>
      </c>
      <c r="B2351" t="s">
        <v>10181</v>
      </c>
      <c r="C2351" t="s">
        <v>2102</v>
      </c>
      <c r="D2351" t="s">
        <v>2103</v>
      </c>
      <c r="E2351" s="183">
        <v>16.37</v>
      </c>
    </row>
    <row r="2352" spans="1:5" ht="14.25">
      <c r="A2352">
        <v>38430</v>
      </c>
      <c r="B2352" t="s">
        <v>10182</v>
      </c>
      <c r="C2352" t="s">
        <v>2102</v>
      </c>
      <c r="D2352" t="s">
        <v>2103</v>
      </c>
      <c r="E2352" s="183">
        <v>25.38</v>
      </c>
    </row>
    <row r="2353" spans="1:5" ht="14.25">
      <c r="A2353">
        <v>36348</v>
      </c>
      <c r="B2353" t="s">
        <v>18396</v>
      </c>
      <c r="C2353" t="s">
        <v>2102</v>
      </c>
      <c r="D2353" t="s">
        <v>2105</v>
      </c>
      <c r="E2353" s="183">
        <v>1.96</v>
      </c>
    </row>
    <row r="2354" spans="1:5" ht="14.25">
      <c r="A2354">
        <v>36349</v>
      </c>
      <c r="B2354" t="s">
        <v>18397</v>
      </c>
      <c r="C2354" t="s">
        <v>2102</v>
      </c>
      <c r="D2354" t="s">
        <v>2105</v>
      </c>
      <c r="E2354" s="183">
        <v>2.7</v>
      </c>
    </row>
    <row r="2355" spans="1:5" ht="14.25">
      <c r="A2355">
        <v>38987</v>
      </c>
      <c r="B2355" t="s">
        <v>18398</v>
      </c>
      <c r="C2355" t="s">
        <v>2102</v>
      </c>
      <c r="D2355" t="s">
        <v>2105</v>
      </c>
      <c r="E2355" s="183">
        <v>12.98</v>
      </c>
    </row>
    <row r="2356" spans="1:5" ht="14.25">
      <c r="A2356">
        <v>38988</v>
      </c>
      <c r="B2356" t="s">
        <v>18399</v>
      </c>
      <c r="C2356" t="s">
        <v>2102</v>
      </c>
      <c r="D2356" t="s">
        <v>2105</v>
      </c>
      <c r="E2356" s="183">
        <v>21.15</v>
      </c>
    </row>
    <row r="2357" spans="1:5" ht="14.25">
      <c r="A2357">
        <v>38989</v>
      </c>
      <c r="B2357" t="s">
        <v>18400</v>
      </c>
      <c r="C2357" t="s">
        <v>2102</v>
      </c>
      <c r="D2357" t="s">
        <v>2105</v>
      </c>
      <c r="E2357" s="183">
        <v>35.590000000000003</v>
      </c>
    </row>
    <row r="2358" spans="1:5" ht="14.25">
      <c r="A2358">
        <v>38990</v>
      </c>
      <c r="B2358" t="s">
        <v>18401</v>
      </c>
      <c r="C2358" t="s">
        <v>2102</v>
      </c>
      <c r="D2358" t="s">
        <v>2105</v>
      </c>
      <c r="E2358" s="183">
        <v>71.12</v>
      </c>
    </row>
    <row r="2359" spans="1:5" ht="14.25">
      <c r="A2359">
        <v>38991</v>
      </c>
      <c r="B2359" t="s">
        <v>18402</v>
      </c>
      <c r="C2359" t="s">
        <v>2102</v>
      </c>
      <c r="D2359" t="s">
        <v>2105</v>
      </c>
      <c r="E2359" s="183">
        <v>127.97</v>
      </c>
    </row>
    <row r="2360" spans="1:5" ht="14.25">
      <c r="A2360">
        <v>38433</v>
      </c>
      <c r="B2360" t="s">
        <v>18403</v>
      </c>
      <c r="C2360" t="s">
        <v>2102</v>
      </c>
      <c r="D2360" t="s">
        <v>2105</v>
      </c>
      <c r="E2360" s="183">
        <v>6.61</v>
      </c>
    </row>
    <row r="2361" spans="1:5" ht="14.25">
      <c r="A2361">
        <v>38440</v>
      </c>
      <c r="B2361" t="s">
        <v>18404</v>
      </c>
      <c r="C2361" t="s">
        <v>2102</v>
      </c>
      <c r="D2361" t="s">
        <v>2105</v>
      </c>
      <c r="E2361" s="183">
        <v>278.89999999999998</v>
      </c>
    </row>
    <row r="2362" spans="1:5" ht="14.25">
      <c r="A2362">
        <v>36359</v>
      </c>
      <c r="B2362" t="s">
        <v>18405</v>
      </c>
      <c r="C2362" t="s">
        <v>2102</v>
      </c>
      <c r="D2362" t="s">
        <v>2105</v>
      </c>
      <c r="E2362" s="183">
        <v>1.74</v>
      </c>
    </row>
    <row r="2363" spans="1:5" ht="14.25">
      <c r="A2363">
        <v>36360</v>
      </c>
      <c r="B2363" t="s">
        <v>18406</v>
      </c>
      <c r="C2363" t="s">
        <v>2102</v>
      </c>
      <c r="D2363" t="s">
        <v>2105</v>
      </c>
      <c r="E2363" s="183">
        <v>2.34</v>
      </c>
    </row>
    <row r="2364" spans="1:5" ht="14.25">
      <c r="A2364">
        <v>38434</v>
      </c>
      <c r="B2364" t="s">
        <v>18407</v>
      </c>
      <c r="C2364" t="s">
        <v>2102</v>
      </c>
      <c r="D2364" t="s">
        <v>2105</v>
      </c>
      <c r="E2364" s="183">
        <v>3.56</v>
      </c>
    </row>
    <row r="2365" spans="1:5" ht="14.25">
      <c r="A2365">
        <v>38435</v>
      </c>
      <c r="B2365" t="s">
        <v>18408</v>
      </c>
      <c r="C2365" t="s">
        <v>2102</v>
      </c>
      <c r="D2365" t="s">
        <v>2105</v>
      </c>
      <c r="E2365" s="183">
        <v>8.02</v>
      </c>
    </row>
    <row r="2366" spans="1:5" ht="14.25">
      <c r="A2366">
        <v>38436</v>
      </c>
      <c r="B2366" t="s">
        <v>18409</v>
      </c>
      <c r="C2366" t="s">
        <v>2102</v>
      </c>
      <c r="D2366" t="s">
        <v>2105</v>
      </c>
      <c r="E2366" s="183">
        <v>13.3</v>
      </c>
    </row>
    <row r="2367" spans="1:5" ht="14.25">
      <c r="A2367">
        <v>38437</v>
      </c>
      <c r="B2367" t="s">
        <v>18410</v>
      </c>
      <c r="C2367" t="s">
        <v>2102</v>
      </c>
      <c r="D2367" t="s">
        <v>2105</v>
      </c>
      <c r="E2367" s="183">
        <v>21.57</v>
      </c>
    </row>
    <row r="2368" spans="1:5" ht="14.25">
      <c r="A2368">
        <v>38438</v>
      </c>
      <c r="B2368" t="s">
        <v>18411</v>
      </c>
      <c r="C2368" t="s">
        <v>2102</v>
      </c>
      <c r="D2368" t="s">
        <v>2105</v>
      </c>
      <c r="E2368" s="183">
        <v>62.57</v>
      </c>
    </row>
    <row r="2369" spans="1:5" ht="14.25">
      <c r="A2369">
        <v>38439</v>
      </c>
      <c r="B2369" t="s">
        <v>18412</v>
      </c>
      <c r="C2369" t="s">
        <v>2102</v>
      </c>
      <c r="D2369" t="s">
        <v>2105</v>
      </c>
      <c r="E2369" s="183">
        <v>79.5</v>
      </c>
    </row>
    <row r="2370" spans="1:5" ht="14.25">
      <c r="A2370">
        <v>10836</v>
      </c>
      <c r="B2370" t="s">
        <v>10183</v>
      </c>
      <c r="C2370" t="s">
        <v>2102</v>
      </c>
      <c r="D2370" t="s">
        <v>2103</v>
      </c>
      <c r="E2370" s="183">
        <v>24.99</v>
      </c>
    </row>
    <row r="2371" spans="1:5" ht="14.25">
      <c r="A2371">
        <v>10835</v>
      </c>
      <c r="B2371" t="s">
        <v>10184</v>
      </c>
      <c r="C2371" t="s">
        <v>2102</v>
      </c>
      <c r="D2371" t="s">
        <v>2103</v>
      </c>
      <c r="E2371" s="183">
        <v>6.97</v>
      </c>
    </row>
    <row r="2372" spans="1:5" ht="14.25">
      <c r="A2372">
        <v>3475</v>
      </c>
      <c r="B2372" t="s">
        <v>18413</v>
      </c>
      <c r="C2372" t="s">
        <v>2102</v>
      </c>
      <c r="D2372" t="s">
        <v>2103</v>
      </c>
      <c r="E2372" s="183">
        <v>6.4</v>
      </c>
    </row>
    <row r="2373" spans="1:5" ht="14.25">
      <c r="A2373">
        <v>3485</v>
      </c>
      <c r="B2373" t="s">
        <v>18414</v>
      </c>
      <c r="C2373" t="s">
        <v>2102</v>
      </c>
      <c r="D2373" t="s">
        <v>2103</v>
      </c>
      <c r="E2373" s="183">
        <v>17.68</v>
      </c>
    </row>
    <row r="2374" spans="1:5" ht="14.25">
      <c r="A2374">
        <v>3534</v>
      </c>
      <c r="B2374" t="s">
        <v>18415</v>
      </c>
      <c r="C2374" t="s">
        <v>2102</v>
      </c>
      <c r="D2374" t="s">
        <v>2103</v>
      </c>
      <c r="E2374" s="183">
        <v>10.14</v>
      </c>
    </row>
    <row r="2375" spans="1:5" ht="14.25">
      <c r="A2375">
        <v>3543</v>
      </c>
      <c r="B2375" t="s">
        <v>18416</v>
      </c>
      <c r="C2375" t="s">
        <v>2102</v>
      </c>
      <c r="D2375" t="s">
        <v>2103</v>
      </c>
      <c r="E2375" s="183">
        <v>2.35</v>
      </c>
    </row>
    <row r="2376" spans="1:5" ht="14.25">
      <c r="A2376">
        <v>3482</v>
      </c>
      <c r="B2376" t="s">
        <v>18417</v>
      </c>
      <c r="C2376" t="s">
        <v>2102</v>
      </c>
      <c r="D2376" t="s">
        <v>2103</v>
      </c>
      <c r="E2376" s="183">
        <v>7.25</v>
      </c>
    </row>
    <row r="2377" spans="1:5" ht="14.25">
      <c r="A2377">
        <v>3505</v>
      </c>
      <c r="B2377" t="s">
        <v>18418</v>
      </c>
      <c r="C2377" t="s">
        <v>2102</v>
      </c>
      <c r="D2377" t="s">
        <v>2103</v>
      </c>
      <c r="E2377" s="183">
        <v>3.5</v>
      </c>
    </row>
    <row r="2378" spans="1:5" ht="14.25">
      <c r="A2378">
        <v>3521</v>
      </c>
      <c r="B2378" t="s">
        <v>18419</v>
      </c>
      <c r="C2378" t="s">
        <v>2102</v>
      </c>
      <c r="D2378" t="s">
        <v>2103</v>
      </c>
      <c r="E2378" s="183">
        <v>2.64</v>
      </c>
    </row>
    <row r="2379" spans="1:5" ht="14.25">
      <c r="A2379">
        <v>3531</v>
      </c>
      <c r="B2379" t="s">
        <v>18420</v>
      </c>
      <c r="C2379" t="s">
        <v>2102</v>
      </c>
      <c r="D2379" t="s">
        <v>2103</v>
      </c>
      <c r="E2379" s="183">
        <v>5.0199999999999996</v>
      </c>
    </row>
    <row r="2380" spans="1:5" ht="14.25">
      <c r="A2380">
        <v>3522</v>
      </c>
      <c r="B2380" t="s">
        <v>18421</v>
      </c>
      <c r="C2380" t="s">
        <v>2102</v>
      </c>
      <c r="D2380" t="s">
        <v>2103</v>
      </c>
      <c r="E2380" s="183">
        <v>3.24</v>
      </c>
    </row>
    <row r="2381" spans="1:5" ht="14.25">
      <c r="A2381">
        <v>3527</v>
      </c>
      <c r="B2381" t="s">
        <v>18422</v>
      </c>
      <c r="C2381" t="s">
        <v>2102</v>
      </c>
      <c r="D2381" t="s">
        <v>2103</v>
      </c>
      <c r="E2381" s="183">
        <v>17.04</v>
      </c>
    </row>
    <row r="2382" spans="1:5" ht="14.25">
      <c r="A2382">
        <v>3516</v>
      </c>
      <c r="B2382" t="s">
        <v>10185</v>
      </c>
      <c r="C2382" t="s">
        <v>2102</v>
      </c>
      <c r="D2382" t="s">
        <v>2103</v>
      </c>
      <c r="E2382" s="183">
        <v>2.88</v>
      </c>
    </row>
    <row r="2383" spans="1:5" ht="14.25">
      <c r="A2383">
        <v>3517</v>
      </c>
      <c r="B2383" t="s">
        <v>18423</v>
      </c>
      <c r="C2383" t="s">
        <v>2102</v>
      </c>
      <c r="D2383" t="s">
        <v>2103</v>
      </c>
      <c r="E2383" s="183">
        <v>2.6</v>
      </c>
    </row>
    <row r="2384" spans="1:5" ht="14.25">
      <c r="A2384">
        <v>3515</v>
      </c>
      <c r="B2384" t="s">
        <v>10186</v>
      </c>
      <c r="C2384" t="s">
        <v>2102</v>
      </c>
      <c r="D2384" t="s">
        <v>2103</v>
      </c>
      <c r="E2384" s="183">
        <v>8.69</v>
      </c>
    </row>
    <row r="2385" spans="1:5" ht="14.25">
      <c r="A2385">
        <v>20147</v>
      </c>
      <c r="B2385" t="s">
        <v>10187</v>
      </c>
      <c r="C2385" t="s">
        <v>2102</v>
      </c>
      <c r="D2385" t="s">
        <v>2103</v>
      </c>
      <c r="E2385" s="183">
        <v>7.14</v>
      </c>
    </row>
    <row r="2386" spans="1:5" ht="14.25">
      <c r="A2386">
        <v>3524</v>
      </c>
      <c r="B2386" t="s">
        <v>10188</v>
      </c>
      <c r="C2386" t="s">
        <v>2102</v>
      </c>
      <c r="D2386" t="s">
        <v>2103</v>
      </c>
      <c r="E2386" s="183">
        <v>10.75</v>
      </c>
    </row>
    <row r="2387" spans="1:5" ht="14.25">
      <c r="A2387">
        <v>3532</v>
      </c>
      <c r="B2387" t="s">
        <v>10189</v>
      </c>
      <c r="C2387" t="s">
        <v>2102</v>
      </c>
      <c r="D2387" t="s">
        <v>2103</v>
      </c>
      <c r="E2387" s="183">
        <v>24.85</v>
      </c>
    </row>
    <row r="2388" spans="1:5" ht="14.25">
      <c r="A2388">
        <v>3528</v>
      </c>
      <c r="B2388" t="s">
        <v>10190</v>
      </c>
      <c r="C2388" t="s">
        <v>2102</v>
      </c>
      <c r="D2388" t="s">
        <v>2103</v>
      </c>
      <c r="E2388" s="183">
        <v>11.25</v>
      </c>
    </row>
    <row r="2389" spans="1:5" ht="14.25">
      <c r="A2389">
        <v>37952</v>
      </c>
      <c r="B2389" t="s">
        <v>10191</v>
      </c>
      <c r="C2389" t="s">
        <v>2102</v>
      </c>
      <c r="D2389" t="s">
        <v>2103</v>
      </c>
      <c r="E2389" s="183">
        <v>80.63</v>
      </c>
    </row>
    <row r="2390" spans="1:5" ht="14.25">
      <c r="A2390">
        <v>37951</v>
      </c>
      <c r="B2390" t="s">
        <v>10192</v>
      </c>
      <c r="C2390" t="s">
        <v>2102</v>
      </c>
      <c r="D2390" t="s">
        <v>2103</v>
      </c>
      <c r="E2390" s="183">
        <v>3.03</v>
      </c>
    </row>
    <row r="2391" spans="1:5" ht="14.25">
      <c r="A2391">
        <v>3518</v>
      </c>
      <c r="B2391" t="s">
        <v>10193</v>
      </c>
      <c r="C2391" t="s">
        <v>2102</v>
      </c>
      <c r="D2391" t="s">
        <v>2103</v>
      </c>
      <c r="E2391" s="183">
        <v>4.66</v>
      </c>
    </row>
    <row r="2392" spans="1:5" ht="14.25">
      <c r="A2392">
        <v>3519</v>
      </c>
      <c r="B2392" t="s">
        <v>10194</v>
      </c>
      <c r="C2392" t="s">
        <v>2102</v>
      </c>
      <c r="D2392" t="s">
        <v>2103</v>
      </c>
      <c r="E2392" s="183">
        <v>9.76</v>
      </c>
    </row>
    <row r="2393" spans="1:5" ht="14.25">
      <c r="A2393">
        <v>3520</v>
      </c>
      <c r="B2393" t="s">
        <v>10195</v>
      </c>
      <c r="C2393" t="s">
        <v>2102</v>
      </c>
      <c r="D2393" t="s">
        <v>2103</v>
      </c>
      <c r="E2393" s="183">
        <v>10.220000000000001</v>
      </c>
    </row>
    <row r="2394" spans="1:5" ht="14.25">
      <c r="A2394">
        <v>37950</v>
      </c>
      <c r="B2394" t="s">
        <v>10196</v>
      </c>
      <c r="C2394" t="s">
        <v>2102</v>
      </c>
      <c r="D2394" t="s">
        <v>2103</v>
      </c>
      <c r="E2394" s="183">
        <v>74.22</v>
      </c>
    </row>
    <row r="2395" spans="1:5" ht="14.25">
      <c r="A2395">
        <v>37949</v>
      </c>
      <c r="B2395" t="s">
        <v>10197</v>
      </c>
      <c r="C2395" t="s">
        <v>2102</v>
      </c>
      <c r="D2395" t="s">
        <v>2103</v>
      </c>
      <c r="E2395" s="183">
        <v>2.73</v>
      </c>
    </row>
    <row r="2396" spans="1:5" ht="14.25">
      <c r="A2396">
        <v>3526</v>
      </c>
      <c r="B2396" t="s">
        <v>10198</v>
      </c>
      <c r="C2396" t="s">
        <v>2102</v>
      </c>
      <c r="D2396" t="s">
        <v>2103</v>
      </c>
      <c r="E2396" s="183">
        <v>3.77</v>
      </c>
    </row>
    <row r="2397" spans="1:5" ht="14.25">
      <c r="A2397">
        <v>3509</v>
      </c>
      <c r="B2397" t="s">
        <v>10199</v>
      </c>
      <c r="C2397" t="s">
        <v>2102</v>
      </c>
      <c r="D2397" t="s">
        <v>2103</v>
      </c>
      <c r="E2397" s="183">
        <v>8.56</v>
      </c>
    </row>
    <row r="2398" spans="1:5" ht="14.25">
      <c r="A2398">
        <v>3530</v>
      </c>
      <c r="B2398" t="s">
        <v>18424</v>
      </c>
      <c r="C2398" t="s">
        <v>2102</v>
      </c>
      <c r="D2398" t="s">
        <v>2103</v>
      </c>
      <c r="E2398" s="183">
        <v>275.89</v>
      </c>
    </row>
    <row r="2399" spans="1:5" ht="14.25">
      <c r="A2399">
        <v>3542</v>
      </c>
      <c r="B2399" t="s">
        <v>18425</v>
      </c>
      <c r="C2399" t="s">
        <v>2102</v>
      </c>
      <c r="D2399" t="s">
        <v>2103</v>
      </c>
      <c r="E2399" s="183">
        <v>0.79</v>
      </c>
    </row>
    <row r="2400" spans="1:5" ht="14.25">
      <c r="A2400">
        <v>3529</v>
      </c>
      <c r="B2400" t="s">
        <v>18426</v>
      </c>
      <c r="C2400" t="s">
        <v>2102</v>
      </c>
      <c r="D2400" t="s">
        <v>2103</v>
      </c>
      <c r="E2400" s="183">
        <v>0.97</v>
      </c>
    </row>
    <row r="2401" spans="1:5" ht="14.25">
      <c r="A2401">
        <v>3536</v>
      </c>
      <c r="B2401" t="s">
        <v>18427</v>
      </c>
      <c r="C2401" t="s">
        <v>2102</v>
      </c>
      <c r="D2401" t="s">
        <v>2103</v>
      </c>
      <c r="E2401" s="183">
        <v>3.23</v>
      </c>
    </row>
    <row r="2402" spans="1:5" ht="14.25">
      <c r="A2402">
        <v>3535</v>
      </c>
      <c r="B2402" t="s">
        <v>18428</v>
      </c>
      <c r="C2402" t="s">
        <v>2102</v>
      </c>
      <c r="D2402" t="s">
        <v>2103</v>
      </c>
      <c r="E2402" s="183">
        <v>7.87</v>
      </c>
    </row>
    <row r="2403" spans="1:5" ht="14.25">
      <c r="A2403">
        <v>3540</v>
      </c>
      <c r="B2403" t="s">
        <v>18429</v>
      </c>
      <c r="C2403" t="s">
        <v>2102</v>
      </c>
      <c r="D2403" t="s">
        <v>2103</v>
      </c>
      <c r="E2403" s="183">
        <v>6.66</v>
      </c>
    </row>
    <row r="2404" spans="1:5" ht="14.25">
      <c r="A2404">
        <v>3539</v>
      </c>
      <c r="B2404" t="s">
        <v>18430</v>
      </c>
      <c r="C2404" t="s">
        <v>2102</v>
      </c>
      <c r="D2404" t="s">
        <v>2103</v>
      </c>
      <c r="E2404" s="183">
        <v>38.61</v>
      </c>
    </row>
    <row r="2405" spans="1:5" ht="14.25">
      <c r="A2405">
        <v>3513</v>
      </c>
      <c r="B2405" t="s">
        <v>18431</v>
      </c>
      <c r="C2405" t="s">
        <v>2102</v>
      </c>
      <c r="D2405" t="s">
        <v>2103</v>
      </c>
      <c r="E2405" s="183">
        <v>136.16</v>
      </c>
    </row>
    <row r="2406" spans="1:5" ht="14.25">
      <c r="A2406">
        <v>3510</v>
      </c>
      <c r="B2406" t="s">
        <v>18432</v>
      </c>
      <c r="C2406" t="s">
        <v>2102</v>
      </c>
      <c r="D2406" t="s">
        <v>2103</v>
      </c>
      <c r="E2406" s="183">
        <v>16.809999999999999</v>
      </c>
    </row>
    <row r="2407" spans="1:5" ht="14.25">
      <c r="A2407">
        <v>38913</v>
      </c>
      <c r="B2407" t="s">
        <v>18433</v>
      </c>
      <c r="C2407" t="s">
        <v>2102</v>
      </c>
      <c r="D2407" t="s">
        <v>2105</v>
      </c>
      <c r="E2407" s="183">
        <v>9.42</v>
      </c>
    </row>
    <row r="2408" spans="1:5" ht="14.25">
      <c r="A2408">
        <v>38914</v>
      </c>
      <c r="B2408" t="s">
        <v>18434</v>
      </c>
      <c r="C2408" t="s">
        <v>2102</v>
      </c>
      <c r="D2408" t="s">
        <v>2105</v>
      </c>
      <c r="E2408" s="183">
        <v>11.57</v>
      </c>
    </row>
    <row r="2409" spans="1:5" ht="14.25">
      <c r="A2409">
        <v>38915</v>
      </c>
      <c r="B2409" t="s">
        <v>18435</v>
      </c>
      <c r="C2409" t="s">
        <v>2102</v>
      </c>
      <c r="D2409" t="s">
        <v>2105</v>
      </c>
      <c r="E2409" s="183">
        <v>22.29</v>
      </c>
    </row>
    <row r="2410" spans="1:5" ht="14.25">
      <c r="A2410">
        <v>38916</v>
      </c>
      <c r="B2410" t="s">
        <v>18436</v>
      </c>
      <c r="C2410" t="s">
        <v>2102</v>
      </c>
      <c r="D2410" t="s">
        <v>2105</v>
      </c>
      <c r="E2410" s="183">
        <v>30.85</v>
      </c>
    </row>
    <row r="2411" spans="1:5" ht="14.25">
      <c r="A2411">
        <v>39300</v>
      </c>
      <c r="B2411" t="s">
        <v>18437</v>
      </c>
      <c r="C2411" t="s">
        <v>2102</v>
      </c>
      <c r="D2411" t="s">
        <v>2105</v>
      </c>
      <c r="E2411" s="183">
        <v>8.41</v>
      </c>
    </row>
    <row r="2412" spans="1:5" ht="14.25">
      <c r="A2412">
        <v>39301</v>
      </c>
      <c r="B2412" t="s">
        <v>18438</v>
      </c>
      <c r="C2412" t="s">
        <v>2102</v>
      </c>
      <c r="D2412" t="s">
        <v>2105</v>
      </c>
      <c r="E2412" s="183">
        <v>11.26</v>
      </c>
    </row>
    <row r="2413" spans="1:5" ht="14.25">
      <c r="A2413">
        <v>39302</v>
      </c>
      <c r="B2413" t="s">
        <v>18439</v>
      </c>
      <c r="C2413" t="s">
        <v>2102</v>
      </c>
      <c r="D2413" t="s">
        <v>2105</v>
      </c>
      <c r="E2413" s="183">
        <v>20.47</v>
      </c>
    </row>
    <row r="2414" spans="1:5" ht="14.25">
      <c r="A2414">
        <v>38923</v>
      </c>
      <c r="B2414" t="s">
        <v>18440</v>
      </c>
      <c r="C2414" t="s">
        <v>2102</v>
      </c>
      <c r="D2414" t="s">
        <v>2105</v>
      </c>
      <c r="E2414" s="183">
        <v>10.08</v>
      </c>
    </row>
    <row r="2415" spans="1:5" ht="14.25">
      <c r="A2415">
        <v>38925</v>
      </c>
      <c r="B2415" t="s">
        <v>18441</v>
      </c>
      <c r="C2415" t="s">
        <v>2102</v>
      </c>
      <c r="D2415" t="s">
        <v>2105</v>
      </c>
      <c r="E2415" s="183">
        <v>11.7</v>
      </c>
    </row>
    <row r="2416" spans="1:5" ht="14.25">
      <c r="A2416">
        <v>38926</v>
      </c>
      <c r="B2416" t="s">
        <v>18442</v>
      </c>
      <c r="C2416" t="s">
        <v>2102</v>
      </c>
      <c r="D2416" t="s">
        <v>2105</v>
      </c>
      <c r="E2416" s="183">
        <v>13.87</v>
      </c>
    </row>
    <row r="2417" spans="1:5" ht="14.25">
      <c r="A2417">
        <v>38927</v>
      </c>
      <c r="B2417" t="s">
        <v>18443</v>
      </c>
      <c r="C2417" t="s">
        <v>2102</v>
      </c>
      <c r="D2417" t="s">
        <v>2105</v>
      </c>
      <c r="E2417" s="183">
        <v>17.52</v>
      </c>
    </row>
    <row r="2418" spans="1:5" ht="14.25">
      <c r="A2418">
        <v>39304</v>
      </c>
      <c r="B2418" t="s">
        <v>18444</v>
      </c>
      <c r="C2418" t="s">
        <v>2102</v>
      </c>
      <c r="D2418" t="s">
        <v>2105</v>
      </c>
      <c r="E2418" s="183">
        <v>9.9499999999999993</v>
      </c>
    </row>
    <row r="2419" spans="1:5" ht="14.25">
      <c r="A2419">
        <v>39305</v>
      </c>
      <c r="B2419" t="s">
        <v>18445</v>
      </c>
      <c r="C2419" t="s">
        <v>2102</v>
      </c>
      <c r="D2419" t="s">
        <v>2105</v>
      </c>
      <c r="E2419" s="183">
        <v>10.91</v>
      </c>
    </row>
    <row r="2420" spans="1:5" ht="14.25">
      <c r="A2420">
        <v>39306</v>
      </c>
      <c r="B2420" t="s">
        <v>18446</v>
      </c>
      <c r="C2420" t="s">
        <v>2102</v>
      </c>
      <c r="D2420" t="s">
        <v>2105</v>
      </c>
      <c r="E2420" s="183">
        <v>14.67</v>
      </c>
    </row>
    <row r="2421" spans="1:5" ht="14.25">
      <c r="A2421">
        <v>38928</v>
      </c>
      <c r="B2421" t="s">
        <v>18447</v>
      </c>
      <c r="C2421" t="s">
        <v>2102</v>
      </c>
      <c r="D2421" t="s">
        <v>2105</v>
      </c>
      <c r="E2421" s="183">
        <v>19.39</v>
      </c>
    </row>
    <row r="2422" spans="1:5" ht="14.25">
      <c r="A2422">
        <v>38941</v>
      </c>
      <c r="B2422" t="s">
        <v>18448</v>
      </c>
      <c r="C2422" t="s">
        <v>2102</v>
      </c>
      <c r="D2422" t="s">
        <v>2105</v>
      </c>
      <c r="E2422" s="183">
        <v>15.2</v>
      </c>
    </row>
    <row r="2423" spans="1:5" ht="14.25">
      <c r="A2423">
        <v>38917</v>
      </c>
      <c r="B2423" t="s">
        <v>18449</v>
      </c>
      <c r="C2423" t="s">
        <v>2102</v>
      </c>
      <c r="D2423" t="s">
        <v>2105</v>
      </c>
      <c r="E2423" s="183">
        <v>10.84</v>
      </c>
    </row>
    <row r="2424" spans="1:5" ht="14.25">
      <c r="A2424">
        <v>38919</v>
      </c>
      <c r="B2424" t="s">
        <v>18450</v>
      </c>
      <c r="C2424" t="s">
        <v>2102</v>
      </c>
      <c r="D2424" t="s">
        <v>2105</v>
      </c>
      <c r="E2424" s="183">
        <v>12.72</v>
      </c>
    </row>
    <row r="2425" spans="1:5" ht="14.25">
      <c r="A2425">
        <v>38922</v>
      </c>
      <c r="B2425" t="s">
        <v>18451</v>
      </c>
      <c r="C2425" t="s">
        <v>2102</v>
      </c>
      <c r="D2425" t="s">
        <v>2105</v>
      </c>
      <c r="E2425" s="183">
        <v>17.07</v>
      </c>
    </row>
    <row r="2426" spans="1:5" ht="14.25">
      <c r="A2426">
        <v>20151</v>
      </c>
      <c r="B2426" t="s">
        <v>18452</v>
      </c>
      <c r="C2426" t="s">
        <v>2102</v>
      </c>
      <c r="D2426" t="s">
        <v>2103</v>
      </c>
      <c r="E2426" s="183">
        <v>25.14</v>
      </c>
    </row>
    <row r="2427" spans="1:5" ht="14.25">
      <c r="A2427">
        <v>20152</v>
      </c>
      <c r="B2427" t="s">
        <v>18453</v>
      </c>
      <c r="C2427" t="s">
        <v>2102</v>
      </c>
      <c r="D2427" t="s">
        <v>2103</v>
      </c>
      <c r="E2427" s="183">
        <v>90.98</v>
      </c>
    </row>
    <row r="2428" spans="1:5" ht="14.25">
      <c r="A2428">
        <v>20148</v>
      </c>
      <c r="B2428" t="s">
        <v>18454</v>
      </c>
      <c r="C2428" t="s">
        <v>2102</v>
      </c>
      <c r="D2428" t="s">
        <v>2103</v>
      </c>
      <c r="E2428" s="183">
        <v>4.9400000000000004</v>
      </c>
    </row>
    <row r="2429" spans="1:5" ht="14.25">
      <c r="A2429">
        <v>20149</v>
      </c>
      <c r="B2429" t="s">
        <v>18455</v>
      </c>
      <c r="C2429" t="s">
        <v>2102</v>
      </c>
      <c r="D2429" t="s">
        <v>2103</v>
      </c>
      <c r="E2429" s="183">
        <v>8.26</v>
      </c>
    </row>
    <row r="2430" spans="1:5" ht="14.25">
      <c r="A2430">
        <v>20150</v>
      </c>
      <c r="B2430" t="s">
        <v>18456</v>
      </c>
      <c r="C2430" t="s">
        <v>2102</v>
      </c>
      <c r="D2430" t="s">
        <v>2103</v>
      </c>
      <c r="E2430" s="183">
        <v>21.28</v>
      </c>
    </row>
    <row r="2431" spans="1:5" ht="14.25">
      <c r="A2431">
        <v>20157</v>
      </c>
      <c r="B2431" t="s">
        <v>18457</v>
      </c>
      <c r="C2431" t="s">
        <v>2102</v>
      </c>
      <c r="D2431" t="s">
        <v>2103</v>
      </c>
      <c r="E2431" s="183">
        <v>23.88</v>
      </c>
    </row>
    <row r="2432" spans="1:5" ht="14.25">
      <c r="A2432">
        <v>20158</v>
      </c>
      <c r="B2432" t="s">
        <v>18458</v>
      </c>
      <c r="C2432" t="s">
        <v>2102</v>
      </c>
      <c r="D2432" t="s">
        <v>2103</v>
      </c>
      <c r="E2432" s="183">
        <v>94.84</v>
      </c>
    </row>
    <row r="2433" spans="1:5" ht="14.25">
      <c r="A2433">
        <v>20154</v>
      </c>
      <c r="B2433" t="s">
        <v>18459</v>
      </c>
      <c r="C2433" t="s">
        <v>2102</v>
      </c>
      <c r="D2433" t="s">
        <v>2103</v>
      </c>
      <c r="E2433" s="183">
        <v>4.84</v>
      </c>
    </row>
    <row r="2434" spans="1:5" ht="14.25">
      <c r="A2434">
        <v>20155</v>
      </c>
      <c r="B2434" t="s">
        <v>18460</v>
      </c>
      <c r="C2434" t="s">
        <v>2102</v>
      </c>
      <c r="D2434" t="s">
        <v>2103</v>
      </c>
      <c r="E2434" s="183">
        <v>7.37</v>
      </c>
    </row>
    <row r="2435" spans="1:5" ht="14.25">
      <c r="A2435">
        <v>20156</v>
      </c>
      <c r="B2435" t="s">
        <v>18461</v>
      </c>
      <c r="C2435" t="s">
        <v>2102</v>
      </c>
      <c r="D2435" t="s">
        <v>2103</v>
      </c>
      <c r="E2435" s="183">
        <v>20.72</v>
      </c>
    </row>
    <row r="2436" spans="1:5" ht="14.25">
      <c r="A2436">
        <v>3499</v>
      </c>
      <c r="B2436" t="s">
        <v>18462</v>
      </c>
      <c r="C2436" t="s">
        <v>2102</v>
      </c>
      <c r="D2436" t="s">
        <v>2103</v>
      </c>
      <c r="E2436" s="183">
        <v>1.51</v>
      </c>
    </row>
    <row r="2437" spans="1:5" ht="14.25">
      <c r="A2437">
        <v>3500</v>
      </c>
      <c r="B2437" t="s">
        <v>18463</v>
      </c>
      <c r="C2437" t="s">
        <v>2102</v>
      </c>
      <c r="D2437" t="s">
        <v>2103</v>
      </c>
      <c r="E2437" s="183">
        <v>2</v>
      </c>
    </row>
    <row r="2438" spans="1:5" ht="14.25">
      <c r="A2438">
        <v>3501</v>
      </c>
      <c r="B2438" t="s">
        <v>18464</v>
      </c>
      <c r="C2438" t="s">
        <v>2102</v>
      </c>
      <c r="D2438" t="s">
        <v>2103</v>
      </c>
      <c r="E2438" s="183">
        <v>5.53</v>
      </c>
    </row>
    <row r="2439" spans="1:5" ht="14.25">
      <c r="A2439">
        <v>3502</v>
      </c>
      <c r="B2439" t="s">
        <v>18465</v>
      </c>
      <c r="C2439" t="s">
        <v>2102</v>
      </c>
      <c r="D2439" t="s">
        <v>2103</v>
      </c>
      <c r="E2439" s="183">
        <v>7.95</v>
      </c>
    </row>
    <row r="2440" spans="1:5" ht="14.25">
      <c r="A2440">
        <v>3503</v>
      </c>
      <c r="B2440" t="s">
        <v>18466</v>
      </c>
      <c r="C2440" t="s">
        <v>2102</v>
      </c>
      <c r="D2440" t="s">
        <v>2103</v>
      </c>
      <c r="E2440" s="183">
        <v>9.99</v>
      </c>
    </row>
    <row r="2441" spans="1:5" ht="14.25">
      <c r="A2441">
        <v>3477</v>
      </c>
      <c r="B2441" t="s">
        <v>18467</v>
      </c>
      <c r="C2441" t="s">
        <v>2102</v>
      </c>
      <c r="D2441" t="s">
        <v>2103</v>
      </c>
      <c r="E2441" s="183">
        <v>36.28</v>
      </c>
    </row>
    <row r="2442" spans="1:5" ht="14.25">
      <c r="A2442">
        <v>3478</v>
      </c>
      <c r="B2442" t="s">
        <v>18468</v>
      </c>
      <c r="C2442" t="s">
        <v>2102</v>
      </c>
      <c r="D2442" t="s">
        <v>2103</v>
      </c>
      <c r="E2442" s="183">
        <v>87</v>
      </c>
    </row>
    <row r="2443" spans="1:5" ht="14.25">
      <c r="A2443">
        <v>3525</v>
      </c>
      <c r="B2443" t="s">
        <v>18469</v>
      </c>
      <c r="C2443" t="s">
        <v>2102</v>
      </c>
      <c r="D2443" t="s">
        <v>2103</v>
      </c>
      <c r="E2443" s="183">
        <v>107.37</v>
      </c>
    </row>
    <row r="2444" spans="1:5" ht="14.25">
      <c r="A2444">
        <v>3511</v>
      </c>
      <c r="B2444" t="s">
        <v>18470</v>
      </c>
      <c r="C2444" t="s">
        <v>2102</v>
      </c>
      <c r="D2444" t="s">
        <v>2103</v>
      </c>
      <c r="E2444" s="183">
        <v>113.88</v>
      </c>
    </row>
    <row r="2445" spans="1:5" ht="14.25">
      <c r="A2445">
        <v>12032</v>
      </c>
      <c r="B2445" t="s">
        <v>10200</v>
      </c>
      <c r="C2445" t="s">
        <v>2140</v>
      </c>
      <c r="D2445" t="s">
        <v>2103</v>
      </c>
      <c r="E2445" s="183">
        <v>53.19</v>
      </c>
    </row>
    <row r="2446" spans="1:5" ht="14.25">
      <c r="A2446">
        <v>12030</v>
      </c>
      <c r="B2446" t="s">
        <v>10201</v>
      </c>
      <c r="C2446" t="s">
        <v>2140</v>
      </c>
      <c r="D2446" t="s">
        <v>2103</v>
      </c>
      <c r="E2446" s="183">
        <v>49.98</v>
      </c>
    </row>
    <row r="2447" spans="1:5" ht="14.25">
      <c r="A2447">
        <v>10908</v>
      </c>
      <c r="B2447" t="s">
        <v>10202</v>
      </c>
      <c r="C2447" t="s">
        <v>2102</v>
      </c>
      <c r="D2447" t="s">
        <v>2103</v>
      </c>
      <c r="E2447" s="183">
        <v>23.48</v>
      </c>
    </row>
    <row r="2448" spans="1:5" ht="14.25">
      <c r="A2448">
        <v>10909</v>
      </c>
      <c r="B2448" t="s">
        <v>10203</v>
      </c>
      <c r="C2448" t="s">
        <v>2102</v>
      </c>
      <c r="D2448" t="s">
        <v>2103</v>
      </c>
      <c r="E2448" s="183">
        <v>27.31</v>
      </c>
    </row>
    <row r="2449" spans="1:5" ht="14.25">
      <c r="A2449">
        <v>3669</v>
      </c>
      <c r="B2449" t="s">
        <v>10204</v>
      </c>
      <c r="C2449" t="s">
        <v>2102</v>
      </c>
      <c r="D2449" t="s">
        <v>2103</v>
      </c>
      <c r="E2449" s="183">
        <v>16.78</v>
      </c>
    </row>
    <row r="2450" spans="1:5" ht="14.25">
      <c r="A2450">
        <v>20139</v>
      </c>
      <c r="B2450" t="s">
        <v>18471</v>
      </c>
      <c r="C2450" t="s">
        <v>2102</v>
      </c>
      <c r="D2450" t="s">
        <v>2103</v>
      </c>
      <c r="E2450" s="183">
        <v>144.29</v>
      </c>
    </row>
    <row r="2451" spans="1:5" ht="14.25">
      <c r="A2451">
        <v>3668</v>
      </c>
      <c r="B2451" t="s">
        <v>10205</v>
      </c>
      <c r="C2451" t="s">
        <v>2102</v>
      </c>
      <c r="D2451" t="s">
        <v>2103</v>
      </c>
      <c r="E2451" s="183">
        <v>51.54</v>
      </c>
    </row>
    <row r="2452" spans="1:5" ht="14.25">
      <c r="A2452">
        <v>10911</v>
      </c>
      <c r="B2452" t="s">
        <v>10206</v>
      </c>
      <c r="C2452" t="s">
        <v>2102</v>
      </c>
      <c r="D2452" t="s">
        <v>2103</v>
      </c>
      <c r="E2452" s="183">
        <v>22.59</v>
      </c>
    </row>
    <row r="2453" spans="1:5" ht="14.25">
      <c r="A2453">
        <v>3659</v>
      </c>
      <c r="B2453" t="s">
        <v>18472</v>
      </c>
      <c r="C2453" t="s">
        <v>2102</v>
      </c>
      <c r="D2453" t="s">
        <v>2103</v>
      </c>
      <c r="E2453" s="183">
        <v>23.02</v>
      </c>
    </row>
    <row r="2454" spans="1:5" ht="14.25">
      <c r="A2454">
        <v>3660</v>
      </c>
      <c r="B2454" t="s">
        <v>18473</v>
      </c>
      <c r="C2454" t="s">
        <v>2102</v>
      </c>
      <c r="D2454" t="s">
        <v>2103</v>
      </c>
      <c r="E2454" s="183">
        <v>29.77</v>
      </c>
    </row>
    <row r="2455" spans="1:5" ht="14.25">
      <c r="A2455">
        <v>20144</v>
      </c>
      <c r="B2455" t="s">
        <v>18474</v>
      </c>
      <c r="C2455" t="s">
        <v>2102</v>
      </c>
      <c r="D2455" t="s">
        <v>2103</v>
      </c>
      <c r="E2455" s="183">
        <v>66.67</v>
      </c>
    </row>
    <row r="2456" spans="1:5" ht="14.25">
      <c r="A2456">
        <v>20143</v>
      </c>
      <c r="B2456" t="s">
        <v>18475</v>
      </c>
      <c r="C2456" t="s">
        <v>2102</v>
      </c>
      <c r="D2456" t="s">
        <v>2103</v>
      </c>
      <c r="E2456" s="183">
        <v>85.29</v>
      </c>
    </row>
    <row r="2457" spans="1:5" ht="14.25">
      <c r="A2457">
        <v>20145</v>
      </c>
      <c r="B2457" t="s">
        <v>18476</v>
      </c>
      <c r="C2457" t="s">
        <v>2102</v>
      </c>
      <c r="D2457" t="s">
        <v>2103</v>
      </c>
      <c r="E2457" s="183">
        <v>164.53</v>
      </c>
    </row>
    <row r="2458" spans="1:5" ht="14.25">
      <c r="A2458">
        <v>20146</v>
      </c>
      <c r="B2458" t="s">
        <v>18477</v>
      </c>
      <c r="C2458" t="s">
        <v>2102</v>
      </c>
      <c r="D2458" t="s">
        <v>2103</v>
      </c>
      <c r="E2458" s="183">
        <v>224.91</v>
      </c>
    </row>
    <row r="2459" spans="1:5" ht="14.25">
      <c r="A2459">
        <v>20140</v>
      </c>
      <c r="B2459" t="s">
        <v>18478</v>
      </c>
      <c r="C2459" t="s">
        <v>2102</v>
      </c>
      <c r="D2459" t="s">
        <v>2103</v>
      </c>
      <c r="E2459" s="183">
        <v>10.55</v>
      </c>
    </row>
    <row r="2460" spans="1:5" ht="14.25">
      <c r="A2460">
        <v>20141</v>
      </c>
      <c r="B2460" t="s">
        <v>18479</v>
      </c>
      <c r="C2460" t="s">
        <v>2102</v>
      </c>
      <c r="D2460" t="s">
        <v>2103</v>
      </c>
      <c r="E2460" s="183">
        <v>25.84</v>
      </c>
    </row>
    <row r="2461" spans="1:5" ht="14.25">
      <c r="A2461">
        <v>20142</v>
      </c>
      <c r="B2461" t="s">
        <v>18480</v>
      </c>
      <c r="C2461" t="s">
        <v>2102</v>
      </c>
      <c r="D2461" t="s">
        <v>2103</v>
      </c>
      <c r="E2461" s="183">
        <v>45.46</v>
      </c>
    </row>
    <row r="2462" spans="1:5" ht="14.25">
      <c r="A2462">
        <v>3670</v>
      </c>
      <c r="B2462" t="s">
        <v>10207</v>
      </c>
      <c r="C2462" t="s">
        <v>2102</v>
      </c>
      <c r="D2462" t="s">
        <v>2103</v>
      </c>
      <c r="E2462" s="183">
        <v>29.56</v>
      </c>
    </row>
    <row r="2463" spans="1:5" ht="14.25">
      <c r="A2463">
        <v>3666</v>
      </c>
      <c r="B2463" t="s">
        <v>10208</v>
      </c>
      <c r="C2463" t="s">
        <v>2102</v>
      </c>
      <c r="D2463" t="s">
        <v>2103</v>
      </c>
      <c r="E2463" s="183">
        <v>4.6500000000000004</v>
      </c>
    </row>
    <row r="2464" spans="1:5" ht="14.25">
      <c r="A2464">
        <v>3662</v>
      </c>
      <c r="B2464" t="s">
        <v>18481</v>
      </c>
      <c r="C2464" t="s">
        <v>2102</v>
      </c>
      <c r="D2464" t="s">
        <v>2103</v>
      </c>
      <c r="E2464" s="183">
        <v>12.13</v>
      </c>
    </row>
    <row r="2465" spans="1:5" ht="14.25">
      <c r="A2465">
        <v>3658</v>
      </c>
      <c r="B2465" t="s">
        <v>18482</v>
      </c>
      <c r="C2465" t="s">
        <v>2102</v>
      </c>
      <c r="D2465" t="s">
        <v>2103</v>
      </c>
      <c r="E2465" s="183">
        <v>22.98</v>
      </c>
    </row>
    <row r="2466" spans="1:5" ht="14.25">
      <c r="A2466">
        <v>14157</v>
      </c>
      <c r="B2466" t="s">
        <v>10209</v>
      </c>
      <c r="C2466" t="s">
        <v>2102</v>
      </c>
      <c r="D2466" t="s">
        <v>2105</v>
      </c>
      <c r="E2466" s="183">
        <v>1.27</v>
      </c>
    </row>
    <row r="2467" spans="1:5" ht="14.25">
      <c r="A2467">
        <v>42696</v>
      </c>
      <c r="B2467" t="s">
        <v>18483</v>
      </c>
      <c r="C2467" t="s">
        <v>2102</v>
      </c>
      <c r="D2467" t="s">
        <v>2103</v>
      </c>
      <c r="E2467" s="183">
        <v>182.25</v>
      </c>
    </row>
    <row r="2468" spans="1:5" ht="14.25">
      <c r="A2468">
        <v>39875</v>
      </c>
      <c r="B2468" t="s">
        <v>10210</v>
      </c>
      <c r="C2468" t="s">
        <v>2102</v>
      </c>
      <c r="D2468" t="s">
        <v>2105</v>
      </c>
      <c r="E2468" s="183">
        <v>612.03</v>
      </c>
    </row>
    <row r="2469" spans="1:5" ht="14.25">
      <c r="A2469">
        <v>39876</v>
      </c>
      <c r="B2469" t="s">
        <v>10211</v>
      </c>
      <c r="C2469" t="s">
        <v>2102</v>
      </c>
      <c r="D2469" t="s">
        <v>2105</v>
      </c>
      <c r="E2469" s="183">
        <v>766.26</v>
      </c>
    </row>
    <row r="2470" spans="1:5" ht="14.25">
      <c r="A2470">
        <v>39877</v>
      </c>
      <c r="B2470" t="s">
        <v>10212</v>
      </c>
      <c r="C2470" t="s">
        <v>2102</v>
      </c>
      <c r="D2470" t="s">
        <v>2105</v>
      </c>
      <c r="E2470" s="184">
        <v>1062.78</v>
      </c>
    </row>
    <row r="2471" spans="1:5" ht="14.25">
      <c r="A2471">
        <v>39878</v>
      </c>
      <c r="B2471" t="s">
        <v>10213</v>
      </c>
      <c r="C2471" t="s">
        <v>2102</v>
      </c>
      <c r="D2471" t="s">
        <v>2105</v>
      </c>
      <c r="E2471" s="184">
        <v>1403.75</v>
      </c>
    </row>
    <row r="2472" spans="1:5" ht="14.25">
      <c r="A2472">
        <v>39872</v>
      </c>
      <c r="B2472" t="s">
        <v>10214</v>
      </c>
      <c r="C2472" t="s">
        <v>2102</v>
      </c>
      <c r="D2472" t="s">
        <v>2105</v>
      </c>
      <c r="E2472" s="183">
        <v>419.72</v>
      </c>
    </row>
    <row r="2473" spans="1:5" ht="14.25">
      <c r="A2473">
        <v>39873</v>
      </c>
      <c r="B2473" t="s">
        <v>10215</v>
      </c>
      <c r="C2473" t="s">
        <v>2102</v>
      </c>
      <c r="D2473" t="s">
        <v>2105</v>
      </c>
      <c r="E2473" s="183">
        <v>486.85</v>
      </c>
    </row>
    <row r="2474" spans="1:5" ht="14.25">
      <c r="A2474">
        <v>39874</v>
      </c>
      <c r="B2474" t="s">
        <v>10216</v>
      </c>
      <c r="C2474" t="s">
        <v>2102</v>
      </c>
      <c r="D2474" t="s">
        <v>2105</v>
      </c>
      <c r="E2474" s="183">
        <v>534.74</v>
      </c>
    </row>
    <row r="2475" spans="1:5" ht="14.25">
      <c r="A2475">
        <v>3674</v>
      </c>
      <c r="B2475" t="s">
        <v>10217</v>
      </c>
      <c r="C2475" t="s">
        <v>2109</v>
      </c>
      <c r="D2475" t="s">
        <v>2105</v>
      </c>
      <c r="E2475" s="183">
        <v>86.56</v>
      </c>
    </row>
    <row r="2476" spans="1:5" ht="14.25">
      <c r="A2476">
        <v>3681</v>
      </c>
      <c r="B2476" t="s">
        <v>10218</v>
      </c>
      <c r="C2476" t="s">
        <v>2109</v>
      </c>
      <c r="D2476" t="s">
        <v>2105</v>
      </c>
      <c r="E2476" s="183">
        <v>128.78</v>
      </c>
    </row>
    <row r="2477" spans="1:5" ht="14.25">
      <c r="A2477">
        <v>3676</v>
      </c>
      <c r="B2477" t="s">
        <v>10219</v>
      </c>
      <c r="C2477" t="s">
        <v>2109</v>
      </c>
      <c r="D2477" t="s">
        <v>2105</v>
      </c>
      <c r="E2477" s="183">
        <v>484.67</v>
      </c>
    </row>
    <row r="2478" spans="1:5" ht="14.25">
      <c r="A2478">
        <v>3679</v>
      </c>
      <c r="B2478" t="s">
        <v>10220</v>
      </c>
      <c r="C2478" t="s">
        <v>2109</v>
      </c>
      <c r="D2478" t="s">
        <v>2105</v>
      </c>
      <c r="E2478" s="183">
        <v>400.97</v>
      </c>
    </row>
    <row r="2479" spans="1:5" ht="14.25">
      <c r="A2479">
        <v>3672</v>
      </c>
      <c r="B2479" t="s">
        <v>10221</v>
      </c>
      <c r="C2479" t="s">
        <v>2109</v>
      </c>
      <c r="D2479" t="s">
        <v>2105</v>
      </c>
      <c r="E2479" s="183">
        <v>1.36</v>
      </c>
    </row>
    <row r="2480" spans="1:5" ht="14.25">
      <c r="A2480">
        <v>3671</v>
      </c>
      <c r="B2480" t="s">
        <v>10222</v>
      </c>
      <c r="C2480" t="s">
        <v>2109</v>
      </c>
      <c r="D2480" t="s">
        <v>2105</v>
      </c>
      <c r="E2480" s="183">
        <v>1.29</v>
      </c>
    </row>
    <row r="2481" spans="1:5" ht="14.25">
      <c r="A2481">
        <v>3673</v>
      </c>
      <c r="B2481" t="s">
        <v>10223</v>
      </c>
      <c r="C2481" t="s">
        <v>2109</v>
      </c>
      <c r="D2481" t="s">
        <v>2105</v>
      </c>
      <c r="E2481" s="183">
        <v>2.02</v>
      </c>
    </row>
    <row r="2482" spans="1:5" ht="14.25">
      <c r="A2482">
        <v>38394</v>
      </c>
      <c r="B2482" t="s">
        <v>10224</v>
      </c>
      <c r="C2482" t="s">
        <v>2102</v>
      </c>
      <c r="D2482" t="s">
        <v>2103</v>
      </c>
      <c r="E2482" s="183">
        <v>364.04</v>
      </c>
    </row>
    <row r="2483" spans="1:5" ht="14.25">
      <c r="A2483">
        <v>3729</v>
      </c>
      <c r="B2483" t="s">
        <v>10225</v>
      </c>
      <c r="C2483" t="s">
        <v>2102</v>
      </c>
      <c r="D2483" t="s">
        <v>2103</v>
      </c>
      <c r="E2483" s="183">
        <v>184.99</v>
      </c>
    </row>
    <row r="2484" spans="1:5" ht="14.25">
      <c r="A2484">
        <v>39357</v>
      </c>
      <c r="B2484" t="s">
        <v>18484</v>
      </c>
      <c r="C2484" t="s">
        <v>2102</v>
      </c>
      <c r="D2484" t="s">
        <v>2105</v>
      </c>
      <c r="E2484" s="183">
        <v>52.21</v>
      </c>
    </row>
    <row r="2485" spans="1:5" ht="14.25">
      <c r="A2485">
        <v>39358</v>
      </c>
      <c r="B2485" t="s">
        <v>18485</v>
      </c>
      <c r="C2485" t="s">
        <v>2102</v>
      </c>
      <c r="D2485" t="s">
        <v>2105</v>
      </c>
      <c r="E2485" s="183">
        <v>52.21</v>
      </c>
    </row>
    <row r="2486" spans="1:5" ht="14.25">
      <c r="A2486">
        <v>39355</v>
      </c>
      <c r="B2486" t="s">
        <v>18486</v>
      </c>
      <c r="C2486" t="s">
        <v>2102</v>
      </c>
      <c r="D2486" t="s">
        <v>2105</v>
      </c>
      <c r="E2486" s="183">
        <v>76.069999999999993</v>
      </c>
    </row>
    <row r="2487" spans="1:5" ht="14.25">
      <c r="A2487">
        <v>39356</v>
      </c>
      <c r="B2487" t="s">
        <v>18487</v>
      </c>
      <c r="C2487" t="s">
        <v>2102</v>
      </c>
      <c r="D2487" t="s">
        <v>2105</v>
      </c>
      <c r="E2487" s="183">
        <v>72.599999999999994</v>
      </c>
    </row>
    <row r="2488" spans="1:5" ht="14.25">
      <c r="A2488">
        <v>39353</v>
      </c>
      <c r="B2488" t="s">
        <v>18488</v>
      </c>
      <c r="C2488" t="s">
        <v>2102</v>
      </c>
      <c r="D2488" t="s">
        <v>2105</v>
      </c>
      <c r="E2488" s="183">
        <v>166.66</v>
      </c>
    </row>
    <row r="2489" spans="1:5" ht="14.25">
      <c r="A2489">
        <v>39354</v>
      </c>
      <c r="B2489" t="s">
        <v>18489</v>
      </c>
      <c r="C2489" t="s">
        <v>2102</v>
      </c>
      <c r="D2489" t="s">
        <v>2105</v>
      </c>
      <c r="E2489" s="183">
        <v>351.63</v>
      </c>
    </row>
    <row r="2490" spans="1:5" ht="14.25">
      <c r="A2490">
        <v>39398</v>
      </c>
      <c r="B2490" t="s">
        <v>10226</v>
      </c>
      <c r="C2490" t="s">
        <v>2102</v>
      </c>
      <c r="D2490" t="s">
        <v>2103</v>
      </c>
      <c r="E2490" s="183">
        <v>85.55</v>
      </c>
    </row>
    <row r="2491" spans="1:5" ht="14.25">
      <c r="A2491">
        <v>13343</v>
      </c>
      <c r="B2491" t="s">
        <v>10227</v>
      </c>
      <c r="C2491" t="s">
        <v>2102</v>
      </c>
      <c r="D2491" t="s">
        <v>2105</v>
      </c>
      <c r="E2491" s="183">
        <v>44.51</v>
      </c>
    </row>
    <row r="2492" spans="1:5" ht="14.25">
      <c r="A2492">
        <v>12118</v>
      </c>
      <c r="B2492" t="s">
        <v>10228</v>
      </c>
      <c r="C2492" t="s">
        <v>2102</v>
      </c>
      <c r="D2492" t="s">
        <v>2103</v>
      </c>
      <c r="E2492" s="183">
        <v>26.14</v>
      </c>
    </row>
    <row r="2493" spans="1:5" ht="14.25">
      <c r="A2493">
        <v>39482</v>
      </c>
      <c r="B2493" t="s">
        <v>10229</v>
      </c>
      <c r="C2493" t="s">
        <v>2102</v>
      </c>
      <c r="D2493" t="s">
        <v>2103</v>
      </c>
      <c r="E2493" s="183">
        <v>571.07000000000005</v>
      </c>
    </row>
    <row r="2494" spans="1:5" ht="14.25">
      <c r="A2494">
        <v>39486</v>
      </c>
      <c r="B2494" t="s">
        <v>10230</v>
      </c>
      <c r="C2494" t="s">
        <v>2102</v>
      </c>
      <c r="D2494" t="s">
        <v>2103</v>
      </c>
      <c r="E2494" s="183">
        <v>466.07</v>
      </c>
    </row>
    <row r="2495" spans="1:5" ht="14.25">
      <c r="A2495">
        <v>39484</v>
      </c>
      <c r="B2495" t="s">
        <v>10231</v>
      </c>
      <c r="C2495" t="s">
        <v>2102</v>
      </c>
      <c r="D2495" t="s">
        <v>2103</v>
      </c>
      <c r="E2495" s="183">
        <v>571.07000000000005</v>
      </c>
    </row>
    <row r="2496" spans="1:5" ht="14.25">
      <c r="A2496">
        <v>39488</v>
      </c>
      <c r="B2496" t="s">
        <v>10232</v>
      </c>
      <c r="C2496" t="s">
        <v>2102</v>
      </c>
      <c r="D2496" t="s">
        <v>2103</v>
      </c>
      <c r="E2496" s="183">
        <v>473.71</v>
      </c>
    </row>
    <row r="2497" spans="1:5" ht="14.25">
      <c r="A2497">
        <v>39485</v>
      </c>
      <c r="B2497" t="s">
        <v>10233</v>
      </c>
      <c r="C2497" t="s">
        <v>2102</v>
      </c>
      <c r="D2497" t="s">
        <v>2103</v>
      </c>
      <c r="E2497" s="183">
        <v>571.07000000000005</v>
      </c>
    </row>
    <row r="2498" spans="1:5" ht="14.25">
      <c r="A2498">
        <v>39489</v>
      </c>
      <c r="B2498" t="s">
        <v>10234</v>
      </c>
      <c r="C2498" t="s">
        <v>2102</v>
      </c>
      <c r="D2498" t="s">
        <v>2103</v>
      </c>
      <c r="E2498" s="183">
        <v>481.74</v>
      </c>
    </row>
    <row r="2499" spans="1:5" ht="14.25">
      <c r="A2499">
        <v>39490</v>
      </c>
      <c r="B2499" t="s">
        <v>10235</v>
      </c>
      <c r="C2499" t="s">
        <v>2102</v>
      </c>
      <c r="D2499" t="s">
        <v>2103</v>
      </c>
      <c r="E2499" s="183">
        <v>717.85</v>
      </c>
    </row>
    <row r="2500" spans="1:5" ht="14.25">
      <c r="A2500">
        <v>39494</v>
      </c>
      <c r="B2500" t="s">
        <v>10236</v>
      </c>
      <c r="C2500" t="s">
        <v>2102</v>
      </c>
      <c r="D2500" t="s">
        <v>2103</v>
      </c>
      <c r="E2500" s="183">
        <v>515.48</v>
      </c>
    </row>
    <row r="2501" spans="1:5" ht="14.25">
      <c r="A2501">
        <v>39495</v>
      </c>
      <c r="B2501" t="s">
        <v>10237</v>
      </c>
      <c r="C2501" t="s">
        <v>2102</v>
      </c>
      <c r="D2501" t="s">
        <v>2103</v>
      </c>
      <c r="E2501" s="183">
        <v>580.87</v>
      </c>
    </row>
    <row r="2502" spans="1:5" ht="14.25">
      <c r="A2502">
        <v>39496</v>
      </c>
      <c r="B2502" t="s">
        <v>10238</v>
      </c>
      <c r="C2502" t="s">
        <v>2102</v>
      </c>
      <c r="D2502" t="s">
        <v>2103</v>
      </c>
      <c r="E2502" s="183">
        <v>638.96</v>
      </c>
    </row>
    <row r="2503" spans="1:5" ht="14.25">
      <c r="A2503">
        <v>39492</v>
      </c>
      <c r="B2503" t="s">
        <v>10239</v>
      </c>
      <c r="C2503" t="s">
        <v>2102</v>
      </c>
      <c r="D2503" t="s">
        <v>2103</v>
      </c>
      <c r="E2503" s="183">
        <v>739.74</v>
      </c>
    </row>
    <row r="2504" spans="1:5" ht="14.25">
      <c r="A2504">
        <v>39497</v>
      </c>
      <c r="B2504" t="s">
        <v>10240</v>
      </c>
      <c r="C2504" t="s">
        <v>2102</v>
      </c>
      <c r="D2504" t="s">
        <v>2103</v>
      </c>
      <c r="E2504" s="183">
        <v>668.18</v>
      </c>
    </row>
    <row r="2505" spans="1:5" ht="14.25">
      <c r="A2505">
        <v>39493</v>
      </c>
      <c r="B2505" t="s">
        <v>10241</v>
      </c>
      <c r="C2505" t="s">
        <v>2102</v>
      </c>
      <c r="D2505" t="s">
        <v>2103</v>
      </c>
      <c r="E2505" s="183">
        <v>793.44</v>
      </c>
    </row>
    <row r="2506" spans="1:5" ht="14.25">
      <c r="A2506">
        <v>39500</v>
      </c>
      <c r="B2506" t="s">
        <v>10242</v>
      </c>
      <c r="C2506" t="s">
        <v>2102</v>
      </c>
      <c r="D2506" t="s">
        <v>2103</v>
      </c>
      <c r="E2506" s="183">
        <v>865.71</v>
      </c>
    </row>
    <row r="2507" spans="1:5" ht="14.25">
      <c r="A2507">
        <v>39498</v>
      </c>
      <c r="B2507" t="s">
        <v>10243</v>
      </c>
      <c r="C2507" t="s">
        <v>2102</v>
      </c>
      <c r="D2507" t="s">
        <v>2103</v>
      </c>
      <c r="E2507" s="184">
        <v>1067.71</v>
      </c>
    </row>
    <row r="2508" spans="1:5" ht="14.25">
      <c r="A2508">
        <v>43628</v>
      </c>
      <c r="B2508" t="s">
        <v>10244</v>
      </c>
      <c r="C2508" t="s">
        <v>2102</v>
      </c>
      <c r="D2508" t="s">
        <v>2103</v>
      </c>
      <c r="E2508" s="183">
        <v>841.58</v>
      </c>
    </row>
    <row r="2509" spans="1:5" ht="14.25">
      <c r="A2509">
        <v>39501</v>
      </c>
      <c r="B2509" t="s">
        <v>10245</v>
      </c>
      <c r="C2509" t="s">
        <v>2102</v>
      </c>
      <c r="D2509" t="s">
        <v>2103</v>
      </c>
      <c r="E2509" s="183">
        <v>889.16</v>
      </c>
    </row>
    <row r="2510" spans="1:5" ht="14.25">
      <c r="A2510">
        <v>39499</v>
      </c>
      <c r="B2510" t="s">
        <v>10246</v>
      </c>
      <c r="C2510" t="s">
        <v>2102</v>
      </c>
      <c r="D2510" t="s">
        <v>2103</v>
      </c>
      <c r="E2510" s="184">
        <v>1082.8699999999999</v>
      </c>
    </row>
    <row r="2511" spans="1:5" ht="14.25">
      <c r="A2511">
        <v>43621</v>
      </c>
      <c r="B2511" t="s">
        <v>10247</v>
      </c>
      <c r="C2511" t="s">
        <v>2102</v>
      </c>
      <c r="D2511" t="s">
        <v>2103</v>
      </c>
      <c r="E2511" s="183">
        <v>894.18</v>
      </c>
    </row>
    <row r="2512" spans="1:5" ht="14.25">
      <c r="A2512">
        <v>3733</v>
      </c>
      <c r="B2512" t="s">
        <v>10248</v>
      </c>
      <c r="C2512" t="s">
        <v>2104</v>
      </c>
      <c r="D2512" t="s">
        <v>2105</v>
      </c>
      <c r="E2512" s="183">
        <v>70.02</v>
      </c>
    </row>
    <row r="2513" spans="1:5" ht="14.25">
      <c r="A2513">
        <v>3731</v>
      </c>
      <c r="B2513" t="s">
        <v>10249</v>
      </c>
      <c r="C2513" t="s">
        <v>2104</v>
      </c>
      <c r="D2513" t="s">
        <v>2105</v>
      </c>
      <c r="E2513" s="183">
        <v>65</v>
      </c>
    </row>
    <row r="2514" spans="1:5" ht="14.25">
      <c r="A2514">
        <v>38137</v>
      </c>
      <c r="B2514" t="s">
        <v>10250</v>
      </c>
      <c r="C2514" t="s">
        <v>2104</v>
      </c>
      <c r="D2514" t="s">
        <v>2105</v>
      </c>
      <c r="E2514" s="183">
        <v>65.38</v>
      </c>
    </row>
    <row r="2515" spans="1:5" ht="14.25">
      <c r="A2515">
        <v>38135</v>
      </c>
      <c r="B2515" t="s">
        <v>10251</v>
      </c>
      <c r="C2515" t="s">
        <v>2104</v>
      </c>
      <c r="D2515" t="s">
        <v>2105</v>
      </c>
      <c r="E2515" s="183">
        <v>82.88</v>
      </c>
    </row>
    <row r="2516" spans="1:5" ht="14.25">
      <c r="A2516">
        <v>38138</v>
      </c>
      <c r="B2516" t="s">
        <v>10252</v>
      </c>
      <c r="C2516" t="s">
        <v>2104</v>
      </c>
      <c r="D2516" t="s">
        <v>2105</v>
      </c>
      <c r="E2516" s="183">
        <v>64.2</v>
      </c>
    </row>
    <row r="2517" spans="1:5" ht="14.25">
      <c r="A2517">
        <v>3736</v>
      </c>
      <c r="B2517" t="s">
        <v>10253</v>
      </c>
      <c r="C2517" t="s">
        <v>2104</v>
      </c>
      <c r="D2517" t="s">
        <v>2107</v>
      </c>
      <c r="E2517" s="183">
        <v>45</v>
      </c>
    </row>
    <row r="2518" spans="1:5" ht="14.25">
      <c r="A2518">
        <v>3741</v>
      </c>
      <c r="B2518" t="s">
        <v>10254</v>
      </c>
      <c r="C2518" t="s">
        <v>2104</v>
      </c>
      <c r="D2518" t="s">
        <v>2103</v>
      </c>
      <c r="E2518" s="183">
        <v>46.9</v>
      </c>
    </row>
    <row r="2519" spans="1:5" ht="14.25">
      <c r="A2519">
        <v>3745</v>
      </c>
      <c r="B2519" t="s">
        <v>10255</v>
      </c>
      <c r="C2519" t="s">
        <v>2104</v>
      </c>
      <c r="D2519" t="s">
        <v>2103</v>
      </c>
      <c r="E2519" s="183">
        <v>50.58</v>
      </c>
    </row>
    <row r="2520" spans="1:5" ht="14.25">
      <c r="A2520">
        <v>3743</v>
      </c>
      <c r="B2520" t="s">
        <v>10256</v>
      </c>
      <c r="C2520" t="s">
        <v>2104</v>
      </c>
      <c r="D2520" t="s">
        <v>2103</v>
      </c>
      <c r="E2520" s="183">
        <v>46.74</v>
      </c>
    </row>
    <row r="2521" spans="1:5" ht="14.25">
      <c r="A2521">
        <v>3744</v>
      </c>
      <c r="B2521" t="s">
        <v>10257</v>
      </c>
      <c r="C2521" t="s">
        <v>2104</v>
      </c>
      <c r="D2521" t="s">
        <v>2103</v>
      </c>
      <c r="E2521" s="183">
        <v>51.45</v>
      </c>
    </row>
    <row r="2522" spans="1:5" ht="14.25">
      <c r="A2522">
        <v>3739</v>
      </c>
      <c r="B2522" t="s">
        <v>10258</v>
      </c>
      <c r="C2522" t="s">
        <v>2104</v>
      </c>
      <c r="D2522" t="s">
        <v>2103</v>
      </c>
      <c r="E2522" s="183">
        <v>54.06</v>
      </c>
    </row>
    <row r="2523" spans="1:5" ht="14.25">
      <c r="A2523">
        <v>3737</v>
      </c>
      <c r="B2523" t="s">
        <v>10259</v>
      </c>
      <c r="C2523" t="s">
        <v>2104</v>
      </c>
      <c r="D2523" t="s">
        <v>2103</v>
      </c>
      <c r="E2523" s="183">
        <v>56.68</v>
      </c>
    </row>
    <row r="2524" spans="1:5" ht="14.25">
      <c r="A2524">
        <v>3738</v>
      </c>
      <c r="B2524" t="s">
        <v>10260</v>
      </c>
      <c r="C2524" t="s">
        <v>2104</v>
      </c>
      <c r="D2524" t="s">
        <v>2103</v>
      </c>
      <c r="E2524" s="183">
        <v>65.400000000000006</v>
      </c>
    </row>
    <row r="2525" spans="1:5" ht="14.25">
      <c r="A2525">
        <v>3747</v>
      </c>
      <c r="B2525" t="s">
        <v>10261</v>
      </c>
      <c r="C2525" t="s">
        <v>2104</v>
      </c>
      <c r="D2525" t="s">
        <v>2103</v>
      </c>
      <c r="E2525" s="183">
        <v>51.45</v>
      </c>
    </row>
    <row r="2526" spans="1:5" ht="14.25">
      <c r="A2526">
        <v>11649</v>
      </c>
      <c r="B2526" t="s">
        <v>10262</v>
      </c>
      <c r="C2526" t="s">
        <v>2102</v>
      </c>
      <c r="D2526" t="s">
        <v>2103</v>
      </c>
      <c r="E2526" s="183">
        <v>373.25</v>
      </c>
    </row>
    <row r="2527" spans="1:5" ht="14.25">
      <c r="A2527">
        <v>11650</v>
      </c>
      <c r="B2527" t="s">
        <v>10263</v>
      </c>
      <c r="C2527" t="s">
        <v>2102</v>
      </c>
      <c r="D2527" t="s">
        <v>2103</v>
      </c>
      <c r="E2527" s="183">
        <v>636.19000000000005</v>
      </c>
    </row>
    <row r="2528" spans="1:5" ht="14.25">
      <c r="A2528">
        <v>3742</v>
      </c>
      <c r="B2528" t="s">
        <v>10264</v>
      </c>
      <c r="C2528" t="s">
        <v>2104</v>
      </c>
      <c r="D2528" t="s">
        <v>2103</v>
      </c>
      <c r="E2528" s="183">
        <v>67.84</v>
      </c>
    </row>
    <row r="2529" spans="1:5" ht="14.25">
      <c r="A2529">
        <v>3746</v>
      </c>
      <c r="B2529" t="s">
        <v>10265</v>
      </c>
      <c r="C2529" t="s">
        <v>2104</v>
      </c>
      <c r="D2529" t="s">
        <v>2103</v>
      </c>
      <c r="E2529" s="183">
        <v>79.22</v>
      </c>
    </row>
    <row r="2530" spans="1:5" ht="14.25">
      <c r="A2530">
        <v>21106</v>
      </c>
      <c r="B2530" t="s">
        <v>10266</v>
      </c>
      <c r="C2530" t="s">
        <v>2110</v>
      </c>
      <c r="D2530" t="s">
        <v>2105</v>
      </c>
      <c r="E2530" s="183">
        <v>32.119999999999997</v>
      </c>
    </row>
    <row r="2531" spans="1:5" ht="14.25">
      <c r="A2531">
        <v>39377</v>
      </c>
      <c r="B2531" t="s">
        <v>10267</v>
      </c>
      <c r="C2531" t="s">
        <v>2102</v>
      </c>
      <c r="D2531" t="s">
        <v>2105</v>
      </c>
      <c r="E2531" s="183">
        <v>223.92</v>
      </c>
    </row>
    <row r="2532" spans="1:5" ht="14.25">
      <c r="A2532">
        <v>38191</v>
      </c>
      <c r="B2532" t="s">
        <v>10268</v>
      </c>
      <c r="C2532" t="s">
        <v>2102</v>
      </c>
      <c r="D2532" t="s">
        <v>2105</v>
      </c>
      <c r="E2532" s="183">
        <v>16.670000000000002</v>
      </c>
    </row>
    <row r="2533" spans="1:5" ht="14.25">
      <c r="A2533">
        <v>39381</v>
      </c>
      <c r="B2533" t="s">
        <v>10269</v>
      </c>
      <c r="C2533" t="s">
        <v>2102</v>
      </c>
      <c r="D2533" t="s">
        <v>2105</v>
      </c>
      <c r="E2533" s="183">
        <v>15.55</v>
      </c>
    </row>
    <row r="2534" spans="1:5" ht="14.25">
      <c r="A2534">
        <v>38780</v>
      </c>
      <c r="B2534" t="s">
        <v>10270</v>
      </c>
      <c r="C2534" t="s">
        <v>2102</v>
      </c>
      <c r="D2534" t="s">
        <v>2105</v>
      </c>
      <c r="E2534" s="183">
        <v>19.02</v>
      </c>
    </row>
    <row r="2535" spans="1:5" ht="14.25">
      <c r="A2535">
        <v>38781</v>
      </c>
      <c r="B2535" t="s">
        <v>10271</v>
      </c>
      <c r="C2535" t="s">
        <v>2102</v>
      </c>
      <c r="D2535" t="s">
        <v>2105</v>
      </c>
      <c r="E2535" s="183">
        <v>64.22</v>
      </c>
    </row>
    <row r="2536" spans="1:5" ht="14.25">
      <c r="A2536">
        <v>38192</v>
      </c>
      <c r="B2536" t="s">
        <v>10272</v>
      </c>
      <c r="C2536" t="s">
        <v>2102</v>
      </c>
      <c r="D2536" t="s">
        <v>2105</v>
      </c>
      <c r="E2536" s="183">
        <v>116.21</v>
      </c>
    </row>
    <row r="2537" spans="1:5" ht="14.25">
      <c r="A2537">
        <v>3753</v>
      </c>
      <c r="B2537" t="s">
        <v>10273</v>
      </c>
      <c r="C2537" t="s">
        <v>2102</v>
      </c>
      <c r="D2537" t="s">
        <v>2105</v>
      </c>
      <c r="E2537" s="183">
        <v>10.17</v>
      </c>
    </row>
    <row r="2538" spans="1:5" ht="14.25">
      <c r="A2538">
        <v>38782</v>
      </c>
      <c r="B2538" t="s">
        <v>10274</v>
      </c>
      <c r="C2538" t="s">
        <v>2102</v>
      </c>
      <c r="D2538" t="s">
        <v>2105</v>
      </c>
      <c r="E2538" s="183">
        <v>13.24</v>
      </c>
    </row>
    <row r="2539" spans="1:5" ht="14.25">
      <c r="A2539">
        <v>38778</v>
      </c>
      <c r="B2539" t="s">
        <v>10275</v>
      </c>
      <c r="C2539" t="s">
        <v>2102</v>
      </c>
      <c r="D2539" t="s">
        <v>2105</v>
      </c>
      <c r="E2539" s="183">
        <v>9.94</v>
      </c>
    </row>
    <row r="2540" spans="1:5" ht="14.25">
      <c r="A2540">
        <v>38779</v>
      </c>
      <c r="B2540" t="s">
        <v>10276</v>
      </c>
      <c r="C2540" t="s">
        <v>2102</v>
      </c>
      <c r="D2540" t="s">
        <v>2105</v>
      </c>
      <c r="E2540" s="183">
        <v>10.54</v>
      </c>
    </row>
    <row r="2541" spans="1:5" ht="14.25">
      <c r="A2541">
        <v>39388</v>
      </c>
      <c r="B2541" t="s">
        <v>10277</v>
      </c>
      <c r="C2541" t="s">
        <v>2102</v>
      </c>
      <c r="D2541" t="s">
        <v>2103</v>
      </c>
      <c r="E2541" s="183">
        <v>7.99</v>
      </c>
    </row>
    <row r="2542" spans="1:5" ht="14.25">
      <c r="A2542">
        <v>39387</v>
      </c>
      <c r="B2542" t="s">
        <v>10278</v>
      </c>
      <c r="C2542" t="s">
        <v>2102</v>
      </c>
      <c r="D2542" t="s">
        <v>2103</v>
      </c>
      <c r="E2542" s="183">
        <v>12.46</v>
      </c>
    </row>
    <row r="2543" spans="1:5" ht="14.25">
      <c r="A2543">
        <v>39386</v>
      </c>
      <c r="B2543" t="s">
        <v>10279</v>
      </c>
      <c r="C2543" t="s">
        <v>2102</v>
      </c>
      <c r="D2543" t="s">
        <v>2103</v>
      </c>
      <c r="E2543" s="183">
        <v>8.69</v>
      </c>
    </row>
    <row r="2544" spans="1:5" ht="14.25">
      <c r="A2544">
        <v>38194</v>
      </c>
      <c r="B2544" t="s">
        <v>10280</v>
      </c>
      <c r="C2544" t="s">
        <v>2102</v>
      </c>
      <c r="D2544" t="s">
        <v>2107</v>
      </c>
      <c r="E2544" s="183">
        <v>6.5</v>
      </c>
    </row>
    <row r="2545" spans="1:5" ht="14.25">
      <c r="A2545">
        <v>38193</v>
      </c>
      <c r="B2545" t="s">
        <v>10281</v>
      </c>
      <c r="C2545" t="s">
        <v>2102</v>
      </c>
      <c r="D2545" t="s">
        <v>2103</v>
      </c>
      <c r="E2545" s="183">
        <v>5.65</v>
      </c>
    </row>
    <row r="2546" spans="1:5" ht="14.25">
      <c r="A2546">
        <v>12216</v>
      </c>
      <c r="B2546" t="s">
        <v>10282</v>
      </c>
      <c r="C2546" t="s">
        <v>2102</v>
      </c>
      <c r="D2546" t="s">
        <v>2105</v>
      </c>
      <c r="E2546" s="183">
        <v>58.12</v>
      </c>
    </row>
    <row r="2547" spans="1:5" ht="14.25">
      <c r="A2547">
        <v>3757</v>
      </c>
      <c r="B2547" t="s">
        <v>10283</v>
      </c>
      <c r="C2547" t="s">
        <v>2102</v>
      </c>
      <c r="D2547" t="s">
        <v>2105</v>
      </c>
      <c r="E2547" s="183">
        <v>67.2</v>
      </c>
    </row>
    <row r="2548" spans="1:5" ht="14.25">
      <c r="A2548">
        <v>3758</v>
      </c>
      <c r="B2548" t="s">
        <v>10284</v>
      </c>
      <c r="C2548" t="s">
        <v>2102</v>
      </c>
      <c r="D2548" t="s">
        <v>2105</v>
      </c>
      <c r="E2548" s="183">
        <v>78.349999999999994</v>
      </c>
    </row>
    <row r="2549" spans="1:5" ht="14.25">
      <c r="A2549">
        <v>12214</v>
      </c>
      <c r="B2549" t="s">
        <v>10285</v>
      </c>
      <c r="C2549" t="s">
        <v>2102</v>
      </c>
      <c r="D2549" t="s">
        <v>2105</v>
      </c>
      <c r="E2549" s="183">
        <v>26.83</v>
      </c>
    </row>
    <row r="2550" spans="1:5" ht="14.25">
      <c r="A2550">
        <v>3749</v>
      </c>
      <c r="B2550" t="s">
        <v>10286</v>
      </c>
      <c r="C2550" t="s">
        <v>2102</v>
      </c>
      <c r="D2550" t="s">
        <v>2105</v>
      </c>
      <c r="E2550" s="183">
        <v>47.82</v>
      </c>
    </row>
    <row r="2551" spans="1:5" ht="14.25">
      <c r="A2551">
        <v>3751</v>
      </c>
      <c r="B2551" t="s">
        <v>10287</v>
      </c>
      <c r="C2551" t="s">
        <v>2102</v>
      </c>
      <c r="D2551" t="s">
        <v>2105</v>
      </c>
      <c r="E2551" s="183">
        <v>65.260000000000005</v>
      </c>
    </row>
    <row r="2552" spans="1:5" ht="14.25">
      <c r="A2552">
        <v>39376</v>
      </c>
      <c r="B2552" t="s">
        <v>10288</v>
      </c>
      <c r="C2552" t="s">
        <v>2102</v>
      </c>
      <c r="D2552" t="s">
        <v>2105</v>
      </c>
      <c r="E2552" s="183">
        <v>55.02</v>
      </c>
    </row>
    <row r="2553" spans="1:5" ht="14.25">
      <c r="A2553">
        <v>3752</v>
      </c>
      <c r="B2553" t="s">
        <v>10289</v>
      </c>
      <c r="C2553" t="s">
        <v>2102</v>
      </c>
      <c r="D2553" t="s">
        <v>2105</v>
      </c>
      <c r="E2553" s="183">
        <v>107.65</v>
      </c>
    </row>
    <row r="2554" spans="1:5" ht="14.25">
      <c r="A2554">
        <v>746</v>
      </c>
      <c r="B2554" t="s">
        <v>10290</v>
      </c>
      <c r="C2554" t="s">
        <v>2102</v>
      </c>
      <c r="D2554" t="s">
        <v>2107</v>
      </c>
      <c r="E2554" s="184">
        <v>2349.9</v>
      </c>
    </row>
    <row r="2555" spans="1:5" ht="14.25">
      <c r="A2555">
        <v>20269</v>
      </c>
      <c r="B2555" t="s">
        <v>10291</v>
      </c>
      <c r="C2555" t="s">
        <v>2102</v>
      </c>
      <c r="D2555" t="s">
        <v>2103</v>
      </c>
      <c r="E2555" s="183">
        <v>93.94</v>
      </c>
    </row>
    <row r="2556" spans="1:5" ht="14.25">
      <c r="A2556">
        <v>20270</v>
      </c>
      <c r="B2556" t="s">
        <v>10292</v>
      </c>
      <c r="C2556" t="s">
        <v>2102</v>
      </c>
      <c r="D2556" t="s">
        <v>2103</v>
      </c>
      <c r="E2556" s="183">
        <v>103.8</v>
      </c>
    </row>
    <row r="2557" spans="1:5" ht="14.25">
      <c r="A2557">
        <v>11696</v>
      </c>
      <c r="B2557" t="s">
        <v>10293</v>
      </c>
      <c r="C2557" t="s">
        <v>2102</v>
      </c>
      <c r="D2557" t="s">
        <v>2103</v>
      </c>
      <c r="E2557" s="183">
        <v>166.16</v>
      </c>
    </row>
    <row r="2558" spans="1:5" ht="14.25">
      <c r="A2558">
        <v>10427</v>
      </c>
      <c r="B2558" t="s">
        <v>10294</v>
      </c>
      <c r="C2558" t="s">
        <v>2102</v>
      </c>
      <c r="D2558" t="s">
        <v>2103</v>
      </c>
      <c r="E2558" s="183">
        <v>464.99</v>
      </c>
    </row>
    <row r="2559" spans="1:5" ht="14.25">
      <c r="A2559">
        <v>10428</v>
      </c>
      <c r="B2559" t="s">
        <v>10295</v>
      </c>
      <c r="C2559" t="s">
        <v>2102</v>
      </c>
      <c r="D2559" t="s">
        <v>2103</v>
      </c>
      <c r="E2559" s="183">
        <v>479.09</v>
      </c>
    </row>
    <row r="2560" spans="1:5" ht="14.25">
      <c r="A2560">
        <v>36521</v>
      </c>
      <c r="B2560" t="s">
        <v>10296</v>
      </c>
      <c r="C2560" t="s">
        <v>2102</v>
      </c>
      <c r="D2560" t="s">
        <v>2103</v>
      </c>
      <c r="E2560" s="183">
        <v>149.47999999999999</v>
      </c>
    </row>
    <row r="2561" spans="1:5" ht="14.25">
      <c r="A2561">
        <v>36794</v>
      </c>
      <c r="B2561" t="s">
        <v>10297</v>
      </c>
      <c r="C2561" t="s">
        <v>2102</v>
      </c>
      <c r="D2561" t="s">
        <v>2103</v>
      </c>
      <c r="E2561" s="183">
        <v>159.13</v>
      </c>
    </row>
    <row r="2562" spans="1:5" ht="14.25">
      <c r="A2562">
        <v>10426</v>
      </c>
      <c r="B2562" t="s">
        <v>10298</v>
      </c>
      <c r="C2562" t="s">
        <v>2102</v>
      </c>
      <c r="D2562" t="s">
        <v>2103</v>
      </c>
      <c r="E2562" s="183">
        <v>178.2</v>
      </c>
    </row>
    <row r="2563" spans="1:5" ht="14.25">
      <c r="A2563">
        <v>10425</v>
      </c>
      <c r="B2563" t="s">
        <v>10299</v>
      </c>
      <c r="C2563" t="s">
        <v>2102</v>
      </c>
      <c r="D2563" t="s">
        <v>2103</v>
      </c>
      <c r="E2563" s="183">
        <v>90.4</v>
      </c>
    </row>
    <row r="2564" spans="1:5" ht="14.25">
      <c r="A2564">
        <v>10431</v>
      </c>
      <c r="B2564" t="s">
        <v>10300</v>
      </c>
      <c r="C2564" t="s">
        <v>2102</v>
      </c>
      <c r="D2564" t="s">
        <v>2103</v>
      </c>
      <c r="E2564" s="183">
        <v>309.5</v>
      </c>
    </row>
    <row r="2565" spans="1:5" ht="14.25">
      <c r="A2565">
        <v>10429</v>
      </c>
      <c r="B2565" t="s">
        <v>10301</v>
      </c>
      <c r="C2565" t="s">
        <v>2102</v>
      </c>
      <c r="D2565" t="s">
        <v>2103</v>
      </c>
      <c r="E2565" s="183">
        <v>152.68</v>
      </c>
    </row>
    <row r="2566" spans="1:5" ht="14.25">
      <c r="A2566">
        <v>2354</v>
      </c>
      <c r="B2566" t="s">
        <v>15246</v>
      </c>
      <c r="C2566" t="s">
        <v>2106</v>
      </c>
      <c r="D2566" t="s">
        <v>2103</v>
      </c>
      <c r="E2566" s="183">
        <v>17.97</v>
      </c>
    </row>
    <row r="2567" spans="1:5" ht="14.25">
      <c r="A2567">
        <v>40932</v>
      </c>
      <c r="B2567" t="s">
        <v>10302</v>
      </c>
      <c r="C2567" t="s">
        <v>2123</v>
      </c>
      <c r="D2567" t="s">
        <v>2103</v>
      </c>
      <c r="E2567" s="184">
        <v>3152.35</v>
      </c>
    </row>
    <row r="2568" spans="1:5" ht="14.25">
      <c r="A2568">
        <v>10853</v>
      </c>
      <c r="B2568" t="s">
        <v>10303</v>
      </c>
      <c r="C2568" t="s">
        <v>2102</v>
      </c>
      <c r="D2568" t="s">
        <v>2103</v>
      </c>
      <c r="E2568" s="183">
        <v>109.93</v>
      </c>
    </row>
    <row r="2569" spans="1:5" ht="14.25">
      <c r="A2569">
        <v>5093</v>
      </c>
      <c r="B2569" t="s">
        <v>10304</v>
      </c>
      <c r="C2569" t="s">
        <v>2136</v>
      </c>
      <c r="D2569" t="s">
        <v>2103</v>
      </c>
      <c r="E2569" s="183">
        <v>16.899999999999999</v>
      </c>
    </row>
    <row r="2570" spans="1:5" ht="14.25">
      <c r="A2570">
        <v>44331</v>
      </c>
      <c r="B2570" t="s">
        <v>13587</v>
      </c>
      <c r="C2570" t="s">
        <v>2117</v>
      </c>
      <c r="D2570" t="s">
        <v>2103</v>
      </c>
      <c r="E2570" s="183">
        <v>47.94</v>
      </c>
    </row>
    <row r="2571" spans="1:5" ht="14.25">
      <c r="A2571">
        <v>37768</v>
      </c>
      <c r="B2571" t="s">
        <v>10305</v>
      </c>
      <c r="C2571" t="s">
        <v>2102</v>
      </c>
      <c r="D2571" t="s">
        <v>2105</v>
      </c>
      <c r="E2571" s="184">
        <v>295000</v>
      </c>
    </row>
    <row r="2572" spans="1:5" ht="14.25">
      <c r="A2572">
        <v>37773</v>
      </c>
      <c r="B2572" t="s">
        <v>10306</v>
      </c>
      <c r="C2572" t="s">
        <v>2102</v>
      </c>
      <c r="D2572" t="s">
        <v>2105</v>
      </c>
      <c r="E2572" s="184">
        <v>250504.73</v>
      </c>
    </row>
    <row r="2573" spans="1:5" ht="14.25">
      <c r="A2573">
        <v>37769</v>
      </c>
      <c r="B2573" t="s">
        <v>10307</v>
      </c>
      <c r="C2573" t="s">
        <v>2102</v>
      </c>
      <c r="D2573" t="s">
        <v>2105</v>
      </c>
      <c r="E2573" s="184">
        <v>419376.48</v>
      </c>
    </row>
    <row r="2574" spans="1:5" ht="14.25">
      <c r="A2574">
        <v>37770</v>
      </c>
      <c r="B2574" t="s">
        <v>10308</v>
      </c>
      <c r="C2574" t="s">
        <v>2102</v>
      </c>
      <c r="D2574" t="s">
        <v>2105</v>
      </c>
      <c r="E2574" s="184">
        <v>711748.8</v>
      </c>
    </row>
    <row r="2575" spans="1:5" ht="14.25">
      <c r="A2575">
        <v>38382</v>
      </c>
      <c r="B2575" t="s">
        <v>10309</v>
      </c>
      <c r="C2575" t="s">
        <v>2102</v>
      </c>
      <c r="D2575" t="s">
        <v>2103</v>
      </c>
      <c r="E2575" s="183">
        <v>13.25</v>
      </c>
    </row>
    <row r="2576" spans="1:5" ht="14.25">
      <c r="A2576">
        <v>38383</v>
      </c>
      <c r="B2576" t="s">
        <v>10310</v>
      </c>
      <c r="C2576" t="s">
        <v>2102</v>
      </c>
      <c r="D2576" t="s">
        <v>2103</v>
      </c>
      <c r="E2576" s="183">
        <v>2.48</v>
      </c>
    </row>
    <row r="2577" spans="1:5" ht="14.25">
      <c r="A2577">
        <v>3768</v>
      </c>
      <c r="B2577" t="s">
        <v>10311</v>
      </c>
      <c r="C2577" t="s">
        <v>2102</v>
      </c>
      <c r="D2577" t="s">
        <v>2103</v>
      </c>
      <c r="E2577" s="183">
        <v>4.76</v>
      </c>
    </row>
    <row r="2578" spans="1:5" ht="14.25">
      <c r="A2578">
        <v>3767</v>
      </c>
      <c r="B2578" t="s">
        <v>13588</v>
      </c>
      <c r="C2578" t="s">
        <v>2102</v>
      </c>
      <c r="D2578" t="s">
        <v>2103</v>
      </c>
      <c r="E2578" s="183">
        <v>1.59</v>
      </c>
    </row>
    <row r="2579" spans="1:5" ht="14.25">
      <c r="A2579">
        <v>13192</v>
      </c>
      <c r="B2579" t="s">
        <v>10312</v>
      </c>
      <c r="C2579" t="s">
        <v>2102</v>
      </c>
      <c r="D2579" t="s">
        <v>2105</v>
      </c>
      <c r="E2579" s="184">
        <v>5576.2</v>
      </c>
    </row>
    <row r="2580" spans="1:5" ht="14.25">
      <c r="A2580">
        <v>38413</v>
      </c>
      <c r="B2580" t="s">
        <v>10313</v>
      </c>
      <c r="C2580" t="s">
        <v>2102</v>
      </c>
      <c r="D2580" t="s">
        <v>2105</v>
      </c>
      <c r="E2580" s="183">
        <v>922.22</v>
      </c>
    </row>
    <row r="2581" spans="1:5" ht="14.25">
      <c r="A2581">
        <v>42440</v>
      </c>
      <c r="B2581" t="s">
        <v>10314</v>
      </c>
      <c r="C2581" t="s">
        <v>2102</v>
      </c>
      <c r="D2581" t="s">
        <v>2105</v>
      </c>
      <c r="E2581" s="184">
        <v>1235.9100000000001</v>
      </c>
    </row>
    <row r="2582" spans="1:5" ht="14.25">
      <c r="A2582">
        <v>20193</v>
      </c>
      <c r="B2582" t="s">
        <v>18490</v>
      </c>
      <c r="C2582" t="s">
        <v>2241</v>
      </c>
      <c r="D2582" t="s">
        <v>2103</v>
      </c>
      <c r="E2582" s="183">
        <v>19.5</v>
      </c>
    </row>
    <row r="2583" spans="1:5" ht="14.25">
      <c r="A2583">
        <v>10527</v>
      </c>
      <c r="B2583" t="s">
        <v>15247</v>
      </c>
      <c r="C2583" t="s">
        <v>2243</v>
      </c>
      <c r="D2583" t="s">
        <v>2107</v>
      </c>
      <c r="E2583" s="183">
        <v>26</v>
      </c>
    </row>
    <row r="2584" spans="1:5" ht="14.25">
      <c r="A2584">
        <v>41805</v>
      </c>
      <c r="B2584" t="s">
        <v>10315</v>
      </c>
      <c r="C2584" t="s">
        <v>2123</v>
      </c>
      <c r="D2584" t="s">
        <v>2103</v>
      </c>
      <c r="E2584" s="183">
        <v>747.5</v>
      </c>
    </row>
    <row r="2585" spans="1:5" ht="14.25">
      <c r="A2585">
        <v>40271</v>
      </c>
      <c r="B2585" t="s">
        <v>10316</v>
      </c>
      <c r="C2585" t="s">
        <v>15258</v>
      </c>
      <c r="D2585" t="s">
        <v>2103</v>
      </c>
      <c r="E2585" s="183">
        <v>19.899999999999999</v>
      </c>
    </row>
    <row r="2586" spans="1:5" ht="14.25">
      <c r="A2586">
        <v>40287</v>
      </c>
      <c r="B2586" t="s">
        <v>10317</v>
      </c>
      <c r="C2586" t="s">
        <v>2123</v>
      </c>
      <c r="D2586" t="s">
        <v>2103</v>
      </c>
      <c r="E2586" s="183">
        <v>7.66</v>
      </c>
    </row>
    <row r="2587" spans="1:5" ht="14.25">
      <c r="A2587">
        <v>4084</v>
      </c>
      <c r="B2587" t="s">
        <v>15248</v>
      </c>
      <c r="C2587" t="s">
        <v>2106</v>
      </c>
      <c r="D2587" t="s">
        <v>2103</v>
      </c>
      <c r="E2587" s="183">
        <v>2.86</v>
      </c>
    </row>
    <row r="2588" spans="1:5" ht="14.25">
      <c r="A2588">
        <v>743</v>
      </c>
      <c r="B2588" t="s">
        <v>15249</v>
      </c>
      <c r="C2588" t="s">
        <v>2106</v>
      </c>
      <c r="D2588" t="s">
        <v>2107</v>
      </c>
      <c r="E2588" s="183">
        <v>2.86</v>
      </c>
    </row>
    <row r="2589" spans="1:5" ht="14.25">
      <c r="A2589">
        <v>40293</v>
      </c>
      <c r="B2589" t="s">
        <v>15250</v>
      </c>
      <c r="C2589" t="s">
        <v>2106</v>
      </c>
      <c r="D2589" t="s">
        <v>2103</v>
      </c>
      <c r="E2589" s="183">
        <v>3.43</v>
      </c>
    </row>
    <row r="2590" spans="1:5" ht="14.25">
      <c r="A2590">
        <v>40294</v>
      </c>
      <c r="B2590" t="s">
        <v>15251</v>
      </c>
      <c r="C2590" t="s">
        <v>2106</v>
      </c>
      <c r="D2590" t="s">
        <v>2103</v>
      </c>
      <c r="E2590" s="183">
        <v>2.86</v>
      </c>
    </row>
    <row r="2591" spans="1:5" ht="14.25">
      <c r="A2591">
        <v>4085</v>
      </c>
      <c r="B2591" t="s">
        <v>15252</v>
      </c>
      <c r="C2591" t="s">
        <v>2106</v>
      </c>
      <c r="D2591" t="s">
        <v>2103</v>
      </c>
      <c r="E2591" s="183">
        <v>4</v>
      </c>
    </row>
    <row r="2592" spans="1:5" ht="14.25">
      <c r="A2592">
        <v>10779</v>
      </c>
      <c r="B2592" t="s">
        <v>15253</v>
      </c>
      <c r="C2592" t="s">
        <v>2123</v>
      </c>
      <c r="D2592" t="s">
        <v>2103</v>
      </c>
      <c r="E2592" s="184">
        <v>1481.25</v>
      </c>
    </row>
    <row r="2593" spans="1:5" ht="14.25">
      <c r="A2593">
        <v>10777</v>
      </c>
      <c r="B2593" t="s">
        <v>15254</v>
      </c>
      <c r="C2593" t="s">
        <v>2123</v>
      </c>
      <c r="D2593" t="s">
        <v>2103</v>
      </c>
      <c r="E2593" s="184">
        <v>1345.46</v>
      </c>
    </row>
    <row r="2594" spans="1:5" ht="14.25">
      <c r="A2594">
        <v>10775</v>
      </c>
      <c r="B2594" t="s">
        <v>15255</v>
      </c>
      <c r="C2594" t="s">
        <v>2123</v>
      </c>
      <c r="D2594" t="s">
        <v>2107</v>
      </c>
      <c r="E2594" s="184">
        <v>1185</v>
      </c>
    </row>
    <row r="2595" spans="1:5" ht="14.25">
      <c r="A2595">
        <v>10776</v>
      </c>
      <c r="B2595" t="s">
        <v>15256</v>
      </c>
      <c r="C2595" t="s">
        <v>2123</v>
      </c>
      <c r="D2595" t="s">
        <v>2103</v>
      </c>
      <c r="E2595" s="183">
        <v>925.78</v>
      </c>
    </row>
    <row r="2596" spans="1:5" ht="14.25">
      <c r="A2596">
        <v>10778</v>
      </c>
      <c r="B2596" t="s">
        <v>15257</v>
      </c>
      <c r="C2596" t="s">
        <v>2123</v>
      </c>
      <c r="D2596" t="s">
        <v>2103</v>
      </c>
      <c r="E2596" s="184">
        <v>1481.25</v>
      </c>
    </row>
    <row r="2597" spans="1:5" ht="14.25">
      <c r="A2597">
        <v>40339</v>
      </c>
      <c r="B2597" t="s">
        <v>18491</v>
      </c>
      <c r="C2597" t="s">
        <v>15258</v>
      </c>
      <c r="D2597" t="s">
        <v>2103</v>
      </c>
      <c r="E2597" s="183">
        <v>6.98</v>
      </c>
    </row>
    <row r="2598" spans="1:5" ht="14.25">
      <c r="A2598">
        <v>10749</v>
      </c>
      <c r="B2598" t="s">
        <v>10318</v>
      </c>
      <c r="C2598" t="s">
        <v>15258</v>
      </c>
      <c r="D2598" t="s">
        <v>2103</v>
      </c>
      <c r="E2598" s="183">
        <v>23.07</v>
      </c>
    </row>
    <row r="2599" spans="1:5" ht="14.25">
      <c r="A2599">
        <v>40290</v>
      </c>
      <c r="B2599" t="s">
        <v>10319</v>
      </c>
      <c r="C2599" t="s">
        <v>15258</v>
      </c>
      <c r="D2599" t="s">
        <v>2103</v>
      </c>
      <c r="E2599" s="183">
        <v>12.48</v>
      </c>
    </row>
    <row r="2600" spans="1:5" ht="14.25">
      <c r="A2600">
        <v>3346</v>
      </c>
      <c r="B2600" t="s">
        <v>10320</v>
      </c>
      <c r="C2600" t="s">
        <v>2106</v>
      </c>
      <c r="D2600" t="s">
        <v>2105</v>
      </c>
      <c r="E2600" s="183">
        <v>19.309999999999999</v>
      </c>
    </row>
    <row r="2601" spans="1:5" ht="14.25">
      <c r="A2601">
        <v>3348</v>
      </c>
      <c r="B2601" t="s">
        <v>10321</v>
      </c>
      <c r="C2601" t="s">
        <v>2106</v>
      </c>
      <c r="D2601" t="s">
        <v>2105</v>
      </c>
      <c r="E2601" s="183">
        <v>23.1</v>
      </c>
    </row>
    <row r="2602" spans="1:5" ht="14.25">
      <c r="A2602">
        <v>39833</v>
      </c>
      <c r="B2602" t="s">
        <v>10322</v>
      </c>
      <c r="C2602" t="s">
        <v>2106</v>
      </c>
      <c r="D2602" t="s">
        <v>2105</v>
      </c>
      <c r="E2602" s="183">
        <v>31.64</v>
      </c>
    </row>
    <row r="2603" spans="1:5" ht="14.25">
      <c r="A2603">
        <v>7252</v>
      </c>
      <c r="B2603" t="s">
        <v>10323</v>
      </c>
      <c r="C2603" t="s">
        <v>2106</v>
      </c>
      <c r="D2603" t="s">
        <v>2105</v>
      </c>
      <c r="E2603" s="183">
        <v>2.34</v>
      </c>
    </row>
    <row r="2604" spans="1:5" ht="14.25">
      <c r="A2604">
        <v>7247</v>
      </c>
      <c r="B2604" t="s">
        <v>10324</v>
      </c>
      <c r="C2604" t="s">
        <v>2106</v>
      </c>
      <c r="D2604" t="s">
        <v>2105</v>
      </c>
      <c r="E2604" s="183">
        <v>2.34</v>
      </c>
    </row>
    <row r="2605" spans="1:5" ht="14.25">
      <c r="A2605">
        <v>40291</v>
      </c>
      <c r="B2605" t="s">
        <v>10325</v>
      </c>
      <c r="C2605" t="s">
        <v>15258</v>
      </c>
      <c r="D2605" t="s">
        <v>2103</v>
      </c>
      <c r="E2605" s="183">
        <v>650</v>
      </c>
    </row>
    <row r="2606" spans="1:5" ht="14.25">
      <c r="A2606">
        <v>40275</v>
      </c>
      <c r="B2606" t="s">
        <v>10326</v>
      </c>
      <c r="C2606" t="s">
        <v>15258</v>
      </c>
      <c r="D2606" t="s">
        <v>2103</v>
      </c>
      <c r="E2606" s="183">
        <v>20.8</v>
      </c>
    </row>
    <row r="2607" spans="1:5" ht="14.25">
      <c r="A2607">
        <v>42408</v>
      </c>
      <c r="B2607" t="s">
        <v>10327</v>
      </c>
      <c r="C2607" t="s">
        <v>2104</v>
      </c>
      <c r="D2607" t="s">
        <v>2103</v>
      </c>
      <c r="E2607" s="183">
        <v>2.0499999999999998</v>
      </c>
    </row>
    <row r="2608" spans="1:5" ht="14.25">
      <c r="A2608">
        <v>3777</v>
      </c>
      <c r="B2608" t="s">
        <v>10328</v>
      </c>
      <c r="C2608" t="s">
        <v>2104</v>
      </c>
      <c r="D2608" t="s">
        <v>2107</v>
      </c>
      <c r="E2608" s="183">
        <v>1.48</v>
      </c>
    </row>
    <row r="2609" spans="1:5" ht="14.25">
      <c r="A2609">
        <v>44699</v>
      </c>
      <c r="B2609" t="s">
        <v>18492</v>
      </c>
      <c r="C2609" t="s">
        <v>2110</v>
      </c>
      <c r="D2609" t="s">
        <v>2103</v>
      </c>
      <c r="E2609" s="183">
        <v>47.67</v>
      </c>
    </row>
    <row r="2610" spans="1:5" ht="14.25">
      <c r="A2610">
        <v>3798</v>
      </c>
      <c r="B2610" t="s">
        <v>10329</v>
      </c>
      <c r="C2610" t="s">
        <v>2102</v>
      </c>
      <c r="D2610" t="s">
        <v>2105</v>
      </c>
      <c r="E2610" s="183">
        <v>96.58</v>
      </c>
    </row>
    <row r="2611" spans="1:5" ht="14.25">
      <c r="A2611">
        <v>38769</v>
      </c>
      <c r="B2611" t="s">
        <v>10330</v>
      </c>
      <c r="C2611" t="s">
        <v>2102</v>
      </c>
      <c r="D2611" t="s">
        <v>2105</v>
      </c>
      <c r="E2611" s="183">
        <v>75.42</v>
      </c>
    </row>
    <row r="2612" spans="1:5" ht="14.25">
      <c r="A2612">
        <v>39510</v>
      </c>
      <c r="B2612" t="s">
        <v>10331</v>
      </c>
      <c r="C2612" t="s">
        <v>2102</v>
      </c>
      <c r="D2612" t="s">
        <v>2105</v>
      </c>
      <c r="E2612" s="183">
        <v>305.24</v>
      </c>
    </row>
    <row r="2613" spans="1:5" ht="14.25">
      <c r="A2613">
        <v>38776</v>
      </c>
      <c r="B2613" t="s">
        <v>10332</v>
      </c>
      <c r="C2613" t="s">
        <v>2102</v>
      </c>
      <c r="D2613" t="s">
        <v>2105</v>
      </c>
      <c r="E2613" s="183">
        <v>323.95</v>
      </c>
    </row>
    <row r="2614" spans="1:5" ht="14.25">
      <c r="A2614">
        <v>38774</v>
      </c>
      <c r="B2614" t="s">
        <v>10333</v>
      </c>
      <c r="C2614" t="s">
        <v>2102</v>
      </c>
      <c r="D2614" t="s">
        <v>2103</v>
      </c>
      <c r="E2614" s="183">
        <v>16.329999999999998</v>
      </c>
    </row>
    <row r="2615" spans="1:5" ht="14.25">
      <c r="A2615">
        <v>42247</v>
      </c>
      <c r="B2615" t="s">
        <v>10334</v>
      </c>
      <c r="C2615" t="s">
        <v>2102</v>
      </c>
      <c r="D2615" t="s">
        <v>2103</v>
      </c>
      <c r="E2615" s="183">
        <v>557.37</v>
      </c>
    </row>
    <row r="2616" spans="1:5" ht="14.25">
      <c r="A2616">
        <v>42248</v>
      </c>
      <c r="B2616" t="s">
        <v>10335</v>
      </c>
      <c r="C2616" t="s">
        <v>2102</v>
      </c>
      <c r="D2616" t="s">
        <v>2103</v>
      </c>
      <c r="E2616" s="183">
        <v>647.41999999999996</v>
      </c>
    </row>
    <row r="2617" spans="1:5" ht="14.25">
      <c r="A2617">
        <v>42249</v>
      </c>
      <c r="B2617" t="s">
        <v>10336</v>
      </c>
      <c r="C2617" t="s">
        <v>2102</v>
      </c>
      <c r="D2617" t="s">
        <v>2103</v>
      </c>
      <c r="E2617" s="184">
        <v>1072.55</v>
      </c>
    </row>
    <row r="2618" spans="1:5" ht="14.25">
      <c r="A2618">
        <v>42244</v>
      </c>
      <c r="B2618" t="s">
        <v>10337</v>
      </c>
      <c r="C2618" t="s">
        <v>2102</v>
      </c>
      <c r="D2618" t="s">
        <v>2103</v>
      </c>
      <c r="E2618" s="183">
        <v>167.5</v>
      </c>
    </row>
    <row r="2619" spans="1:5" ht="14.25">
      <c r="A2619">
        <v>42245</v>
      </c>
      <c r="B2619" t="s">
        <v>10338</v>
      </c>
      <c r="C2619" t="s">
        <v>2102</v>
      </c>
      <c r="D2619" t="s">
        <v>2103</v>
      </c>
      <c r="E2619" s="183">
        <v>309.08999999999997</v>
      </c>
    </row>
    <row r="2620" spans="1:5" ht="14.25">
      <c r="A2620">
        <v>42246</v>
      </c>
      <c r="B2620" t="s">
        <v>10339</v>
      </c>
      <c r="C2620" t="s">
        <v>2102</v>
      </c>
      <c r="D2620" t="s">
        <v>2103</v>
      </c>
      <c r="E2620" s="183">
        <v>342.15</v>
      </c>
    </row>
    <row r="2621" spans="1:5" ht="14.25">
      <c r="A2621">
        <v>42243</v>
      </c>
      <c r="B2621" t="s">
        <v>10340</v>
      </c>
      <c r="C2621" t="s">
        <v>2102</v>
      </c>
      <c r="D2621" t="s">
        <v>2103</v>
      </c>
      <c r="E2621" s="183">
        <v>412.57</v>
      </c>
    </row>
    <row r="2622" spans="1:5" ht="14.25">
      <c r="A2622">
        <v>38889</v>
      </c>
      <c r="B2622" t="s">
        <v>10341</v>
      </c>
      <c r="C2622" t="s">
        <v>2102</v>
      </c>
      <c r="D2622" t="s">
        <v>2105</v>
      </c>
      <c r="E2622" s="183">
        <v>57.81</v>
      </c>
    </row>
    <row r="2623" spans="1:5" ht="14.25">
      <c r="A2623">
        <v>38784</v>
      </c>
      <c r="B2623" t="s">
        <v>10342</v>
      </c>
      <c r="C2623" t="s">
        <v>2102</v>
      </c>
      <c r="D2623" t="s">
        <v>2105</v>
      </c>
      <c r="E2623" s="183">
        <v>77.34</v>
      </c>
    </row>
    <row r="2624" spans="1:5" ht="14.25">
      <c r="A2624">
        <v>3788</v>
      </c>
      <c r="B2624" t="s">
        <v>10343</v>
      </c>
      <c r="C2624" t="s">
        <v>2102</v>
      </c>
      <c r="D2624" t="s">
        <v>2105</v>
      </c>
      <c r="E2624" s="183">
        <v>80.599999999999994</v>
      </c>
    </row>
    <row r="2625" spans="1:5" ht="14.25">
      <c r="A2625">
        <v>12230</v>
      </c>
      <c r="B2625" t="s">
        <v>10344</v>
      </c>
      <c r="C2625" t="s">
        <v>2102</v>
      </c>
      <c r="D2625" t="s">
        <v>2105</v>
      </c>
      <c r="E2625" s="183">
        <v>20.73</v>
      </c>
    </row>
    <row r="2626" spans="1:5" ht="14.25">
      <c r="A2626">
        <v>3780</v>
      </c>
      <c r="B2626" t="s">
        <v>10345</v>
      </c>
      <c r="C2626" t="s">
        <v>2102</v>
      </c>
      <c r="D2626" t="s">
        <v>2105</v>
      </c>
      <c r="E2626" s="183">
        <v>118.91</v>
      </c>
    </row>
    <row r="2627" spans="1:5" ht="14.25">
      <c r="A2627">
        <v>12231</v>
      </c>
      <c r="B2627" t="s">
        <v>10346</v>
      </c>
      <c r="C2627" t="s">
        <v>2102</v>
      </c>
      <c r="D2627" t="s">
        <v>2105</v>
      </c>
      <c r="E2627" s="183">
        <v>34.47</v>
      </c>
    </row>
    <row r="2628" spans="1:5" ht="14.25">
      <c r="A2628">
        <v>3811</v>
      </c>
      <c r="B2628" t="s">
        <v>10347</v>
      </c>
      <c r="C2628" t="s">
        <v>2102</v>
      </c>
      <c r="D2628" t="s">
        <v>2105</v>
      </c>
      <c r="E2628" s="183">
        <v>111.69</v>
      </c>
    </row>
    <row r="2629" spans="1:5" ht="14.25">
      <c r="A2629">
        <v>12232</v>
      </c>
      <c r="B2629" t="s">
        <v>10348</v>
      </c>
      <c r="C2629" t="s">
        <v>2102</v>
      </c>
      <c r="D2629" t="s">
        <v>2105</v>
      </c>
      <c r="E2629" s="183">
        <v>36.119999999999997</v>
      </c>
    </row>
    <row r="2630" spans="1:5" ht="14.25">
      <c r="A2630">
        <v>3799</v>
      </c>
      <c r="B2630" t="s">
        <v>10349</v>
      </c>
      <c r="C2630" t="s">
        <v>2102</v>
      </c>
      <c r="D2630" t="s">
        <v>2105</v>
      </c>
      <c r="E2630" s="183">
        <v>157.96</v>
      </c>
    </row>
    <row r="2631" spans="1:5" ht="14.25">
      <c r="A2631">
        <v>12239</v>
      </c>
      <c r="B2631" t="s">
        <v>10350</v>
      </c>
      <c r="C2631" t="s">
        <v>2102</v>
      </c>
      <c r="D2631" t="s">
        <v>2105</v>
      </c>
      <c r="E2631" s="183">
        <v>47.29</v>
      </c>
    </row>
    <row r="2632" spans="1:5" ht="14.25">
      <c r="A2632">
        <v>38773</v>
      </c>
      <c r="B2632" t="s">
        <v>10351</v>
      </c>
      <c r="C2632" t="s">
        <v>2102</v>
      </c>
      <c r="D2632" t="s">
        <v>2105</v>
      </c>
      <c r="E2632" s="183">
        <v>7.58</v>
      </c>
    </row>
    <row r="2633" spans="1:5" ht="14.25">
      <c r="A2633">
        <v>12271</v>
      </c>
      <c r="B2633" t="s">
        <v>10352</v>
      </c>
      <c r="C2633" t="s">
        <v>2102</v>
      </c>
      <c r="D2633" t="s">
        <v>2105</v>
      </c>
      <c r="E2633" s="183">
        <v>422.94</v>
      </c>
    </row>
    <row r="2634" spans="1:5" ht="14.25">
      <c r="A2634">
        <v>13382</v>
      </c>
      <c r="B2634" t="s">
        <v>15259</v>
      </c>
      <c r="C2634" t="s">
        <v>2102</v>
      </c>
      <c r="D2634" t="s">
        <v>2105</v>
      </c>
      <c r="E2634" s="183">
        <v>450.67</v>
      </c>
    </row>
    <row r="2635" spans="1:5" ht="14.25">
      <c r="A2635">
        <v>38785</v>
      </c>
      <c r="B2635" t="s">
        <v>10353</v>
      </c>
      <c r="C2635" t="s">
        <v>2102</v>
      </c>
      <c r="D2635" t="s">
        <v>2105</v>
      </c>
      <c r="E2635" s="183">
        <v>200.24</v>
      </c>
    </row>
    <row r="2636" spans="1:5" ht="14.25">
      <c r="A2636">
        <v>38786</v>
      </c>
      <c r="B2636" t="s">
        <v>10354</v>
      </c>
      <c r="C2636" t="s">
        <v>2102</v>
      </c>
      <c r="D2636" t="s">
        <v>2105</v>
      </c>
      <c r="E2636" s="183">
        <v>246.65</v>
      </c>
    </row>
    <row r="2637" spans="1:5" ht="14.25">
      <c r="A2637">
        <v>39385</v>
      </c>
      <c r="B2637" t="s">
        <v>10355</v>
      </c>
      <c r="C2637" t="s">
        <v>2102</v>
      </c>
      <c r="D2637" t="s">
        <v>2103</v>
      </c>
      <c r="E2637" s="183">
        <v>14.93</v>
      </c>
    </row>
    <row r="2638" spans="1:5" ht="14.25">
      <c r="A2638">
        <v>39389</v>
      </c>
      <c r="B2638" t="s">
        <v>10356</v>
      </c>
      <c r="C2638" t="s">
        <v>2102</v>
      </c>
      <c r="D2638" t="s">
        <v>2103</v>
      </c>
      <c r="E2638" s="183">
        <v>16.2</v>
      </c>
    </row>
    <row r="2639" spans="1:5" ht="14.25">
      <c r="A2639">
        <v>39390</v>
      </c>
      <c r="B2639" t="s">
        <v>10357</v>
      </c>
      <c r="C2639" t="s">
        <v>2102</v>
      </c>
      <c r="D2639" t="s">
        <v>2103</v>
      </c>
      <c r="E2639" s="183">
        <v>33.96</v>
      </c>
    </row>
    <row r="2640" spans="1:5" ht="14.25">
      <c r="A2640">
        <v>39391</v>
      </c>
      <c r="B2640" t="s">
        <v>10358</v>
      </c>
      <c r="C2640" t="s">
        <v>2102</v>
      </c>
      <c r="D2640" t="s">
        <v>2103</v>
      </c>
      <c r="E2640" s="183">
        <v>38.130000000000003</v>
      </c>
    </row>
    <row r="2641" spans="1:5" ht="14.25">
      <c r="A2641">
        <v>3803</v>
      </c>
      <c r="B2641" t="s">
        <v>10359</v>
      </c>
      <c r="C2641" t="s">
        <v>2102</v>
      </c>
      <c r="D2641" t="s">
        <v>2105</v>
      </c>
      <c r="E2641" s="183">
        <v>71.52</v>
      </c>
    </row>
    <row r="2642" spans="1:5" ht="14.25">
      <c r="A2642">
        <v>38770</v>
      </c>
      <c r="B2642" t="s">
        <v>10360</v>
      </c>
      <c r="C2642" t="s">
        <v>2102</v>
      </c>
      <c r="D2642" t="s">
        <v>2105</v>
      </c>
      <c r="E2642" s="183">
        <v>82.81</v>
      </c>
    </row>
    <row r="2643" spans="1:5" ht="14.25">
      <c r="A2643">
        <v>12267</v>
      </c>
      <c r="B2643" t="s">
        <v>10361</v>
      </c>
      <c r="C2643" t="s">
        <v>2102</v>
      </c>
      <c r="D2643" t="s">
        <v>2105</v>
      </c>
      <c r="E2643" s="183">
        <v>242.67</v>
      </c>
    </row>
    <row r="2644" spans="1:5" ht="14.25">
      <c r="A2644">
        <v>43265</v>
      </c>
      <c r="B2644" t="s">
        <v>10362</v>
      </c>
      <c r="C2644" t="s">
        <v>2102</v>
      </c>
      <c r="D2644" t="s">
        <v>2103</v>
      </c>
      <c r="E2644" s="183">
        <v>46.7</v>
      </c>
    </row>
    <row r="2645" spans="1:5" ht="14.25">
      <c r="A2645">
        <v>12266</v>
      </c>
      <c r="B2645" t="s">
        <v>10363</v>
      </c>
      <c r="C2645" t="s">
        <v>2102</v>
      </c>
      <c r="D2645" t="s">
        <v>2105</v>
      </c>
      <c r="E2645" s="183">
        <v>124.2</v>
      </c>
    </row>
    <row r="2646" spans="1:5" ht="14.25">
      <c r="A2646">
        <v>39378</v>
      </c>
      <c r="B2646" t="s">
        <v>10364</v>
      </c>
      <c r="C2646" t="s">
        <v>2102</v>
      </c>
      <c r="D2646" t="s">
        <v>2105</v>
      </c>
      <c r="E2646" s="183">
        <v>88.06</v>
      </c>
    </row>
    <row r="2647" spans="1:5" ht="14.25">
      <c r="A2647">
        <v>43543</v>
      </c>
      <c r="B2647" t="s">
        <v>10365</v>
      </c>
      <c r="C2647" t="s">
        <v>2102</v>
      </c>
      <c r="D2647" t="s">
        <v>2105</v>
      </c>
      <c r="E2647" s="183">
        <v>183.46</v>
      </c>
    </row>
    <row r="2648" spans="1:5" ht="14.25">
      <c r="A2648">
        <v>38775</v>
      </c>
      <c r="B2648" t="s">
        <v>10366</v>
      </c>
      <c r="C2648" t="s">
        <v>2102</v>
      </c>
      <c r="D2648" t="s">
        <v>2105</v>
      </c>
      <c r="E2648" s="183">
        <v>93.36</v>
      </c>
    </row>
    <row r="2649" spans="1:5" ht="14.25">
      <c r="A2649">
        <v>44252</v>
      </c>
      <c r="B2649" t="s">
        <v>18493</v>
      </c>
      <c r="C2649" t="s">
        <v>2102</v>
      </c>
      <c r="D2649" t="s">
        <v>2103</v>
      </c>
      <c r="E2649" s="183">
        <v>201.56</v>
      </c>
    </row>
    <row r="2650" spans="1:5" ht="14.25">
      <c r="A2650">
        <v>21119</v>
      </c>
      <c r="B2650" t="s">
        <v>10367</v>
      </c>
      <c r="C2650" t="s">
        <v>2102</v>
      </c>
      <c r="D2650" t="s">
        <v>2103</v>
      </c>
      <c r="E2650" s="183">
        <v>2.02</v>
      </c>
    </row>
    <row r="2651" spans="1:5" ht="14.25">
      <c r="A2651">
        <v>37974</v>
      </c>
      <c r="B2651" t="s">
        <v>10368</v>
      </c>
      <c r="C2651" t="s">
        <v>2102</v>
      </c>
      <c r="D2651" t="s">
        <v>2103</v>
      </c>
      <c r="E2651" s="183">
        <v>2.61</v>
      </c>
    </row>
    <row r="2652" spans="1:5" ht="14.25">
      <c r="A2652">
        <v>37975</v>
      </c>
      <c r="B2652" t="s">
        <v>10369</v>
      </c>
      <c r="C2652" t="s">
        <v>2102</v>
      </c>
      <c r="D2652" t="s">
        <v>2103</v>
      </c>
      <c r="E2652" s="183">
        <v>5.82</v>
      </c>
    </row>
    <row r="2653" spans="1:5" ht="14.25">
      <c r="A2653">
        <v>37976</v>
      </c>
      <c r="B2653" t="s">
        <v>10370</v>
      </c>
      <c r="C2653" t="s">
        <v>2102</v>
      </c>
      <c r="D2653" t="s">
        <v>2103</v>
      </c>
      <c r="E2653" s="183">
        <v>12.96</v>
      </c>
    </row>
    <row r="2654" spans="1:5" ht="14.25">
      <c r="A2654">
        <v>37977</v>
      </c>
      <c r="B2654" t="s">
        <v>10371</v>
      </c>
      <c r="C2654" t="s">
        <v>2102</v>
      </c>
      <c r="D2654" t="s">
        <v>2103</v>
      </c>
      <c r="E2654" s="183">
        <v>17.93</v>
      </c>
    </row>
    <row r="2655" spans="1:5" ht="14.25">
      <c r="A2655">
        <v>37978</v>
      </c>
      <c r="B2655" t="s">
        <v>10372</v>
      </c>
      <c r="C2655" t="s">
        <v>2102</v>
      </c>
      <c r="D2655" t="s">
        <v>2103</v>
      </c>
      <c r="E2655" s="183">
        <v>35.56</v>
      </c>
    </row>
    <row r="2656" spans="1:5" ht="14.25">
      <c r="A2656">
        <v>37979</v>
      </c>
      <c r="B2656" t="s">
        <v>10373</v>
      </c>
      <c r="C2656" t="s">
        <v>2102</v>
      </c>
      <c r="D2656" t="s">
        <v>2103</v>
      </c>
      <c r="E2656" s="183">
        <v>150.9</v>
      </c>
    </row>
    <row r="2657" spans="1:5" ht="14.25">
      <c r="A2657">
        <v>37980</v>
      </c>
      <c r="B2657" t="s">
        <v>10374</v>
      </c>
      <c r="C2657" t="s">
        <v>2102</v>
      </c>
      <c r="D2657" t="s">
        <v>2103</v>
      </c>
      <c r="E2657" s="183">
        <v>173.34</v>
      </c>
    </row>
    <row r="2658" spans="1:5" ht="14.25">
      <c r="A2658">
        <v>36147</v>
      </c>
      <c r="B2658" t="s">
        <v>10375</v>
      </c>
      <c r="C2658" t="s">
        <v>2136</v>
      </c>
      <c r="D2658" t="s">
        <v>2103</v>
      </c>
      <c r="E2658" s="183">
        <v>391.77</v>
      </c>
    </row>
    <row r="2659" spans="1:5" ht="14.25">
      <c r="A2659">
        <v>12731</v>
      </c>
      <c r="B2659" t="s">
        <v>10376</v>
      </c>
      <c r="C2659" t="s">
        <v>2102</v>
      </c>
      <c r="D2659" t="s">
        <v>2105</v>
      </c>
      <c r="E2659" s="183">
        <v>349.28</v>
      </c>
    </row>
    <row r="2660" spans="1:5" ht="14.25">
      <c r="A2660">
        <v>12723</v>
      </c>
      <c r="B2660" t="s">
        <v>10377</v>
      </c>
      <c r="C2660" t="s">
        <v>2102</v>
      </c>
      <c r="D2660" t="s">
        <v>2105</v>
      </c>
      <c r="E2660" s="183">
        <v>2.7</v>
      </c>
    </row>
    <row r="2661" spans="1:5" ht="14.25">
      <c r="A2661">
        <v>12724</v>
      </c>
      <c r="B2661" t="s">
        <v>10378</v>
      </c>
      <c r="C2661" t="s">
        <v>2102</v>
      </c>
      <c r="D2661" t="s">
        <v>2105</v>
      </c>
      <c r="E2661" s="183">
        <v>5.2</v>
      </c>
    </row>
    <row r="2662" spans="1:5" ht="14.25">
      <c r="A2662">
        <v>12725</v>
      </c>
      <c r="B2662" t="s">
        <v>10379</v>
      </c>
      <c r="C2662" t="s">
        <v>2102</v>
      </c>
      <c r="D2662" t="s">
        <v>2105</v>
      </c>
      <c r="E2662" s="183">
        <v>10.44</v>
      </c>
    </row>
    <row r="2663" spans="1:5" ht="14.25">
      <c r="A2663">
        <v>12726</v>
      </c>
      <c r="B2663" t="s">
        <v>10380</v>
      </c>
      <c r="C2663" t="s">
        <v>2102</v>
      </c>
      <c r="D2663" t="s">
        <v>2105</v>
      </c>
      <c r="E2663" s="183">
        <v>23.04</v>
      </c>
    </row>
    <row r="2664" spans="1:5" ht="14.25">
      <c r="A2664">
        <v>12727</v>
      </c>
      <c r="B2664" t="s">
        <v>10381</v>
      </c>
      <c r="C2664" t="s">
        <v>2102</v>
      </c>
      <c r="D2664" t="s">
        <v>2105</v>
      </c>
      <c r="E2664" s="183">
        <v>29.22</v>
      </c>
    </row>
    <row r="2665" spans="1:5" ht="14.25">
      <c r="A2665">
        <v>12728</v>
      </c>
      <c r="B2665" t="s">
        <v>10382</v>
      </c>
      <c r="C2665" t="s">
        <v>2102</v>
      </c>
      <c r="D2665" t="s">
        <v>2105</v>
      </c>
      <c r="E2665" s="183">
        <v>47.73</v>
      </c>
    </row>
    <row r="2666" spans="1:5" ht="14.25">
      <c r="A2666">
        <v>12729</v>
      </c>
      <c r="B2666" t="s">
        <v>10383</v>
      </c>
      <c r="C2666" t="s">
        <v>2102</v>
      </c>
      <c r="D2666" t="s">
        <v>2105</v>
      </c>
      <c r="E2666" s="183">
        <v>156.44999999999999</v>
      </c>
    </row>
    <row r="2667" spans="1:5" ht="14.25">
      <c r="A2667">
        <v>12730</v>
      </c>
      <c r="B2667" t="s">
        <v>10384</v>
      </c>
      <c r="C2667" t="s">
        <v>2102</v>
      </c>
      <c r="D2667" t="s">
        <v>2105</v>
      </c>
      <c r="E2667" s="183">
        <v>239.53</v>
      </c>
    </row>
    <row r="2668" spans="1:5" ht="14.25">
      <c r="A2668">
        <v>3840</v>
      </c>
      <c r="B2668" t="s">
        <v>10385</v>
      </c>
      <c r="C2668" t="s">
        <v>2102</v>
      </c>
      <c r="D2668" t="s">
        <v>2105</v>
      </c>
      <c r="E2668" s="183">
        <v>44.18</v>
      </c>
    </row>
    <row r="2669" spans="1:5" ht="14.25">
      <c r="A2669">
        <v>3838</v>
      </c>
      <c r="B2669" t="s">
        <v>10386</v>
      </c>
      <c r="C2669" t="s">
        <v>2102</v>
      </c>
      <c r="D2669" t="s">
        <v>2105</v>
      </c>
      <c r="E2669" s="183">
        <v>97.51</v>
      </c>
    </row>
    <row r="2670" spans="1:5" ht="14.25">
      <c r="A2670">
        <v>3844</v>
      </c>
      <c r="B2670" t="s">
        <v>10387</v>
      </c>
      <c r="C2670" t="s">
        <v>2102</v>
      </c>
      <c r="D2670" t="s">
        <v>2105</v>
      </c>
      <c r="E2670" s="183">
        <v>173.93</v>
      </c>
    </row>
    <row r="2671" spans="1:5" ht="14.25">
      <c r="A2671">
        <v>3839</v>
      </c>
      <c r="B2671" t="s">
        <v>10388</v>
      </c>
      <c r="C2671" t="s">
        <v>2102</v>
      </c>
      <c r="D2671" t="s">
        <v>2105</v>
      </c>
      <c r="E2671" s="183">
        <v>316.81</v>
      </c>
    </row>
    <row r="2672" spans="1:5" ht="14.25">
      <c r="A2672">
        <v>3843</v>
      </c>
      <c r="B2672" t="s">
        <v>10389</v>
      </c>
      <c r="C2672" t="s">
        <v>2102</v>
      </c>
      <c r="D2672" t="s">
        <v>2105</v>
      </c>
      <c r="E2672" s="183">
        <v>434.83</v>
      </c>
    </row>
    <row r="2673" spans="1:5" ht="14.25">
      <c r="A2673">
        <v>3900</v>
      </c>
      <c r="B2673" t="s">
        <v>10390</v>
      </c>
      <c r="C2673" t="s">
        <v>2102</v>
      </c>
      <c r="D2673" t="s">
        <v>2103</v>
      </c>
      <c r="E2673" s="183">
        <v>62.2</v>
      </c>
    </row>
    <row r="2674" spans="1:5" ht="14.25">
      <c r="A2674">
        <v>3846</v>
      </c>
      <c r="B2674" t="s">
        <v>10391</v>
      </c>
      <c r="C2674" t="s">
        <v>2102</v>
      </c>
      <c r="D2674" t="s">
        <v>2103</v>
      </c>
      <c r="E2674" s="183">
        <v>18.690000000000001</v>
      </c>
    </row>
    <row r="2675" spans="1:5" ht="14.25">
      <c r="A2675">
        <v>3886</v>
      </c>
      <c r="B2675" t="s">
        <v>10392</v>
      </c>
      <c r="C2675" t="s">
        <v>2102</v>
      </c>
      <c r="D2675" t="s">
        <v>2103</v>
      </c>
      <c r="E2675" s="183">
        <v>24.81</v>
      </c>
    </row>
    <row r="2676" spans="1:5" ht="14.25">
      <c r="A2676">
        <v>3854</v>
      </c>
      <c r="B2676" t="s">
        <v>10393</v>
      </c>
      <c r="C2676" t="s">
        <v>2102</v>
      </c>
      <c r="D2676" t="s">
        <v>2103</v>
      </c>
      <c r="E2676" s="183">
        <v>14.14</v>
      </c>
    </row>
    <row r="2677" spans="1:5" ht="14.25">
      <c r="A2677">
        <v>3873</v>
      </c>
      <c r="B2677" t="s">
        <v>10394</v>
      </c>
      <c r="C2677" t="s">
        <v>2102</v>
      </c>
      <c r="D2677" t="s">
        <v>2103</v>
      </c>
      <c r="E2677" s="183">
        <v>16.46</v>
      </c>
    </row>
    <row r="2678" spans="1:5" ht="14.25">
      <c r="A2678">
        <v>38021</v>
      </c>
      <c r="B2678" t="s">
        <v>10395</v>
      </c>
      <c r="C2678" t="s">
        <v>2102</v>
      </c>
      <c r="D2678" t="s">
        <v>2103</v>
      </c>
      <c r="E2678" s="183">
        <v>29.23</v>
      </c>
    </row>
    <row r="2679" spans="1:5" ht="14.25">
      <c r="A2679">
        <v>43838</v>
      </c>
      <c r="B2679" t="s">
        <v>18494</v>
      </c>
      <c r="C2679" t="s">
        <v>2102</v>
      </c>
      <c r="D2679" t="s">
        <v>2103</v>
      </c>
      <c r="E2679" s="183">
        <v>37.78</v>
      </c>
    </row>
    <row r="2680" spans="1:5" ht="14.25">
      <c r="A2680">
        <v>3847</v>
      </c>
      <c r="B2680" t="s">
        <v>10396</v>
      </c>
      <c r="C2680" t="s">
        <v>2102</v>
      </c>
      <c r="D2680" t="s">
        <v>2103</v>
      </c>
      <c r="E2680" s="183">
        <v>38.1</v>
      </c>
    </row>
    <row r="2681" spans="1:5" ht="14.25">
      <c r="A2681">
        <v>38022</v>
      </c>
      <c r="B2681" t="s">
        <v>10397</v>
      </c>
      <c r="C2681" t="s">
        <v>2102</v>
      </c>
      <c r="D2681" t="s">
        <v>2103</v>
      </c>
      <c r="E2681" s="183">
        <v>52.36</v>
      </c>
    </row>
    <row r="2682" spans="1:5" ht="14.25">
      <c r="A2682">
        <v>3830</v>
      </c>
      <c r="B2682" t="s">
        <v>18495</v>
      </c>
      <c r="C2682" t="s">
        <v>2102</v>
      </c>
      <c r="D2682" t="s">
        <v>2103</v>
      </c>
      <c r="E2682" s="183">
        <v>243.25</v>
      </c>
    </row>
    <row r="2683" spans="1:5" ht="14.25">
      <c r="A2683">
        <v>37981</v>
      </c>
      <c r="B2683" t="s">
        <v>10398</v>
      </c>
      <c r="C2683" t="s">
        <v>2102</v>
      </c>
      <c r="D2683" t="s">
        <v>2103</v>
      </c>
      <c r="E2683" s="183">
        <v>7.55</v>
      </c>
    </row>
    <row r="2684" spans="1:5" ht="14.25">
      <c r="A2684">
        <v>37982</v>
      </c>
      <c r="B2684" t="s">
        <v>10399</v>
      </c>
      <c r="C2684" t="s">
        <v>2102</v>
      </c>
      <c r="D2684" t="s">
        <v>2103</v>
      </c>
      <c r="E2684" s="183">
        <v>10.96</v>
      </c>
    </row>
    <row r="2685" spans="1:5" ht="14.25">
      <c r="A2685">
        <v>37983</v>
      </c>
      <c r="B2685" t="s">
        <v>10400</v>
      </c>
      <c r="C2685" t="s">
        <v>2102</v>
      </c>
      <c r="D2685" t="s">
        <v>2103</v>
      </c>
      <c r="E2685" s="183">
        <v>16.2</v>
      </c>
    </row>
    <row r="2686" spans="1:5" ht="14.25">
      <c r="A2686">
        <v>37984</v>
      </c>
      <c r="B2686" t="s">
        <v>10401</v>
      </c>
      <c r="C2686" t="s">
        <v>2102</v>
      </c>
      <c r="D2686" t="s">
        <v>2103</v>
      </c>
      <c r="E2686" s="183">
        <v>22.75</v>
      </c>
    </row>
    <row r="2687" spans="1:5" ht="14.25">
      <c r="A2687">
        <v>37985</v>
      </c>
      <c r="B2687" t="s">
        <v>10402</v>
      </c>
      <c r="C2687" t="s">
        <v>2102</v>
      </c>
      <c r="D2687" t="s">
        <v>2103</v>
      </c>
      <c r="E2687" s="183">
        <v>32.33</v>
      </c>
    </row>
    <row r="2688" spans="1:5" ht="14.25">
      <c r="A2688">
        <v>3826</v>
      </c>
      <c r="B2688" t="s">
        <v>10403</v>
      </c>
      <c r="C2688" t="s">
        <v>2102</v>
      </c>
      <c r="D2688" t="s">
        <v>2105</v>
      </c>
      <c r="E2688" s="183">
        <v>43.84</v>
      </c>
    </row>
    <row r="2689" spans="1:5" ht="14.25">
      <c r="A2689">
        <v>3825</v>
      </c>
      <c r="B2689" t="s">
        <v>10404</v>
      </c>
      <c r="C2689" t="s">
        <v>2102</v>
      </c>
      <c r="D2689" t="s">
        <v>2105</v>
      </c>
      <c r="E2689" s="183">
        <v>12.61</v>
      </c>
    </row>
    <row r="2690" spans="1:5" ht="14.25">
      <c r="A2690">
        <v>3827</v>
      </c>
      <c r="B2690" t="s">
        <v>10405</v>
      </c>
      <c r="C2690" t="s">
        <v>2102</v>
      </c>
      <c r="D2690" t="s">
        <v>2105</v>
      </c>
      <c r="E2690" s="183">
        <v>27.54</v>
      </c>
    </row>
    <row r="2691" spans="1:5" ht="14.25">
      <c r="A2691">
        <v>20165</v>
      </c>
      <c r="B2691" t="s">
        <v>18496</v>
      </c>
      <c r="C2691" t="s">
        <v>2102</v>
      </c>
      <c r="D2691" t="s">
        <v>2103</v>
      </c>
      <c r="E2691" s="183">
        <v>30.15</v>
      </c>
    </row>
    <row r="2692" spans="1:5" ht="14.25">
      <c r="A2692">
        <v>20166</v>
      </c>
      <c r="B2692" t="s">
        <v>18497</v>
      </c>
      <c r="C2692" t="s">
        <v>2102</v>
      </c>
      <c r="D2692" t="s">
        <v>2103</v>
      </c>
      <c r="E2692" s="183">
        <v>92.1</v>
      </c>
    </row>
    <row r="2693" spans="1:5" ht="14.25">
      <c r="A2693">
        <v>20164</v>
      </c>
      <c r="B2693" t="s">
        <v>18498</v>
      </c>
      <c r="C2693" t="s">
        <v>2102</v>
      </c>
      <c r="D2693" t="s">
        <v>2103</v>
      </c>
      <c r="E2693" s="183">
        <v>14.49</v>
      </c>
    </row>
    <row r="2694" spans="1:5" ht="14.25">
      <c r="A2694">
        <v>3893</v>
      </c>
      <c r="B2694" t="s">
        <v>10406</v>
      </c>
      <c r="C2694" t="s">
        <v>2102</v>
      </c>
      <c r="D2694" t="s">
        <v>2103</v>
      </c>
      <c r="E2694" s="183">
        <v>22.71</v>
      </c>
    </row>
    <row r="2695" spans="1:5" ht="14.25">
      <c r="A2695">
        <v>3848</v>
      </c>
      <c r="B2695" t="s">
        <v>10407</v>
      </c>
      <c r="C2695" t="s">
        <v>2102</v>
      </c>
      <c r="D2695" t="s">
        <v>2103</v>
      </c>
      <c r="E2695" s="183">
        <v>13.85</v>
      </c>
    </row>
    <row r="2696" spans="1:5" ht="14.25">
      <c r="A2696">
        <v>3895</v>
      </c>
      <c r="B2696" t="s">
        <v>10408</v>
      </c>
      <c r="C2696" t="s">
        <v>2102</v>
      </c>
      <c r="D2696" t="s">
        <v>2103</v>
      </c>
      <c r="E2696" s="183">
        <v>15.38</v>
      </c>
    </row>
    <row r="2697" spans="1:5" ht="14.25">
      <c r="A2697">
        <v>12404</v>
      </c>
      <c r="B2697" t="s">
        <v>10409</v>
      </c>
      <c r="C2697" t="s">
        <v>2102</v>
      </c>
      <c r="D2697" t="s">
        <v>2105</v>
      </c>
      <c r="E2697" s="183">
        <v>12.43</v>
      </c>
    </row>
    <row r="2698" spans="1:5" ht="14.25">
      <c r="A2698">
        <v>3939</v>
      </c>
      <c r="B2698" t="s">
        <v>10410</v>
      </c>
      <c r="C2698" t="s">
        <v>2102</v>
      </c>
      <c r="D2698" t="s">
        <v>2105</v>
      </c>
      <c r="E2698" s="183">
        <v>25.6</v>
      </c>
    </row>
    <row r="2699" spans="1:5" ht="14.25">
      <c r="A2699">
        <v>3911</v>
      </c>
      <c r="B2699" t="s">
        <v>10411</v>
      </c>
      <c r="C2699" t="s">
        <v>2102</v>
      </c>
      <c r="D2699" t="s">
        <v>2105</v>
      </c>
      <c r="E2699" s="183">
        <v>20.92</v>
      </c>
    </row>
    <row r="2700" spans="1:5" ht="14.25">
      <c r="A2700">
        <v>3908</v>
      </c>
      <c r="B2700" t="s">
        <v>10412</v>
      </c>
      <c r="C2700" t="s">
        <v>2102</v>
      </c>
      <c r="D2700" t="s">
        <v>2105</v>
      </c>
      <c r="E2700" s="183">
        <v>6.76</v>
      </c>
    </row>
    <row r="2701" spans="1:5" ht="14.25">
      <c r="A2701">
        <v>3910</v>
      </c>
      <c r="B2701" t="s">
        <v>10413</v>
      </c>
      <c r="C2701" t="s">
        <v>2102</v>
      </c>
      <c r="D2701" t="s">
        <v>2105</v>
      </c>
      <c r="E2701" s="183">
        <v>14.96</v>
      </c>
    </row>
    <row r="2702" spans="1:5" ht="14.25">
      <c r="A2702">
        <v>3913</v>
      </c>
      <c r="B2702" t="s">
        <v>10414</v>
      </c>
      <c r="C2702" t="s">
        <v>2102</v>
      </c>
      <c r="D2702" t="s">
        <v>2105</v>
      </c>
      <c r="E2702" s="183">
        <v>71.53</v>
      </c>
    </row>
    <row r="2703" spans="1:5" ht="14.25">
      <c r="A2703">
        <v>3912</v>
      </c>
      <c r="B2703" t="s">
        <v>10415</v>
      </c>
      <c r="C2703" t="s">
        <v>2102</v>
      </c>
      <c r="D2703" t="s">
        <v>2105</v>
      </c>
      <c r="E2703" s="183">
        <v>39.21</v>
      </c>
    </row>
    <row r="2704" spans="1:5" ht="14.25">
      <c r="A2704">
        <v>3909</v>
      </c>
      <c r="B2704" t="s">
        <v>10416</v>
      </c>
      <c r="C2704" t="s">
        <v>2102</v>
      </c>
      <c r="D2704" t="s">
        <v>2105</v>
      </c>
      <c r="E2704" s="183">
        <v>9.1999999999999993</v>
      </c>
    </row>
    <row r="2705" spans="1:5" ht="14.25">
      <c r="A2705">
        <v>3914</v>
      </c>
      <c r="B2705" t="s">
        <v>10417</v>
      </c>
      <c r="C2705" t="s">
        <v>2102</v>
      </c>
      <c r="D2705" t="s">
        <v>2105</v>
      </c>
      <c r="E2705" s="183">
        <v>107.91</v>
      </c>
    </row>
    <row r="2706" spans="1:5" ht="14.25">
      <c r="A2706">
        <v>3915</v>
      </c>
      <c r="B2706" t="s">
        <v>10418</v>
      </c>
      <c r="C2706" t="s">
        <v>2102</v>
      </c>
      <c r="D2706" t="s">
        <v>2105</v>
      </c>
      <c r="E2706" s="183">
        <v>170.17</v>
      </c>
    </row>
    <row r="2707" spans="1:5" ht="14.25">
      <c r="A2707">
        <v>3916</v>
      </c>
      <c r="B2707" t="s">
        <v>10419</v>
      </c>
      <c r="C2707" t="s">
        <v>2102</v>
      </c>
      <c r="D2707" t="s">
        <v>2105</v>
      </c>
      <c r="E2707" s="183">
        <v>310.02</v>
      </c>
    </row>
    <row r="2708" spans="1:5" ht="14.25">
      <c r="A2708">
        <v>3917</v>
      </c>
      <c r="B2708" t="s">
        <v>10420</v>
      </c>
      <c r="C2708" t="s">
        <v>2102</v>
      </c>
      <c r="D2708" t="s">
        <v>2105</v>
      </c>
      <c r="E2708" s="183">
        <v>511.33</v>
      </c>
    </row>
    <row r="2709" spans="1:5" ht="14.25">
      <c r="A2709">
        <v>1904</v>
      </c>
      <c r="B2709" t="s">
        <v>10421</v>
      </c>
      <c r="C2709" t="s">
        <v>2102</v>
      </c>
      <c r="D2709" t="s">
        <v>2103</v>
      </c>
      <c r="E2709" s="183">
        <v>1</v>
      </c>
    </row>
    <row r="2710" spans="1:5" ht="14.25">
      <c r="A2710">
        <v>1899</v>
      </c>
      <c r="B2710" t="s">
        <v>10422</v>
      </c>
      <c r="C2710" t="s">
        <v>2102</v>
      </c>
      <c r="D2710" t="s">
        <v>2103</v>
      </c>
      <c r="E2710" s="183">
        <v>1.1399999999999999</v>
      </c>
    </row>
    <row r="2711" spans="1:5" ht="14.25">
      <c r="A2711">
        <v>1900</v>
      </c>
      <c r="B2711" t="s">
        <v>10423</v>
      </c>
      <c r="C2711" t="s">
        <v>2102</v>
      </c>
      <c r="D2711" t="s">
        <v>2103</v>
      </c>
      <c r="E2711" s="183">
        <v>1.84</v>
      </c>
    </row>
    <row r="2712" spans="1:5" ht="14.25">
      <c r="A2712">
        <v>12407</v>
      </c>
      <c r="B2712" t="s">
        <v>10424</v>
      </c>
      <c r="C2712" t="s">
        <v>2102</v>
      </c>
      <c r="D2712" t="s">
        <v>2105</v>
      </c>
      <c r="E2712" s="183">
        <v>38.71</v>
      </c>
    </row>
    <row r="2713" spans="1:5" ht="14.25">
      <c r="A2713">
        <v>12408</v>
      </c>
      <c r="B2713" t="s">
        <v>10425</v>
      </c>
      <c r="C2713" t="s">
        <v>2102</v>
      </c>
      <c r="D2713" t="s">
        <v>2105</v>
      </c>
      <c r="E2713" s="183">
        <v>21.85</v>
      </c>
    </row>
    <row r="2714" spans="1:5" ht="14.25">
      <c r="A2714">
        <v>12409</v>
      </c>
      <c r="B2714" t="s">
        <v>10426</v>
      </c>
      <c r="C2714" t="s">
        <v>2102</v>
      </c>
      <c r="D2714" t="s">
        <v>2105</v>
      </c>
      <c r="E2714" s="183">
        <v>21.85</v>
      </c>
    </row>
    <row r="2715" spans="1:5" ht="14.25">
      <c r="A2715">
        <v>12410</v>
      </c>
      <c r="B2715" t="s">
        <v>10427</v>
      </c>
      <c r="C2715" t="s">
        <v>2102</v>
      </c>
      <c r="D2715" t="s">
        <v>2105</v>
      </c>
      <c r="E2715" s="183">
        <v>15.05</v>
      </c>
    </row>
    <row r="2716" spans="1:5" ht="14.25">
      <c r="A2716">
        <v>3936</v>
      </c>
      <c r="B2716" t="s">
        <v>10428</v>
      </c>
      <c r="C2716" t="s">
        <v>2102</v>
      </c>
      <c r="D2716" t="s">
        <v>2105</v>
      </c>
      <c r="E2716" s="183">
        <v>27.2</v>
      </c>
    </row>
    <row r="2717" spans="1:5" ht="14.25">
      <c r="A2717">
        <v>3922</v>
      </c>
      <c r="B2717" t="s">
        <v>10429</v>
      </c>
      <c r="C2717" t="s">
        <v>2102</v>
      </c>
      <c r="D2717" t="s">
        <v>2105</v>
      </c>
      <c r="E2717" s="183">
        <v>25.02</v>
      </c>
    </row>
    <row r="2718" spans="1:5" ht="14.25">
      <c r="A2718">
        <v>3924</v>
      </c>
      <c r="B2718" t="s">
        <v>10430</v>
      </c>
      <c r="C2718" t="s">
        <v>2102</v>
      </c>
      <c r="D2718" t="s">
        <v>2105</v>
      </c>
      <c r="E2718" s="183">
        <v>27.2</v>
      </c>
    </row>
    <row r="2719" spans="1:5" ht="14.25">
      <c r="A2719">
        <v>3923</v>
      </c>
      <c r="B2719" t="s">
        <v>10431</v>
      </c>
      <c r="C2719" t="s">
        <v>2102</v>
      </c>
      <c r="D2719" t="s">
        <v>2105</v>
      </c>
      <c r="E2719" s="183">
        <v>27.2</v>
      </c>
    </row>
    <row r="2720" spans="1:5" ht="14.25">
      <c r="A2720">
        <v>3937</v>
      </c>
      <c r="B2720" t="s">
        <v>10432</v>
      </c>
      <c r="C2720" t="s">
        <v>2102</v>
      </c>
      <c r="D2720" t="s">
        <v>2105</v>
      </c>
      <c r="E2720" s="183">
        <v>22.44</v>
      </c>
    </row>
    <row r="2721" spans="1:5" ht="14.25">
      <c r="A2721">
        <v>3921</v>
      </c>
      <c r="B2721" t="s">
        <v>10433</v>
      </c>
      <c r="C2721" t="s">
        <v>2102</v>
      </c>
      <c r="D2721" t="s">
        <v>2105</v>
      </c>
      <c r="E2721" s="183">
        <v>22.45</v>
      </c>
    </row>
    <row r="2722" spans="1:5" ht="14.25">
      <c r="A2722">
        <v>3920</v>
      </c>
      <c r="B2722" t="s">
        <v>10434</v>
      </c>
      <c r="C2722" t="s">
        <v>2102</v>
      </c>
      <c r="D2722" t="s">
        <v>2105</v>
      </c>
      <c r="E2722" s="183">
        <v>22.44</v>
      </c>
    </row>
    <row r="2723" spans="1:5" ht="14.25">
      <c r="A2723">
        <v>3938</v>
      </c>
      <c r="B2723" t="s">
        <v>10435</v>
      </c>
      <c r="C2723" t="s">
        <v>2102</v>
      </c>
      <c r="D2723" t="s">
        <v>2105</v>
      </c>
      <c r="E2723" s="183">
        <v>14.79</v>
      </c>
    </row>
    <row r="2724" spans="1:5" ht="14.25">
      <c r="A2724">
        <v>3919</v>
      </c>
      <c r="B2724" t="s">
        <v>10436</v>
      </c>
      <c r="C2724" t="s">
        <v>2102</v>
      </c>
      <c r="D2724" t="s">
        <v>2105</v>
      </c>
      <c r="E2724" s="183">
        <v>15.08</v>
      </c>
    </row>
    <row r="2725" spans="1:5" ht="14.25">
      <c r="A2725">
        <v>3927</v>
      </c>
      <c r="B2725" t="s">
        <v>10437</v>
      </c>
      <c r="C2725" t="s">
        <v>2102</v>
      </c>
      <c r="D2725" t="s">
        <v>2105</v>
      </c>
      <c r="E2725" s="183">
        <v>76.38</v>
      </c>
    </row>
    <row r="2726" spans="1:5" ht="14.25">
      <c r="A2726">
        <v>3928</v>
      </c>
      <c r="B2726" t="s">
        <v>10438</v>
      </c>
      <c r="C2726" t="s">
        <v>2102</v>
      </c>
      <c r="D2726" t="s">
        <v>2105</v>
      </c>
      <c r="E2726" s="183">
        <v>76.38</v>
      </c>
    </row>
    <row r="2727" spans="1:5" ht="14.25">
      <c r="A2727">
        <v>3926</v>
      </c>
      <c r="B2727" t="s">
        <v>10439</v>
      </c>
      <c r="C2727" t="s">
        <v>2102</v>
      </c>
      <c r="D2727" t="s">
        <v>2105</v>
      </c>
      <c r="E2727" s="183">
        <v>43.54</v>
      </c>
    </row>
    <row r="2728" spans="1:5" ht="14.25">
      <c r="A2728">
        <v>3935</v>
      </c>
      <c r="B2728" t="s">
        <v>10440</v>
      </c>
      <c r="C2728" t="s">
        <v>2102</v>
      </c>
      <c r="D2728" t="s">
        <v>2105</v>
      </c>
      <c r="E2728" s="183">
        <v>43.54</v>
      </c>
    </row>
    <row r="2729" spans="1:5" ht="14.25">
      <c r="A2729">
        <v>3925</v>
      </c>
      <c r="B2729" t="s">
        <v>10441</v>
      </c>
      <c r="C2729" t="s">
        <v>2102</v>
      </c>
      <c r="D2729" t="s">
        <v>2105</v>
      </c>
      <c r="E2729" s="183">
        <v>43.54</v>
      </c>
    </row>
    <row r="2730" spans="1:5" ht="14.25">
      <c r="A2730">
        <v>12406</v>
      </c>
      <c r="B2730" t="s">
        <v>10442</v>
      </c>
      <c r="C2730" t="s">
        <v>2102</v>
      </c>
      <c r="D2730" t="s">
        <v>2105</v>
      </c>
      <c r="E2730" s="183">
        <v>10.69</v>
      </c>
    </row>
    <row r="2731" spans="1:5" ht="14.25">
      <c r="A2731">
        <v>3929</v>
      </c>
      <c r="B2731" t="s">
        <v>10443</v>
      </c>
      <c r="C2731" t="s">
        <v>2102</v>
      </c>
      <c r="D2731" t="s">
        <v>2105</v>
      </c>
      <c r="E2731" s="183">
        <v>116.37</v>
      </c>
    </row>
    <row r="2732" spans="1:5" ht="14.25">
      <c r="A2732">
        <v>3931</v>
      </c>
      <c r="B2732" t="s">
        <v>10444</v>
      </c>
      <c r="C2732" t="s">
        <v>2102</v>
      </c>
      <c r="D2732" t="s">
        <v>2105</v>
      </c>
      <c r="E2732" s="183">
        <v>116.37</v>
      </c>
    </row>
    <row r="2733" spans="1:5" ht="14.25">
      <c r="A2733">
        <v>3930</v>
      </c>
      <c r="B2733" t="s">
        <v>10445</v>
      </c>
      <c r="C2733" t="s">
        <v>2102</v>
      </c>
      <c r="D2733" t="s">
        <v>2105</v>
      </c>
      <c r="E2733" s="183">
        <v>116.37</v>
      </c>
    </row>
    <row r="2734" spans="1:5" ht="14.25">
      <c r="A2734">
        <v>3932</v>
      </c>
      <c r="B2734" t="s">
        <v>10446</v>
      </c>
      <c r="C2734" t="s">
        <v>2102</v>
      </c>
      <c r="D2734" t="s">
        <v>2105</v>
      </c>
      <c r="E2734" s="183">
        <v>200.94</v>
      </c>
    </row>
    <row r="2735" spans="1:5" ht="14.25">
      <c r="A2735">
        <v>3933</v>
      </c>
      <c r="B2735" t="s">
        <v>10447</v>
      </c>
      <c r="C2735" t="s">
        <v>2102</v>
      </c>
      <c r="D2735" t="s">
        <v>2105</v>
      </c>
      <c r="E2735" s="183">
        <v>200.94</v>
      </c>
    </row>
    <row r="2736" spans="1:5" ht="14.25">
      <c r="A2736">
        <v>3934</v>
      </c>
      <c r="B2736" t="s">
        <v>10448</v>
      </c>
      <c r="C2736" t="s">
        <v>2102</v>
      </c>
      <c r="D2736" t="s">
        <v>2105</v>
      </c>
      <c r="E2736" s="183">
        <v>200.94</v>
      </c>
    </row>
    <row r="2737" spans="1:5" ht="14.25">
      <c r="A2737">
        <v>40355</v>
      </c>
      <c r="B2737" t="s">
        <v>10449</v>
      </c>
      <c r="C2737" t="s">
        <v>2102</v>
      </c>
      <c r="D2737" t="s">
        <v>2103</v>
      </c>
      <c r="E2737" s="183">
        <v>16.07</v>
      </c>
    </row>
    <row r="2738" spans="1:5" ht="14.25">
      <c r="A2738">
        <v>40364</v>
      </c>
      <c r="B2738" t="s">
        <v>10450</v>
      </c>
      <c r="C2738" t="s">
        <v>2102</v>
      </c>
      <c r="D2738" t="s">
        <v>2103</v>
      </c>
      <c r="E2738" s="183">
        <v>75.3</v>
      </c>
    </row>
    <row r="2739" spans="1:5" ht="14.25">
      <c r="A2739">
        <v>40361</v>
      </c>
      <c r="B2739" t="s">
        <v>10451</v>
      </c>
      <c r="C2739" t="s">
        <v>2102</v>
      </c>
      <c r="D2739" t="s">
        <v>2103</v>
      </c>
      <c r="E2739" s="183">
        <v>58.88</v>
      </c>
    </row>
    <row r="2740" spans="1:5" ht="14.25">
      <c r="A2740">
        <v>40358</v>
      </c>
      <c r="B2740" t="s">
        <v>10452</v>
      </c>
      <c r="C2740" t="s">
        <v>2102</v>
      </c>
      <c r="D2740" t="s">
        <v>2103</v>
      </c>
      <c r="E2740" s="183">
        <v>22.44</v>
      </c>
    </row>
    <row r="2741" spans="1:5" ht="14.25">
      <c r="A2741">
        <v>40370</v>
      </c>
      <c r="B2741" t="s">
        <v>10453</v>
      </c>
      <c r="C2741" t="s">
        <v>2102</v>
      </c>
      <c r="D2741" t="s">
        <v>2103</v>
      </c>
      <c r="E2741" s="183">
        <v>238.92</v>
      </c>
    </row>
    <row r="2742" spans="1:5" ht="14.25">
      <c r="A2742">
        <v>40367</v>
      </c>
      <c r="B2742" t="s">
        <v>10454</v>
      </c>
      <c r="C2742" t="s">
        <v>2102</v>
      </c>
      <c r="D2742" t="s">
        <v>2103</v>
      </c>
      <c r="E2742" s="183">
        <v>118.75</v>
      </c>
    </row>
    <row r="2743" spans="1:5" ht="14.25">
      <c r="A2743">
        <v>40373</v>
      </c>
      <c r="B2743" t="s">
        <v>10455</v>
      </c>
      <c r="C2743" t="s">
        <v>2102</v>
      </c>
      <c r="D2743" t="s">
        <v>2103</v>
      </c>
      <c r="E2743" s="183">
        <v>323.08</v>
      </c>
    </row>
    <row r="2744" spans="1:5" ht="14.25">
      <c r="A2744">
        <v>3907</v>
      </c>
      <c r="B2744" t="s">
        <v>10456</v>
      </c>
      <c r="C2744" t="s">
        <v>2102</v>
      </c>
      <c r="D2744" t="s">
        <v>2103</v>
      </c>
      <c r="E2744" s="183">
        <v>7.16</v>
      </c>
    </row>
    <row r="2745" spans="1:5" ht="14.25">
      <c r="A2745">
        <v>3889</v>
      </c>
      <c r="B2745" t="s">
        <v>10457</v>
      </c>
      <c r="C2745" t="s">
        <v>2102</v>
      </c>
      <c r="D2745" t="s">
        <v>2103</v>
      </c>
      <c r="E2745" s="183">
        <v>5.09</v>
      </c>
    </row>
    <row r="2746" spans="1:5" ht="14.25">
      <c r="A2746">
        <v>3868</v>
      </c>
      <c r="B2746" t="s">
        <v>10458</v>
      </c>
      <c r="C2746" t="s">
        <v>2102</v>
      </c>
      <c r="D2746" t="s">
        <v>2103</v>
      </c>
      <c r="E2746" s="183">
        <v>1.87</v>
      </c>
    </row>
    <row r="2747" spans="1:5" ht="14.25">
      <c r="A2747">
        <v>3869</v>
      </c>
      <c r="B2747" t="s">
        <v>10459</v>
      </c>
      <c r="C2747" t="s">
        <v>2102</v>
      </c>
      <c r="D2747" t="s">
        <v>2103</v>
      </c>
      <c r="E2747" s="183">
        <v>4.1399999999999997</v>
      </c>
    </row>
    <row r="2748" spans="1:5" ht="14.25">
      <c r="A2748">
        <v>3872</v>
      </c>
      <c r="B2748" t="s">
        <v>10460</v>
      </c>
      <c r="C2748" t="s">
        <v>2102</v>
      </c>
      <c r="D2748" t="s">
        <v>2103</v>
      </c>
      <c r="E2748" s="183">
        <v>7.07</v>
      </c>
    </row>
    <row r="2749" spans="1:5" ht="14.25">
      <c r="A2749">
        <v>3850</v>
      </c>
      <c r="B2749" t="s">
        <v>10461</v>
      </c>
      <c r="C2749" t="s">
        <v>2102</v>
      </c>
      <c r="D2749" t="s">
        <v>2103</v>
      </c>
      <c r="E2749" s="183">
        <v>16.309999999999999</v>
      </c>
    </row>
    <row r="2750" spans="1:5" ht="14.25">
      <c r="A2750">
        <v>38023</v>
      </c>
      <c r="B2750" t="s">
        <v>18499</v>
      </c>
      <c r="C2750" t="s">
        <v>2102</v>
      </c>
      <c r="D2750" t="s">
        <v>2103</v>
      </c>
      <c r="E2750" s="183">
        <v>8.3000000000000007</v>
      </c>
    </row>
    <row r="2751" spans="1:5" ht="14.25">
      <c r="A2751">
        <v>37986</v>
      </c>
      <c r="B2751" t="s">
        <v>10462</v>
      </c>
      <c r="C2751" t="s">
        <v>2102</v>
      </c>
      <c r="D2751" t="s">
        <v>2103</v>
      </c>
      <c r="E2751" s="183">
        <v>2.58</v>
      </c>
    </row>
    <row r="2752" spans="1:5" ht="14.25">
      <c r="A2752">
        <v>37987</v>
      </c>
      <c r="B2752" t="s">
        <v>10463</v>
      </c>
      <c r="C2752" t="s">
        <v>2102</v>
      </c>
      <c r="D2752" t="s">
        <v>2103</v>
      </c>
      <c r="E2752" s="183">
        <v>128.58000000000001</v>
      </c>
    </row>
    <row r="2753" spans="1:5" ht="14.25">
      <c r="A2753">
        <v>37988</v>
      </c>
      <c r="B2753" t="s">
        <v>10464</v>
      </c>
      <c r="C2753" t="s">
        <v>2102</v>
      </c>
      <c r="D2753" t="s">
        <v>2103</v>
      </c>
      <c r="E2753" s="183">
        <v>204.32</v>
      </c>
    </row>
    <row r="2754" spans="1:5" ht="14.25">
      <c r="A2754">
        <v>21120</v>
      </c>
      <c r="B2754" t="s">
        <v>10465</v>
      </c>
      <c r="C2754" t="s">
        <v>2102</v>
      </c>
      <c r="D2754" t="s">
        <v>2103</v>
      </c>
      <c r="E2754" s="183">
        <v>13.15</v>
      </c>
    </row>
    <row r="2755" spans="1:5" ht="14.25">
      <c r="A2755">
        <v>39318</v>
      </c>
      <c r="B2755" t="s">
        <v>10466</v>
      </c>
      <c r="C2755" t="s">
        <v>2102</v>
      </c>
      <c r="D2755" t="s">
        <v>2103</v>
      </c>
      <c r="E2755" s="183">
        <v>12.23</v>
      </c>
    </row>
    <row r="2756" spans="1:5" ht="14.25">
      <c r="A2756">
        <v>40366</v>
      </c>
      <c r="B2756" t="s">
        <v>10467</v>
      </c>
      <c r="C2756" t="s">
        <v>2102</v>
      </c>
      <c r="D2756" t="s">
        <v>2103</v>
      </c>
      <c r="E2756" s="183">
        <v>58.74</v>
      </c>
    </row>
    <row r="2757" spans="1:5" ht="14.25">
      <c r="A2757">
        <v>40363</v>
      </c>
      <c r="B2757" t="s">
        <v>10468</v>
      </c>
      <c r="C2757" t="s">
        <v>2102</v>
      </c>
      <c r="D2757" t="s">
        <v>2103</v>
      </c>
      <c r="E2757" s="183">
        <v>45.94</v>
      </c>
    </row>
    <row r="2758" spans="1:5" ht="14.25">
      <c r="A2758">
        <v>40354</v>
      </c>
      <c r="B2758" t="s">
        <v>10469</v>
      </c>
      <c r="C2758" t="s">
        <v>2102</v>
      </c>
      <c r="D2758" t="s">
        <v>2107</v>
      </c>
      <c r="E2758" s="183">
        <v>20</v>
      </c>
    </row>
    <row r="2759" spans="1:5" ht="14.25">
      <c r="A2759">
        <v>40360</v>
      </c>
      <c r="B2759" t="s">
        <v>10470</v>
      </c>
      <c r="C2759" t="s">
        <v>2102</v>
      </c>
      <c r="D2759" t="s">
        <v>2103</v>
      </c>
      <c r="E2759" s="183">
        <v>30.12</v>
      </c>
    </row>
    <row r="2760" spans="1:5" ht="14.25">
      <c r="A2760">
        <v>40372</v>
      </c>
      <c r="B2760" t="s">
        <v>10471</v>
      </c>
      <c r="C2760" t="s">
        <v>2102</v>
      </c>
      <c r="D2760" t="s">
        <v>2103</v>
      </c>
      <c r="E2760" s="183">
        <v>185.98</v>
      </c>
    </row>
    <row r="2761" spans="1:5" ht="14.25">
      <c r="A2761">
        <v>40369</v>
      </c>
      <c r="B2761" t="s">
        <v>10472</v>
      </c>
      <c r="C2761" t="s">
        <v>2102</v>
      </c>
      <c r="D2761" t="s">
        <v>2103</v>
      </c>
      <c r="E2761" s="183">
        <v>92.56</v>
      </c>
    </row>
    <row r="2762" spans="1:5" ht="14.25">
      <c r="A2762">
        <v>40357</v>
      </c>
      <c r="B2762" t="s">
        <v>10473</v>
      </c>
      <c r="C2762" t="s">
        <v>2102</v>
      </c>
      <c r="D2762" t="s">
        <v>2103</v>
      </c>
      <c r="E2762" s="183">
        <v>22.44</v>
      </c>
    </row>
    <row r="2763" spans="1:5" ht="14.25">
      <c r="A2763">
        <v>40375</v>
      </c>
      <c r="B2763" t="s">
        <v>10474</v>
      </c>
      <c r="C2763" t="s">
        <v>2102</v>
      </c>
      <c r="D2763" t="s">
        <v>2103</v>
      </c>
      <c r="E2763" s="183">
        <v>251.77</v>
      </c>
    </row>
    <row r="2764" spans="1:5" ht="14.25">
      <c r="A2764">
        <v>1893</v>
      </c>
      <c r="B2764" t="s">
        <v>10475</v>
      </c>
      <c r="C2764" t="s">
        <v>2102</v>
      </c>
      <c r="D2764" t="s">
        <v>2103</v>
      </c>
      <c r="E2764" s="183">
        <v>3.79</v>
      </c>
    </row>
    <row r="2765" spans="1:5" ht="14.25">
      <c r="A2765">
        <v>1902</v>
      </c>
      <c r="B2765" t="s">
        <v>10476</v>
      </c>
      <c r="C2765" t="s">
        <v>2102</v>
      </c>
      <c r="D2765" t="s">
        <v>2103</v>
      </c>
      <c r="E2765" s="183">
        <v>2.76</v>
      </c>
    </row>
    <row r="2766" spans="1:5" ht="14.25">
      <c r="A2766">
        <v>1901</v>
      </c>
      <c r="B2766" t="s">
        <v>10477</v>
      </c>
      <c r="C2766" t="s">
        <v>2102</v>
      </c>
      <c r="D2766" t="s">
        <v>2103</v>
      </c>
      <c r="E2766" s="183">
        <v>0.86</v>
      </c>
    </row>
    <row r="2767" spans="1:5" ht="14.25">
      <c r="A2767">
        <v>1892</v>
      </c>
      <c r="B2767" t="s">
        <v>10478</v>
      </c>
      <c r="C2767" t="s">
        <v>2102</v>
      </c>
      <c r="D2767" t="s">
        <v>2103</v>
      </c>
      <c r="E2767" s="183">
        <v>1.78</v>
      </c>
    </row>
    <row r="2768" spans="1:5" ht="14.25">
      <c r="A2768">
        <v>1907</v>
      </c>
      <c r="B2768" t="s">
        <v>10479</v>
      </c>
      <c r="C2768" t="s">
        <v>2102</v>
      </c>
      <c r="D2768" t="s">
        <v>2103</v>
      </c>
      <c r="E2768" s="183">
        <v>12.22</v>
      </c>
    </row>
    <row r="2769" spans="1:5" ht="14.25">
      <c r="A2769">
        <v>1894</v>
      </c>
      <c r="B2769" t="s">
        <v>10480</v>
      </c>
      <c r="C2769" t="s">
        <v>2102</v>
      </c>
      <c r="D2769" t="s">
        <v>2103</v>
      </c>
      <c r="E2769" s="183">
        <v>5.49</v>
      </c>
    </row>
    <row r="2770" spans="1:5" ht="14.25">
      <c r="A2770">
        <v>1891</v>
      </c>
      <c r="B2770" t="s">
        <v>10481</v>
      </c>
      <c r="C2770" t="s">
        <v>2102</v>
      </c>
      <c r="D2770" t="s">
        <v>2103</v>
      </c>
      <c r="E2770" s="183">
        <v>1.27</v>
      </c>
    </row>
    <row r="2771" spans="1:5" ht="14.25">
      <c r="A2771">
        <v>1896</v>
      </c>
      <c r="B2771" t="s">
        <v>10482</v>
      </c>
      <c r="C2771" t="s">
        <v>2102</v>
      </c>
      <c r="D2771" t="s">
        <v>2103</v>
      </c>
      <c r="E2771" s="183">
        <v>16.399999999999999</v>
      </c>
    </row>
    <row r="2772" spans="1:5" ht="14.25">
      <c r="A2772">
        <v>1895</v>
      </c>
      <c r="B2772" t="s">
        <v>10483</v>
      </c>
      <c r="C2772" t="s">
        <v>2102</v>
      </c>
      <c r="D2772" t="s">
        <v>2103</v>
      </c>
      <c r="E2772" s="183">
        <v>28.83</v>
      </c>
    </row>
    <row r="2773" spans="1:5" ht="14.25">
      <c r="A2773">
        <v>2641</v>
      </c>
      <c r="B2773" t="s">
        <v>10484</v>
      </c>
      <c r="C2773" t="s">
        <v>2102</v>
      </c>
      <c r="D2773" t="s">
        <v>2103</v>
      </c>
      <c r="E2773" s="183">
        <v>21.93</v>
      </c>
    </row>
    <row r="2774" spans="1:5" ht="14.25">
      <c r="A2774">
        <v>2636</v>
      </c>
      <c r="B2774" t="s">
        <v>10485</v>
      </c>
      <c r="C2774" t="s">
        <v>2102</v>
      </c>
      <c r="D2774" t="s">
        <v>2103</v>
      </c>
      <c r="E2774" s="183">
        <v>1.41</v>
      </c>
    </row>
    <row r="2775" spans="1:5" ht="14.25">
      <c r="A2775">
        <v>2637</v>
      </c>
      <c r="B2775" t="s">
        <v>10486</v>
      </c>
      <c r="C2775" t="s">
        <v>2102</v>
      </c>
      <c r="D2775" t="s">
        <v>2103</v>
      </c>
      <c r="E2775" s="183">
        <v>1.5</v>
      </c>
    </row>
    <row r="2776" spans="1:5" ht="14.25">
      <c r="A2776">
        <v>2638</v>
      </c>
      <c r="B2776" t="s">
        <v>10487</v>
      </c>
      <c r="C2776" t="s">
        <v>2102</v>
      </c>
      <c r="D2776" t="s">
        <v>2103</v>
      </c>
      <c r="E2776" s="183">
        <v>1.74</v>
      </c>
    </row>
    <row r="2777" spans="1:5" ht="14.25">
      <c r="A2777">
        <v>2639</v>
      </c>
      <c r="B2777" t="s">
        <v>10488</v>
      </c>
      <c r="C2777" t="s">
        <v>2102</v>
      </c>
      <c r="D2777" t="s">
        <v>2103</v>
      </c>
      <c r="E2777" s="183">
        <v>3.1</v>
      </c>
    </row>
    <row r="2778" spans="1:5" ht="14.25">
      <c r="A2778">
        <v>2644</v>
      </c>
      <c r="B2778" t="s">
        <v>10489</v>
      </c>
      <c r="C2778" t="s">
        <v>2102</v>
      </c>
      <c r="D2778" t="s">
        <v>2103</v>
      </c>
      <c r="E2778" s="183">
        <v>4.4800000000000004</v>
      </c>
    </row>
    <row r="2779" spans="1:5" ht="14.25">
      <c r="A2779">
        <v>2643</v>
      </c>
      <c r="B2779" t="s">
        <v>10490</v>
      </c>
      <c r="C2779" t="s">
        <v>2102</v>
      </c>
      <c r="D2779" t="s">
        <v>2103</v>
      </c>
      <c r="E2779" s="183">
        <v>6.25</v>
      </c>
    </row>
    <row r="2780" spans="1:5" ht="14.25">
      <c r="A2780">
        <v>2640</v>
      </c>
      <c r="B2780" t="s">
        <v>10491</v>
      </c>
      <c r="C2780" t="s">
        <v>2102</v>
      </c>
      <c r="D2780" t="s">
        <v>2103</v>
      </c>
      <c r="E2780" s="183">
        <v>9.1300000000000008</v>
      </c>
    </row>
    <row r="2781" spans="1:5" ht="14.25">
      <c r="A2781">
        <v>2642</v>
      </c>
      <c r="B2781" t="s">
        <v>10492</v>
      </c>
      <c r="C2781" t="s">
        <v>2102</v>
      </c>
      <c r="D2781" t="s">
        <v>2103</v>
      </c>
      <c r="E2781" s="183">
        <v>13.89</v>
      </c>
    </row>
    <row r="2782" spans="1:5" ht="14.25">
      <c r="A2782">
        <v>39855</v>
      </c>
      <c r="B2782" t="s">
        <v>10493</v>
      </c>
      <c r="C2782" t="s">
        <v>2102</v>
      </c>
      <c r="D2782" t="s">
        <v>2105</v>
      </c>
      <c r="E2782" s="183">
        <v>2.73</v>
      </c>
    </row>
    <row r="2783" spans="1:5" ht="14.25">
      <c r="A2783">
        <v>39856</v>
      </c>
      <c r="B2783" t="s">
        <v>10494</v>
      </c>
      <c r="C2783" t="s">
        <v>2102</v>
      </c>
      <c r="D2783" t="s">
        <v>2105</v>
      </c>
      <c r="E2783" s="183">
        <v>6.45</v>
      </c>
    </row>
    <row r="2784" spans="1:5" ht="14.25">
      <c r="A2784">
        <v>39857</v>
      </c>
      <c r="B2784" t="s">
        <v>10495</v>
      </c>
      <c r="C2784" t="s">
        <v>2102</v>
      </c>
      <c r="D2784" t="s">
        <v>2105</v>
      </c>
      <c r="E2784" s="183">
        <v>10.44</v>
      </c>
    </row>
    <row r="2785" spans="1:5" ht="14.25">
      <c r="A2785">
        <v>39858</v>
      </c>
      <c r="B2785" t="s">
        <v>10496</v>
      </c>
      <c r="C2785" t="s">
        <v>2102</v>
      </c>
      <c r="D2785" t="s">
        <v>2105</v>
      </c>
      <c r="E2785" s="183">
        <v>23.16</v>
      </c>
    </row>
    <row r="2786" spans="1:5" ht="14.25">
      <c r="A2786">
        <v>39859</v>
      </c>
      <c r="B2786" t="s">
        <v>10497</v>
      </c>
      <c r="C2786" t="s">
        <v>2102</v>
      </c>
      <c r="D2786" t="s">
        <v>2105</v>
      </c>
      <c r="E2786" s="183">
        <v>35.71</v>
      </c>
    </row>
    <row r="2787" spans="1:5" ht="14.25">
      <c r="A2787">
        <v>39860</v>
      </c>
      <c r="B2787" t="s">
        <v>10498</v>
      </c>
      <c r="C2787" t="s">
        <v>2102</v>
      </c>
      <c r="D2787" t="s">
        <v>2105</v>
      </c>
      <c r="E2787" s="183">
        <v>54.79</v>
      </c>
    </row>
    <row r="2788" spans="1:5" ht="14.25">
      <c r="A2788">
        <v>39861</v>
      </c>
      <c r="B2788" t="s">
        <v>10499</v>
      </c>
      <c r="C2788" t="s">
        <v>2102</v>
      </c>
      <c r="D2788" t="s">
        <v>2105</v>
      </c>
      <c r="E2788" s="183">
        <v>156.44999999999999</v>
      </c>
    </row>
    <row r="2789" spans="1:5" ht="14.25">
      <c r="A2789">
        <v>3867</v>
      </c>
      <c r="B2789" t="s">
        <v>10500</v>
      </c>
      <c r="C2789" t="s">
        <v>2102</v>
      </c>
      <c r="D2789" t="s">
        <v>2103</v>
      </c>
      <c r="E2789" s="183">
        <v>99.34</v>
      </c>
    </row>
    <row r="2790" spans="1:5" ht="14.25">
      <c r="A2790">
        <v>3861</v>
      </c>
      <c r="B2790" t="s">
        <v>10501</v>
      </c>
      <c r="C2790" t="s">
        <v>2102</v>
      </c>
      <c r="D2790" t="s">
        <v>2103</v>
      </c>
      <c r="E2790" s="183">
        <v>1.03</v>
      </c>
    </row>
    <row r="2791" spans="1:5" ht="14.25">
      <c r="A2791">
        <v>3904</v>
      </c>
      <c r="B2791" t="s">
        <v>10502</v>
      </c>
      <c r="C2791" t="s">
        <v>2102</v>
      </c>
      <c r="D2791" t="s">
        <v>2103</v>
      </c>
      <c r="E2791" s="183">
        <v>1.0900000000000001</v>
      </c>
    </row>
    <row r="2792" spans="1:5" ht="14.25">
      <c r="A2792">
        <v>3903</v>
      </c>
      <c r="B2792" t="s">
        <v>10503</v>
      </c>
      <c r="C2792" t="s">
        <v>2102</v>
      </c>
      <c r="D2792" t="s">
        <v>2103</v>
      </c>
      <c r="E2792" s="183">
        <v>2.67</v>
      </c>
    </row>
    <row r="2793" spans="1:5" ht="14.25">
      <c r="A2793">
        <v>3862</v>
      </c>
      <c r="B2793" t="s">
        <v>10504</v>
      </c>
      <c r="C2793" t="s">
        <v>2102</v>
      </c>
      <c r="D2793" t="s">
        <v>2103</v>
      </c>
      <c r="E2793" s="183">
        <v>5.68</v>
      </c>
    </row>
    <row r="2794" spans="1:5" ht="14.25">
      <c r="A2794">
        <v>3863</v>
      </c>
      <c r="B2794" t="s">
        <v>10505</v>
      </c>
      <c r="C2794" t="s">
        <v>2102</v>
      </c>
      <c r="D2794" t="s">
        <v>2103</v>
      </c>
      <c r="E2794" s="183">
        <v>5.82</v>
      </c>
    </row>
    <row r="2795" spans="1:5" ht="14.25">
      <c r="A2795">
        <v>3864</v>
      </c>
      <c r="B2795" t="s">
        <v>10506</v>
      </c>
      <c r="C2795" t="s">
        <v>2102</v>
      </c>
      <c r="D2795" t="s">
        <v>2103</v>
      </c>
      <c r="E2795" s="183">
        <v>17.82</v>
      </c>
    </row>
    <row r="2796" spans="1:5" ht="14.25">
      <c r="A2796">
        <v>3865</v>
      </c>
      <c r="B2796" t="s">
        <v>10507</v>
      </c>
      <c r="C2796" t="s">
        <v>2102</v>
      </c>
      <c r="D2796" t="s">
        <v>2103</v>
      </c>
      <c r="E2796" s="183">
        <v>26.06</v>
      </c>
    </row>
    <row r="2797" spans="1:5" ht="14.25">
      <c r="A2797">
        <v>3866</v>
      </c>
      <c r="B2797" t="s">
        <v>10508</v>
      </c>
      <c r="C2797" t="s">
        <v>2102</v>
      </c>
      <c r="D2797" t="s">
        <v>2103</v>
      </c>
      <c r="E2797" s="183">
        <v>58.5</v>
      </c>
    </row>
    <row r="2798" spans="1:5" ht="14.25">
      <c r="A2798">
        <v>3878</v>
      </c>
      <c r="B2798" t="s">
        <v>10509</v>
      </c>
      <c r="C2798" t="s">
        <v>2102</v>
      </c>
      <c r="D2798" t="s">
        <v>2103</v>
      </c>
      <c r="E2798" s="183">
        <v>15.95</v>
      </c>
    </row>
    <row r="2799" spans="1:5" ht="14.25">
      <c r="A2799">
        <v>3883</v>
      </c>
      <c r="B2799" t="s">
        <v>18500</v>
      </c>
      <c r="C2799" t="s">
        <v>2102</v>
      </c>
      <c r="D2799" t="s">
        <v>2103</v>
      </c>
      <c r="E2799" s="183">
        <v>2.04</v>
      </c>
    </row>
    <row r="2800" spans="1:5" ht="14.25">
      <c r="A2800">
        <v>3876</v>
      </c>
      <c r="B2800" t="s">
        <v>18501</v>
      </c>
      <c r="C2800" t="s">
        <v>2102</v>
      </c>
      <c r="D2800" t="s">
        <v>2103</v>
      </c>
      <c r="E2800" s="183">
        <v>6.35</v>
      </c>
    </row>
    <row r="2801" spans="1:5" ht="14.25">
      <c r="A2801">
        <v>3884</v>
      </c>
      <c r="B2801" t="s">
        <v>18502</v>
      </c>
      <c r="C2801" t="s">
        <v>2102</v>
      </c>
      <c r="D2801" t="s">
        <v>2103</v>
      </c>
      <c r="E2801" s="183">
        <v>3.23</v>
      </c>
    </row>
    <row r="2802" spans="1:5" ht="14.25">
      <c r="A2802">
        <v>12892</v>
      </c>
      <c r="B2802" t="s">
        <v>10510</v>
      </c>
      <c r="C2802" t="s">
        <v>2136</v>
      </c>
      <c r="D2802" t="s">
        <v>2103</v>
      </c>
      <c r="E2802" s="183">
        <v>13.62</v>
      </c>
    </row>
    <row r="2803" spans="1:5" ht="14.25">
      <c r="A2803">
        <v>38447</v>
      </c>
      <c r="B2803" t="s">
        <v>18503</v>
      </c>
      <c r="C2803" t="s">
        <v>2102</v>
      </c>
      <c r="D2803" t="s">
        <v>2105</v>
      </c>
      <c r="E2803" s="183">
        <v>81.650000000000006</v>
      </c>
    </row>
    <row r="2804" spans="1:5" ht="14.25">
      <c r="A2804">
        <v>36320</v>
      </c>
      <c r="B2804" t="s">
        <v>18504</v>
      </c>
      <c r="C2804" t="s">
        <v>2102</v>
      </c>
      <c r="D2804" t="s">
        <v>2105</v>
      </c>
      <c r="E2804" s="183">
        <v>2.19</v>
      </c>
    </row>
    <row r="2805" spans="1:5" ht="14.25">
      <c r="A2805">
        <v>36324</v>
      </c>
      <c r="B2805" t="s">
        <v>18505</v>
      </c>
      <c r="C2805" t="s">
        <v>2102</v>
      </c>
      <c r="D2805" t="s">
        <v>2105</v>
      </c>
      <c r="E2805" s="183">
        <v>2</v>
      </c>
    </row>
    <row r="2806" spans="1:5" ht="14.25">
      <c r="A2806">
        <v>38441</v>
      </c>
      <c r="B2806" t="s">
        <v>18506</v>
      </c>
      <c r="C2806" t="s">
        <v>2102</v>
      </c>
      <c r="D2806" t="s">
        <v>2105</v>
      </c>
      <c r="E2806" s="183">
        <v>3.59</v>
      </c>
    </row>
    <row r="2807" spans="1:5" ht="14.25">
      <c r="A2807">
        <v>38442</v>
      </c>
      <c r="B2807" t="s">
        <v>18507</v>
      </c>
      <c r="C2807" t="s">
        <v>2102</v>
      </c>
      <c r="D2807" t="s">
        <v>2105</v>
      </c>
      <c r="E2807" s="183">
        <v>10.199999999999999</v>
      </c>
    </row>
    <row r="2808" spans="1:5" ht="14.25">
      <c r="A2808">
        <v>38443</v>
      </c>
      <c r="B2808" t="s">
        <v>18508</v>
      </c>
      <c r="C2808" t="s">
        <v>2102</v>
      </c>
      <c r="D2808" t="s">
        <v>2105</v>
      </c>
      <c r="E2808" s="183">
        <v>12.38</v>
      </c>
    </row>
    <row r="2809" spans="1:5" ht="14.25">
      <c r="A2809">
        <v>38444</v>
      </c>
      <c r="B2809" t="s">
        <v>18509</v>
      </c>
      <c r="C2809" t="s">
        <v>2102</v>
      </c>
      <c r="D2809" t="s">
        <v>2105</v>
      </c>
      <c r="E2809" s="183">
        <v>20.79</v>
      </c>
    </row>
    <row r="2810" spans="1:5" ht="14.25">
      <c r="A2810">
        <v>38445</v>
      </c>
      <c r="B2810" t="s">
        <v>18510</v>
      </c>
      <c r="C2810" t="s">
        <v>2102</v>
      </c>
      <c r="D2810" t="s">
        <v>2105</v>
      </c>
      <c r="E2810" s="183">
        <v>38.54</v>
      </c>
    </row>
    <row r="2811" spans="1:5" ht="14.25">
      <c r="A2811">
        <v>38446</v>
      </c>
      <c r="B2811" t="s">
        <v>18511</v>
      </c>
      <c r="C2811" t="s">
        <v>2102</v>
      </c>
      <c r="D2811" t="s">
        <v>2105</v>
      </c>
      <c r="E2811" s="183">
        <v>63.08</v>
      </c>
    </row>
    <row r="2812" spans="1:5" ht="14.25">
      <c r="A2812">
        <v>3837</v>
      </c>
      <c r="B2812" t="s">
        <v>10511</v>
      </c>
      <c r="C2812" t="s">
        <v>2102</v>
      </c>
      <c r="D2812" t="s">
        <v>2105</v>
      </c>
      <c r="E2812" s="183">
        <v>38.049999999999997</v>
      </c>
    </row>
    <row r="2813" spans="1:5" ht="14.25">
      <c r="A2813">
        <v>3845</v>
      </c>
      <c r="B2813" t="s">
        <v>10512</v>
      </c>
      <c r="C2813" t="s">
        <v>2102</v>
      </c>
      <c r="D2813" t="s">
        <v>2105</v>
      </c>
      <c r="E2813" s="183">
        <v>13.9</v>
      </c>
    </row>
    <row r="2814" spans="1:5" ht="14.25">
      <c r="A2814">
        <v>11045</v>
      </c>
      <c r="B2814" t="s">
        <v>10513</v>
      </c>
      <c r="C2814" t="s">
        <v>2102</v>
      </c>
      <c r="D2814" t="s">
        <v>2105</v>
      </c>
      <c r="E2814" s="183">
        <v>26.82</v>
      </c>
    </row>
    <row r="2815" spans="1:5" ht="14.25">
      <c r="A2815">
        <v>20170</v>
      </c>
      <c r="B2815" t="s">
        <v>18512</v>
      </c>
      <c r="C2815" t="s">
        <v>2102</v>
      </c>
      <c r="D2815" t="s">
        <v>2103</v>
      </c>
      <c r="E2815" s="183">
        <v>16.7</v>
      </c>
    </row>
    <row r="2816" spans="1:5" ht="14.25">
      <c r="A2816">
        <v>20171</v>
      </c>
      <c r="B2816" t="s">
        <v>18513</v>
      </c>
      <c r="C2816" t="s">
        <v>2102</v>
      </c>
      <c r="D2816" t="s">
        <v>2103</v>
      </c>
      <c r="E2816" s="183">
        <v>48.17</v>
      </c>
    </row>
    <row r="2817" spans="1:5" ht="14.25">
      <c r="A2817">
        <v>20167</v>
      </c>
      <c r="B2817" t="s">
        <v>18514</v>
      </c>
      <c r="C2817" t="s">
        <v>2102</v>
      </c>
      <c r="D2817" t="s">
        <v>2103</v>
      </c>
      <c r="E2817" s="183">
        <v>6.06</v>
      </c>
    </row>
    <row r="2818" spans="1:5" ht="14.25">
      <c r="A2818">
        <v>20168</v>
      </c>
      <c r="B2818" t="s">
        <v>18515</v>
      </c>
      <c r="C2818" t="s">
        <v>2102</v>
      </c>
      <c r="D2818" t="s">
        <v>2103</v>
      </c>
      <c r="E2818" s="183">
        <v>12.46</v>
      </c>
    </row>
    <row r="2819" spans="1:5" ht="14.25">
      <c r="A2819">
        <v>20169</v>
      </c>
      <c r="B2819" t="s">
        <v>18516</v>
      </c>
      <c r="C2819" t="s">
        <v>2102</v>
      </c>
      <c r="D2819" t="s">
        <v>2103</v>
      </c>
      <c r="E2819" s="183">
        <v>14.55</v>
      </c>
    </row>
    <row r="2820" spans="1:5" ht="14.25">
      <c r="A2820">
        <v>3899</v>
      </c>
      <c r="B2820" t="s">
        <v>10514</v>
      </c>
      <c r="C2820" t="s">
        <v>2102</v>
      </c>
      <c r="D2820" t="s">
        <v>2103</v>
      </c>
      <c r="E2820" s="183">
        <v>8.07</v>
      </c>
    </row>
    <row r="2821" spans="1:5" ht="14.25">
      <c r="A2821">
        <v>38676</v>
      </c>
      <c r="B2821" t="s">
        <v>10515</v>
      </c>
      <c r="C2821" t="s">
        <v>2102</v>
      </c>
      <c r="D2821" t="s">
        <v>2103</v>
      </c>
      <c r="E2821" s="183">
        <v>40.36</v>
      </c>
    </row>
    <row r="2822" spans="1:5" ht="14.25">
      <c r="A2822">
        <v>3897</v>
      </c>
      <c r="B2822" t="s">
        <v>10516</v>
      </c>
      <c r="C2822" t="s">
        <v>2102</v>
      </c>
      <c r="D2822" t="s">
        <v>2103</v>
      </c>
      <c r="E2822" s="183">
        <v>1.97</v>
      </c>
    </row>
    <row r="2823" spans="1:5" ht="14.25">
      <c r="A2823">
        <v>3875</v>
      </c>
      <c r="B2823" t="s">
        <v>10517</v>
      </c>
      <c r="C2823" t="s">
        <v>2102</v>
      </c>
      <c r="D2823" t="s">
        <v>2103</v>
      </c>
      <c r="E2823" s="183">
        <v>4.07</v>
      </c>
    </row>
    <row r="2824" spans="1:5" ht="14.25">
      <c r="A2824">
        <v>3898</v>
      </c>
      <c r="B2824" t="s">
        <v>10518</v>
      </c>
      <c r="C2824" t="s">
        <v>2102</v>
      </c>
      <c r="D2824" t="s">
        <v>2103</v>
      </c>
      <c r="E2824" s="183">
        <v>8.26</v>
      </c>
    </row>
    <row r="2825" spans="1:5" ht="14.25">
      <c r="A2825">
        <v>3855</v>
      </c>
      <c r="B2825" t="s">
        <v>10519</v>
      </c>
      <c r="C2825" t="s">
        <v>2102</v>
      </c>
      <c r="D2825" t="s">
        <v>2103</v>
      </c>
      <c r="E2825" s="183">
        <v>6.89</v>
      </c>
    </row>
    <row r="2826" spans="1:5" ht="14.25">
      <c r="A2826">
        <v>3874</v>
      </c>
      <c r="B2826" t="s">
        <v>10520</v>
      </c>
      <c r="C2826" t="s">
        <v>2102</v>
      </c>
      <c r="D2826" t="s">
        <v>2103</v>
      </c>
      <c r="E2826" s="183">
        <v>7.98</v>
      </c>
    </row>
    <row r="2827" spans="1:5" ht="14.25">
      <c r="A2827">
        <v>3870</v>
      </c>
      <c r="B2827" t="s">
        <v>10521</v>
      </c>
      <c r="C2827" t="s">
        <v>2102</v>
      </c>
      <c r="D2827" t="s">
        <v>2103</v>
      </c>
      <c r="E2827" s="183">
        <v>8.76</v>
      </c>
    </row>
    <row r="2828" spans="1:5" ht="14.25">
      <c r="A2828">
        <v>38678</v>
      </c>
      <c r="B2828" t="s">
        <v>10522</v>
      </c>
      <c r="C2828" t="s">
        <v>2102</v>
      </c>
      <c r="D2828" t="s">
        <v>2103</v>
      </c>
      <c r="E2828" s="183">
        <v>23.18</v>
      </c>
    </row>
    <row r="2829" spans="1:5" ht="14.25">
      <c r="A2829">
        <v>3859</v>
      </c>
      <c r="B2829" t="s">
        <v>10523</v>
      </c>
      <c r="C2829" t="s">
        <v>2102</v>
      </c>
      <c r="D2829" t="s">
        <v>2103</v>
      </c>
      <c r="E2829" s="183">
        <v>1.77</v>
      </c>
    </row>
    <row r="2830" spans="1:5" ht="14.25">
      <c r="A2830">
        <v>3856</v>
      </c>
      <c r="B2830" t="s">
        <v>10524</v>
      </c>
      <c r="C2830" t="s">
        <v>2102</v>
      </c>
      <c r="D2830" t="s">
        <v>2103</v>
      </c>
      <c r="E2830" s="183">
        <v>2.4500000000000002</v>
      </c>
    </row>
    <row r="2831" spans="1:5" ht="14.25">
      <c r="A2831">
        <v>3906</v>
      </c>
      <c r="B2831" t="s">
        <v>10525</v>
      </c>
      <c r="C2831" t="s">
        <v>2102</v>
      </c>
      <c r="D2831" t="s">
        <v>2103</v>
      </c>
      <c r="E2831" s="183">
        <v>2.02</v>
      </c>
    </row>
    <row r="2832" spans="1:5" ht="14.25">
      <c r="A2832">
        <v>3860</v>
      </c>
      <c r="B2832" t="s">
        <v>10526</v>
      </c>
      <c r="C2832" t="s">
        <v>2102</v>
      </c>
      <c r="D2832" t="s">
        <v>2103</v>
      </c>
      <c r="E2832" s="183">
        <v>6.01</v>
      </c>
    </row>
    <row r="2833" spans="1:5" ht="14.25">
      <c r="A2833">
        <v>3905</v>
      </c>
      <c r="B2833" t="s">
        <v>10527</v>
      </c>
      <c r="C2833" t="s">
        <v>2102</v>
      </c>
      <c r="D2833" t="s">
        <v>2103</v>
      </c>
      <c r="E2833" s="183">
        <v>13.77</v>
      </c>
    </row>
    <row r="2834" spans="1:5" ht="14.25">
      <c r="A2834">
        <v>3871</v>
      </c>
      <c r="B2834" t="s">
        <v>10528</v>
      </c>
      <c r="C2834" t="s">
        <v>2102</v>
      </c>
      <c r="D2834" t="s">
        <v>2103</v>
      </c>
      <c r="E2834" s="183">
        <v>24.37</v>
      </c>
    </row>
    <row r="2835" spans="1:5" ht="14.25">
      <c r="A2835">
        <v>39292</v>
      </c>
      <c r="B2835" t="s">
        <v>18517</v>
      </c>
      <c r="C2835" t="s">
        <v>2102</v>
      </c>
      <c r="D2835" t="s">
        <v>2105</v>
      </c>
      <c r="E2835" s="183">
        <v>7.58</v>
      </c>
    </row>
    <row r="2836" spans="1:5" ht="14.25">
      <c r="A2836">
        <v>39293</v>
      </c>
      <c r="B2836" t="s">
        <v>18518</v>
      </c>
      <c r="C2836" t="s">
        <v>2102</v>
      </c>
      <c r="D2836" t="s">
        <v>2105</v>
      </c>
      <c r="E2836" s="183">
        <v>11.78</v>
      </c>
    </row>
    <row r="2837" spans="1:5" ht="14.25">
      <c r="A2837">
        <v>39294</v>
      </c>
      <c r="B2837" t="s">
        <v>18519</v>
      </c>
      <c r="C2837" t="s">
        <v>2102</v>
      </c>
      <c r="D2837" t="s">
        <v>2105</v>
      </c>
      <c r="E2837" s="183">
        <v>12.59</v>
      </c>
    </row>
    <row r="2838" spans="1:5" ht="14.25">
      <c r="A2838">
        <v>39295</v>
      </c>
      <c r="B2838" t="s">
        <v>18520</v>
      </c>
      <c r="C2838" t="s">
        <v>2102</v>
      </c>
      <c r="D2838" t="s">
        <v>2105</v>
      </c>
      <c r="E2838" s="183">
        <v>17.32</v>
      </c>
    </row>
    <row r="2839" spans="1:5" ht="14.25">
      <c r="A2839">
        <v>39312</v>
      </c>
      <c r="B2839" t="s">
        <v>18521</v>
      </c>
      <c r="C2839" t="s">
        <v>2102</v>
      </c>
      <c r="D2839" t="s">
        <v>2105</v>
      </c>
      <c r="E2839" s="183">
        <v>11.62</v>
      </c>
    </row>
    <row r="2840" spans="1:5" ht="14.25">
      <c r="A2840">
        <v>39313</v>
      </c>
      <c r="B2840" t="s">
        <v>18522</v>
      </c>
      <c r="C2840" t="s">
        <v>2102</v>
      </c>
      <c r="D2840" t="s">
        <v>2105</v>
      </c>
      <c r="E2840" s="183">
        <v>15.61</v>
      </c>
    </row>
    <row r="2841" spans="1:5" ht="14.25">
      <c r="A2841">
        <v>39314</v>
      </c>
      <c r="B2841" t="s">
        <v>18523</v>
      </c>
      <c r="C2841" t="s">
        <v>2102</v>
      </c>
      <c r="D2841" t="s">
        <v>2105</v>
      </c>
      <c r="E2841" s="183">
        <v>22.97</v>
      </c>
    </row>
    <row r="2842" spans="1:5" ht="14.25">
      <c r="A2842">
        <v>39296</v>
      </c>
      <c r="B2842" t="s">
        <v>18524</v>
      </c>
      <c r="C2842" t="s">
        <v>2102</v>
      </c>
      <c r="D2842" t="s">
        <v>2105</v>
      </c>
      <c r="E2842" s="183">
        <v>6.91</v>
      </c>
    </row>
    <row r="2843" spans="1:5" ht="14.25">
      <c r="A2843">
        <v>39297</v>
      </c>
      <c r="B2843" t="s">
        <v>18525</v>
      </c>
      <c r="C2843" t="s">
        <v>2102</v>
      </c>
      <c r="D2843" t="s">
        <v>2105</v>
      </c>
      <c r="E2843" s="183">
        <v>9.3699999999999992</v>
      </c>
    </row>
    <row r="2844" spans="1:5" ht="14.25">
      <c r="A2844">
        <v>39298</v>
      </c>
      <c r="B2844" t="s">
        <v>18526</v>
      </c>
      <c r="C2844" t="s">
        <v>2102</v>
      </c>
      <c r="D2844" t="s">
        <v>2105</v>
      </c>
      <c r="E2844" s="183">
        <v>17.989999999999998</v>
      </c>
    </row>
    <row r="2845" spans="1:5" ht="14.25">
      <c r="A2845">
        <v>39299</v>
      </c>
      <c r="B2845" t="s">
        <v>18527</v>
      </c>
      <c r="C2845" t="s">
        <v>2102</v>
      </c>
      <c r="D2845" t="s">
        <v>2105</v>
      </c>
      <c r="E2845" s="183">
        <v>21.32</v>
      </c>
    </row>
    <row r="2846" spans="1:5" ht="14.25">
      <c r="A2846">
        <v>39308</v>
      </c>
      <c r="B2846" t="s">
        <v>18528</v>
      </c>
      <c r="C2846" t="s">
        <v>2102</v>
      </c>
      <c r="D2846" t="s">
        <v>2105</v>
      </c>
      <c r="E2846" s="183">
        <v>5.76</v>
      </c>
    </row>
    <row r="2847" spans="1:5" ht="14.25">
      <c r="A2847">
        <v>39309</v>
      </c>
      <c r="B2847" t="s">
        <v>18529</v>
      </c>
      <c r="C2847" t="s">
        <v>2102</v>
      </c>
      <c r="D2847" t="s">
        <v>2105</v>
      </c>
      <c r="E2847" s="183">
        <v>6.57</v>
      </c>
    </row>
    <row r="2848" spans="1:5" ht="14.25">
      <c r="A2848">
        <v>39310</v>
      </c>
      <c r="B2848" t="s">
        <v>18530</v>
      </c>
      <c r="C2848" t="s">
        <v>2102</v>
      </c>
      <c r="D2848" t="s">
        <v>2105</v>
      </c>
      <c r="E2848" s="183">
        <v>12.27</v>
      </c>
    </row>
    <row r="2849" spans="1:5" ht="14.25">
      <c r="A2849">
        <v>39311</v>
      </c>
      <c r="B2849" t="s">
        <v>18531</v>
      </c>
      <c r="C2849" t="s">
        <v>2102</v>
      </c>
      <c r="D2849" t="s">
        <v>2105</v>
      </c>
      <c r="E2849" s="183">
        <v>17.37</v>
      </c>
    </row>
    <row r="2850" spans="1:5" ht="14.25">
      <c r="A2850">
        <v>37429</v>
      </c>
      <c r="B2850" t="s">
        <v>10529</v>
      </c>
      <c r="C2850" t="s">
        <v>2102</v>
      </c>
      <c r="D2850" t="s">
        <v>2105</v>
      </c>
      <c r="E2850" s="184">
        <v>2665.96</v>
      </c>
    </row>
    <row r="2851" spans="1:5" ht="14.25">
      <c r="A2851">
        <v>37426</v>
      </c>
      <c r="B2851" t="s">
        <v>10530</v>
      </c>
      <c r="C2851" t="s">
        <v>2102</v>
      </c>
      <c r="D2851" t="s">
        <v>2105</v>
      </c>
      <c r="E2851" s="183">
        <v>25.64</v>
      </c>
    </row>
    <row r="2852" spans="1:5" ht="14.25">
      <c r="A2852">
        <v>37427</v>
      </c>
      <c r="B2852" t="s">
        <v>10531</v>
      </c>
      <c r="C2852" t="s">
        <v>2102</v>
      </c>
      <c r="D2852" t="s">
        <v>2105</v>
      </c>
      <c r="E2852" s="183">
        <v>61.17</v>
      </c>
    </row>
    <row r="2853" spans="1:5" ht="14.25">
      <c r="A2853">
        <v>37424</v>
      </c>
      <c r="B2853" t="s">
        <v>10532</v>
      </c>
      <c r="C2853" t="s">
        <v>2102</v>
      </c>
      <c r="D2853" t="s">
        <v>2105</v>
      </c>
      <c r="E2853" s="183">
        <v>11.78</v>
      </c>
    </row>
    <row r="2854" spans="1:5" ht="14.25">
      <c r="A2854">
        <v>37428</v>
      </c>
      <c r="B2854" t="s">
        <v>10533</v>
      </c>
      <c r="C2854" t="s">
        <v>2102</v>
      </c>
      <c r="D2854" t="s">
        <v>2105</v>
      </c>
      <c r="E2854" s="183">
        <v>210.82</v>
      </c>
    </row>
    <row r="2855" spans="1:5" ht="14.25">
      <c r="A2855">
        <v>37425</v>
      </c>
      <c r="B2855" t="s">
        <v>10534</v>
      </c>
      <c r="C2855" t="s">
        <v>2102</v>
      </c>
      <c r="D2855" t="s">
        <v>2105</v>
      </c>
      <c r="E2855" s="183">
        <v>12.7</v>
      </c>
    </row>
    <row r="2856" spans="1:5" ht="14.25">
      <c r="A2856">
        <v>11519</v>
      </c>
      <c r="B2856" t="s">
        <v>10535</v>
      </c>
      <c r="C2856" t="s">
        <v>2136</v>
      </c>
      <c r="D2856" t="s">
        <v>2103</v>
      </c>
      <c r="E2856" s="183">
        <v>48.23</v>
      </c>
    </row>
    <row r="2857" spans="1:5" ht="14.25">
      <c r="A2857">
        <v>11520</v>
      </c>
      <c r="B2857" t="s">
        <v>10536</v>
      </c>
      <c r="C2857" t="s">
        <v>2136</v>
      </c>
      <c r="D2857" t="s">
        <v>2103</v>
      </c>
      <c r="E2857" s="183">
        <v>22.3</v>
      </c>
    </row>
    <row r="2858" spans="1:5" ht="14.25">
      <c r="A2858">
        <v>11518</v>
      </c>
      <c r="B2858" t="s">
        <v>10537</v>
      </c>
      <c r="C2858" t="s">
        <v>2136</v>
      </c>
      <c r="D2858" t="s">
        <v>2103</v>
      </c>
      <c r="E2858" s="183">
        <v>81.08</v>
      </c>
    </row>
    <row r="2859" spans="1:5" ht="14.25">
      <c r="A2859">
        <v>38473</v>
      </c>
      <c r="B2859" t="s">
        <v>10538</v>
      </c>
      <c r="C2859" t="s">
        <v>2102</v>
      </c>
      <c r="D2859" t="s">
        <v>2103</v>
      </c>
      <c r="E2859" s="183">
        <v>153.55000000000001</v>
      </c>
    </row>
    <row r="2860" spans="1:5" ht="14.25">
      <c r="A2860">
        <v>4244</v>
      </c>
      <c r="B2860" t="s">
        <v>15260</v>
      </c>
      <c r="C2860" t="s">
        <v>2106</v>
      </c>
      <c r="D2860" t="s">
        <v>2103</v>
      </c>
      <c r="E2860" s="183">
        <v>22</v>
      </c>
    </row>
    <row r="2861" spans="1:5" ht="14.25">
      <c r="A2861">
        <v>40977</v>
      </c>
      <c r="B2861" t="s">
        <v>10539</v>
      </c>
      <c r="C2861" t="s">
        <v>2123</v>
      </c>
      <c r="D2861" t="s">
        <v>2103</v>
      </c>
      <c r="E2861" s="184">
        <v>3860.78</v>
      </c>
    </row>
    <row r="2862" spans="1:5" ht="14.25">
      <c r="A2862">
        <v>4115</v>
      </c>
      <c r="B2862" t="s">
        <v>10540</v>
      </c>
      <c r="C2862" t="s">
        <v>2109</v>
      </c>
      <c r="D2862" t="s">
        <v>2105</v>
      </c>
      <c r="E2862" s="183">
        <v>24.55</v>
      </c>
    </row>
    <row r="2863" spans="1:5" ht="14.25">
      <c r="A2863">
        <v>4119</v>
      </c>
      <c r="B2863" t="s">
        <v>10541</v>
      </c>
      <c r="C2863" t="s">
        <v>2109</v>
      </c>
      <c r="D2863" t="s">
        <v>2105</v>
      </c>
      <c r="E2863" s="183">
        <v>49.58</v>
      </c>
    </row>
    <row r="2864" spans="1:5" ht="14.25">
      <c r="A2864">
        <v>2794</v>
      </c>
      <c r="B2864" t="s">
        <v>10542</v>
      </c>
      <c r="C2864" t="s">
        <v>2109</v>
      </c>
      <c r="D2864" t="s">
        <v>2105</v>
      </c>
      <c r="E2864" s="183">
        <v>131.52000000000001</v>
      </c>
    </row>
    <row r="2865" spans="1:5" ht="14.25">
      <c r="A2865">
        <v>2788</v>
      </c>
      <c r="B2865" t="s">
        <v>10543</v>
      </c>
      <c r="C2865" t="s">
        <v>2109</v>
      </c>
      <c r="D2865" t="s">
        <v>2105</v>
      </c>
      <c r="E2865" s="183">
        <v>191.6</v>
      </c>
    </row>
    <row r="2866" spans="1:5" ht="14.25">
      <c r="A2866">
        <v>4006</v>
      </c>
      <c r="B2866" t="s">
        <v>10544</v>
      </c>
      <c r="C2866" t="s">
        <v>2122</v>
      </c>
      <c r="D2866" t="s">
        <v>2103</v>
      </c>
      <c r="E2866" s="184">
        <v>1805.36</v>
      </c>
    </row>
    <row r="2867" spans="1:5" ht="14.25">
      <c r="A2867">
        <v>36151</v>
      </c>
      <c r="B2867" t="s">
        <v>10545</v>
      </c>
      <c r="C2867" t="s">
        <v>2102</v>
      </c>
      <c r="D2867" t="s">
        <v>2103</v>
      </c>
      <c r="E2867" s="183">
        <v>30.28</v>
      </c>
    </row>
    <row r="2868" spans="1:5" ht="14.25">
      <c r="A2868">
        <v>37457</v>
      </c>
      <c r="B2868" t="s">
        <v>10546</v>
      </c>
      <c r="C2868" t="s">
        <v>2109</v>
      </c>
      <c r="D2868" t="s">
        <v>2103</v>
      </c>
      <c r="E2868" s="183">
        <v>4.2</v>
      </c>
    </row>
    <row r="2869" spans="1:5" ht="14.25">
      <c r="A2869">
        <v>37456</v>
      </c>
      <c r="B2869" t="s">
        <v>10547</v>
      </c>
      <c r="C2869" t="s">
        <v>2109</v>
      </c>
      <c r="D2869" t="s">
        <v>2103</v>
      </c>
      <c r="E2869" s="183">
        <v>2.2200000000000002</v>
      </c>
    </row>
    <row r="2870" spans="1:5" ht="14.25">
      <c r="A2870">
        <v>37461</v>
      </c>
      <c r="B2870" t="s">
        <v>10548</v>
      </c>
      <c r="C2870" t="s">
        <v>2109</v>
      </c>
      <c r="D2870" t="s">
        <v>2103</v>
      </c>
      <c r="E2870" s="183">
        <v>15.61</v>
      </c>
    </row>
    <row r="2871" spans="1:5" ht="14.25">
      <c r="A2871">
        <v>37460</v>
      </c>
      <c r="B2871" t="s">
        <v>10549</v>
      </c>
      <c r="C2871" t="s">
        <v>2109</v>
      </c>
      <c r="D2871" t="s">
        <v>2103</v>
      </c>
      <c r="E2871" s="183">
        <v>21.32</v>
      </c>
    </row>
    <row r="2872" spans="1:5" ht="14.25">
      <c r="A2872">
        <v>37458</v>
      </c>
      <c r="B2872" t="s">
        <v>10550</v>
      </c>
      <c r="C2872" t="s">
        <v>2109</v>
      </c>
      <c r="D2872" t="s">
        <v>2107</v>
      </c>
      <c r="E2872" s="183">
        <v>6.25</v>
      </c>
    </row>
    <row r="2873" spans="1:5" ht="14.25">
      <c r="A2873">
        <v>37454</v>
      </c>
      <c r="B2873" t="s">
        <v>10551</v>
      </c>
      <c r="C2873" t="s">
        <v>2109</v>
      </c>
      <c r="D2873" t="s">
        <v>2103</v>
      </c>
      <c r="E2873" s="183">
        <v>1.64</v>
      </c>
    </row>
    <row r="2874" spans="1:5" ht="14.25">
      <c r="A2874">
        <v>37455</v>
      </c>
      <c r="B2874" t="s">
        <v>10552</v>
      </c>
      <c r="C2874" t="s">
        <v>2109</v>
      </c>
      <c r="D2874" t="s">
        <v>2103</v>
      </c>
      <c r="E2874" s="183">
        <v>2.76</v>
      </c>
    </row>
    <row r="2875" spans="1:5" ht="14.25">
      <c r="A2875">
        <v>37459</v>
      </c>
      <c r="B2875" t="s">
        <v>10553</v>
      </c>
      <c r="C2875" t="s">
        <v>2109</v>
      </c>
      <c r="D2875" t="s">
        <v>2103</v>
      </c>
      <c r="E2875" s="183">
        <v>8.77</v>
      </c>
    </row>
    <row r="2876" spans="1:5" ht="14.25">
      <c r="A2876">
        <v>21029</v>
      </c>
      <c r="B2876" t="s">
        <v>10554</v>
      </c>
      <c r="C2876" t="s">
        <v>2102</v>
      </c>
      <c r="D2876" t="s">
        <v>2107</v>
      </c>
      <c r="E2876" s="183">
        <v>380.07</v>
      </c>
    </row>
    <row r="2877" spans="1:5" ht="14.25">
      <c r="A2877">
        <v>21030</v>
      </c>
      <c r="B2877" t="s">
        <v>10555</v>
      </c>
      <c r="C2877" t="s">
        <v>2102</v>
      </c>
      <c r="D2877" t="s">
        <v>2103</v>
      </c>
      <c r="E2877" s="183">
        <v>468.5</v>
      </c>
    </row>
    <row r="2878" spans="1:5" ht="14.25">
      <c r="A2878">
        <v>21031</v>
      </c>
      <c r="B2878" t="s">
        <v>10556</v>
      </c>
      <c r="C2878" t="s">
        <v>2102</v>
      </c>
      <c r="D2878" t="s">
        <v>2103</v>
      </c>
      <c r="E2878" s="183">
        <v>583.27</v>
      </c>
    </row>
    <row r="2879" spans="1:5" ht="14.25">
      <c r="A2879">
        <v>21032</v>
      </c>
      <c r="B2879" t="s">
        <v>10557</v>
      </c>
      <c r="C2879" t="s">
        <v>2102</v>
      </c>
      <c r="D2879" t="s">
        <v>2103</v>
      </c>
      <c r="E2879" s="183">
        <v>622.78</v>
      </c>
    </row>
    <row r="2880" spans="1:5" ht="14.25">
      <c r="A2880">
        <v>37527</v>
      </c>
      <c r="B2880" t="s">
        <v>10558</v>
      </c>
      <c r="C2880" t="s">
        <v>2102</v>
      </c>
      <c r="D2880" t="s">
        <v>2103</v>
      </c>
      <c r="E2880" s="183">
        <v>562.57000000000005</v>
      </c>
    </row>
    <row r="2881" spans="1:5" ht="14.25">
      <c r="A2881">
        <v>37528</v>
      </c>
      <c r="B2881" t="s">
        <v>10559</v>
      </c>
      <c r="C2881" t="s">
        <v>2102</v>
      </c>
      <c r="D2881" t="s">
        <v>2103</v>
      </c>
      <c r="E2881" s="183">
        <v>670.76</v>
      </c>
    </row>
    <row r="2882" spans="1:5" ht="14.25">
      <c r="A2882">
        <v>37529</v>
      </c>
      <c r="B2882" t="s">
        <v>10560</v>
      </c>
      <c r="C2882" t="s">
        <v>2102</v>
      </c>
      <c r="D2882" t="s">
        <v>2103</v>
      </c>
      <c r="E2882" s="183">
        <v>677.35</v>
      </c>
    </row>
    <row r="2883" spans="1:5" ht="14.25">
      <c r="A2883">
        <v>37530</v>
      </c>
      <c r="B2883" t="s">
        <v>10561</v>
      </c>
      <c r="C2883" t="s">
        <v>2102</v>
      </c>
      <c r="D2883" t="s">
        <v>2103</v>
      </c>
      <c r="E2883" s="183">
        <v>884.32</v>
      </c>
    </row>
    <row r="2884" spans="1:5" ht="14.25">
      <c r="A2884">
        <v>21034</v>
      </c>
      <c r="B2884" t="s">
        <v>10562</v>
      </c>
      <c r="C2884" t="s">
        <v>2102</v>
      </c>
      <c r="D2884" t="s">
        <v>2103</v>
      </c>
      <c r="E2884" s="183">
        <v>754.49</v>
      </c>
    </row>
    <row r="2885" spans="1:5" ht="14.25">
      <c r="A2885">
        <v>37531</v>
      </c>
      <c r="B2885" t="s">
        <v>10563</v>
      </c>
      <c r="C2885" t="s">
        <v>2102</v>
      </c>
      <c r="D2885" t="s">
        <v>2103</v>
      </c>
      <c r="E2885" s="183">
        <v>950.17</v>
      </c>
    </row>
    <row r="2886" spans="1:5" ht="14.25">
      <c r="A2886">
        <v>21036</v>
      </c>
      <c r="B2886" t="s">
        <v>10564</v>
      </c>
      <c r="C2886" t="s">
        <v>2102</v>
      </c>
      <c r="D2886" t="s">
        <v>2103</v>
      </c>
      <c r="E2886" s="184">
        <v>1155.26</v>
      </c>
    </row>
    <row r="2887" spans="1:5" ht="14.25">
      <c r="A2887">
        <v>21037</v>
      </c>
      <c r="B2887" t="s">
        <v>10565</v>
      </c>
      <c r="C2887" t="s">
        <v>2102</v>
      </c>
      <c r="D2887" t="s">
        <v>2103</v>
      </c>
      <c r="E2887" s="184">
        <v>1317.07</v>
      </c>
    </row>
    <row r="2888" spans="1:5" ht="14.25">
      <c r="A2888">
        <v>20185</v>
      </c>
      <c r="B2888" t="s">
        <v>10566</v>
      </c>
      <c r="C2888" t="s">
        <v>2109</v>
      </c>
      <c r="D2888" t="s">
        <v>2103</v>
      </c>
      <c r="E2888" s="183">
        <v>25.39</v>
      </c>
    </row>
    <row r="2889" spans="1:5" ht="14.25">
      <c r="A2889">
        <v>20260</v>
      </c>
      <c r="B2889" t="s">
        <v>10567</v>
      </c>
      <c r="C2889" t="s">
        <v>2102</v>
      </c>
      <c r="D2889" t="s">
        <v>2103</v>
      </c>
      <c r="E2889" s="183">
        <v>20.41</v>
      </c>
    </row>
    <row r="2890" spans="1:5" ht="14.25">
      <c r="A2890">
        <v>37523</v>
      </c>
      <c r="B2890" t="s">
        <v>10568</v>
      </c>
      <c r="C2890" t="s">
        <v>2102</v>
      </c>
      <c r="D2890" t="s">
        <v>2105</v>
      </c>
      <c r="E2890" s="184">
        <v>579269.27</v>
      </c>
    </row>
    <row r="2891" spans="1:5" ht="14.25">
      <c r="A2891">
        <v>37515</v>
      </c>
      <c r="B2891" t="s">
        <v>10569</v>
      </c>
      <c r="C2891" t="s">
        <v>2102</v>
      </c>
      <c r="D2891" t="s">
        <v>2105</v>
      </c>
      <c r="E2891" s="184">
        <v>515000</v>
      </c>
    </row>
    <row r="2892" spans="1:5" ht="14.25">
      <c r="A2892">
        <v>12899</v>
      </c>
      <c r="B2892" t="s">
        <v>10570</v>
      </c>
      <c r="C2892" t="s">
        <v>2102</v>
      </c>
      <c r="D2892" t="s">
        <v>2105</v>
      </c>
      <c r="E2892" s="183">
        <v>114.55</v>
      </c>
    </row>
    <row r="2893" spans="1:5" ht="14.25">
      <c r="A2893">
        <v>12898</v>
      </c>
      <c r="B2893" t="s">
        <v>10571</v>
      </c>
      <c r="C2893" t="s">
        <v>2102</v>
      </c>
      <c r="D2893" t="s">
        <v>2105</v>
      </c>
      <c r="E2893" s="183">
        <v>181.71</v>
      </c>
    </row>
    <row r="2894" spans="1:5" ht="14.25">
      <c r="A2894">
        <v>39699</v>
      </c>
      <c r="B2894" t="s">
        <v>18532</v>
      </c>
      <c r="C2894" t="s">
        <v>2104</v>
      </c>
      <c r="D2894" t="s">
        <v>2103</v>
      </c>
      <c r="E2894" s="183">
        <v>16.52</v>
      </c>
    </row>
    <row r="2895" spans="1:5" ht="14.25">
      <c r="A2895">
        <v>42528</v>
      </c>
      <c r="B2895" t="s">
        <v>10572</v>
      </c>
      <c r="C2895" t="s">
        <v>2104</v>
      </c>
      <c r="D2895" t="s">
        <v>2103</v>
      </c>
      <c r="E2895" s="183">
        <v>6.8</v>
      </c>
    </row>
    <row r="2896" spans="1:5" ht="14.25">
      <c r="A2896">
        <v>39696</v>
      </c>
      <c r="B2896" t="s">
        <v>10573</v>
      </c>
      <c r="C2896" t="s">
        <v>2104</v>
      </c>
      <c r="D2896" t="s">
        <v>2107</v>
      </c>
      <c r="E2896" s="183">
        <v>4.78</v>
      </c>
    </row>
    <row r="2897" spans="1:5" ht="14.25">
      <c r="A2897">
        <v>39700</v>
      </c>
      <c r="B2897" t="s">
        <v>10574</v>
      </c>
      <c r="C2897" t="s">
        <v>2104</v>
      </c>
      <c r="D2897" t="s">
        <v>2103</v>
      </c>
      <c r="E2897" s="183">
        <v>29.99</v>
      </c>
    </row>
    <row r="2898" spans="1:5" ht="14.25">
      <c r="A2898">
        <v>11621</v>
      </c>
      <c r="B2898" t="s">
        <v>10575</v>
      </c>
      <c r="C2898" t="s">
        <v>2104</v>
      </c>
      <c r="D2898" t="s">
        <v>2103</v>
      </c>
      <c r="E2898" s="183">
        <v>59.67</v>
      </c>
    </row>
    <row r="2899" spans="1:5" ht="14.25">
      <c r="A2899">
        <v>4014</v>
      </c>
      <c r="B2899" t="s">
        <v>10576</v>
      </c>
      <c r="C2899" t="s">
        <v>2104</v>
      </c>
      <c r="D2899" t="s">
        <v>2103</v>
      </c>
      <c r="E2899" s="183">
        <v>61.74</v>
      </c>
    </row>
    <row r="2900" spans="1:5" ht="14.25">
      <c r="A2900">
        <v>4015</v>
      </c>
      <c r="B2900" t="s">
        <v>10577</v>
      </c>
      <c r="C2900" t="s">
        <v>2104</v>
      </c>
      <c r="D2900" t="s">
        <v>2103</v>
      </c>
      <c r="E2900" s="183">
        <v>75.81</v>
      </c>
    </row>
    <row r="2901" spans="1:5" ht="14.25">
      <c r="A2901">
        <v>4017</v>
      </c>
      <c r="B2901" t="s">
        <v>10578</v>
      </c>
      <c r="C2901" t="s">
        <v>2104</v>
      </c>
      <c r="D2901" t="s">
        <v>2103</v>
      </c>
      <c r="E2901" s="183">
        <v>110.31</v>
      </c>
    </row>
    <row r="2902" spans="1:5" ht="14.25">
      <c r="A2902">
        <v>4016</v>
      </c>
      <c r="B2902" t="s">
        <v>10579</v>
      </c>
      <c r="C2902" t="s">
        <v>2104</v>
      </c>
      <c r="D2902" t="s">
        <v>2107</v>
      </c>
      <c r="E2902" s="183">
        <v>43.57</v>
      </c>
    </row>
    <row r="2903" spans="1:5" ht="14.25">
      <c r="A2903">
        <v>38544</v>
      </c>
      <c r="B2903" t="s">
        <v>10580</v>
      </c>
      <c r="C2903" t="s">
        <v>2104</v>
      </c>
      <c r="D2903" t="s">
        <v>2103</v>
      </c>
      <c r="E2903" s="183">
        <v>11.18</v>
      </c>
    </row>
    <row r="2904" spans="1:5" ht="14.25">
      <c r="A2904">
        <v>38545</v>
      </c>
      <c r="B2904" t="s">
        <v>10581</v>
      </c>
      <c r="C2904" t="s">
        <v>2104</v>
      </c>
      <c r="D2904" t="s">
        <v>2103</v>
      </c>
      <c r="E2904" s="183">
        <v>7.18</v>
      </c>
    </row>
    <row r="2905" spans="1:5" ht="14.25">
      <c r="A2905">
        <v>42527</v>
      </c>
      <c r="B2905" t="s">
        <v>10582</v>
      </c>
      <c r="C2905" t="s">
        <v>2104</v>
      </c>
      <c r="D2905" t="s">
        <v>2103</v>
      </c>
      <c r="E2905" s="183">
        <v>17.96</v>
      </c>
    </row>
    <row r="2906" spans="1:5" ht="14.25">
      <c r="A2906">
        <v>39323</v>
      </c>
      <c r="B2906" t="s">
        <v>10583</v>
      </c>
      <c r="C2906" t="s">
        <v>2104</v>
      </c>
      <c r="D2906" t="s">
        <v>2103</v>
      </c>
      <c r="E2906" s="183">
        <v>27.41</v>
      </c>
    </row>
    <row r="2907" spans="1:5" ht="14.25">
      <c r="A2907">
        <v>626</v>
      </c>
      <c r="B2907" t="s">
        <v>10584</v>
      </c>
      <c r="C2907" t="s">
        <v>2110</v>
      </c>
      <c r="D2907" t="s">
        <v>2107</v>
      </c>
      <c r="E2907" s="183">
        <v>16.510000000000002</v>
      </c>
    </row>
    <row r="2908" spans="1:5" ht="14.25">
      <c r="A2908">
        <v>44504</v>
      </c>
      <c r="B2908" t="s">
        <v>13589</v>
      </c>
      <c r="C2908" t="s">
        <v>2104</v>
      </c>
      <c r="D2908" t="s">
        <v>2105</v>
      </c>
      <c r="E2908" s="183">
        <v>13.45</v>
      </c>
    </row>
    <row r="2909" spans="1:5" ht="14.25">
      <c r="A2909">
        <v>44505</v>
      </c>
      <c r="B2909" t="s">
        <v>13590</v>
      </c>
      <c r="C2909" t="s">
        <v>2104</v>
      </c>
      <c r="D2909" t="s">
        <v>2105</v>
      </c>
      <c r="E2909" s="183">
        <v>20.3</v>
      </c>
    </row>
    <row r="2910" spans="1:5" ht="14.25">
      <c r="A2910">
        <v>44506</v>
      </c>
      <c r="B2910" t="s">
        <v>13591</v>
      </c>
      <c r="C2910" t="s">
        <v>2104</v>
      </c>
      <c r="D2910" t="s">
        <v>2105</v>
      </c>
      <c r="E2910" s="183">
        <v>21.55</v>
      </c>
    </row>
    <row r="2911" spans="1:5" ht="14.25">
      <c r="A2911">
        <v>44507</v>
      </c>
      <c r="B2911" t="s">
        <v>13592</v>
      </c>
      <c r="C2911" t="s">
        <v>2104</v>
      </c>
      <c r="D2911" t="s">
        <v>2105</v>
      </c>
      <c r="E2911" s="183">
        <v>26.94</v>
      </c>
    </row>
    <row r="2912" spans="1:5" ht="14.25">
      <c r="A2912">
        <v>44508</v>
      </c>
      <c r="B2912" t="s">
        <v>13593</v>
      </c>
      <c r="C2912" t="s">
        <v>2104</v>
      </c>
      <c r="D2912" t="s">
        <v>2105</v>
      </c>
      <c r="E2912" s="183">
        <v>40.39</v>
      </c>
    </row>
    <row r="2913" spans="1:5" ht="14.25">
      <c r="A2913">
        <v>44509</v>
      </c>
      <c r="B2913" t="s">
        <v>13594</v>
      </c>
      <c r="C2913" t="s">
        <v>2104</v>
      </c>
      <c r="D2913" t="s">
        <v>2105</v>
      </c>
      <c r="E2913" s="183">
        <v>54.11</v>
      </c>
    </row>
    <row r="2914" spans="1:5" ht="14.25">
      <c r="A2914">
        <v>44510</v>
      </c>
      <c r="B2914" t="s">
        <v>13595</v>
      </c>
      <c r="C2914" t="s">
        <v>2104</v>
      </c>
      <c r="D2914" t="s">
        <v>2105</v>
      </c>
      <c r="E2914" s="183">
        <v>67.19</v>
      </c>
    </row>
    <row r="2915" spans="1:5" ht="14.25">
      <c r="A2915">
        <v>44512</v>
      </c>
      <c r="B2915" t="s">
        <v>13596</v>
      </c>
      <c r="C2915" t="s">
        <v>2104</v>
      </c>
      <c r="D2915" t="s">
        <v>2105</v>
      </c>
      <c r="E2915" s="183">
        <v>14.99</v>
      </c>
    </row>
    <row r="2916" spans="1:5" ht="14.25">
      <c r="A2916">
        <v>44513</v>
      </c>
      <c r="B2916" t="s">
        <v>13597</v>
      </c>
      <c r="C2916" t="s">
        <v>2104</v>
      </c>
      <c r="D2916" t="s">
        <v>2105</v>
      </c>
      <c r="E2916" s="183">
        <v>21.17</v>
      </c>
    </row>
    <row r="2917" spans="1:5" ht="14.25">
      <c r="A2917">
        <v>44514</v>
      </c>
      <c r="B2917" t="s">
        <v>13598</v>
      </c>
      <c r="C2917" t="s">
        <v>2104</v>
      </c>
      <c r="D2917" t="s">
        <v>2105</v>
      </c>
      <c r="E2917" s="183">
        <v>23.99</v>
      </c>
    </row>
    <row r="2918" spans="1:5" ht="14.25">
      <c r="A2918">
        <v>44515</v>
      </c>
      <c r="B2918" t="s">
        <v>13599</v>
      </c>
      <c r="C2918" t="s">
        <v>2104</v>
      </c>
      <c r="D2918" t="s">
        <v>2105</v>
      </c>
      <c r="E2918" s="183">
        <v>29.47</v>
      </c>
    </row>
    <row r="2919" spans="1:5" ht="14.25">
      <c r="A2919">
        <v>44511</v>
      </c>
      <c r="B2919" t="s">
        <v>13600</v>
      </c>
      <c r="C2919" t="s">
        <v>2104</v>
      </c>
      <c r="D2919" t="s">
        <v>2105</v>
      </c>
      <c r="E2919" s="183">
        <v>43.62</v>
      </c>
    </row>
    <row r="2920" spans="1:5" ht="14.25">
      <c r="A2920">
        <v>44516</v>
      </c>
      <c r="B2920" t="s">
        <v>13601</v>
      </c>
      <c r="C2920" t="s">
        <v>2104</v>
      </c>
      <c r="D2920" t="s">
        <v>2105</v>
      </c>
      <c r="E2920" s="183">
        <v>58.95</v>
      </c>
    </row>
    <row r="2921" spans="1:5" ht="14.25">
      <c r="A2921">
        <v>44517</v>
      </c>
      <c r="B2921" t="s">
        <v>13602</v>
      </c>
      <c r="C2921" t="s">
        <v>2104</v>
      </c>
      <c r="D2921" t="s">
        <v>2105</v>
      </c>
      <c r="E2921" s="183">
        <v>73.52</v>
      </c>
    </row>
    <row r="2922" spans="1:5" ht="14.25">
      <c r="A2922">
        <v>11479</v>
      </c>
      <c r="B2922" t="s">
        <v>10585</v>
      </c>
      <c r="C2922" t="s">
        <v>2102</v>
      </c>
      <c r="D2922" t="s">
        <v>2103</v>
      </c>
      <c r="E2922" s="183">
        <v>33.869999999999997</v>
      </c>
    </row>
    <row r="2923" spans="1:5" ht="14.25">
      <c r="A2923">
        <v>11481</v>
      </c>
      <c r="B2923" t="s">
        <v>10586</v>
      </c>
      <c r="C2923" t="s">
        <v>2102</v>
      </c>
      <c r="D2923" t="s">
        <v>2103</v>
      </c>
      <c r="E2923" s="183">
        <v>30.64</v>
      </c>
    </row>
    <row r="2924" spans="1:5" ht="14.25">
      <c r="A2924">
        <v>43609</v>
      </c>
      <c r="B2924" t="s">
        <v>10587</v>
      </c>
      <c r="C2924" t="s">
        <v>2102</v>
      </c>
      <c r="D2924" t="s">
        <v>2103</v>
      </c>
      <c r="E2924" s="183">
        <v>30.64</v>
      </c>
    </row>
    <row r="2925" spans="1:5" ht="14.25">
      <c r="A2925">
        <v>11478</v>
      </c>
      <c r="B2925" t="s">
        <v>10588</v>
      </c>
      <c r="C2925" t="s">
        <v>2102</v>
      </c>
      <c r="D2925" t="s">
        <v>2103</v>
      </c>
      <c r="E2925" s="183">
        <v>58.11</v>
      </c>
    </row>
    <row r="2926" spans="1:5" ht="14.25">
      <c r="A2926">
        <v>43608</v>
      </c>
      <c r="B2926" t="s">
        <v>10589</v>
      </c>
      <c r="C2926" t="s">
        <v>2102</v>
      </c>
      <c r="D2926" t="s">
        <v>2103</v>
      </c>
      <c r="E2926" s="183">
        <v>44.34</v>
      </c>
    </row>
    <row r="2927" spans="1:5" ht="14.25">
      <c r="A2927">
        <v>11476</v>
      </c>
      <c r="B2927" t="s">
        <v>10590</v>
      </c>
      <c r="C2927" t="s">
        <v>2102</v>
      </c>
      <c r="D2927" t="s">
        <v>2103</v>
      </c>
      <c r="E2927" s="183">
        <v>44.34</v>
      </c>
    </row>
    <row r="2928" spans="1:5" ht="14.25">
      <c r="A2928">
        <v>40637</v>
      </c>
      <c r="B2928" t="s">
        <v>10591</v>
      </c>
      <c r="C2928" t="s">
        <v>2102</v>
      </c>
      <c r="D2928" t="s">
        <v>2105</v>
      </c>
      <c r="E2928" s="184">
        <v>793072.01</v>
      </c>
    </row>
    <row r="2929" spans="1:5" ht="14.25">
      <c r="A2929">
        <v>13836</v>
      </c>
      <c r="B2929" t="s">
        <v>10592</v>
      </c>
      <c r="C2929" t="s">
        <v>2102</v>
      </c>
      <c r="D2929" t="s">
        <v>2105</v>
      </c>
      <c r="E2929" s="184">
        <v>67315.72</v>
      </c>
    </row>
    <row r="2930" spans="1:5" ht="14.25">
      <c r="A2930">
        <v>14534</v>
      </c>
      <c r="B2930" t="s">
        <v>10593</v>
      </c>
      <c r="C2930" t="s">
        <v>2102</v>
      </c>
      <c r="D2930" t="s">
        <v>2105</v>
      </c>
      <c r="E2930" s="184">
        <v>28180.14</v>
      </c>
    </row>
    <row r="2931" spans="1:5" ht="14.25">
      <c r="A2931">
        <v>14619</v>
      </c>
      <c r="B2931" t="s">
        <v>10594</v>
      </c>
      <c r="C2931" t="s">
        <v>2102</v>
      </c>
      <c r="D2931" t="s">
        <v>2105</v>
      </c>
      <c r="E2931" s="184">
        <v>15762.38</v>
      </c>
    </row>
    <row r="2932" spans="1:5" ht="14.25">
      <c r="A2932">
        <v>14535</v>
      </c>
      <c r="B2932" t="s">
        <v>10595</v>
      </c>
      <c r="C2932" t="s">
        <v>2102</v>
      </c>
      <c r="D2932" t="s">
        <v>2105</v>
      </c>
      <c r="E2932" s="184">
        <v>279690.59000000003</v>
      </c>
    </row>
    <row r="2933" spans="1:5" ht="14.25">
      <c r="A2933">
        <v>39813</v>
      </c>
      <c r="B2933" t="s">
        <v>18533</v>
      </c>
      <c r="C2933" t="s">
        <v>2102</v>
      </c>
      <c r="D2933" t="s">
        <v>2105</v>
      </c>
      <c r="E2933" s="184">
        <v>37667.29</v>
      </c>
    </row>
    <row r="2934" spans="1:5" ht="14.25">
      <c r="A2934">
        <v>40403</v>
      </c>
      <c r="B2934" t="s">
        <v>10596</v>
      </c>
      <c r="C2934" t="s">
        <v>2102</v>
      </c>
      <c r="D2934" t="s">
        <v>2105</v>
      </c>
      <c r="E2934" s="183">
        <v>445.05</v>
      </c>
    </row>
    <row r="2935" spans="1:5" ht="14.25">
      <c r="A2935">
        <v>12868</v>
      </c>
      <c r="B2935" t="s">
        <v>15261</v>
      </c>
      <c r="C2935" t="s">
        <v>2106</v>
      </c>
      <c r="D2935" t="s">
        <v>2103</v>
      </c>
      <c r="E2935" s="183">
        <v>22.09</v>
      </c>
    </row>
    <row r="2936" spans="1:5" ht="14.25">
      <c r="A2936">
        <v>40916</v>
      </c>
      <c r="B2936" t="s">
        <v>10597</v>
      </c>
      <c r="C2936" t="s">
        <v>2123</v>
      </c>
      <c r="D2936" t="s">
        <v>2103</v>
      </c>
      <c r="E2936" s="184">
        <v>3874.54</v>
      </c>
    </row>
    <row r="2937" spans="1:5" ht="14.25">
      <c r="A2937">
        <v>4755</v>
      </c>
      <c r="B2937" t="s">
        <v>15262</v>
      </c>
      <c r="C2937" t="s">
        <v>2106</v>
      </c>
      <c r="D2937" t="s">
        <v>2103</v>
      </c>
      <c r="E2937" s="183">
        <v>20.36</v>
      </c>
    </row>
    <row r="2938" spans="1:5" ht="14.25">
      <c r="A2938">
        <v>41067</v>
      </c>
      <c r="B2938" t="s">
        <v>10598</v>
      </c>
      <c r="C2938" t="s">
        <v>2123</v>
      </c>
      <c r="D2938" t="s">
        <v>2103</v>
      </c>
      <c r="E2938" s="184">
        <v>3568.75</v>
      </c>
    </row>
    <row r="2939" spans="1:5" ht="14.25">
      <c r="A2939">
        <v>38463</v>
      </c>
      <c r="B2939" t="s">
        <v>10599</v>
      </c>
      <c r="C2939" t="s">
        <v>2102</v>
      </c>
      <c r="D2939" t="s">
        <v>2103</v>
      </c>
      <c r="E2939" s="183">
        <v>37.299999999999997</v>
      </c>
    </row>
    <row r="2940" spans="1:5" ht="14.25">
      <c r="A2940">
        <v>40703</v>
      </c>
      <c r="B2940" t="s">
        <v>10600</v>
      </c>
      <c r="C2940" t="s">
        <v>2102</v>
      </c>
      <c r="D2940" t="s">
        <v>2105</v>
      </c>
      <c r="E2940" s="184">
        <v>10172.35</v>
      </c>
    </row>
    <row r="2941" spans="1:5" ht="14.25">
      <c r="A2941">
        <v>14531</v>
      </c>
      <c r="B2941" t="s">
        <v>10601</v>
      </c>
      <c r="C2941" t="s">
        <v>2102</v>
      </c>
      <c r="D2941" t="s">
        <v>2105</v>
      </c>
      <c r="E2941" s="184">
        <v>18965.09</v>
      </c>
    </row>
    <row r="2942" spans="1:5" ht="14.25">
      <c r="A2942">
        <v>36533</v>
      </c>
      <c r="B2942" t="s">
        <v>10602</v>
      </c>
      <c r="C2942" t="s">
        <v>2102</v>
      </c>
      <c r="D2942" t="s">
        <v>2105</v>
      </c>
      <c r="E2942" s="184">
        <v>21823.97</v>
      </c>
    </row>
    <row r="2943" spans="1:5" ht="14.25">
      <c r="A2943">
        <v>11616</v>
      </c>
      <c r="B2943" t="s">
        <v>10603</v>
      </c>
      <c r="C2943" t="s">
        <v>2102</v>
      </c>
      <c r="D2943" t="s">
        <v>2105</v>
      </c>
      <c r="E2943" s="184">
        <v>20612.419999999998</v>
      </c>
    </row>
    <row r="2944" spans="1:5" ht="14.25">
      <c r="A2944">
        <v>41898</v>
      </c>
      <c r="B2944" t="s">
        <v>10604</v>
      </c>
      <c r="C2944" t="s">
        <v>2102</v>
      </c>
      <c r="D2944" t="s">
        <v>2105</v>
      </c>
      <c r="E2944" s="184">
        <v>23191.78</v>
      </c>
    </row>
    <row r="2945" spans="1:5" ht="14.25">
      <c r="A2945">
        <v>13447</v>
      </c>
      <c r="B2945" t="s">
        <v>10605</v>
      </c>
      <c r="C2945" t="s">
        <v>2102</v>
      </c>
      <c r="D2945" t="s">
        <v>2105</v>
      </c>
      <c r="E2945" s="184">
        <v>42674.46</v>
      </c>
    </row>
    <row r="2946" spans="1:5" ht="14.25">
      <c r="A2946">
        <v>14529</v>
      </c>
      <c r="B2946" t="s">
        <v>10606</v>
      </c>
      <c r="C2946" t="s">
        <v>2102</v>
      </c>
      <c r="D2946" t="s">
        <v>2105</v>
      </c>
      <c r="E2946" s="184">
        <v>23866.74</v>
      </c>
    </row>
    <row r="2947" spans="1:5" ht="14.25">
      <c r="A2947">
        <v>10747</v>
      </c>
      <c r="B2947" t="s">
        <v>10607</v>
      </c>
      <c r="C2947" t="s">
        <v>2102</v>
      </c>
      <c r="D2947" t="s">
        <v>2105</v>
      </c>
      <c r="E2947" s="184">
        <v>23416.92</v>
      </c>
    </row>
    <row r="2948" spans="1:5" ht="14.25">
      <c r="A2948">
        <v>36141</v>
      </c>
      <c r="B2948" t="s">
        <v>10608</v>
      </c>
      <c r="C2948" t="s">
        <v>2102</v>
      </c>
      <c r="D2948" t="s">
        <v>2103</v>
      </c>
      <c r="E2948" s="183">
        <v>40.869999999999997</v>
      </c>
    </row>
    <row r="2949" spans="1:5" ht="14.25">
      <c r="A2949">
        <v>43651</v>
      </c>
      <c r="B2949" t="s">
        <v>13603</v>
      </c>
      <c r="C2949" t="s">
        <v>2110</v>
      </c>
      <c r="D2949" t="s">
        <v>2103</v>
      </c>
      <c r="E2949" s="183">
        <v>8.49</v>
      </c>
    </row>
    <row r="2950" spans="1:5" ht="14.25">
      <c r="A2950">
        <v>43626</v>
      </c>
      <c r="B2950" t="s">
        <v>13604</v>
      </c>
      <c r="C2950" t="s">
        <v>2110</v>
      </c>
      <c r="D2950" t="s">
        <v>2107</v>
      </c>
      <c r="E2950" s="183">
        <v>4.72</v>
      </c>
    </row>
    <row r="2951" spans="1:5" ht="14.25">
      <c r="A2951">
        <v>39434</v>
      </c>
      <c r="B2951" t="s">
        <v>10609</v>
      </c>
      <c r="C2951" t="s">
        <v>2110</v>
      </c>
      <c r="D2951" t="s">
        <v>2103</v>
      </c>
      <c r="E2951" s="183">
        <v>3.52</v>
      </c>
    </row>
    <row r="2952" spans="1:5" ht="14.25">
      <c r="A2952">
        <v>39433</v>
      </c>
      <c r="B2952" t="s">
        <v>10610</v>
      </c>
      <c r="C2952" t="s">
        <v>2110</v>
      </c>
      <c r="D2952" t="s">
        <v>2103</v>
      </c>
      <c r="E2952" s="183">
        <v>2.8</v>
      </c>
    </row>
    <row r="2953" spans="1:5" ht="14.25">
      <c r="A2953">
        <v>4049</v>
      </c>
      <c r="B2953" t="s">
        <v>10611</v>
      </c>
      <c r="C2953" t="s">
        <v>2117</v>
      </c>
      <c r="D2953" t="s">
        <v>2103</v>
      </c>
      <c r="E2953" s="183">
        <v>94.73</v>
      </c>
    </row>
    <row r="2954" spans="1:5" ht="14.25">
      <c r="A2954">
        <v>38120</v>
      </c>
      <c r="B2954" t="s">
        <v>10612</v>
      </c>
      <c r="C2954" t="s">
        <v>2110</v>
      </c>
      <c r="D2954" t="s">
        <v>2103</v>
      </c>
      <c r="E2954" s="183">
        <v>117.49</v>
      </c>
    </row>
    <row r="2955" spans="1:5" ht="14.25">
      <c r="A2955">
        <v>43652</v>
      </c>
      <c r="B2955" t="s">
        <v>13605</v>
      </c>
      <c r="C2955" t="s">
        <v>2110</v>
      </c>
      <c r="D2955" t="s">
        <v>2103</v>
      </c>
      <c r="E2955" s="183">
        <v>19.02</v>
      </c>
    </row>
    <row r="2956" spans="1:5" ht="14.25">
      <c r="A2956">
        <v>10498</v>
      </c>
      <c r="B2956" t="s">
        <v>10613</v>
      </c>
      <c r="C2956" t="s">
        <v>2110</v>
      </c>
      <c r="D2956" t="s">
        <v>2103</v>
      </c>
      <c r="E2956" s="183">
        <v>9.83</v>
      </c>
    </row>
    <row r="2957" spans="1:5" ht="14.25">
      <c r="A2957">
        <v>4823</v>
      </c>
      <c r="B2957" t="s">
        <v>10614</v>
      </c>
      <c r="C2957" t="s">
        <v>2110</v>
      </c>
      <c r="D2957" t="s">
        <v>2103</v>
      </c>
      <c r="E2957" s="183">
        <v>42.14</v>
      </c>
    </row>
    <row r="2958" spans="1:5" ht="14.25">
      <c r="A2958">
        <v>38877</v>
      </c>
      <c r="B2958" t="s">
        <v>13606</v>
      </c>
      <c r="C2958" t="s">
        <v>2110</v>
      </c>
      <c r="D2958" t="s">
        <v>2103</v>
      </c>
      <c r="E2958" s="183">
        <v>6.69</v>
      </c>
    </row>
    <row r="2959" spans="1:5" ht="14.25">
      <c r="A2959">
        <v>34546</v>
      </c>
      <c r="B2959" t="s">
        <v>13607</v>
      </c>
      <c r="C2959" t="s">
        <v>2110</v>
      </c>
      <c r="D2959" t="s">
        <v>2103</v>
      </c>
      <c r="E2959" s="183">
        <v>6.88</v>
      </c>
    </row>
    <row r="2960" spans="1:5" ht="14.25">
      <c r="A2960">
        <v>41387</v>
      </c>
      <c r="B2960" t="s">
        <v>10615</v>
      </c>
      <c r="C2960" t="s">
        <v>2109</v>
      </c>
      <c r="D2960" t="s">
        <v>2103</v>
      </c>
      <c r="E2960" s="183">
        <v>41.53</v>
      </c>
    </row>
    <row r="2961" spans="1:5" ht="14.25">
      <c r="A2961">
        <v>41388</v>
      </c>
      <c r="B2961" t="s">
        <v>10616</v>
      </c>
      <c r="C2961" t="s">
        <v>2109</v>
      </c>
      <c r="D2961" t="s">
        <v>2103</v>
      </c>
      <c r="E2961" s="183">
        <v>49.83</v>
      </c>
    </row>
    <row r="2962" spans="1:5" ht="14.25">
      <c r="A2962">
        <v>41380</v>
      </c>
      <c r="B2962" t="s">
        <v>10617</v>
      </c>
      <c r="C2962" t="s">
        <v>2102</v>
      </c>
      <c r="D2962" t="s">
        <v>2103</v>
      </c>
      <c r="E2962" s="183">
        <v>331.53</v>
      </c>
    </row>
    <row r="2963" spans="1:5" ht="14.25">
      <c r="A2963">
        <v>41381</v>
      </c>
      <c r="B2963" t="s">
        <v>10618</v>
      </c>
      <c r="C2963" t="s">
        <v>2102</v>
      </c>
      <c r="D2963" t="s">
        <v>2103</v>
      </c>
      <c r="E2963" s="183">
        <v>347.32</v>
      </c>
    </row>
    <row r="2964" spans="1:5" ht="14.25">
      <c r="A2964">
        <v>41382</v>
      </c>
      <c r="B2964" t="s">
        <v>10619</v>
      </c>
      <c r="C2964" t="s">
        <v>2102</v>
      </c>
      <c r="D2964" t="s">
        <v>2103</v>
      </c>
      <c r="E2964" s="183">
        <v>336.19</v>
      </c>
    </row>
    <row r="2965" spans="1:5" ht="14.25">
      <c r="A2965">
        <v>41383</v>
      </c>
      <c r="B2965" t="s">
        <v>10620</v>
      </c>
      <c r="C2965" t="s">
        <v>2102</v>
      </c>
      <c r="D2965" t="s">
        <v>2103</v>
      </c>
      <c r="E2965" s="183">
        <v>456.31</v>
      </c>
    </row>
    <row r="2966" spans="1:5" ht="14.25">
      <c r="A2966">
        <v>41385</v>
      </c>
      <c r="B2966" t="s">
        <v>10621</v>
      </c>
      <c r="C2966" t="s">
        <v>2102</v>
      </c>
      <c r="D2966" t="s">
        <v>2103</v>
      </c>
      <c r="E2966" s="183">
        <v>567.82000000000005</v>
      </c>
    </row>
    <row r="2967" spans="1:5" ht="14.25">
      <c r="A2967">
        <v>11079</v>
      </c>
      <c r="B2967" t="s">
        <v>10622</v>
      </c>
      <c r="C2967" t="s">
        <v>2122</v>
      </c>
      <c r="D2967" t="s">
        <v>2103</v>
      </c>
      <c r="E2967" s="184">
        <v>2913.12</v>
      </c>
    </row>
    <row r="2968" spans="1:5" ht="14.25">
      <c r="A2968">
        <v>11082</v>
      </c>
      <c r="B2968" t="s">
        <v>10623</v>
      </c>
      <c r="C2968" t="s">
        <v>2122</v>
      </c>
      <c r="D2968" t="s">
        <v>2103</v>
      </c>
      <c r="E2968" s="184">
        <v>2913.12</v>
      </c>
    </row>
    <row r="2969" spans="1:5" ht="14.25">
      <c r="A2969">
        <v>4058</v>
      </c>
      <c r="B2969" t="s">
        <v>18534</v>
      </c>
      <c r="C2969" t="s">
        <v>2106</v>
      </c>
      <c r="D2969" t="s">
        <v>2103</v>
      </c>
      <c r="E2969" s="183">
        <v>31.12</v>
      </c>
    </row>
    <row r="2970" spans="1:5" ht="14.25">
      <c r="A2970">
        <v>40974</v>
      </c>
      <c r="B2970" t="s">
        <v>10624</v>
      </c>
      <c r="C2970" t="s">
        <v>2123</v>
      </c>
      <c r="D2970" t="s">
        <v>2103</v>
      </c>
      <c r="E2970" s="184">
        <v>5457.91</v>
      </c>
    </row>
    <row r="2971" spans="1:5" ht="14.25">
      <c r="A2971">
        <v>34794</v>
      </c>
      <c r="B2971" t="s">
        <v>15263</v>
      </c>
      <c r="C2971" t="s">
        <v>2106</v>
      </c>
      <c r="D2971" t="s">
        <v>2103</v>
      </c>
      <c r="E2971" s="183">
        <v>19.940000000000001</v>
      </c>
    </row>
    <row r="2972" spans="1:5" ht="14.25">
      <c r="A2972">
        <v>40925</v>
      </c>
      <c r="B2972" t="s">
        <v>10625</v>
      </c>
      <c r="C2972" t="s">
        <v>2123</v>
      </c>
      <c r="D2972" t="s">
        <v>2103</v>
      </c>
      <c r="E2972" s="184">
        <v>3497.04</v>
      </c>
    </row>
    <row r="2973" spans="1:5" ht="14.25">
      <c r="A2973">
        <v>13741</v>
      </c>
      <c r="B2973" t="s">
        <v>10626</v>
      </c>
      <c r="C2973" t="s">
        <v>2102</v>
      </c>
      <c r="D2973" t="s">
        <v>2103</v>
      </c>
      <c r="E2973" s="184">
        <v>2558.16</v>
      </c>
    </row>
    <row r="2974" spans="1:5" ht="14.25">
      <c r="A2974">
        <v>3288</v>
      </c>
      <c r="B2974" t="s">
        <v>10627</v>
      </c>
      <c r="C2974" t="s">
        <v>2109</v>
      </c>
      <c r="D2974" t="s">
        <v>2105</v>
      </c>
      <c r="E2974" s="183">
        <v>6.5</v>
      </c>
    </row>
    <row r="2975" spans="1:5" ht="14.25">
      <c r="A2975">
        <v>13587</v>
      </c>
      <c r="B2975" t="s">
        <v>10628</v>
      </c>
      <c r="C2975" t="s">
        <v>2109</v>
      </c>
      <c r="D2975" t="s">
        <v>2105</v>
      </c>
      <c r="E2975" s="183">
        <v>3.92</v>
      </c>
    </row>
    <row r="2976" spans="1:5" ht="14.25">
      <c r="A2976">
        <v>38598</v>
      </c>
      <c r="B2976" t="s">
        <v>10629</v>
      </c>
      <c r="C2976" t="s">
        <v>2102</v>
      </c>
      <c r="D2976" t="s">
        <v>2103</v>
      </c>
      <c r="E2976" s="183">
        <v>3.16</v>
      </c>
    </row>
    <row r="2977" spans="1:5" ht="14.25">
      <c r="A2977">
        <v>38595</v>
      </c>
      <c r="B2977" t="s">
        <v>10630</v>
      </c>
      <c r="C2977" t="s">
        <v>2102</v>
      </c>
      <c r="D2977" t="s">
        <v>2103</v>
      </c>
      <c r="E2977" s="183">
        <v>2.68</v>
      </c>
    </row>
    <row r="2978" spans="1:5" ht="14.25">
      <c r="A2978">
        <v>38592</v>
      </c>
      <c r="B2978" t="s">
        <v>10631</v>
      </c>
      <c r="C2978" t="s">
        <v>2102</v>
      </c>
      <c r="D2978" t="s">
        <v>2103</v>
      </c>
      <c r="E2978" s="183">
        <v>2.71</v>
      </c>
    </row>
    <row r="2979" spans="1:5" ht="14.25">
      <c r="A2979">
        <v>38588</v>
      </c>
      <c r="B2979" t="s">
        <v>10632</v>
      </c>
      <c r="C2979" t="s">
        <v>2102</v>
      </c>
      <c r="D2979" t="s">
        <v>2103</v>
      </c>
      <c r="E2979" s="183">
        <v>2.17</v>
      </c>
    </row>
    <row r="2980" spans="1:5" ht="14.25">
      <c r="A2980">
        <v>38593</v>
      </c>
      <c r="B2980" t="s">
        <v>10633</v>
      </c>
      <c r="C2980" t="s">
        <v>2102</v>
      </c>
      <c r="D2980" t="s">
        <v>2103</v>
      </c>
      <c r="E2980" s="183">
        <v>2.99</v>
      </c>
    </row>
    <row r="2981" spans="1:5" ht="14.25">
      <c r="A2981">
        <v>38589</v>
      </c>
      <c r="B2981" t="s">
        <v>10634</v>
      </c>
      <c r="C2981" t="s">
        <v>2102</v>
      </c>
      <c r="D2981" t="s">
        <v>2103</v>
      </c>
      <c r="E2981" s="183">
        <v>2.27</v>
      </c>
    </row>
    <row r="2982" spans="1:5" ht="14.25">
      <c r="A2982">
        <v>38594</v>
      </c>
      <c r="B2982" t="s">
        <v>10635</v>
      </c>
      <c r="C2982" t="s">
        <v>2102</v>
      </c>
      <c r="D2982" t="s">
        <v>2103</v>
      </c>
      <c r="E2982" s="183">
        <v>4.72</v>
      </c>
    </row>
    <row r="2983" spans="1:5" ht="14.25">
      <c r="A2983">
        <v>34773</v>
      </c>
      <c r="B2983" t="s">
        <v>10636</v>
      </c>
      <c r="C2983" t="s">
        <v>2102</v>
      </c>
      <c r="D2983" t="s">
        <v>2103</v>
      </c>
      <c r="E2983" s="183">
        <v>2.23</v>
      </c>
    </row>
    <row r="2984" spans="1:5" ht="14.25">
      <c r="A2984">
        <v>34769</v>
      </c>
      <c r="B2984" t="s">
        <v>10637</v>
      </c>
      <c r="C2984" t="s">
        <v>2102</v>
      </c>
      <c r="D2984" t="s">
        <v>2103</v>
      </c>
      <c r="E2984" s="183">
        <v>2.77</v>
      </c>
    </row>
    <row r="2985" spans="1:5" ht="14.25">
      <c r="A2985">
        <v>34763</v>
      </c>
      <c r="B2985" t="s">
        <v>10638</v>
      </c>
      <c r="C2985" t="s">
        <v>2102</v>
      </c>
      <c r="D2985" t="s">
        <v>2103</v>
      </c>
      <c r="E2985" s="183">
        <v>1.7</v>
      </c>
    </row>
    <row r="2986" spans="1:5" ht="14.25">
      <c r="A2986">
        <v>34774</v>
      </c>
      <c r="B2986" t="s">
        <v>10639</v>
      </c>
      <c r="C2986" t="s">
        <v>2102</v>
      </c>
      <c r="D2986" t="s">
        <v>2103</v>
      </c>
      <c r="E2986" s="183">
        <v>2.12</v>
      </c>
    </row>
    <row r="2987" spans="1:5" ht="14.25">
      <c r="A2987">
        <v>34771</v>
      </c>
      <c r="B2987" t="s">
        <v>10640</v>
      </c>
      <c r="C2987" t="s">
        <v>2102</v>
      </c>
      <c r="D2987" t="s">
        <v>2103</v>
      </c>
      <c r="E2987" s="183">
        <v>2.56</v>
      </c>
    </row>
    <row r="2988" spans="1:5" ht="14.25">
      <c r="A2988">
        <v>34764</v>
      </c>
      <c r="B2988" t="s">
        <v>10641</v>
      </c>
      <c r="C2988" t="s">
        <v>2102</v>
      </c>
      <c r="D2988" t="s">
        <v>2103</v>
      </c>
      <c r="E2988" s="183">
        <v>1.67</v>
      </c>
    </row>
    <row r="2989" spans="1:5" ht="14.25">
      <c r="A2989">
        <v>34788</v>
      </c>
      <c r="B2989" t="s">
        <v>10642</v>
      </c>
      <c r="C2989" t="s">
        <v>2102</v>
      </c>
      <c r="D2989" t="s">
        <v>2103</v>
      </c>
      <c r="E2989" s="183">
        <v>0.98</v>
      </c>
    </row>
    <row r="2990" spans="1:5" ht="14.25">
      <c r="A2990">
        <v>34781</v>
      </c>
      <c r="B2990" t="s">
        <v>10643</v>
      </c>
      <c r="C2990" t="s">
        <v>2102</v>
      </c>
      <c r="D2990" t="s">
        <v>2103</v>
      </c>
      <c r="E2990" s="183">
        <v>1.1100000000000001</v>
      </c>
    </row>
    <row r="2991" spans="1:5" ht="14.25">
      <c r="A2991">
        <v>41682</v>
      </c>
      <c r="B2991" t="s">
        <v>10644</v>
      </c>
      <c r="C2991" t="s">
        <v>2102</v>
      </c>
      <c r="D2991" t="s">
        <v>2103</v>
      </c>
      <c r="E2991" s="183">
        <v>37.33</v>
      </c>
    </row>
    <row r="2992" spans="1:5" ht="14.25">
      <c r="A2992">
        <v>41683</v>
      </c>
      <c r="B2992" t="s">
        <v>10645</v>
      </c>
      <c r="C2992" t="s">
        <v>2102</v>
      </c>
      <c r="D2992" t="s">
        <v>2103</v>
      </c>
      <c r="E2992" s="183">
        <v>27.46</v>
      </c>
    </row>
    <row r="2993" spans="1:5" ht="14.25">
      <c r="A2993">
        <v>41680</v>
      </c>
      <c r="B2993" t="s">
        <v>10646</v>
      </c>
      <c r="C2993" t="s">
        <v>2102</v>
      </c>
      <c r="D2993" t="s">
        <v>2103</v>
      </c>
      <c r="E2993" s="183">
        <v>14.78</v>
      </c>
    </row>
    <row r="2994" spans="1:5" ht="14.25">
      <c r="A2994">
        <v>41679</v>
      </c>
      <c r="B2994" t="s">
        <v>10647</v>
      </c>
      <c r="C2994" t="s">
        <v>2102</v>
      </c>
      <c r="D2994" t="s">
        <v>2103</v>
      </c>
      <c r="E2994" s="183">
        <v>33.799999999999997</v>
      </c>
    </row>
    <row r="2995" spans="1:5" ht="14.25">
      <c r="A2995">
        <v>41681</v>
      </c>
      <c r="B2995" t="s">
        <v>10648</v>
      </c>
      <c r="C2995" t="s">
        <v>2102</v>
      </c>
      <c r="D2995" t="s">
        <v>2103</v>
      </c>
      <c r="E2995" s="183">
        <v>23.13</v>
      </c>
    </row>
    <row r="2996" spans="1:5" ht="14.25">
      <c r="A2996">
        <v>43386</v>
      </c>
      <c r="B2996" t="s">
        <v>10649</v>
      </c>
      <c r="C2996" t="s">
        <v>2102</v>
      </c>
      <c r="D2996" t="s">
        <v>2103</v>
      </c>
      <c r="E2996" s="183">
        <v>52.81</v>
      </c>
    </row>
    <row r="2997" spans="1:5" ht="14.25">
      <c r="A2997">
        <v>4059</v>
      </c>
      <c r="B2997" t="s">
        <v>10650</v>
      </c>
      <c r="C2997" t="s">
        <v>2109</v>
      </c>
      <c r="D2997" t="s">
        <v>2103</v>
      </c>
      <c r="E2997" s="183">
        <v>37.33</v>
      </c>
    </row>
    <row r="2998" spans="1:5" ht="14.25">
      <c r="A2998">
        <v>4062</v>
      </c>
      <c r="B2998" t="s">
        <v>10651</v>
      </c>
      <c r="C2998" t="s">
        <v>2102</v>
      </c>
      <c r="D2998" t="s">
        <v>2103</v>
      </c>
      <c r="E2998" s="183">
        <v>37.33</v>
      </c>
    </row>
    <row r="2999" spans="1:5" ht="14.25">
      <c r="A2999">
        <v>4061</v>
      </c>
      <c r="B2999" t="s">
        <v>10652</v>
      </c>
      <c r="C2999" t="s">
        <v>2102</v>
      </c>
      <c r="D2999" t="s">
        <v>2103</v>
      </c>
      <c r="E2999" s="183">
        <v>46.48</v>
      </c>
    </row>
    <row r="3000" spans="1:5" ht="14.25">
      <c r="A3000">
        <v>41315</v>
      </c>
      <c r="B3000" t="s">
        <v>10653</v>
      </c>
      <c r="C3000" t="s">
        <v>2110</v>
      </c>
      <c r="D3000" t="s">
        <v>2103</v>
      </c>
      <c r="E3000" s="183">
        <v>79.16</v>
      </c>
    </row>
    <row r="3001" spans="1:5" ht="14.25">
      <c r="A3001">
        <v>43148</v>
      </c>
      <c r="B3001" t="s">
        <v>10654</v>
      </c>
      <c r="C3001" t="s">
        <v>2110</v>
      </c>
      <c r="D3001" t="s">
        <v>2103</v>
      </c>
      <c r="E3001" s="183">
        <v>53.73</v>
      </c>
    </row>
    <row r="3002" spans="1:5" ht="14.25">
      <c r="A3002">
        <v>43147</v>
      </c>
      <c r="B3002" t="s">
        <v>10655</v>
      </c>
      <c r="C3002" t="s">
        <v>2110</v>
      </c>
      <c r="D3002" t="s">
        <v>2103</v>
      </c>
      <c r="E3002" s="183">
        <v>20.81</v>
      </c>
    </row>
    <row r="3003" spans="1:5" ht="14.25">
      <c r="A3003">
        <v>10608</v>
      </c>
      <c r="B3003" t="s">
        <v>10656</v>
      </c>
      <c r="C3003" t="s">
        <v>2102</v>
      </c>
      <c r="D3003" t="s">
        <v>2105</v>
      </c>
      <c r="E3003" s="184">
        <v>9629.7999999999993</v>
      </c>
    </row>
    <row r="3004" spans="1:5" ht="14.25">
      <c r="A3004">
        <v>4069</v>
      </c>
      <c r="B3004" t="s">
        <v>15264</v>
      </c>
      <c r="C3004" t="s">
        <v>2106</v>
      </c>
      <c r="D3004" t="s">
        <v>2103</v>
      </c>
      <c r="E3004" s="183">
        <v>59.08</v>
      </c>
    </row>
    <row r="3005" spans="1:5" ht="14.25">
      <c r="A3005">
        <v>40819</v>
      </c>
      <c r="B3005" t="s">
        <v>10657</v>
      </c>
      <c r="C3005" t="s">
        <v>2123</v>
      </c>
      <c r="D3005" t="s">
        <v>2103</v>
      </c>
      <c r="E3005" s="184">
        <v>10357.790000000001</v>
      </c>
    </row>
    <row r="3006" spans="1:5" ht="14.25">
      <c r="A3006">
        <v>34361</v>
      </c>
      <c r="B3006" t="s">
        <v>10658</v>
      </c>
      <c r="C3006" t="s">
        <v>2110</v>
      </c>
      <c r="D3006" t="s">
        <v>2103</v>
      </c>
      <c r="E3006" s="183">
        <v>15.15</v>
      </c>
    </row>
    <row r="3007" spans="1:5" ht="14.25">
      <c r="A3007">
        <v>36512</v>
      </c>
      <c r="B3007" t="s">
        <v>10659</v>
      </c>
      <c r="C3007" t="s">
        <v>2102</v>
      </c>
      <c r="D3007" t="s">
        <v>2105</v>
      </c>
      <c r="E3007" s="184">
        <v>20023.98</v>
      </c>
    </row>
    <row r="3008" spans="1:5" ht="14.25">
      <c r="A3008">
        <v>44478</v>
      </c>
      <c r="B3008" t="s">
        <v>13608</v>
      </c>
      <c r="C3008" t="s">
        <v>2110</v>
      </c>
      <c r="D3008" t="s">
        <v>2103</v>
      </c>
      <c r="E3008" s="183">
        <v>12.87</v>
      </c>
    </row>
    <row r="3009" spans="1:5" ht="14.25">
      <c r="A3009">
        <v>44477</v>
      </c>
      <c r="B3009" t="s">
        <v>13609</v>
      </c>
      <c r="C3009" t="s">
        <v>2110</v>
      </c>
      <c r="D3009" t="s">
        <v>2103</v>
      </c>
      <c r="E3009" s="183">
        <v>12.87</v>
      </c>
    </row>
    <row r="3010" spans="1:5" ht="14.25">
      <c r="A3010">
        <v>11697</v>
      </c>
      <c r="B3010" t="s">
        <v>10660</v>
      </c>
      <c r="C3010" t="s">
        <v>2102</v>
      </c>
      <c r="D3010" t="s">
        <v>2103</v>
      </c>
      <c r="E3010" s="183">
        <v>752.18</v>
      </c>
    </row>
    <row r="3011" spans="1:5" ht="14.25">
      <c r="A3011">
        <v>11698</v>
      </c>
      <c r="B3011" t="s">
        <v>10661</v>
      </c>
      <c r="C3011" t="s">
        <v>2102</v>
      </c>
      <c r="D3011" t="s">
        <v>2103</v>
      </c>
      <c r="E3011" s="183">
        <v>897.31</v>
      </c>
    </row>
    <row r="3012" spans="1:5" ht="14.25">
      <c r="A3012">
        <v>11699</v>
      </c>
      <c r="B3012" t="s">
        <v>10662</v>
      </c>
      <c r="C3012" t="s">
        <v>2102</v>
      </c>
      <c r="D3012" t="s">
        <v>2103</v>
      </c>
      <c r="E3012" s="183">
        <v>991.74</v>
      </c>
    </row>
    <row r="3013" spans="1:5" ht="14.25">
      <c r="A3013">
        <v>10432</v>
      </c>
      <c r="B3013" t="s">
        <v>18535</v>
      </c>
      <c r="C3013" t="s">
        <v>2102</v>
      </c>
      <c r="D3013" t="s">
        <v>2103</v>
      </c>
      <c r="E3013" s="183">
        <v>347.66</v>
      </c>
    </row>
    <row r="3014" spans="1:5" ht="14.25">
      <c r="A3014">
        <v>44020</v>
      </c>
      <c r="B3014" t="s">
        <v>10663</v>
      </c>
      <c r="C3014" t="s">
        <v>2102</v>
      </c>
      <c r="D3014" t="s">
        <v>2103</v>
      </c>
      <c r="E3014" s="183">
        <v>857.71</v>
      </c>
    </row>
    <row r="3015" spans="1:5" ht="14.25">
      <c r="A3015">
        <v>41420</v>
      </c>
      <c r="B3015" t="s">
        <v>10664</v>
      </c>
      <c r="C3015" t="s">
        <v>2102</v>
      </c>
      <c r="D3015" t="s">
        <v>2103</v>
      </c>
      <c r="E3015" s="183">
        <v>8.4499999999999993</v>
      </c>
    </row>
    <row r="3016" spans="1:5" ht="14.25">
      <c r="A3016">
        <v>41422</v>
      </c>
      <c r="B3016" t="s">
        <v>10665</v>
      </c>
      <c r="C3016" t="s">
        <v>2102</v>
      </c>
      <c r="D3016" t="s">
        <v>2103</v>
      </c>
      <c r="E3016" s="183">
        <v>11.54</v>
      </c>
    </row>
    <row r="3017" spans="1:5" ht="14.25">
      <c r="A3017">
        <v>41425</v>
      </c>
      <c r="B3017" t="s">
        <v>10666</v>
      </c>
      <c r="C3017" t="s">
        <v>2102</v>
      </c>
      <c r="D3017" t="s">
        <v>2103</v>
      </c>
      <c r="E3017" s="183">
        <v>5.9</v>
      </c>
    </row>
    <row r="3018" spans="1:5" ht="14.25">
      <c r="A3018">
        <v>41426</v>
      </c>
      <c r="B3018" t="s">
        <v>10667</v>
      </c>
      <c r="C3018" t="s">
        <v>2102</v>
      </c>
      <c r="D3018" t="s">
        <v>2103</v>
      </c>
      <c r="E3018" s="183">
        <v>10.65</v>
      </c>
    </row>
    <row r="3019" spans="1:5" ht="14.25">
      <c r="A3019">
        <v>41419</v>
      </c>
      <c r="B3019" t="s">
        <v>10668</v>
      </c>
      <c r="C3019" t="s">
        <v>2102</v>
      </c>
      <c r="D3019" t="s">
        <v>2103</v>
      </c>
      <c r="E3019" s="183">
        <v>6.21</v>
      </c>
    </row>
    <row r="3020" spans="1:5" ht="14.25">
      <c r="A3020">
        <v>41421</v>
      </c>
      <c r="B3020" t="s">
        <v>10669</v>
      </c>
      <c r="C3020" t="s">
        <v>2102</v>
      </c>
      <c r="D3020" t="s">
        <v>2103</v>
      </c>
      <c r="E3020" s="183">
        <v>8.43</v>
      </c>
    </row>
    <row r="3021" spans="1:5" ht="14.25">
      <c r="A3021">
        <v>41414</v>
      </c>
      <c r="B3021" t="s">
        <v>10670</v>
      </c>
      <c r="C3021" t="s">
        <v>2102</v>
      </c>
      <c r="D3021" t="s">
        <v>2103</v>
      </c>
      <c r="E3021" s="183">
        <v>19.55</v>
      </c>
    </row>
    <row r="3022" spans="1:5" ht="14.25">
      <c r="A3022">
        <v>41415</v>
      </c>
      <c r="B3022" t="s">
        <v>10671</v>
      </c>
      <c r="C3022" t="s">
        <v>2102</v>
      </c>
      <c r="D3022" t="s">
        <v>2103</v>
      </c>
      <c r="E3022" s="183">
        <v>22.76</v>
      </c>
    </row>
    <row r="3023" spans="1:5" ht="14.25">
      <c r="A3023">
        <v>37514</v>
      </c>
      <c r="B3023" t="s">
        <v>10672</v>
      </c>
      <c r="C3023" t="s">
        <v>2102</v>
      </c>
      <c r="D3023" t="s">
        <v>2105</v>
      </c>
      <c r="E3023" s="184">
        <v>320000</v>
      </c>
    </row>
    <row r="3024" spans="1:5" ht="14.25">
      <c r="A3024">
        <v>37519</v>
      </c>
      <c r="B3024" t="s">
        <v>10673</v>
      </c>
      <c r="C3024" t="s">
        <v>2102</v>
      </c>
      <c r="D3024" t="s">
        <v>2105</v>
      </c>
      <c r="E3024" s="184">
        <v>493853.88</v>
      </c>
    </row>
    <row r="3025" spans="1:5" ht="14.25">
      <c r="A3025">
        <v>37520</v>
      </c>
      <c r="B3025" t="s">
        <v>10674</v>
      </c>
      <c r="C3025" t="s">
        <v>2102</v>
      </c>
      <c r="D3025" t="s">
        <v>2105</v>
      </c>
      <c r="E3025" s="184">
        <v>485757.92</v>
      </c>
    </row>
    <row r="3026" spans="1:5" ht="14.25">
      <c r="A3026">
        <v>37521</v>
      </c>
      <c r="B3026" t="s">
        <v>10675</v>
      </c>
      <c r="C3026" t="s">
        <v>2102</v>
      </c>
      <c r="D3026" t="s">
        <v>2105</v>
      </c>
      <c r="E3026" s="184">
        <v>592624.67000000004</v>
      </c>
    </row>
    <row r="3027" spans="1:5" ht="14.25">
      <c r="A3027">
        <v>37522</v>
      </c>
      <c r="B3027" t="s">
        <v>10676</v>
      </c>
      <c r="C3027" t="s">
        <v>2102</v>
      </c>
      <c r="D3027" t="s">
        <v>2105</v>
      </c>
      <c r="E3027" s="184">
        <v>610454.24</v>
      </c>
    </row>
    <row r="3028" spans="1:5" ht="14.25">
      <c r="A3028">
        <v>21109</v>
      </c>
      <c r="B3028" t="s">
        <v>10677</v>
      </c>
      <c r="C3028" t="s">
        <v>2102</v>
      </c>
      <c r="D3028" t="s">
        <v>2105</v>
      </c>
      <c r="E3028" s="183">
        <v>71.48</v>
      </c>
    </row>
    <row r="3029" spans="1:5" ht="14.25">
      <c r="A3029">
        <v>37546</v>
      </c>
      <c r="B3029" t="s">
        <v>10678</v>
      </c>
      <c r="C3029" t="s">
        <v>2102</v>
      </c>
      <c r="D3029" t="s">
        <v>2103</v>
      </c>
      <c r="E3029" s="184">
        <v>12162.4</v>
      </c>
    </row>
    <row r="3030" spans="1:5" ht="14.25">
      <c r="A3030">
        <v>37544</v>
      </c>
      <c r="B3030" t="s">
        <v>10679</v>
      </c>
      <c r="C3030" t="s">
        <v>2102</v>
      </c>
      <c r="D3030" t="s">
        <v>2103</v>
      </c>
      <c r="E3030" s="184">
        <v>12863.78</v>
      </c>
    </row>
    <row r="3031" spans="1:5" ht="14.25">
      <c r="A3031">
        <v>37545</v>
      </c>
      <c r="B3031" t="s">
        <v>10680</v>
      </c>
      <c r="C3031" t="s">
        <v>2102</v>
      </c>
      <c r="D3031" t="s">
        <v>2103</v>
      </c>
      <c r="E3031" s="184">
        <v>15306.17</v>
      </c>
    </row>
    <row r="3032" spans="1:5" ht="14.25">
      <c r="A3032">
        <v>36793</v>
      </c>
      <c r="B3032" t="s">
        <v>15265</v>
      </c>
      <c r="C3032" t="s">
        <v>2102</v>
      </c>
      <c r="D3032" t="s">
        <v>2103</v>
      </c>
      <c r="E3032" s="183">
        <v>690.28</v>
      </c>
    </row>
    <row r="3033" spans="1:5" ht="14.25">
      <c r="A3033">
        <v>11769</v>
      </c>
      <c r="B3033" t="s">
        <v>15266</v>
      </c>
      <c r="C3033" t="s">
        <v>2102</v>
      </c>
      <c r="D3033" t="s">
        <v>2103</v>
      </c>
      <c r="E3033" s="183">
        <v>305.05</v>
      </c>
    </row>
    <row r="3034" spans="1:5" ht="14.25">
      <c r="A3034">
        <v>11771</v>
      </c>
      <c r="B3034" t="s">
        <v>15267</v>
      </c>
      <c r="C3034" t="s">
        <v>2102</v>
      </c>
      <c r="D3034" t="s">
        <v>2103</v>
      </c>
      <c r="E3034" s="183">
        <v>373.65</v>
      </c>
    </row>
    <row r="3035" spans="1:5" ht="14.25">
      <c r="A3035">
        <v>39919</v>
      </c>
      <c r="B3035" t="s">
        <v>10681</v>
      </c>
      <c r="C3035" t="s">
        <v>2102</v>
      </c>
      <c r="D3035" t="s">
        <v>2103</v>
      </c>
      <c r="E3035" s="184">
        <v>60879.54</v>
      </c>
    </row>
    <row r="3036" spans="1:5" ht="14.25">
      <c r="A3036">
        <v>38385</v>
      </c>
      <c r="B3036" t="s">
        <v>10682</v>
      </c>
      <c r="C3036" t="s">
        <v>2102</v>
      </c>
      <c r="D3036" t="s">
        <v>2103</v>
      </c>
      <c r="E3036" s="183">
        <v>54.29</v>
      </c>
    </row>
    <row r="3037" spans="1:5" ht="14.25">
      <c r="A3037">
        <v>36800</v>
      </c>
      <c r="B3037" t="s">
        <v>15268</v>
      </c>
      <c r="C3037" t="s">
        <v>2102</v>
      </c>
      <c r="D3037" t="s">
        <v>2103</v>
      </c>
      <c r="E3037" s="183">
        <v>183.3</v>
      </c>
    </row>
    <row r="3038" spans="1:5" ht="14.25">
      <c r="A3038">
        <v>37587</v>
      </c>
      <c r="B3038" t="s">
        <v>15269</v>
      </c>
      <c r="C3038" t="s">
        <v>2102</v>
      </c>
      <c r="D3038" t="s">
        <v>2103</v>
      </c>
      <c r="E3038" s="183">
        <v>402.7</v>
      </c>
    </row>
    <row r="3039" spans="1:5" ht="14.25">
      <c r="A3039">
        <v>11561</v>
      </c>
      <c r="B3039" t="s">
        <v>10683</v>
      </c>
      <c r="C3039" t="s">
        <v>2102</v>
      </c>
      <c r="D3039" t="s">
        <v>2103</v>
      </c>
      <c r="E3039" s="183">
        <v>225.57</v>
      </c>
    </row>
    <row r="3040" spans="1:5" ht="14.25">
      <c r="A3040">
        <v>43604</v>
      </c>
      <c r="B3040" t="s">
        <v>10684</v>
      </c>
      <c r="C3040" t="s">
        <v>2102</v>
      </c>
      <c r="D3040" t="s">
        <v>2103</v>
      </c>
      <c r="E3040" s="183">
        <v>120.25</v>
      </c>
    </row>
    <row r="3041" spans="1:5" ht="14.25">
      <c r="A3041">
        <v>11560</v>
      </c>
      <c r="B3041" t="s">
        <v>10685</v>
      </c>
      <c r="C3041" t="s">
        <v>2102</v>
      </c>
      <c r="D3041" t="s">
        <v>2103</v>
      </c>
      <c r="E3041" s="183">
        <v>174.1</v>
      </c>
    </row>
    <row r="3042" spans="1:5" ht="14.25">
      <c r="A3042">
        <v>11499</v>
      </c>
      <c r="B3042" t="s">
        <v>10686</v>
      </c>
      <c r="C3042" t="s">
        <v>2102</v>
      </c>
      <c r="D3042" t="s">
        <v>2103</v>
      </c>
      <c r="E3042" s="183">
        <v>800.54</v>
      </c>
    </row>
    <row r="3043" spans="1:5" ht="14.25">
      <c r="A3043">
        <v>34761</v>
      </c>
      <c r="B3043" t="s">
        <v>15270</v>
      </c>
      <c r="C3043" t="s">
        <v>2106</v>
      </c>
      <c r="D3043" t="s">
        <v>2103</v>
      </c>
      <c r="E3043" s="183">
        <v>22.09</v>
      </c>
    </row>
    <row r="3044" spans="1:5" ht="14.25">
      <c r="A3044">
        <v>40924</v>
      </c>
      <c r="B3044" t="s">
        <v>10687</v>
      </c>
      <c r="C3044" t="s">
        <v>2123</v>
      </c>
      <c r="D3044" t="s">
        <v>2103</v>
      </c>
      <c r="E3044" s="184">
        <v>3875.48</v>
      </c>
    </row>
    <row r="3045" spans="1:5" ht="14.25">
      <c r="A3045">
        <v>40983</v>
      </c>
      <c r="B3045" t="s">
        <v>10688</v>
      </c>
      <c r="C3045" t="s">
        <v>2123</v>
      </c>
      <c r="D3045" t="s">
        <v>2103</v>
      </c>
      <c r="E3045" s="184">
        <v>4092.5</v>
      </c>
    </row>
    <row r="3046" spans="1:5" ht="14.25">
      <c r="A3046">
        <v>44497</v>
      </c>
      <c r="B3046" t="s">
        <v>13610</v>
      </c>
      <c r="C3046" t="s">
        <v>2106</v>
      </c>
      <c r="D3046" t="s">
        <v>2103</v>
      </c>
      <c r="E3046" s="183">
        <v>23.33</v>
      </c>
    </row>
    <row r="3047" spans="1:5" ht="14.25">
      <c r="A3047">
        <v>2437</v>
      </c>
      <c r="B3047" t="s">
        <v>15271</v>
      </c>
      <c r="C3047" t="s">
        <v>2106</v>
      </c>
      <c r="D3047" t="s">
        <v>2103</v>
      </c>
      <c r="E3047" s="183">
        <v>31.12</v>
      </c>
    </row>
    <row r="3048" spans="1:5" ht="14.25">
      <c r="A3048">
        <v>40921</v>
      </c>
      <c r="B3048" t="s">
        <v>10689</v>
      </c>
      <c r="C3048" t="s">
        <v>2123</v>
      </c>
      <c r="D3048" t="s">
        <v>2103</v>
      </c>
      <c r="E3048" s="184">
        <v>5457.35</v>
      </c>
    </row>
    <row r="3049" spans="1:5" ht="14.25">
      <c r="A3049">
        <v>14252</v>
      </c>
      <c r="B3049" t="s">
        <v>10690</v>
      </c>
      <c r="C3049" t="s">
        <v>2102</v>
      </c>
      <c r="D3049" t="s">
        <v>2103</v>
      </c>
      <c r="E3049" s="184">
        <v>2812.61</v>
      </c>
    </row>
    <row r="3050" spans="1:5" ht="14.25">
      <c r="A3050">
        <v>730</v>
      </c>
      <c r="B3050" t="s">
        <v>10691</v>
      </c>
      <c r="C3050" t="s">
        <v>2102</v>
      </c>
      <c r="D3050" t="s">
        <v>2103</v>
      </c>
      <c r="E3050" s="184">
        <v>7514.77</v>
      </c>
    </row>
    <row r="3051" spans="1:5" ht="14.25">
      <c r="A3051">
        <v>723</v>
      </c>
      <c r="B3051" t="s">
        <v>10692</v>
      </c>
      <c r="C3051" t="s">
        <v>2102</v>
      </c>
      <c r="D3051" t="s">
        <v>2103</v>
      </c>
      <c r="E3051" s="184">
        <v>3735.1</v>
      </c>
    </row>
    <row r="3052" spans="1:5" ht="14.25">
      <c r="A3052">
        <v>36502</v>
      </c>
      <c r="B3052" t="s">
        <v>10693</v>
      </c>
      <c r="C3052" t="s">
        <v>2102</v>
      </c>
      <c r="D3052" t="s">
        <v>2103</v>
      </c>
      <c r="E3052" s="184">
        <v>3510.55</v>
      </c>
    </row>
    <row r="3053" spans="1:5" ht="14.25">
      <c r="A3053">
        <v>36503</v>
      </c>
      <c r="B3053" t="s">
        <v>10694</v>
      </c>
      <c r="C3053" t="s">
        <v>2102</v>
      </c>
      <c r="D3053" t="s">
        <v>2103</v>
      </c>
      <c r="E3053" s="184">
        <v>4328.93</v>
      </c>
    </row>
    <row r="3054" spans="1:5" ht="14.25">
      <c r="A3054">
        <v>4090</v>
      </c>
      <c r="B3054" t="s">
        <v>10695</v>
      </c>
      <c r="C3054" t="s">
        <v>2102</v>
      </c>
      <c r="D3054" t="s">
        <v>2107</v>
      </c>
      <c r="E3054" s="184">
        <v>1161300</v>
      </c>
    </row>
    <row r="3055" spans="1:5" ht="14.25">
      <c r="A3055">
        <v>13227</v>
      </c>
      <c r="B3055" t="s">
        <v>10696</v>
      </c>
      <c r="C3055" t="s">
        <v>2102</v>
      </c>
      <c r="D3055" t="s">
        <v>2103</v>
      </c>
      <c r="E3055" s="184">
        <v>1443060.06</v>
      </c>
    </row>
    <row r="3056" spans="1:5" ht="14.25">
      <c r="A3056">
        <v>10597</v>
      </c>
      <c r="B3056" t="s">
        <v>10697</v>
      </c>
      <c r="C3056" t="s">
        <v>2102</v>
      </c>
      <c r="D3056" t="s">
        <v>2103</v>
      </c>
      <c r="E3056" s="184">
        <v>1519006.87</v>
      </c>
    </row>
    <row r="3057" spans="1:5" ht="14.25">
      <c r="A3057">
        <v>39628</v>
      </c>
      <c r="B3057" t="s">
        <v>10698</v>
      </c>
      <c r="C3057" t="s">
        <v>2102</v>
      </c>
      <c r="D3057" t="s">
        <v>2105</v>
      </c>
      <c r="E3057" s="184">
        <v>3661.75</v>
      </c>
    </row>
    <row r="3058" spans="1:5" ht="14.25">
      <c r="A3058">
        <v>39404</v>
      </c>
      <c r="B3058" t="s">
        <v>10699</v>
      </c>
      <c r="C3058" t="s">
        <v>2102</v>
      </c>
      <c r="D3058" t="s">
        <v>2105</v>
      </c>
      <c r="E3058" s="184">
        <v>1815.74</v>
      </c>
    </row>
    <row r="3059" spans="1:5" ht="14.25">
      <c r="A3059">
        <v>39402</v>
      </c>
      <c r="B3059" t="s">
        <v>10700</v>
      </c>
      <c r="C3059" t="s">
        <v>2102</v>
      </c>
      <c r="D3059" t="s">
        <v>2105</v>
      </c>
      <c r="E3059" s="184">
        <v>1495.82</v>
      </c>
    </row>
    <row r="3060" spans="1:5" ht="14.25">
      <c r="A3060">
        <v>39403</v>
      </c>
      <c r="B3060" t="s">
        <v>10701</v>
      </c>
      <c r="C3060" t="s">
        <v>2102</v>
      </c>
      <c r="D3060" t="s">
        <v>2105</v>
      </c>
      <c r="E3060" s="184">
        <v>1463.29</v>
      </c>
    </row>
    <row r="3061" spans="1:5" ht="14.25">
      <c r="A3061">
        <v>4093</v>
      </c>
      <c r="B3061" t="s">
        <v>18536</v>
      </c>
      <c r="C3061" t="s">
        <v>2106</v>
      </c>
      <c r="D3061" t="s">
        <v>2107</v>
      </c>
      <c r="E3061" s="183">
        <v>20.79</v>
      </c>
    </row>
    <row r="3062" spans="1:5" ht="14.25">
      <c r="A3062">
        <v>10512</v>
      </c>
      <c r="B3062" t="s">
        <v>10702</v>
      </c>
      <c r="C3062" t="s">
        <v>2123</v>
      </c>
      <c r="D3062" t="s">
        <v>2103</v>
      </c>
      <c r="E3062" s="184">
        <v>3644.67</v>
      </c>
    </row>
    <row r="3063" spans="1:5" ht="14.25">
      <c r="A3063">
        <v>4243</v>
      </c>
      <c r="B3063" t="s">
        <v>18537</v>
      </c>
      <c r="C3063" t="s">
        <v>2106</v>
      </c>
      <c r="D3063" t="s">
        <v>2103</v>
      </c>
      <c r="E3063" s="183">
        <v>24.78</v>
      </c>
    </row>
    <row r="3064" spans="1:5" ht="14.25">
      <c r="A3064">
        <v>20020</v>
      </c>
      <c r="B3064" t="s">
        <v>18538</v>
      </c>
      <c r="C3064" t="s">
        <v>2106</v>
      </c>
      <c r="D3064" t="s">
        <v>2103</v>
      </c>
      <c r="E3064" s="183">
        <v>21.59</v>
      </c>
    </row>
    <row r="3065" spans="1:5" ht="14.25">
      <c r="A3065">
        <v>41038</v>
      </c>
      <c r="B3065" t="s">
        <v>10703</v>
      </c>
      <c r="C3065" t="s">
        <v>2123</v>
      </c>
      <c r="D3065" t="s">
        <v>2103</v>
      </c>
      <c r="E3065" s="184">
        <v>3787.54</v>
      </c>
    </row>
    <row r="3066" spans="1:5" ht="14.25">
      <c r="A3066">
        <v>4094</v>
      </c>
      <c r="B3066" t="s">
        <v>18539</v>
      </c>
      <c r="C3066" t="s">
        <v>2106</v>
      </c>
      <c r="D3066" t="s">
        <v>2103</v>
      </c>
      <c r="E3066" s="183">
        <v>25.85</v>
      </c>
    </row>
    <row r="3067" spans="1:5" ht="14.25">
      <c r="A3067">
        <v>40988</v>
      </c>
      <c r="B3067" t="s">
        <v>10704</v>
      </c>
      <c r="C3067" t="s">
        <v>2123</v>
      </c>
      <c r="D3067" t="s">
        <v>2103</v>
      </c>
      <c r="E3067" s="184">
        <v>4533.32</v>
      </c>
    </row>
    <row r="3068" spans="1:5" ht="14.25">
      <c r="A3068">
        <v>4095</v>
      </c>
      <c r="B3068" t="s">
        <v>18540</v>
      </c>
      <c r="C3068" t="s">
        <v>2106</v>
      </c>
      <c r="D3068" t="s">
        <v>2103</v>
      </c>
      <c r="E3068" s="183">
        <v>17.29</v>
      </c>
    </row>
    <row r="3069" spans="1:5" ht="14.25">
      <c r="A3069">
        <v>40990</v>
      </c>
      <c r="B3069" t="s">
        <v>10705</v>
      </c>
      <c r="C3069" t="s">
        <v>2123</v>
      </c>
      <c r="D3069" t="s">
        <v>2103</v>
      </c>
      <c r="E3069" s="184">
        <v>3035.9</v>
      </c>
    </row>
    <row r="3070" spans="1:5" ht="14.25">
      <c r="A3070">
        <v>4096</v>
      </c>
      <c r="B3070" t="s">
        <v>18541</v>
      </c>
      <c r="C3070" t="s">
        <v>2106</v>
      </c>
      <c r="D3070" t="s">
        <v>2103</v>
      </c>
      <c r="E3070" s="183">
        <v>22.53</v>
      </c>
    </row>
    <row r="3071" spans="1:5" ht="14.25">
      <c r="A3071">
        <v>40992</v>
      </c>
      <c r="B3071" t="s">
        <v>10706</v>
      </c>
      <c r="C3071" t="s">
        <v>2123</v>
      </c>
      <c r="D3071" t="s">
        <v>2103</v>
      </c>
      <c r="E3071" s="184">
        <v>3952.67</v>
      </c>
    </row>
    <row r="3072" spans="1:5" ht="14.25">
      <c r="A3072">
        <v>4114</v>
      </c>
      <c r="B3072" t="s">
        <v>10707</v>
      </c>
      <c r="C3072" t="s">
        <v>2102</v>
      </c>
      <c r="D3072" t="s">
        <v>2103</v>
      </c>
      <c r="E3072" s="183">
        <v>85.56</v>
      </c>
    </row>
    <row r="3073" spans="1:5" ht="14.25">
      <c r="A3073">
        <v>36797</v>
      </c>
      <c r="B3073" t="s">
        <v>10708</v>
      </c>
      <c r="C3073" t="s">
        <v>2102</v>
      </c>
      <c r="D3073" t="s">
        <v>2103</v>
      </c>
      <c r="E3073" s="183">
        <v>76.180000000000007</v>
      </c>
    </row>
    <row r="3074" spans="1:5" ht="14.25">
      <c r="A3074">
        <v>4107</v>
      </c>
      <c r="B3074" t="s">
        <v>10709</v>
      </c>
      <c r="C3074" t="s">
        <v>2102</v>
      </c>
      <c r="D3074" t="s">
        <v>2103</v>
      </c>
      <c r="E3074" s="183">
        <v>71.83</v>
      </c>
    </row>
    <row r="3075" spans="1:5" ht="14.25">
      <c r="A3075">
        <v>4102</v>
      </c>
      <c r="B3075" t="s">
        <v>10710</v>
      </c>
      <c r="C3075" t="s">
        <v>2102</v>
      </c>
      <c r="D3075" t="s">
        <v>2107</v>
      </c>
      <c r="E3075" s="183">
        <v>87.68</v>
      </c>
    </row>
    <row r="3076" spans="1:5" ht="14.25">
      <c r="A3076">
        <v>36799</v>
      </c>
      <c r="B3076" t="s">
        <v>10711</v>
      </c>
      <c r="C3076" t="s">
        <v>2102</v>
      </c>
      <c r="D3076" t="s">
        <v>2103</v>
      </c>
      <c r="E3076" s="183">
        <v>73.94</v>
      </c>
    </row>
    <row r="3077" spans="1:5" ht="14.25">
      <c r="A3077">
        <v>2747</v>
      </c>
      <c r="B3077" t="s">
        <v>10712</v>
      </c>
      <c r="C3077" t="s">
        <v>2109</v>
      </c>
      <c r="D3077" t="s">
        <v>2105</v>
      </c>
      <c r="E3077" s="183">
        <v>27.82</v>
      </c>
    </row>
    <row r="3078" spans="1:5" ht="14.25">
      <c r="A3078">
        <v>21138</v>
      </c>
      <c r="B3078" t="s">
        <v>10713</v>
      </c>
      <c r="C3078" t="s">
        <v>2109</v>
      </c>
      <c r="D3078" t="s">
        <v>2105</v>
      </c>
      <c r="E3078" s="183">
        <v>8.82</v>
      </c>
    </row>
    <row r="3079" spans="1:5" ht="14.25">
      <c r="A3079">
        <v>10826</v>
      </c>
      <c r="B3079" t="s">
        <v>10714</v>
      </c>
      <c r="C3079" t="s">
        <v>2102</v>
      </c>
      <c r="D3079" t="s">
        <v>2103</v>
      </c>
      <c r="E3079" s="183">
        <v>81.319999999999993</v>
      </c>
    </row>
    <row r="3080" spans="1:5" ht="14.25">
      <c r="A3080">
        <v>365</v>
      </c>
      <c r="B3080" t="s">
        <v>10715</v>
      </c>
      <c r="C3080" t="s">
        <v>2102</v>
      </c>
      <c r="D3080" t="s">
        <v>2103</v>
      </c>
      <c r="E3080" s="183">
        <v>50.41</v>
      </c>
    </row>
    <row r="3081" spans="1:5" ht="14.25">
      <c r="A3081">
        <v>38639</v>
      </c>
      <c r="B3081" t="s">
        <v>15272</v>
      </c>
      <c r="C3081" t="s">
        <v>2102</v>
      </c>
      <c r="D3081" t="s">
        <v>2103</v>
      </c>
      <c r="E3081" s="183">
        <v>195.17</v>
      </c>
    </row>
    <row r="3082" spans="1:5" ht="14.25">
      <c r="A3082">
        <v>38640</v>
      </c>
      <c r="B3082" t="s">
        <v>10716</v>
      </c>
      <c r="C3082" t="s">
        <v>2102</v>
      </c>
      <c r="D3082" t="s">
        <v>2103</v>
      </c>
      <c r="E3082" s="183">
        <v>2.92</v>
      </c>
    </row>
    <row r="3083" spans="1:5" ht="14.25">
      <c r="A3083">
        <v>358</v>
      </c>
      <c r="B3083" t="s">
        <v>10717</v>
      </c>
      <c r="C3083" t="s">
        <v>2102</v>
      </c>
      <c r="D3083" t="s">
        <v>2103</v>
      </c>
      <c r="E3083" s="183">
        <v>60.17</v>
      </c>
    </row>
    <row r="3084" spans="1:5" ht="14.25">
      <c r="A3084">
        <v>359</v>
      </c>
      <c r="B3084" t="s">
        <v>10718</v>
      </c>
      <c r="C3084" t="s">
        <v>2102</v>
      </c>
      <c r="D3084" t="s">
        <v>2103</v>
      </c>
      <c r="E3084" s="183">
        <v>123.6</v>
      </c>
    </row>
    <row r="3085" spans="1:5" ht="14.25">
      <c r="A3085">
        <v>38641</v>
      </c>
      <c r="B3085" t="s">
        <v>15273</v>
      </c>
      <c r="C3085" t="s">
        <v>2102</v>
      </c>
      <c r="D3085" t="s">
        <v>2103</v>
      </c>
      <c r="E3085" s="183">
        <v>121.98</v>
      </c>
    </row>
    <row r="3086" spans="1:5" ht="14.25">
      <c r="A3086">
        <v>360</v>
      </c>
      <c r="B3086" t="s">
        <v>10719</v>
      </c>
      <c r="C3086" t="s">
        <v>2102</v>
      </c>
      <c r="D3086" t="s">
        <v>2107</v>
      </c>
      <c r="E3086" s="183">
        <v>2.83</v>
      </c>
    </row>
    <row r="3087" spans="1:5" ht="14.25">
      <c r="A3087">
        <v>42430</v>
      </c>
      <c r="B3087" t="s">
        <v>10720</v>
      </c>
      <c r="C3087" t="s">
        <v>2102</v>
      </c>
      <c r="D3087" t="s">
        <v>2105</v>
      </c>
      <c r="E3087" s="184">
        <v>6434.22</v>
      </c>
    </row>
    <row r="3088" spans="1:5" ht="14.25">
      <c r="A3088">
        <v>4209</v>
      </c>
      <c r="B3088" t="s">
        <v>10721</v>
      </c>
      <c r="C3088" t="s">
        <v>2102</v>
      </c>
      <c r="D3088" t="s">
        <v>2105</v>
      </c>
      <c r="E3088" s="183">
        <v>25.23</v>
      </c>
    </row>
    <row r="3089" spans="1:5" ht="14.25">
      <c r="A3089">
        <v>4180</v>
      </c>
      <c r="B3089" t="s">
        <v>10722</v>
      </c>
      <c r="C3089" t="s">
        <v>2102</v>
      </c>
      <c r="D3089" t="s">
        <v>2105</v>
      </c>
      <c r="E3089" s="183">
        <v>18.989999999999998</v>
      </c>
    </row>
    <row r="3090" spans="1:5" ht="14.25">
      <c r="A3090">
        <v>4177</v>
      </c>
      <c r="B3090" t="s">
        <v>10723</v>
      </c>
      <c r="C3090" t="s">
        <v>2102</v>
      </c>
      <c r="D3090" t="s">
        <v>2105</v>
      </c>
      <c r="E3090" s="183">
        <v>6.3</v>
      </c>
    </row>
    <row r="3091" spans="1:5" ht="14.25">
      <c r="A3091">
        <v>4179</v>
      </c>
      <c r="B3091" t="s">
        <v>10724</v>
      </c>
      <c r="C3091" t="s">
        <v>2102</v>
      </c>
      <c r="D3091" t="s">
        <v>2105</v>
      </c>
      <c r="E3091" s="183">
        <v>12.9</v>
      </c>
    </row>
    <row r="3092" spans="1:5" ht="14.25">
      <c r="A3092">
        <v>4208</v>
      </c>
      <c r="B3092" t="s">
        <v>10725</v>
      </c>
      <c r="C3092" t="s">
        <v>2102</v>
      </c>
      <c r="D3092" t="s">
        <v>2105</v>
      </c>
      <c r="E3092" s="183">
        <v>60.06</v>
      </c>
    </row>
    <row r="3093" spans="1:5" ht="14.25">
      <c r="A3093">
        <v>4181</v>
      </c>
      <c r="B3093" t="s">
        <v>10726</v>
      </c>
      <c r="C3093" t="s">
        <v>2102</v>
      </c>
      <c r="D3093" t="s">
        <v>2105</v>
      </c>
      <c r="E3093" s="183">
        <v>39.24</v>
      </c>
    </row>
    <row r="3094" spans="1:5" ht="14.25">
      <c r="A3094">
        <v>4178</v>
      </c>
      <c r="B3094" t="s">
        <v>10727</v>
      </c>
      <c r="C3094" t="s">
        <v>2102</v>
      </c>
      <c r="D3094" t="s">
        <v>2105</v>
      </c>
      <c r="E3094" s="183">
        <v>8.74</v>
      </c>
    </row>
    <row r="3095" spans="1:5" ht="14.25">
      <c r="A3095">
        <v>4182</v>
      </c>
      <c r="B3095" t="s">
        <v>10728</v>
      </c>
      <c r="C3095" t="s">
        <v>2102</v>
      </c>
      <c r="D3095" t="s">
        <v>2105</v>
      </c>
      <c r="E3095" s="183">
        <v>97.7</v>
      </c>
    </row>
    <row r="3096" spans="1:5" ht="14.25">
      <c r="A3096">
        <v>4183</v>
      </c>
      <c r="B3096" t="s">
        <v>10729</v>
      </c>
      <c r="C3096" t="s">
        <v>2102</v>
      </c>
      <c r="D3096" t="s">
        <v>2105</v>
      </c>
      <c r="E3096" s="183">
        <v>157.29</v>
      </c>
    </row>
    <row r="3097" spans="1:5" ht="14.25">
      <c r="A3097">
        <v>4184</v>
      </c>
      <c r="B3097" t="s">
        <v>10730</v>
      </c>
      <c r="C3097" t="s">
        <v>2102</v>
      </c>
      <c r="D3097" t="s">
        <v>2105</v>
      </c>
      <c r="E3097" s="183">
        <v>347.21</v>
      </c>
    </row>
    <row r="3098" spans="1:5" ht="14.25">
      <c r="A3098">
        <v>4185</v>
      </c>
      <c r="B3098" t="s">
        <v>10731</v>
      </c>
      <c r="C3098" t="s">
        <v>2102</v>
      </c>
      <c r="D3098" t="s">
        <v>2105</v>
      </c>
      <c r="E3098" s="183">
        <v>576.91</v>
      </c>
    </row>
    <row r="3099" spans="1:5" ht="14.25">
      <c r="A3099">
        <v>4205</v>
      </c>
      <c r="B3099" t="s">
        <v>10732</v>
      </c>
      <c r="C3099" t="s">
        <v>2102</v>
      </c>
      <c r="D3099" t="s">
        <v>2105</v>
      </c>
      <c r="E3099" s="183">
        <v>33.32</v>
      </c>
    </row>
    <row r="3100" spans="1:5" ht="14.25">
      <c r="A3100">
        <v>4192</v>
      </c>
      <c r="B3100" t="s">
        <v>10733</v>
      </c>
      <c r="C3100" t="s">
        <v>2102</v>
      </c>
      <c r="D3100" t="s">
        <v>2105</v>
      </c>
      <c r="E3100" s="183">
        <v>33.32</v>
      </c>
    </row>
    <row r="3101" spans="1:5" ht="14.25">
      <c r="A3101">
        <v>4191</v>
      </c>
      <c r="B3101" t="s">
        <v>10734</v>
      </c>
      <c r="C3101" t="s">
        <v>2102</v>
      </c>
      <c r="D3101" t="s">
        <v>2105</v>
      </c>
      <c r="E3101" s="183">
        <v>33.32</v>
      </c>
    </row>
    <row r="3102" spans="1:5" ht="14.25">
      <c r="A3102">
        <v>4207</v>
      </c>
      <c r="B3102" t="s">
        <v>10735</v>
      </c>
      <c r="C3102" t="s">
        <v>2102</v>
      </c>
      <c r="D3102" t="s">
        <v>2105</v>
      </c>
      <c r="E3102" s="183">
        <v>26.81</v>
      </c>
    </row>
    <row r="3103" spans="1:5" ht="14.25">
      <c r="A3103">
        <v>4206</v>
      </c>
      <c r="B3103" t="s">
        <v>10736</v>
      </c>
      <c r="C3103" t="s">
        <v>2102</v>
      </c>
      <c r="D3103" t="s">
        <v>2105</v>
      </c>
      <c r="E3103" s="183">
        <v>26.03</v>
      </c>
    </row>
    <row r="3104" spans="1:5" ht="14.25">
      <c r="A3104">
        <v>4190</v>
      </c>
      <c r="B3104" t="s">
        <v>10737</v>
      </c>
      <c r="C3104" t="s">
        <v>2102</v>
      </c>
      <c r="D3104" t="s">
        <v>2105</v>
      </c>
      <c r="E3104" s="183">
        <v>26.03</v>
      </c>
    </row>
    <row r="3105" spans="1:5" ht="14.25">
      <c r="A3105">
        <v>4186</v>
      </c>
      <c r="B3105" t="s">
        <v>10738</v>
      </c>
      <c r="C3105" t="s">
        <v>2102</v>
      </c>
      <c r="D3105" t="s">
        <v>2105</v>
      </c>
      <c r="E3105" s="183">
        <v>7.69</v>
      </c>
    </row>
    <row r="3106" spans="1:5" ht="14.25">
      <c r="A3106">
        <v>4188</v>
      </c>
      <c r="B3106" t="s">
        <v>10739</v>
      </c>
      <c r="C3106" t="s">
        <v>2102</v>
      </c>
      <c r="D3106" t="s">
        <v>2105</v>
      </c>
      <c r="E3106" s="183">
        <v>15.71</v>
      </c>
    </row>
    <row r="3107" spans="1:5" ht="14.25">
      <c r="A3107">
        <v>4189</v>
      </c>
      <c r="B3107" t="s">
        <v>10740</v>
      </c>
      <c r="C3107" t="s">
        <v>2102</v>
      </c>
      <c r="D3107" t="s">
        <v>2105</v>
      </c>
      <c r="E3107" s="183">
        <v>15.71</v>
      </c>
    </row>
    <row r="3108" spans="1:5" ht="14.25">
      <c r="A3108">
        <v>4197</v>
      </c>
      <c r="B3108" t="s">
        <v>10741</v>
      </c>
      <c r="C3108" t="s">
        <v>2102</v>
      </c>
      <c r="D3108" t="s">
        <v>2105</v>
      </c>
      <c r="E3108" s="183">
        <v>83.19</v>
      </c>
    </row>
    <row r="3109" spans="1:5" ht="14.25">
      <c r="A3109">
        <v>4194</v>
      </c>
      <c r="B3109" t="s">
        <v>10742</v>
      </c>
      <c r="C3109" t="s">
        <v>2102</v>
      </c>
      <c r="D3109" t="s">
        <v>2105</v>
      </c>
      <c r="E3109" s="183">
        <v>50.27</v>
      </c>
    </row>
    <row r="3110" spans="1:5" ht="14.25">
      <c r="A3110">
        <v>4193</v>
      </c>
      <c r="B3110" t="s">
        <v>10743</v>
      </c>
      <c r="C3110" t="s">
        <v>2102</v>
      </c>
      <c r="D3110" t="s">
        <v>2105</v>
      </c>
      <c r="E3110" s="183">
        <v>50.27</v>
      </c>
    </row>
    <row r="3111" spans="1:5" ht="14.25">
      <c r="A3111">
        <v>4204</v>
      </c>
      <c r="B3111" t="s">
        <v>10744</v>
      </c>
      <c r="C3111" t="s">
        <v>2102</v>
      </c>
      <c r="D3111" t="s">
        <v>2105</v>
      </c>
      <c r="E3111" s="183">
        <v>50.27</v>
      </c>
    </row>
    <row r="3112" spans="1:5" ht="14.25">
      <c r="A3112">
        <v>4187</v>
      </c>
      <c r="B3112" t="s">
        <v>10745</v>
      </c>
      <c r="C3112" t="s">
        <v>2102</v>
      </c>
      <c r="D3112" t="s">
        <v>2105</v>
      </c>
      <c r="E3112" s="183">
        <v>10.02</v>
      </c>
    </row>
    <row r="3113" spans="1:5" ht="14.25">
      <c r="A3113">
        <v>4202</v>
      </c>
      <c r="B3113" t="s">
        <v>10746</v>
      </c>
      <c r="C3113" t="s">
        <v>2102</v>
      </c>
      <c r="D3113" t="s">
        <v>2105</v>
      </c>
      <c r="E3113" s="183">
        <v>151.93</v>
      </c>
    </row>
    <row r="3114" spans="1:5" ht="14.25">
      <c r="A3114">
        <v>4203</v>
      </c>
      <c r="B3114" t="s">
        <v>10747</v>
      </c>
      <c r="C3114" t="s">
        <v>2102</v>
      </c>
      <c r="D3114" t="s">
        <v>2105</v>
      </c>
      <c r="E3114" s="183">
        <v>134.18</v>
      </c>
    </row>
    <row r="3115" spans="1:5" ht="14.25">
      <c r="A3115">
        <v>40368</v>
      </c>
      <c r="B3115" t="s">
        <v>10748</v>
      </c>
      <c r="C3115" t="s">
        <v>2102</v>
      </c>
      <c r="D3115" t="s">
        <v>2103</v>
      </c>
      <c r="E3115" s="183">
        <v>71.959999999999994</v>
      </c>
    </row>
    <row r="3116" spans="1:5" ht="14.25">
      <c r="A3116">
        <v>40365</v>
      </c>
      <c r="B3116" t="s">
        <v>10749</v>
      </c>
      <c r="C3116" t="s">
        <v>2102</v>
      </c>
      <c r="D3116" t="s">
        <v>2103</v>
      </c>
      <c r="E3116" s="183">
        <v>48.54</v>
      </c>
    </row>
    <row r="3117" spans="1:5" ht="14.25">
      <c r="A3117">
        <v>40356</v>
      </c>
      <c r="B3117" t="s">
        <v>10750</v>
      </c>
      <c r="C3117" t="s">
        <v>2102</v>
      </c>
      <c r="D3117" t="s">
        <v>2103</v>
      </c>
      <c r="E3117" s="183">
        <v>16.579999999999998</v>
      </c>
    </row>
    <row r="3118" spans="1:5" ht="14.25">
      <c r="A3118">
        <v>40362</v>
      </c>
      <c r="B3118" t="s">
        <v>10751</v>
      </c>
      <c r="C3118" t="s">
        <v>2102</v>
      </c>
      <c r="D3118" t="s">
        <v>2103</v>
      </c>
      <c r="E3118" s="183">
        <v>32.15</v>
      </c>
    </row>
    <row r="3119" spans="1:5" ht="14.25">
      <c r="A3119">
        <v>40374</v>
      </c>
      <c r="B3119" t="s">
        <v>10752</v>
      </c>
      <c r="C3119" t="s">
        <v>2102</v>
      </c>
      <c r="D3119" t="s">
        <v>2103</v>
      </c>
      <c r="E3119" s="183">
        <v>188.06</v>
      </c>
    </row>
    <row r="3120" spans="1:5" ht="14.25">
      <c r="A3120">
        <v>40371</v>
      </c>
      <c r="B3120" t="s">
        <v>10753</v>
      </c>
      <c r="C3120" t="s">
        <v>2102</v>
      </c>
      <c r="D3120" t="s">
        <v>2103</v>
      </c>
      <c r="E3120" s="183">
        <v>118.38</v>
      </c>
    </row>
    <row r="3121" spans="1:5" ht="14.25">
      <c r="A3121">
        <v>40359</v>
      </c>
      <c r="B3121" t="s">
        <v>10754</v>
      </c>
      <c r="C3121" t="s">
        <v>2102</v>
      </c>
      <c r="D3121" t="s">
        <v>2103</v>
      </c>
      <c r="E3121" s="183">
        <v>21.42</v>
      </c>
    </row>
    <row r="3122" spans="1:5" ht="14.25">
      <c r="A3122">
        <v>7595</v>
      </c>
      <c r="B3122" t="s">
        <v>15274</v>
      </c>
      <c r="C3122" t="s">
        <v>2106</v>
      </c>
      <c r="D3122" t="s">
        <v>2103</v>
      </c>
      <c r="E3122" s="183">
        <v>16.170000000000002</v>
      </c>
    </row>
    <row r="3123" spans="1:5" ht="14.25">
      <c r="A3123">
        <v>41094</v>
      </c>
      <c r="B3123" t="s">
        <v>10755</v>
      </c>
      <c r="C3123" t="s">
        <v>2123</v>
      </c>
      <c r="D3123" t="s">
        <v>2103</v>
      </c>
      <c r="E3123" s="184">
        <v>2834.63</v>
      </c>
    </row>
    <row r="3124" spans="1:5" ht="14.25">
      <c r="A3124">
        <v>39609</v>
      </c>
      <c r="B3124" t="s">
        <v>10756</v>
      </c>
      <c r="C3124" t="s">
        <v>2102</v>
      </c>
      <c r="D3124" t="s">
        <v>2105</v>
      </c>
      <c r="E3124" s="184">
        <v>61481.05</v>
      </c>
    </row>
    <row r="3125" spans="1:5" ht="14.25">
      <c r="A3125">
        <v>39610</v>
      </c>
      <c r="B3125" t="s">
        <v>10757</v>
      </c>
      <c r="C3125" t="s">
        <v>2102</v>
      </c>
      <c r="D3125" t="s">
        <v>2105</v>
      </c>
      <c r="E3125" s="184">
        <v>89743.15</v>
      </c>
    </row>
    <row r="3126" spans="1:5" ht="14.25">
      <c r="A3126">
        <v>39611</v>
      </c>
      <c r="B3126" t="s">
        <v>10758</v>
      </c>
      <c r="C3126" t="s">
        <v>2102</v>
      </c>
      <c r="D3126" t="s">
        <v>2105</v>
      </c>
      <c r="E3126" s="184">
        <v>108603.91</v>
      </c>
    </row>
    <row r="3127" spans="1:5" ht="14.25">
      <c r="A3127">
        <v>39612</v>
      </c>
      <c r="B3127" t="s">
        <v>10759</v>
      </c>
      <c r="C3127" t="s">
        <v>2102</v>
      </c>
      <c r="D3127" t="s">
        <v>2105</v>
      </c>
      <c r="E3127" s="184">
        <v>170130.47</v>
      </c>
    </row>
    <row r="3128" spans="1:5" ht="14.25">
      <c r="A3128">
        <v>39608</v>
      </c>
      <c r="B3128" t="s">
        <v>10760</v>
      </c>
      <c r="C3128" t="s">
        <v>2102</v>
      </c>
      <c r="D3128" t="s">
        <v>2105</v>
      </c>
      <c r="E3128" s="184">
        <v>49159.6</v>
      </c>
    </row>
    <row r="3129" spans="1:5" ht="14.25">
      <c r="A3129">
        <v>38175</v>
      </c>
      <c r="B3129" t="s">
        <v>10761</v>
      </c>
      <c r="C3129" t="s">
        <v>2102</v>
      </c>
      <c r="D3129" t="s">
        <v>2103</v>
      </c>
      <c r="E3129" s="183">
        <v>4.5199999999999996</v>
      </c>
    </row>
    <row r="3130" spans="1:5" ht="14.25">
      <c r="A3130">
        <v>38176</v>
      </c>
      <c r="B3130" t="s">
        <v>10762</v>
      </c>
      <c r="C3130" t="s">
        <v>2102</v>
      </c>
      <c r="D3130" t="s">
        <v>2103</v>
      </c>
      <c r="E3130" s="183">
        <v>13.3</v>
      </c>
    </row>
    <row r="3131" spans="1:5" ht="14.25">
      <c r="A3131">
        <v>36152</v>
      </c>
      <c r="B3131" t="s">
        <v>10763</v>
      </c>
      <c r="C3131" t="s">
        <v>2102</v>
      </c>
      <c r="D3131" t="s">
        <v>2103</v>
      </c>
      <c r="E3131" s="183">
        <v>5.9</v>
      </c>
    </row>
    <row r="3132" spans="1:5" ht="14.25">
      <c r="A3132">
        <v>4221</v>
      </c>
      <c r="B3132" t="s">
        <v>18542</v>
      </c>
      <c r="C3132" t="s">
        <v>2117</v>
      </c>
      <c r="D3132" t="s">
        <v>2107</v>
      </c>
      <c r="E3132" s="183">
        <v>5.97</v>
      </c>
    </row>
    <row r="3133" spans="1:5" ht="14.25">
      <c r="A3133">
        <v>4227</v>
      </c>
      <c r="B3133" t="s">
        <v>18543</v>
      </c>
      <c r="C3133" t="s">
        <v>2117</v>
      </c>
      <c r="D3133" t="s">
        <v>2103</v>
      </c>
      <c r="E3133" s="183">
        <v>27.84</v>
      </c>
    </row>
    <row r="3134" spans="1:5" ht="14.25">
      <c r="A3134">
        <v>38170</v>
      </c>
      <c r="B3134" t="s">
        <v>10764</v>
      </c>
      <c r="C3134" t="s">
        <v>2102</v>
      </c>
      <c r="D3134" t="s">
        <v>2103</v>
      </c>
      <c r="E3134" s="183">
        <v>19.77</v>
      </c>
    </row>
    <row r="3135" spans="1:5" ht="14.25">
      <c r="A3135">
        <v>4252</v>
      </c>
      <c r="B3135" t="s">
        <v>18544</v>
      </c>
      <c r="C3135" t="s">
        <v>2106</v>
      </c>
      <c r="D3135" t="s">
        <v>2103</v>
      </c>
      <c r="E3135" s="183">
        <v>26.54</v>
      </c>
    </row>
    <row r="3136" spans="1:5" ht="14.25">
      <c r="A3136">
        <v>40980</v>
      </c>
      <c r="B3136" t="s">
        <v>10765</v>
      </c>
      <c r="C3136" t="s">
        <v>2123</v>
      </c>
      <c r="D3136" t="s">
        <v>2103</v>
      </c>
      <c r="E3136" s="184">
        <v>4655.51</v>
      </c>
    </row>
    <row r="3137" spans="1:5" ht="14.25">
      <c r="A3137">
        <v>41031</v>
      </c>
      <c r="B3137" t="s">
        <v>10766</v>
      </c>
      <c r="C3137" t="s">
        <v>2123</v>
      </c>
      <c r="D3137" t="s">
        <v>2103</v>
      </c>
      <c r="E3137" s="184">
        <v>4344.72</v>
      </c>
    </row>
    <row r="3138" spans="1:5" ht="14.25">
      <c r="A3138">
        <v>37666</v>
      </c>
      <c r="B3138" t="s">
        <v>18545</v>
      </c>
      <c r="C3138" t="s">
        <v>2106</v>
      </c>
      <c r="D3138" t="s">
        <v>2103</v>
      </c>
      <c r="E3138" s="183">
        <v>21.18</v>
      </c>
    </row>
    <row r="3139" spans="1:5" ht="14.25">
      <c r="A3139">
        <v>40986</v>
      </c>
      <c r="B3139" t="s">
        <v>10767</v>
      </c>
      <c r="C3139" t="s">
        <v>2123</v>
      </c>
      <c r="D3139" t="s">
        <v>2103</v>
      </c>
      <c r="E3139" s="184">
        <v>3713.15</v>
      </c>
    </row>
    <row r="3140" spans="1:5" ht="14.25">
      <c r="A3140">
        <v>4250</v>
      </c>
      <c r="B3140" t="s">
        <v>18546</v>
      </c>
      <c r="C3140" t="s">
        <v>2106</v>
      </c>
      <c r="D3140" t="s">
        <v>2103</v>
      </c>
      <c r="E3140" s="183">
        <v>15.04</v>
      </c>
    </row>
    <row r="3141" spans="1:5" ht="14.25">
      <c r="A3141">
        <v>40978</v>
      </c>
      <c r="B3141" t="s">
        <v>10768</v>
      </c>
      <c r="C3141" t="s">
        <v>2123</v>
      </c>
      <c r="D3141" t="s">
        <v>2103</v>
      </c>
      <c r="E3141" s="184">
        <v>2639.79</v>
      </c>
    </row>
    <row r="3142" spans="1:5" ht="14.25">
      <c r="A3142">
        <v>44501</v>
      </c>
      <c r="B3142" t="s">
        <v>18547</v>
      </c>
      <c r="C3142" t="s">
        <v>2106</v>
      </c>
      <c r="D3142" t="s">
        <v>2103</v>
      </c>
      <c r="E3142" s="183">
        <v>24.78</v>
      </c>
    </row>
    <row r="3143" spans="1:5" ht="14.25">
      <c r="A3143">
        <v>41043</v>
      </c>
      <c r="B3143" t="s">
        <v>10769</v>
      </c>
      <c r="C3143" t="s">
        <v>2123</v>
      </c>
      <c r="D3143" t="s">
        <v>2103</v>
      </c>
      <c r="E3143" s="184">
        <v>4344.72</v>
      </c>
    </row>
    <row r="3144" spans="1:5" ht="14.25">
      <c r="A3144">
        <v>4234</v>
      </c>
      <c r="B3144" t="s">
        <v>18548</v>
      </c>
      <c r="C3144" t="s">
        <v>2106</v>
      </c>
      <c r="D3144" t="s">
        <v>2107</v>
      </c>
      <c r="E3144" s="183">
        <v>27.15</v>
      </c>
    </row>
    <row r="3145" spans="1:5" ht="14.25">
      <c r="A3145">
        <v>40987</v>
      </c>
      <c r="B3145" t="s">
        <v>10770</v>
      </c>
      <c r="C3145" t="s">
        <v>2123</v>
      </c>
      <c r="D3145" t="s">
        <v>2103</v>
      </c>
      <c r="E3145" s="184">
        <v>4759.37</v>
      </c>
    </row>
    <row r="3146" spans="1:5" ht="14.25">
      <c r="A3146">
        <v>4253</v>
      </c>
      <c r="B3146" t="s">
        <v>18549</v>
      </c>
      <c r="C3146" t="s">
        <v>2106</v>
      </c>
      <c r="D3146" t="s">
        <v>2103</v>
      </c>
      <c r="E3146" s="183">
        <v>20.62</v>
      </c>
    </row>
    <row r="3147" spans="1:5" ht="14.25">
      <c r="A3147">
        <v>40981</v>
      </c>
      <c r="B3147" t="s">
        <v>10771</v>
      </c>
      <c r="C3147" t="s">
        <v>2123</v>
      </c>
      <c r="D3147" t="s">
        <v>2103</v>
      </c>
      <c r="E3147" s="184">
        <v>3616.43</v>
      </c>
    </row>
    <row r="3148" spans="1:5" ht="14.25">
      <c r="A3148">
        <v>4254</v>
      </c>
      <c r="B3148" t="s">
        <v>18550</v>
      </c>
      <c r="C3148" t="s">
        <v>2106</v>
      </c>
      <c r="D3148" t="s">
        <v>2103</v>
      </c>
      <c r="E3148" s="183">
        <v>36.22</v>
      </c>
    </row>
    <row r="3149" spans="1:5" ht="14.25">
      <c r="A3149">
        <v>41036</v>
      </c>
      <c r="B3149" t="s">
        <v>10772</v>
      </c>
      <c r="C3149" t="s">
        <v>2123</v>
      </c>
      <c r="D3149" t="s">
        <v>2103</v>
      </c>
      <c r="E3149" s="184">
        <v>6351.49</v>
      </c>
    </row>
    <row r="3150" spans="1:5" ht="14.25">
      <c r="A3150">
        <v>4251</v>
      </c>
      <c r="B3150" t="s">
        <v>18551</v>
      </c>
      <c r="C3150" t="s">
        <v>2106</v>
      </c>
      <c r="D3150" t="s">
        <v>2103</v>
      </c>
      <c r="E3150" s="183">
        <v>16.100000000000001</v>
      </c>
    </row>
    <row r="3151" spans="1:5" ht="14.25">
      <c r="A3151">
        <v>40979</v>
      </c>
      <c r="B3151" t="s">
        <v>10773</v>
      </c>
      <c r="C3151" t="s">
        <v>2123</v>
      </c>
      <c r="D3151" t="s">
        <v>2103</v>
      </c>
      <c r="E3151" s="184">
        <v>2826.1</v>
      </c>
    </row>
    <row r="3152" spans="1:5" ht="14.25">
      <c r="A3152">
        <v>4230</v>
      </c>
      <c r="B3152" t="s">
        <v>18552</v>
      </c>
      <c r="C3152" t="s">
        <v>2106</v>
      </c>
      <c r="D3152" t="s">
        <v>2103</v>
      </c>
      <c r="E3152" s="183">
        <v>28.3</v>
      </c>
    </row>
    <row r="3153" spans="1:5" ht="14.25">
      <c r="A3153">
        <v>40998</v>
      </c>
      <c r="B3153" t="s">
        <v>18553</v>
      </c>
      <c r="C3153" t="s">
        <v>2123</v>
      </c>
      <c r="D3153" t="s">
        <v>2103</v>
      </c>
      <c r="E3153" s="184">
        <v>4963.6899999999996</v>
      </c>
    </row>
    <row r="3154" spans="1:5" ht="14.25">
      <c r="A3154">
        <v>4257</v>
      </c>
      <c r="B3154" t="s">
        <v>18554</v>
      </c>
      <c r="C3154" t="s">
        <v>2106</v>
      </c>
      <c r="D3154" t="s">
        <v>2103</v>
      </c>
      <c r="E3154" s="183">
        <v>18.53</v>
      </c>
    </row>
    <row r="3155" spans="1:5" ht="14.25">
      <c r="A3155">
        <v>40982</v>
      </c>
      <c r="B3155" t="s">
        <v>10774</v>
      </c>
      <c r="C3155" t="s">
        <v>2123</v>
      </c>
      <c r="D3155" t="s">
        <v>2103</v>
      </c>
      <c r="E3155" s="184">
        <v>3249.25</v>
      </c>
    </row>
    <row r="3156" spans="1:5" ht="14.25">
      <c r="A3156">
        <v>4240</v>
      </c>
      <c r="B3156" t="s">
        <v>18555</v>
      </c>
      <c r="C3156" t="s">
        <v>2106</v>
      </c>
      <c r="D3156" t="s">
        <v>2103</v>
      </c>
      <c r="E3156" s="183">
        <v>33.119999999999997</v>
      </c>
    </row>
    <row r="3157" spans="1:5" ht="14.25">
      <c r="A3157">
        <v>41026</v>
      </c>
      <c r="B3157" t="s">
        <v>10775</v>
      </c>
      <c r="C3157" t="s">
        <v>2123</v>
      </c>
      <c r="D3157" t="s">
        <v>2103</v>
      </c>
      <c r="E3157" s="184">
        <v>5808.07</v>
      </c>
    </row>
    <row r="3158" spans="1:5" ht="14.25">
      <c r="A3158">
        <v>4239</v>
      </c>
      <c r="B3158" t="s">
        <v>18556</v>
      </c>
      <c r="C3158" t="s">
        <v>2106</v>
      </c>
      <c r="D3158" t="s">
        <v>2103</v>
      </c>
      <c r="E3158" s="183">
        <v>33.119999999999997</v>
      </c>
    </row>
    <row r="3159" spans="1:5" ht="14.25">
      <c r="A3159">
        <v>41024</v>
      </c>
      <c r="B3159" t="s">
        <v>10776</v>
      </c>
      <c r="C3159" t="s">
        <v>2123</v>
      </c>
      <c r="D3159" t="s">
        <v>2103</v>
      </c>
      <c r="E3159" s="184">
        <v>5808.07</v>
      </c>
    </row>
    <row r="3160" spans="1:5" ht="14.25">
      <c r="A3160">
        <v>4248</v>
      </c>
      <c r="B3160" t="s">
        <v>18557</v>
      </c>
      <c r="C3160" t="s">
        <v>2106</v>
      </c>
      <c r="D3160" t="s">
        <v>2103</v>
      </c>
      <c r="E3160" s="183">
        <v>24.78</v>
      </c>
    </row>
    <row r="3161" spans="1:5" ht="14.25">
      <c r="A3161">
        <v>41033</v>
      </c>
      <c r="B3161" t="s">
        <v>10777</v>
      </c>
      <c r="C3161" t="s">
        <v>2123</v>
      </c>
      <c r="D3161" t="s">
        <v>2103</v>
      </c>
      <c r="E3161" s="184">
        <v>4344.72</v>
      </c>
    </row>
    <row r="3162" spans="1:5" ht="14.25">
      <c r="A3162">
        <v>44500</v>
      </c>
      <c r="B3162" t="s">
        <v>18558</v>
      </c>
      <c r="C3162" t="s">
        <v>2106</v>
      </c>
      <c r="D3162" t="s">
        <v>2103</v>
      </c>
      <c r="E3162" s="183">
        <v>24.78</v>
      </c>
    </row>
    <row r="3163" spans="1:5" ht="14.25">
      <c r="A3163">
        <v>41040</v>
      </c>
      <c r="B3163" t="s">
        <v>10778</v>
      </c>
      <c r="C3163" t="s">
        <v>2123</v>
      </c>
      <c r="D3163" t="s">
        <v>2103</v>
      </c>
      <c r="E3163" s="184">
        <v>4344.72</v>
      </c>
    </row>
    <row r="3164" spans="1:5" ht="14.25">
      <c r="A3164">
        <v>4238</v>
      </c>
      <c r="B3164" t="s">
        <v>18559</v>
      </c>
      <c r="C3164" t="s">
        <v>2106</v>
      </c>
      <c r="D3164" t="s">
        <v>2103</v>
      </c>
      <c r="E3164" s="183">
        <v>20.27</v>
      </c>
    </row>
    <row r="3165" spans="1:5" ht="14.25">
      <c r="A3165">
        <v>41012</v>
      </c>
      <c r="B3165" t="s">
        <v>10779</v>
      </c>
      <c r="C3165" t="s">
        <v>2123</v>
      </c>
      <c r="D3165" t="s">
        <v>2103</v>
      </c>
      <c r="E3165" s="184">
        <v>3555.95</v>
      </c>
    </row>
    <row r="3166" spans="1:5" ht="14.25">
      <c r="A3166">
        <v>4233</v>
      </c>
      <c r="B3166" t="s">
        <v>18560</v>
      </c>
      <c r="C3166" t="s">
        <v>2106</v>
      </c>
      <c r="D3166" t="s">
        <v>2103</v>
      </c>
      <c r="E3166" s="183">
        <v>33.119999999999997</v>
      </c>
    </row>
    <row r="3167" spans="1:5" ht="14.25">
      <c r="A3167">
        <v>41001</v>
      </c>
      <c r="B3167" t="s">
        <v>10780</v>
      </c>
      <c r="C3167" t="s">
        <v>2123</v>
      </c>
      <c r="D3167" t="s">
        <v>2103</v>
      </c>
      <c r="E3167" s="184">
        <v>5808.07</v>
      </c>
    </row>
    <row r="3168" spans="1:5" ht="14.25">
      <c r="A3168">
        <v>2</v>
      </c>
      <c r="B3168" t="s">
        <v>10781</v>
      </c>
      <c r="C3168" t="s">
        <v>2122</v>
      </c>
      <c r="D3168" t="s">
        <v>2107</v>
      </c>
      <c r="E3168" s="183">
        <v>19.5</v>
      </c>
    </row>
    <row r="3169" spans="1:5" ht="14.25">
      <c r="A3169">
        <v>36517</v>
      </c>
      <c r="B3169" t="s">
        <v>10782</v>
      </c>
      <c r="C3169" t="s">
        <v>2102</v>
      </c>
      <c r="D3169" t="s">
        <v>2103</v>
      </c>
      <c r="E3169" s="184">
        <v>692640</v>
      </c>
    </row>
    <row r="3170" spans="1:5" ht="14.25">
      <c r="A3170">
        <v>4262</v>
      </c>
      <c r="B3170" t="s">
        <v>10783</v>
      </c>
      <c r="C3170" t="s">
        <v>2102</v>
      </c>
      <c r="D3170" t="s">
        <v>2107</v>
      </c>
      <c r="E3170" s="184">
        <v>780000</v>
      </c>
    </row>
    <row r="3171" spans="1:5" ht="14.25">
      <c r="A3171">
        <v>4263</v>
      </c>
      <c r="B3171" t="s">
        <v>10784</v>
      </c>
      <c r="C3171" t="s">
        <v>2102</v>
      </c>
      <c r="D3171" t="s">
        <v>2103</v>
      </c>
      <c r="E3171" s="184">
        <v>1081599.94</v>
      </c>
    </row>
    <row r="3172" spans="1:5" ht="14.25">
      <c r="A3172">
        <v>36518</v>
      </c>
      <c r="B3172" t="s">
        <v>10785</v>
      </c>
      <c r="C3172" t="s">
        <v>2102</v>
      </c>
      <c r="D3172" t="s">
        <v>2103</v>
      </c>
      <c r="E3172" s="184">
        <v>1231359.94</v>
      </c>
    </row>
    <row r="3173" spans="1:5" ht="14.25">
      <c r="A3173">
        <v>14221</v>
      </c>
      <c r="B3173" t="s">
        <v>10786</v>
      </c>
      <c r="C3173" t="s">
        <v>2102</v>
      </c>
      <c r="D3173" t="s">
        <v>2103</v>
      </c>
      <c r="E3173" s="184">
        <v>718639.97</v>
      </c>
    </row>
    <row r="3174" spans="1:5" ht="14.25">
      <c r="A3174">
        <v>38402</v>
      </c>
      <c r="B3174" t="s">
        <v>10787</v>
      </c>
      <c r="C3174" t="s">
        <v>2102</v>
      </c>
      <c r="D3174" t="s">
        <v>2103</v>
      </c>
      <c r="E3174" s="183">
        <v>11.95</v>
      </c>
    </row>
    <row r="3175" spans="1:5" ht="14.25">
      <c r="A3175">
        <v>3412</v>
      </c>
      <c r="B3175" t="s">
        <v>10788</v>
      </c>
      <c r="C3175" t="s">
        <v>2104</v>
      </c>
      <c r="D3175" t="s">
        <v>2103</v>
      </c>
      <c r="E3175" s="183">
        <v>15.17</v>
      </c>
    </row>
    <row r="3176" spans="1:5" ht="14.25">
      <c r="A3176">
        <v>3413</v>
      </c>
      <c r="B3176" t="s">
        <v>10789</v>
      </c>
      <c r="C3176" t="s">
        <v>2104</v>
      </c>
      <c r="D3176" t="s">
        <v>2103</v>
      </c>
      <c r="E3176" s="183">
        <v>34.15</v>
      </c>
    </row>
    <row r="3177" spans="1:5" ht="14.25">
      <c r="A3177">
        <v>39744</v>
      </c>
      <c r="B3177" t="s">
        <v>10790</v>
      </c>
      <c r="C3177" t="s">
        <v>2104</v>
      </c>
      <c r="D3177" t="s">
        <v>2103</v>
      </c>
      <c r="E3177" s="183">
        <v>26.52</v>
      </c>
    </row>
    <row r="3178" spans="1:5" ht="14.25">
      <c r="A3178">
        <v>39745</v>
      </c>
      <c r="B3178" t="s">
        <v>10791</v>
      </c>
      <c r="C3178" t="s">
        <v>2104</v>
      </c>
      <c r="D3178" t="s">
        <v>2103</v>
      </c>
      <c r="E3178" s="183">
        <v>55.97</v>
      </c>
    </row>
    <row r="3179" spans="1:5" ht="14.25">
      <c r="A3179">
        <v>39637</v>
      </c>
      <c r="B3179" t="s">
        <v>10792</v>
      </c>
      <c r="C3179" t="s">
        <v>2104</v>
      </c>
      <c r="D3179" t="s">
        <v>2103</v>
      </c>
      <c r="E3179" s="183">
        <v>89.79</v>
      </c>
    </row>
    <row r="3180" spans="1:5" ht="14.25">
      <c r="A3180">
        <v>39638</v>
      </c>
      <c r="B3180" t="s">
        <v>10793</v>
      </c>
      <c r="C3180" t="s">
        <v>2104</v>
      </c>
      <c r="D3180" t="s">
        <v>2103</v>
      </c>
      <c r="E3180" s="183">
        <v>101.6</v>
      </c>
    </row>
    <row r="3181" spans="1:5" ht="14.25">
      <c r="A3181">
        <v>39639</v>
      </c>
      <c r="B3181" t="s">
        <v>10794</v>
      </c>
      <c r="C3181" t="s">
        <v>2104</v>
      </c>
      <c r="D3181" t="s">
        <v>2103</v>
      </c>
      <c r="E3181" s="183">
        <v>153.29</v>
      </c>
    </row>
    <row r="3182" spans="1:5" ht="14.25">
      <c r="A3182">
        <v>39517</v>
      </c>
      <c r="B3182" t="s">
        <v>10795</v>
      </c>
      <c r="C3182" t="s">
        <v>2104</v>
      </c>
      <c r="D3182" t="s">
        <v>2105</v>
      </c>
      <c r="E3182" s="183">
        <v>220.45</v>
      </c>
    </row>
    <row r="3183" spans="1:5" ht="14.25">
      <c r="A3183">
        <v>39518</v>
      </c>
      <c r="B3183" t="s">
        <v>10796</v>
      </c>
      <c r="C3183" t="s">
        <v>2104</v>
      </c>
      <c r="D3183" t="s">
        <v>2105</v>
      </c>
      <c r="E3183" s="183">
        <v>261.36</v>
      </c>
    </row>
    <row r="3184" spans="1:5" ht="14.25">
      <c r="A3184">
        <v>38366</v>
      </c>
      <c r="B3184" t="s">
        <v>10797</v>
      </c>
      <c r="C3184" t="s">
        <v>2104</v>
      </c>
      <c r="D3184" t="s">
        <v>2103</v>
      </c>
      <c r="E3184" s="183">
        <v>6.33</v>
      </c>
    </row>
    <row r="3185" spans="1:5" ht="14.25">
      <c r="A3185">
        <v>11703</v>
      </c>
      <c r="B3185" t="s">
        <v>10798</v>
      </c>
      <c r="C3185" t="s">
        <v>2102</v>
      </c>
      <c r="D3185" t="s">
        <v>2103</v>
      </c>
      <c r="E3185" s="183">
        <v>33.29</v>
      </c>
    </row>
    <row r="3186" spans="1:5" ht="14.25">
      <c r="A3186">
        <v>37400</v>
      </c>
      <c r="B3186" t="s">
        <v>10799</v>
      </c>
      <c r="C3186" t="s">
        <v>2102</v>
      </c>
      <c r="D3186" t="s">
        <v>2103</v>
      </c>
      <c r="E3186" s="183">
        <v>71.819999999999993</v>
      </c>
    </row>
    <row r="3187" spans="1:5" ht="14.25">
      <c r="A3187">
        <v>25400</v>
      </c>
      <c r="B3187" t="s">
        <v>13611</v>
      </c>
      <c r="C3187" t="s">
        <v>2102</v>
      </c>
      <c r="D3187" t="s">
        <v>2103</v>
      </c>
      <c r="E3187" s="184">
        <v>3559.26</v>
      </c>
    </row>
    <row r="3188" spans="1:5" ht="14.25">
      <c r="A3188">
        <v>4276</v>
      </c>
      <c r="B3188" t="s">
        <v>10800</v>
      </c>
      <c r="C3188" t="s">
        <v>2102</v>
      </c>
      <c r="D3188" t="s">
        <v>2103</v>
      </c>
      <c r="E3188" s="183">
        <v>157.33000000000001</v>
      </c>
    </row>
    <row r="3189" spans="1:5" ht="14.25">
      <c r="A3189">
        <v>4273</v>
      </c>
      <c r="B3189" t="s">
        <v>10801</v>
      </c>
      <c r="C3189" t="s">
        <v>2102</v>
      </c>
      <c r="D3189" t="s">
        <v>2103</v>
      </c>
      <c r="E3189" s="183">
        <v>285.64</v>
      </c>
    </row>
    <row r="3190" spans="1:5" ht="14.25">
      <c r="A3190">
        <v>4274</v>
      </c>
      <c r="B3190" t="s">
        <v>10802</v>
      </c>
      <c r="C3190" t="s">
        <v>2102</v>
      </c>
      <c r="D3190" t="s">
        <v>2107</v>
      </c>
      <c r="E3190" s="183">
        <v>104.5</v>
      </c>
    </row>
    <row r="3191" spans="1:5" ht="14.25">
      <c r="A3191">
        <v>39438</v>
      </c>
      <c r="B3191" t="s">
        <v>10803</v>
      </c>
      <c r="C3191" t="s">
        <v>2102</v>
      </c>
      <c r="D3191" t="s">
        <v>2105</v>
      </c>
      <c r="E3191" s="183">
        <v>0.26</v>
      </c>
    </row>
    <row r="3192" spans="1:5" ht="14.25">
      <c r="A3192">
        <v>11963</v>
      </c>
      <c r="B3192" t="s">
        <v>10804</v>
      </c>
      <c r="C3192" t="s">
        <v>2102</v>
      </c>
      <c r="D3192" t="s">
        <v>2105</v>
      </c>
      <c r="E3192" s="183">
        <v>9.44</v>
      </c>
    </row>
    <row r="3193" spans="1:5" ht="14.25">
      <c r="A3193">
        <v>11964</v>
      </c>
      <c r="B3193" t="s">
        <v>10805</v>
      </c>
      <c r="C3193" t="s">
        <v>2102</v>
      </c>
      <c r="D3193" t="s">
        <v>2105</v>
      </c>
      <c r="E3193" s="183">
        <v>2.38</v>
      </c>
    </row>
    <row r="3194" spans="1:5" ht="14.25">
      <c r="A3194">
        <v>4379</v>
      </c>
      <c r="B3194" t="s">
        <v>10806</v>
      </c>
      <c r="C3194" t="s">
        <v>2102</v>
      </c>
      <c r="D3194" t="s">
        <v>2105</v>
      </c>
      <c r="E3194" s="183">
        <v>0.05</v>
      </c>
    </row>
    <row r="3195" spans="1:5" ht="14.25">
      <c r="A3195">
        <v>4377</v>
      </c>
      <c r="B3195" t="s">
        <v>10807</v>
      </c>
      <c r="C3195" t="s">
        <v>2102</v>
      </c>
      <c r="D3195" t="s">
        <v>2105</v>
      </c>
      <c r="E3195" s="183">
        <v>0.18</v>
      </c>
    </row>
    <row r="3196" spans="1:5" ht="14.25">
      <c r="A3196">
        <v>4356</v>
      </c>
      <c r="B3196" t="s">
        <v>10808</v>
      </c>
      <c r="C3196" t="s">
        <v>2102</v>
      </c>
      <c r="D3196" t="s">
        <v>2105</v>
      </c>
      <c r="E3196" s="183">
        <v>0.26</v>
      </c>
    </row>
    <row r="3197" spans="1:5" ht="14.25">
      <c r="A3197">
        <v>13246</v>
      </c>
      <c r="B3197" t="s">
        <v>10809</v>
      </c>
      <c r="C3197" t="s">
        <v>2102</v>
      </c>
      <c r="D3197" t="s">
        <v>2105</v>
      </c>
      <c r="E3197" s="183">
        <v>0.45</v>
      </c>
    </row>
    <row r="3198" spans="1:5" ht="14.25">
      <c r="A3198">
        <v>4346</v>
      </c>
      <c r="B3198" t="s">
        <v>10810</v>
      </c>
      <c r="C3198" t="s">
        <v>2102</v>
      </c>
      <c r="D3198" t="s">
        <v>2105</v>
      </c>
      <c r="E3198" s="183">
        <v>10.119999999999999</v>
      </c>
    </row>
    <row r="3199" spans="1:5" ht="14.25">
      <c r="A3199">
        <v>11955</v>
      </c>
      <c r="B3199" t="s">
        <v>10811</v>
      </c>
      <c r="C3199" t="s">
        <v>2102</v>
      </c>
      <c r="D3199" t="s">
        <v>2105</v>
      </c>
      <c r="E3199" s="183">
        <v>4.43</v>
      </c>
    </row>
    <row r="3200" spans="1:5" ht="14.25">
      <c r="A3200">
        <v>11960</v>
      </c>
      <c r="B3200" t="s">
        <v>10812</v>
      </c>
      <c r="C3200" t="s">
        <v>2102</v>
      </c>
      <c r="D3200" t="s">
        <v>2105</v>
      </c>
      <c r="E3200" s="183">
        <v>0.15</v>
      </c>
    </row>
    <row r="3201" spans="1:5" ht="14.25">
      <c r="A3201">
        <v>4333</v>
      </c>
      <c r="B3201" t="s">
        <v>10813</v>
      </c>
      <c r="C3201" t="s">
        <v>2102</v>
      </c>
      <c r="D3201" t="s">
        <v>2105</v>
      </c>
      <c r="E3201" s="183">
        <v>0.26</v>
      </c>
    </row>
    <row r="3202" spans="1:5" ht="14.25">
      <c r="A3202">
        <v>4358</v>
      </c>
      <c r="B3202" t="s">
        <v>10814</v>
      </c>
      <c r="C3202" t="s">
        <v>2102</v>
      </c>
      <c r="D3202" t="s">
        <v>2105</v>
      </c>
      <c r="E3202" s="183">
        <v>2.02</v>
      </c>
    </row>
    <row r="3203" spans="1:5" ht="14.25">
      <c r="A3203">
        <v>39435</v>
      </c>
      <c r="B3203" t="s">
        <v>10815</v>
      </c>
      <c r="C3203" t="s">
        <v>2102</v>
      </c>
      <c r="D3203" t="s">
        <v>2105</v>
      </c>
      <c r="E3203" s="183">
        <v>0.1</v>
      </c>
    </row>
    <row r="3204" spans="1:5" ht="14.25">
      <c r="A3204">
        <v>39436</v>
      </c>
      <c r="B3204" t="s">
        <v>10816</v>
      </c>
      <c r="C3204" t="s">
        <v>2102</v>
      </c>
      <c r="D3204" t="s">
        <v>2105</v>
      </c>
      <c r="E3204" s="183">
        <v>0.17</v>
      </c>
    </row>
    <row r="3205" spans="1:5" ht="14.25">
      <c r="A3205">
        <v>39437</v>
      </c>
      <c r="B3205" t="s">
        <v>10817</v>
      </c>
      <c r="C3205" t="s">
        <v>2102</v>
      </c>
      <c r="D3205" t="s">
        <v>2105</v>
      </c>
      <c r="E3205" s="183">
        <v>0.23</v>
      </c>
    </row>
    <row r="3206" spans="1:5" ht="14.25">
      <c r="A3206">
        <v>39439</v>
      </c>
      <c r="B3206" t="s">
        <v>10818</v>
      </c>
      <c r="C3206" t="s">
        <v>2102</v>
      </c>
      <c r="D3206" t="s">
        <v>2105</v>
      </c>
      <c r="E3206" s="183">
        <v>0.15</v>
      </c>
    </row>
    <row r="3207" spans="1:5" ht="14.25">
      <c r="A3207">
        <v>39440</v>
      </c>
      <c r="B3207" t="s">
        <v>10819</v>
      </c>
      <c r="C3207" t="s">
        <v>2102</v>
      </c>
      <c r="D3207" t="s">
        <v>2105</v>
      </c>
      <c r="E3207" s="183">
        <v>0.2</v>
      </c>
    </row>
    <row r="3208" spans="1:5" ht="14.25">
      <c r="A3208">
        <v>39441</v>
      </c>
      <c r="B3208" t="s">
        <v>10820</v>
      </c>
      <c r="C3208" t="s">
        <v>2102</v>
      </c>
      <c r="D3208" t="s">
        <v>2105</v>
      </c>
      <c r="E3208" s="183">
        <v>0.25</v>
      </c>
    </row>
    <row r="3209" spans="1:5" ht="14.25">
      <c r="A3209">
        <v>39442</v>
      </c>
      <c r="B3209" t="s">
        <v>10821</v>
      </c>
      <c r="C3209" t="s">
        <v>2102</v>
      </c>
      <c r="D3209" t="s">
        <v>2105</v>
      </c>
      <c r="E3209" s="183">
        <v>0.18</v>
      </c>
    </row>
    <row r="3210" spans="1:5" ht="14.25">
      <c r="A3210">
        <v>39443</v>
      </c>
      <c r="B3210" t="s">
        <v>10822</v>
      </c>
      <c r="C3210" t="s">
        <v>2102</v>
      </c>
      <c r="D3210" t="s">
        <v>2105</v>
      </c>
      <c r="E3210" s="183">
        <v>0.24</v>
      </c>
    </row>
    <row r="3211" spans="1:5" ht="14.25">
      <c r="A3211">
        <v>4329</v>
      </c>
      <c r="B3211" t="s">
        <v>10823</v>
      </c>
      <c r="C3211" t="s">
        <v>2102</v>
      </c>
      <c r="D3211" t="s">
        <v>2105</v>
      </c>
      <c r="E3211" s="183">
        <v>2.16</v>
      </c>
    </row>
    <row r="3212" spans="1:5" ht="14.25">
      <c r="A3212">
        <v>4383</v>
      </c>
      <c r="B3212" t="s">
        <v>10824</v>
      </c>
      <c r="C3212" t="s">
        <v>2102</v>
      </c>
      <c r="D3212" t="s">
        <v>2105</v>
      </c>
      <c r="E3212" s="183">
        <v>19.53</v>
      </c>
    </row>
    <row r="3213" spans="1:5" ht="14.25">
      <c r="A3213">
        <v>4344</v>
      </c>
      <c r="B3213" t="s">
        <v>10825</v>
      </c>
      <c r="C3213" t="s">
        <v>2102</v>
      </c>
      <c r="D3213" t="s">
        <v>2105</v>
      </c>
      <c r="E3213" s="183">
        <v>20.47</v>
      </c>
    </row>
    <row r="3214" spans="1:5" ht="14.25">
      <c r="A3214">
        <v>436</v>
      </c>
      <c r="B3214" t="s">
        <v>10826</v>
      </c>
      <c r="C3214" t="s">
        <v>2102</v>
      </c>
      <c r="D3214" t="s">
        <v>2105</v>
      </c>
      <c r="E3214" s="183">
        <v>13.25</v>
      </c>
    </row>
    <row r="3215" spans="1:5" ht="14.25">
      <c r="A3215">
        <v>442</v>
      </c>
      <c r="B3215" t="s">
        <v>10827</v>
      </c>
      <c r="C3215" t="s">
        <v>2102</v>
      </c>
      <c r="D3215" t="s">
        <v>2105</v>
      </c>
      <c r="E3215" s="183">
        <v>7.83</v>
      </c>
    </row>
    <row r="3216" spans="1:5" ht="14.25">
      <c r="A3216">
        <v>11953</v>
      </c>
      <c r="B3216" t="s">
        <v>10828</v>
      </c>
      <c r="C3216" t="s">
        <v>2102</v>
      </c>
      <c r="D3216" t="s">
        <v>2105</v>
      </c>
      <c r="E3216" s="183">
        <v>3.24</v>
      </c>
    </row>
    <row r="3217" spans="1:5" ht="14.25">
      <c r="A3217">
        <v>4335</v>
      </c>
      <c r="B3217" t="s">
        <v>10829</v>
      </c>
      <c r="C3217" t="s">
        <v>2102</v>
      </c>
      <c r="D3217" t="s">
        <v>2105</v>
      </c>
      <c r="E3217" s="183">
        <v>13.74</v>
      </c>
    </row>
    <row r="3218" spans="1:5" ht="14.25">
      <c r="A3218">
        <v>4334</v>
      </c>
      <c r="B3218" t="s">
        <v>10830</v>
      </c>
      <c r="C3218" t="s">
        <v>2102</v>
      </c>
      <c r="D3218" t="s">
        <v>2105</v>
      </c>
      <c r="E3218" s="183">
        <v>18.850000000000001</v>
      </c>
    </row>
    <row r="3219" spans="1:5" ht="14.25">
      <c r="A3219">
        <v>4343</v>
      </c>
      <c r="B3219" t="s">
        <v>10831</v>
      </c>
      <c r="C3219" t="s">
        <v>2102</v>
      </c>
      <c r="D3219" t="s">
        <v>2105</v>
      </c>
      <c r="E3219" s="183">
        <v>4.63</v>
      </c>
    </row>
    <row r="3220" spans="1:5" ht="14.25">
      <c r="A3220">
        <v>430</v>
      </c>
      <c r="B3220" t="s">
        <v>10832</v>
      </c>
      <c r="C3220" t="s">
        <v>2102</v>
      </c>
      <c r="D3220" t="s">
        <v>2105</v>
      </c>
      <c r="E3220" s="183">
        <v>11.85</v>
      </c>
    </row>
    <row r="3221" spans="1:5" ht="14.25">
      <c r="A3221">
        <v>441</v>
      </c>
      <c r="B3221" t="s">
        <v>10833</v>
      </c>
      <c r="C3221" t="s">
        <v>2102</v>
      </c>
      <c r="D3221" t="s">
        <v>2105</v>
      </c>
      <c r="E3221" s="183">
        <v>13.05</v>
      </c>
    </row>
    <row r="3222" spans="1:5" ht="14.25">
      <c r="A3222">
        <v>431</v>
      </c>
      <c r="B3222" t="s">
        <v>10834</v>
      </c>
      <c r="C3222" t="s">
        <v>2102</v>
      </c>
      <c r="D3222" t="s">
        <v>2105</v>
      </c>
      <c r="E3222" s="183">
        <v>15.75</v>
      </c>
    </row>
    <row r="3223" spans="1:5" ht="14.25">
      <c r="A3223">
        <v>432</v>
      </c>
      <c r="B3223" t="s">
        <v>10835</v>
      </c>
      <c r="C3223" t="s">
        <v>2102</v>
      </c>
      <c r="D3223" t="s">
        <v>2105</v>
      </c>
      <c r="E3223" s="183">
        <v>17.38</v>
      </c>
    </row>
    <row r="3224" spans="1:5" ht="14.25">
      <c r="A3224">
        <v>429</v>
      </c>
      <c r="B3224" t="s">
        <v>10836</v>
      </c>
      <c r="C3224" t="s">
        <v>2102</v>
      </c>
      <c r="D3224" t="s">
        <v>2105</v>
      </c>
      <c r="E3224" s="183">
        <v>23.43</v>
      </c>
    </row>
    <row r="3225" spans="1:5" ht="14.25">
      <c r="A3225">
        <v>439</v>
      </c>
      <c r="B3225" t="s">
        <v>10837</v>
      </c>
      <c r="C3225" t="s">
        <v>2102</v>
      </c>
      <c r="D3225" t="s">
        <v>2105</v>
      </c>
      <c r="E3225" s="183">
        <v>19.97</v>
      </c>
    </row>
    <row r="3226" spans="1:5" ht="14.25">
      <c r="A3226">
        <v>433</v>
      </c>
      <c r="B3226" t="s">
        <v>10838</v>
      </c>
      <c r="C3226" t="s">
        <v>2102</v>
      </c>
      <c r="D3226" t="s">
        <v>2105</v>
      </c>
      <c r="E3226" s="183">
        <v>23.31</v>
      </c>
    </row>
    <row r="3227" spans="1:5" ht="14.25">
      <c r="A3227">
        <v>437</v>
      </c>
      <c r="B3227" t="s">
        <v>10839</v>
      </c>
      <c r="C3227" t="s">
        <v>2102</v>
      </c>
      <c r="D3227" t="s">
        <v>2105</v>
      </c>
      <c r="E3227" s="183">
        <v>30.97</v>
      </c>
    </row>
    <row r="3228" spans="1:5" ht="14.25">
      <c r="A3228">
        <v>11790</v>
      </c>
      <c r="B3228" t="s">
        <v>10840</v>
      </c>
      <c r="C3228" t="s">
        <v>2102</v>
      </c>
      <c r="D3228" t="s">
        <v>2105</v>
      </c>
      <c r="E3228" s="183">
        <v>35.130000000000003</v>
      </c>
    </row>
    <row r="3229" spans="1:5" ht="14.25">
      <c r="A3229">
        <v>428</v>
      </c>
      <c r="B3229" t="s">
        <v>10841</v>
      </c>
      <c r="C3229" t="s">
        <v>2102</v>
      </c>
      <c r="D3229" t="s">
        <v>2105</v>
      </c>
      <c r="E3229" s="183">
        <v>38.200000000000003</v>
      </c>
    </row>
    <row r="3230" spans="1:5" ht="14.25">
      <c r="A3230">
        <v>4384</v>
      </c>
      <c r="B3230" t="s">
        <v>10842</v>
      </c>
      <c r="C3230" t="s">
        <v>2102</v>
      </c>
      <c r="D3230" t="s">
        <v>2105</v>
      </c>
      <c r="E3230" s="183">
        <v>22.44</v>
      </c>
    </row>
    <row r="3231" spans="1:5" ht="14.25">
      <c r="A3231">
        <v>4351</v>
      </c>
      <c r="B3231" t="s">
        <v>10843</v>
      </c>
      <c r="C3231" t="s">
        <v>2102</v>
      </c>
      <c r="D3231" t="s">
        <v>2105</v>
      </c>
      <c r="E3231" s="183">
        <v>16.64</v>
      </c>
    </row>
    <row r="3232" spans="1:5" ht="14.25">
      <c r="A3232">
        <v>11054</v>
      </c>
      <c r="B3232" t="s">
        <v>10844</v>
      </c>
      <c r="C3232" t="s">
        <v>2102</v>
      </c>
      <c r="D3232" t="s">
        <v>2103</v>
      </c>
      <c r="E3232" s="183">
        <v>0.06</v>
      </c>
    </row>
    <row r="3233" spans="1:5" ht="14.25">
      <c r="A3233">
        <v>11055</v>
      </c>
      <c r="B3233" t="s">
        <v>10845</v>
      </c>
      <c r="C3233" t="s">
        <v>2102</v>
      </c>
      <c r="D3233" t="s">
        <v>2103</v>
      </c>
      <c r="E3233" s="183">
        <v>0.09</v>
      </c>
    </row>
    <row r="3234" spans="1:5" ht="14.25">
      <c r="A3234">
        <v>11056</v>
      </c>
      <c r="B3234" t="s">
        <v>10846</v>
      </c>
      <c r="C3234" t="s">
        <v>2102</v>
      </c>
      <c r="D3234" t="s">
        <v>2103</v>
      </c>
      <c r="E3234" s="183">
        <v>0.1</v>
      </c>
    </row>
    <row r="3235" spans="1:5" ht="14.25">
      <c r="A3235">
        <v>11057</v>
      </c>
      <c r="B3235" t="s">
        <v>10847</v>
      </c>
      <c r="C3235" t="s">
        <v>2102</v>
      </c>
      <c r="D3235" t="s">
        <v>2103</v>
      </c>
      <c r="E3235" s="183">
        <v>0.21</v>
      </c>
    </row>
    <row r="3236" spans="1:5" ht="14.25">
      <c r="A3236">
        <v>11059</v>
      </c>
      <c r="B3236" t="s">
        <v>10848</v>
      </c>
      <c r="C3236" t="s">
        <v>2102</v>
      </c>
      <c r="D3236" t="s">
        <v>2103</v>
      </c>
      <c r="E3236" s="183">
        <v>0.42</v>
      </c>
    </row>
    <row r="3237" spans="1:5" ht="14.25">
      <c r="A3237">
        <v>11058</v>
      </c>
      <c r="B3237" t="s">
        <v>10849</v>
      </c>
      <c r="C3237" t="s">
        <v>2102</v>
      </c>
      <c r="D3237" t="s">
        <v>2103</v>
      </c>
      <c r="E3237" s="183">
        <v>0.54</v>
      </c>
    </row>
    <row r="3238" spans="1:5" ht="14.25">
      <c r="A3238">
        <v>4380</v>
      </c>
      <c r="B3238" t="s">
        <v>10850</v>
      </c>
      <c r="C3238" t="s">
        <v>2102</v>
      </c>
      <c r="D3238" t="s">
        <v>2103</v>
      </c>
      <c r="E3238" s="183">
        <v>1.81</v>
      </c>
    </row>
    <row r="3239" spans="1:5" ht="14.25">
      <c r="A3239">
        <v>4299</v>
      </c>
      <c r="B3239" t="s">
        <v>10851</v>
      </c>
      <c r="C3239" t="s">
        <v>2102</v>
      </c>
      <c r="D3239" t="s">
        <v>2107</v>
      </c>
      <c r="E3239" s="183">
        <v>1.71</v>
      </c>
    </row>
    <row r="3240" spans="1:5" ht="14.25">
      <c r="A3240">
        <v>4304</v>
      </c>
      <c r="B3240" t="s">
        <v>10852</v>
      </c>
      <c r="C3240" t="s">
        <v>2102</v>
      </c>
      <c r="D3240" t="s">
        <v>2103</v>
      </c>
      <c r="E3240" s="183">
        <v>2.33</v>
      </c>
    </row>
    <row r="3241" spans="1:5" ht="14.25">
      <c r="A3241">
        <v>4305</v>
      </c>
      <c r="B3241" t="s">
        <v>10853</v>
      </c>
      <c r="C3241" t="s">
        <v>2102</v>
      </c>
      <c r="D3241" t="s">
        <v>2103</v>
      </c>
      <c r="E3241" s="183">
        <v>2.71</v>
      </c>
    </row>
    <row r="3242" spans="1:5" ht="14.25">
      <c r="A3242">
        <v>4306</v>
      </c>
      <c r="B3242" t="s">
        <v>10854</v>
      </c>
      <c r="C3242" t="s">
        <v>2102</v>
      </c>
      <c r="D3242" t="s">
        <v>2103</v>
      </c>
      <c r="E3242" s="183">
        <v>3.14</v>
      </c>
    </row>
    <row r="3243" spans="1:5" ht="14.25">
      <c r="A3243">
        <v>4308</v>
      </c>
      <c r="B3243" t="s">
        <v>10855</v>
      </c>
      <c r="C3243" t="s">
        <v>2102</v>
      </c>
      <c r="D3243" t="s">
        <v>2103</v>
      </c>
      <c r="E3243" s="183">
        <v>6.51</v>
      </c>
    </row>
    <row r="3244" spans="1:5" ht="14.25">
      <c r="A3244">
        <v>4302</v>
      </c>
      <c r="B3244" t="s">
        <v>10856</v>
      </c>
      <c r="C3244" t="s">
        <v>2102</v>
      </c>
      <c r="D3244" t="s">
        <v>2103</v>
      </c>
      <c r="E3244" s="183">
        <v>4.88</v>
      </c>
    </row>
    <row r="3245" spans="1:5" ht="14.25">
      <c r="A3245">
        <v>4300</v>
      </c>
      <c r="B3245" t="s">
        <v>10857</v>
      </c>
      <c r="C3245" t="s">
        <v>2102</v>
      </c>
      <c r="D3245" t="s">
        <v>2103</v>
      </c>
      <c r="E3245" s="183">
        <v>1.1599999999999999</v>
      </c>
    </row>
    <row r="3246" spans="1:5" ht="14.25">
      <c r="A3246">
        <v>4301</v>
      </c>
      <c r="B3246" t="s">
        <v>10858</v>
      </c>
      <c r="C3246" t="s">
        <v>2102</v>
      </c>
      <c r="D3246" t="s">
        <v>2103</v>
      </c>
      <c r="E3246" s="183">
        <v>1.42</v>
      </c>
    </row>
    <row r="3247" spans="1:5" ht="14.25">
      <c r="A3247">
        <v>4320</v>
      </c>
      <c r="B3247" t="s">
        <v>10859</v>
      </c>
      <c r="C3247" t="s">
        <v>2102</v>
      </c>
      <c r="D3247" t="s">
        <v>2103</v>
      </c>
      <c r="E3247" s="183">
        <v>4.3099999999999996</v>
      </c>
    </row>
    <row r="3248" spans="1:5" ht="14.25">
      <c r="A3248">
        <v>4318</v>
      </c>
      <c r="B3248" t="s">
        <v>10860</v>
      </c>
      <c r="C3248" t="s">
        <v>2102</v>
      </c>
      <c r="D3248" t="s">
        <v>2103</v>
      </c>
      <c r="E3248" s="183">
        <v>2.1</v>
      </c>
    </row>
    <row r="3249" spans="1:5" ht="14.25">
      <c r="A3249">
        <v>40547</v>
      </c>
      <c r="B3249" t="s">
        <v>10861</v>
      </c>
      <c r="C3249" t="s">
        <v>2218</v>
      </c>
      <c r="D3249" t="s">
        <v>2105</v>
      </c>
      <c r="E3249" s="183">
        <v>27.27</v>
      </c>
    </row>
    <row r="3250" spans="1:5" ht="14.25">
      <c r="A3250">
        <v>11962</v>
      </c>
      <c r="B3250" t="s">
        <v>10862</v>
      </c>
      <c r="C3250" t="s">
        <v>2102</v>
      </c>
      <c r="D3250" t="s">
        <v>2105</v>
      </c>
      <c r="E3250" s="183">
        <v>0.22</v>
      </c>
    </row>
    <row r="3251" spans="1:5" ht="14.25">
      <c r="A3251">
        <v>4332</v>
      </c>
      <c r="B3251" t="s">
        <v>10863</v>
      </c>
      <c r="C3251" t="s">
        <v>2102</v>
      </c>
      <c r="D3251" t="s">
        <v>2105</v>
      </c>
      <c r="E3251" s="183">
        <v>1.08</v>
      </c>
    </row>
    <row r="3252" spans="1:5" ht="14.25">
      <c r="A3252">
        <v>4331</v>
      </c>
      <c r="B3252" t="s">
        <v>10864</v>
      </c>
      <c r="C3252" t="s">
        <v>2102</v>
      </c>
      <c r="D3252" t="s">
        <v>2105</v>
      </c>
      <c r="E3252" s="183">
        <v>4.09</v>
      </c>
    </row>
    <row r="3253" spans="1:5" ht="14.25">
      <c r="A3253">
        <v>4336</v>
      </c>
      <c r="B3253" t="s">
        <v>10865</v>
      </c>
      <c r="C3253" t="s">
        <v>2102</v>
      </c>
      <c r="D3253" t="s">
        <v>2105</v>
      </c>
      <c r="E3253" s="183">
        <v>5.24</v>
      </c>
    </row>
    <row r="3254" spans="1:5" ht="14.25">
      <c r="A3254">
        <v>13294</v>
      </c>
      <c r="B3254" t="s">
        <v>10866</v>
      </c>
      <c r="C3254" t="s">
        <v>2102</v>
      </c>
      <c r="D3254" t="s">
        <v>2105</v>
      </c>
      <c r="E3254" s="183">
        <v>1.5</v>
      </c>
    </row>
    <row r="3255" spans="1:5" ht="14.25">
      <c r="A3255">
        <v>11948</v>
      </c>
      <c r="B3255" t="s">
        <v>10867</v>
      </c>
      <c r="C3255" t="s">
        <v>2102</v>
      </c>
      <c r="D3255" t="s">
        <v>2105</v>
      </c>
      <c r="E3255" s="183">
        <v>0.67</v>
      </c>
    </row>
    <row r="3256" spans="1:5" ht="14.25">
      <c r="A3256">
        <v>4382</v>
      </c>
      <c r="B3256" t="s">
        <v>10868</v>
      </c>
      <c r="C3256" t="s">
        <v>2102</v>
      </c>
      <c r="D3256" t="s">
        <v>2105</v>
      </c>
      <c r="E3256" s="183">
        <v>1.1200000000000001</v>
      </c>
    </row>
    <row r="3257" spans="1:5" ht="14.25">
      <c r="A3257">
        <v>4354</v>
      </c>
      <c r="B3257" t="s">
        <v>10869</v>
      </c>
      <c r="C3257" t="s">
        <v>2102</v>
      </c>
      <c r="D3257" t="s">
        <v>2105</v>
      </c>
      <c r="E3257" s="183">
        <v>46.95</v>
      </c>
    </row>
    <row r="3258" spans="1:5" ht="14.25">
      <c r="A3258">
        <v>40839</v>
      </c>
      <c r="B3258" t="s">
        <v>10870</v>
      </c>
      <c r="C3258" t="s">
        <v>2218</v>
      </c>
      <c r="D3258" t="s">
        <v>2105</v>
      </c>
      <c r="E3258" s="183">
        <v>112.98</v>
      </c>
    </row>
    <row r="3259" spans="1:5" ht="14.25">
      <c r="A3259">
        <v>40552</v>
      </c>
      <c r="B3259" t="s">
        <v>18561</v>
      </c>
      <c r="C3259" t="s">
        <v>2218</v>
      </c>
      <c r="D3259" t="s">
        <v>2105</v>
      </c>
      <c r="E3259" s="183">
        <v>46.75</v>
      </c>
    </row>
    <row r="3260" spans="1:5" ht="14.25">
      <c r="A3260">
        <v>40549</v>
      </c>
      <c r="B3260" t="s">
        <v>10871</v>
      </c>
      <c r="C3260" t="s">
        <v>2218</v>
      </c>
      <c r="D3260" t="s">
        <v>2105</v>
      </c>
      <c r="E3260" s="183">
        <v>185.06</v>
      </c>
    </row>
    <row r="3261" spans="1:5" ht="14.25">
      <c r="A3261">
        <v>4385</v>
      </c>
      <c r="B3261" t="s">
        <v>10872</v>
      </c>
      <c r="C3261" t="s">
        <v>2141</v>
      </c>
      <c r="D3261" t="s">
        <v>2103</v>
      </c>
      <c r="E3261" s="184">
        <v>5219.4799999999996</v>
      </c>
    </row>
    <row r="3262" spans="1:5" ht="14.25">
      <c r="A3262">
        <v>20078</v>
      </c>
      <c r="B3262" t="s">
        <v>10873</v>
      </c>
      <c r="C3262" t="s">
        <v>2102</v>
      </c>
      <c r="D3262" t="s">
        <v>2103</v>
      </c>
      <c r="E3262" s="183">
        <v>27.18</v>
      </c>
    </row>
    <row r="3263" spans="1:5" ht="14.25">
      <c r="A3263">
        <v>39897</v>
      </c>
      <c r="B3263" t="s">
        <v>10874</v>
      </c>
      <c r="C3263" t="s">
        <v>2102</v>
      </c>
      <c r="D3263" t="s">
        <v>2105</v>
      </c>
      <c r="E3263" s="183">
        <v>50.23</v>
      </c>
    </row>
    <row r="3264" spans="1:5" ht="14.25">
      <c r="A3264">
        <v>118</v>
      </c>
      <c r="B3264" t="s">
        <v>10875</v>
      </c>
      <c r="C3264" t="s">
        <v>2102</v>
      </c>
      <c r="D3264" t="s">
        <v>2103</v>
      </c>
      <c r="E3264" s="183">
        <v>57.47</v>
      </c>
    </row>
    <row r="3265" spans="1:5" ht="14.25">
      <c r="A3265">
        <v>4396</v>
      </c>
      <c r="B3265" t="s">
        <v>10876</v>
      </c>
      <c r="C3265" t="s">
        <v>2104</v>
      </c>
      <c r="D3265" t="s">
        <v>2103</v>
      </c>
      <c r="E3265" s="183">
        <v>231.33</v>
      </c>
    </row>
    <row r="3266" spans="1:5" ht="14.25">
      <c r="A3266">
        <v>36881</v>
      </c>
      <c r="B3266" t="s">
        <v>10877</v>
      </c>
      <c r="C3266" t="s">
        <v>2104</v>
      </c>
      <c r="D3266" t="s">
        <v>2103</v>
      </c>
      <c r="E3266" s="183">
        <v>148.97999999999999</v>
      </c>
    </row>
    <row r="3267" spans="1:5" ht="14.25">
      <c r="A3267">
        <v>4397</v>
      </c>
      <c r="B3267" t="s">
        <v>10878</v>
      </c>
      <c r="C3267" t="s">
        <v>2104</v>
      </c>
      <c r="D3267" t="s">
        <v>2103</v>
      </c>
      <c r="E3267" s="183">
        <v>251.64</v>
      </c>
    </row>
    <row r="3268" spans="1:5" ht="14.25">
      <c r="A3268">
        <v>36882</v>
      </c>
      <c r="B3268" t="s">
        <v>10879</v>
      </c>
      <c r="C3268" t="s">
        <v>2104</v>
      </c>
      <c r="D3268" t="s">
        <v>2103</v>
      </c>
      <c r="E3268" s="183">
        <v>178.15</v>
      </c>
    </row>
    <row r="3269" spans="1:5" ht="14.25">
      <c r="A3269">
        <v>4751</v>
      </c>
      <c r="B3269" t="s">
        <v>15275</v>
      </c>
      <c r="C3269" t="s">
        <v>2106</v>
      </c>
      <c r="D3269" t="s">
        <v>2103</v>
      </c>
      <c r="E3269" s="183">
        <v>20.2</v>
      </c>
    </row>
    <row r="3270" spans="1:5" ht="14.25">
      <c r="A3270">
        <v>41066</v>
      </c>
      <c r="B3270" t="s">
        <v>10880</v>
      </c>
      <c r="C3270" t="s">
        <v>2123</v>
      </c>
      <c r="D3270" t="s">
        <v>2103</v>
      </c>
      <c r="E3270" s="184">
        <v>3542.47</v>
      </c>
    </row>
    <row r="3271" spans="1:5" ht="14.25">
      <c r="A3271">
        <v>39604</v>
      </c>
      <c r="B3271" t="s">
        <v>15276</v>
      </c>
      <c r="C3271" t="s">
        <v>2102</v>
      </c>
      <c r="D3271" t="s">
        <v>2103</v>
      </c>
      <c r="E3271" s="183">
        <v>10.5</v>
      </c>
    </row>
    <row r="3272" spans="1:5" ht="14.25">
      <c r="A3272">
        <v>39605</v>
      </c>
      <c r="B3272" t="s">
        <v>15277</v>
      </c>
      <c r="C3272" t="s">
        <v>2102</v>
      </c>
      <c r="D3272" t="s">
        <v>2103</v>
      </c>
      <c r="E3272" s="183">
        <v>11.41</v>
      </c>
    </row>
    <row r="3273" spans="1:5" ht="14.25">
      <c r="A3273">
        <v>39606</v>
      </c>
      <c r="B3273" t="s">
        <v>15278</v>
      </c>
      <c r="C3273" t="s">
        <v>2102</v>
      </c>
      <c r="D3273" t="s">
        <v>2103</v>
      </c>
      <c r="E3273" s="183">
        <v>19.98</v>
      </c>
    </row>
    <row r="3274" spans="1:5" ht="14.25">
      <c r="A3274">
        <v>39607</v>
      </c>
      <c r="B3274" t="s">
        <v>15279</v>
      </c>
      <c r="C3274" t="s">
        <v>2102</v>
      </c>
      <c r="D3274" t="s">
        <v>2103</v>
      </c>
      <c r="E3274" s="183">
        <v>27.03</v>
      </c>
    </row>
    <row r="3275" spans="1:5" ht="14.25">
      <c r="A3275">
        <v>39594</v>
      </c>
      <c r="B3275" t="s">
        <v>15280</v>
      </c>
      <c r="C3275" t="s">
        <v>2102</v>
      </c>
      <c r="D3275" t="s">
        <v>2107</v>
      </c>
      <c r="E3275" s="183">
        <v>463.19</v>
      </c>
    </row>
    <row r="3276" spans="1:5" ht="14.25">
      <c r="A3276">
        <v>39596</v>
      </c>
      <c r="B3276" t="s">
        <v>15281</v>
      </c>
      <c r="C3276" t="s">
        <v>2102</v>
      </c>
      <c r="D3276" t="s">
        <v>2103</v>
      </c>
      <c r="E3276" s="184">
        <v>1240.46</v>
      </c>
    </row>
    <row r="3277" spans="1:5" ht="14.25">
      <c r="A3277">
        <v>39595</v>
      </c>
      <c r="B3277" t="s">
        <v>15282</v>
      </c>
      <c r="C3277" t="s">
        <v>2102</v>
      </c>
      <c r="D3277" t="s">
        <v>2103</v>
      </c>
      <c r="E3277" s="184">
        <v>2787.14</v>
      </c>
    </row>
    <row r="3278" spans="1:5" ht="14.25">
      <c r="A3278">
        <v>39597</v>
      </c>
      <c r="B3278" t="s">
        <v>15283</v>
      </c>
      <c r="C3278" t="s">
        <v>2102</v>
      </c>
      <c r="D3278" t="s">
        <v>2103</v>
      </c>
      <c r="E3278" s="184">
        <v>4372.01</v>
      </c>
    </row>
    <row r="3279" spans="1:5" ht="14.25">
      <c r="A3279">
        <v>10731</v>
      </c>
      <c r="B3279" t="s">
        <v>10881</v>
      </c>
      <c r="C3279" t="s">
        <v>2104</v>
      </c>
      <c r="D3279" t="s">
        <v>2105</v>
      </c>
      <c r="E3279" s="183">
        <v>34.75</v>
      </c>
    </row>
    <row r="3280" spans="1:5" ht="14.25">
      <c r="A3280">
        <v>4704</v>
      </c>
      <c r="B3280" t="s">
        <v>10882</v>
      </c>
      <c r="C3280" t="s">
        <v>2104</v>
      </c>
      <c r="D3280" t="s">
        <v>2105</v>
      </c>
      <c r="E3280" s="183">
        <v>31.36</v>
      </c>
    </row>
    <row r="3281" spans="1:5" ht="14.25">
      <c r="A3281">
        <v>10730</v>
      </c>
      <c r="B3281" t="s">
        <v>10883</v>
      </c>
      <c r="C3281" t="s">
        <v>2104</v>
      </c>
      <c r="D3281" t="s">
        <v>2105</v>
      </c>
      <c r="E3281" s="183">
        <v>33.6</v>
      </c>
    </row>
    <row r="3282" spans="1:5" ht="14.25">
      <c r="A3282">
        <v>4729</v>
      </c>
      <c r="B3282" t="s">
        <v>10884</v>
      </c>
      <c r="C3282" t="s">
        <v>2122</v>
      </c>
      <c r="D3282" t="s">
        <v>2103</v>
      </c>
      <c r="E3282" s="183">
        <v>140.91999999999999</v>
      </c>
    </row>
    <row r="3283" spans="1:5" ht="14.25">
      <c r="A3283">
        <v>4720</v>
      </c>
      <c r="B3283" t="s">
        <v>10885</v>
      </c>
      <c r="C3283" t="s">
        <v>2122</v>
      </c>
      <c r="D3283" t="s">
        <v>2103</v>
      </c>
      <c r="E3283" s="183">
        <v>161.47</v>
      </c>
    </row>
    <row r="3284" spans="1:5" ht="14.25">
      <c r="A3284">
        <v>4721</v>
      </c>
      <c r="B3284" t="s">
        <v>10886</v>
      </c>
      <c r="C3284" t="s">
        <v>2122</v>
      </c>
      <c r="D3284" t="s">
        <v>2103</v>
      </c>
      <c r="E3284" s="183">
        <v>139.86000000000001</v>
      </c>
    </row>
    <row r="3285" spans="1:5" ht="14.25">
      <c r="A3285">
        <v>4718</v>
      </c>
      <c r="B3285" t="s">
        <v>10887</v>
      </c>
      <c r="C3285" t="s">
        <v>2122</v>
      </c>
      <c r="D3285" t="s">
        <v>2107</v>
      </c>
      <c r="E3285" s="183">
        <v>140.6</v>
      </c>
    </row>
    <row r="3286" spans="1:5" ht="14.25">
      <c r="A3286">
        <v>4722</v>
      </c>
      <c r="B3286" t="s">
        <v>10888</v>
      </c>
      <c r="C3286" t="s">
        <v>2122</v>
      </c>
      <c r="D3286" t="s">
        <v>2103</v>
      </c>
      <c r="E3286" s="183">
        <v>132.11000000000001</v>
      </c>
    </row>
    <row r="3287" spans="1:5" ht="14.25">
      <c r="A3287">
        <v>4723</v>
      </c>
      <c r="B3287" t="s">
        <v>10889</v>
      </c>
      <c r="C3287" t="s">
        <v>2122</v>
      </c>
      <c r="D3287" t="s">
        <v>2103</v>
      </c>
      <c r="E3287" s="183">
        <v>130.97</v>
      </c>
    </row>
    <row r="3288" spans="1:5" ht="14.25">
      <c r="A3288">
        <v>4727</v>
      </c>
      <c r="B3288" t="s">
        <v>10890</v>
      </c>
      <c r="C3288" t="s">
        <v>2122</v>
      </c>
      <c r="D3288" t="s">
        <v>2103</v>
      </c>
      <c r="E3288" s="183">
        <v>119.88</v>
      </c>
    </row>
    <row r="3289" spans="1:5" ht="14.25">
      <c r="A3289">
        <v>4748</v>
      </c>
      <c r="B3289" t="s">
        <v>10891</v>
      </c>
      <c r="C3289" t="s">
        <v>2122</v>
      </c>
      <c r="D3289" t="s">
        <v>2103</v>
      </c>
      <c r="E3289" s="183">
        <v>129.18</v>
      </c>
    </row>
    <row r="3290" spans="1:5" ht="14.25">
      <c r="A3290">
        <v>4730</v>
      </c>
      <c r="B3290" t="s">
        <v>10892</v>
      </c>
      <c r="C3290" t="s">
        <v>2122</v>
      </c>
      <c r="D3290" t="s">
        <v>2103</v>
      </c>
      <c r="E3290" s="183">
        <v>131.46</v>
      </c>
    </row>
    <row r="3291" spans="1:5" ht="14.25">
      <c r="A3291">
        <v>13186</v>
      </c>
      <c r="B3291" t="s">
        <v>10893</v>
      </c>
      <c r="C3291" t="s">
        <v>2122</v>
      </c>
      <c r="D3291" t="s">
        <v>2103</v>
      </c>
      <c r="E3291" s="183">
        <v>151.69</v>
      </c>
    </row>
    <row r="3292" spans="1:5" ht="14.25">
      <c r="A3292">
        <v>10737</v>
      </c>
      <c r="B3292" t="s">
        <v>10894</v>
      </c>
      <c r="C3292" t="s">
        <v>2104</v>
      </c>
      <c r="D3292" t="s">
        <v>2105</v>
      </c>
      <c r="E3292" s="183">
        <v>109.2</v>
      </c>
    </row>
    <row r="3293" spans="1:5" ht="14.25">
      <c r="A3293">
        <v>10734</v>
      </c>
      <c r="B3293" t="s">
        <v>10895</v>
      </c>
      <c r="C3293" t="s">
        <v>2104</v>
      </c>
      <c r="D3293" t="s">
        <v>2105</v>
      </c>
      <c r="E3293" s="183">
        <v>64.959999999999994</v>
      </c>
    </row>
    <row r="3294" spans="1:5" ht="14.25">
      <c r="A3294">
        <v>4708</v>
      </c>
      <c r="B3294" t="s">
        <v>10896</v>
      </c>
      <c r="C3294" t="s">
        <v>2104</v>
      </c>
      <c r="D3294" t="s">
        <v>2105</v>
      </c>
      <c r="E3294" s="183">
        <v>126</v>
      </c>
    </row>
    <row r="3295" spans="1:5" ht="14.25">
      <c r="A3295">
        <v>4712</v>
      </c>
      <c r="B3295" t="s">
        <v>10897</v>
      </c>
      <c r="C3295" t="s">
        <v>2104</v>
      </c>
      <c r="D3295" t="s">
        <v>2105</v>
      </c>
      <c r="E3295" s="183">
        <v>61.6</v>
      </c>
    </row>
    <row r="3296" spans="1:5" ht="14.25">
      <c r="A3296">
        <v>4710</v>
      </c>
      <c r="B3296" t="s">
        <v>10898</v>
      </c>
      <c r="C3296" t="s">
        <v>2104</v>
      </c>
      <c r="D3296" t="s">
        <v>2105</v>
      </c>
      <c r="E3296" s="183">
        <v>197.55</v>
      </c>
    </row>
    <row r="3297" spans="1:5" ht="14.25">
      <c r="A3297">
        <v>4746</v>
      </c>
      <c r="B3297" t="s">
        <v>10899</v>
      </c>
      <c r="C3297" t="s">
        <v>2122</v>
      </c>
      <c r="D3297" t="s">
        <v>2103</v>
      </c>
      <c r="E3297" s="183">
        <v>98.19</v>
      </c>
    </row>
    <row r="3298" spans="1:5" ht="14.25">
      <c r="A3298">
        <v>4750</v>
      </c>
      <c r="B3298" t="s">
        <v>15284</v>
      </c>
      <c r="C3298" t="s">
        <v>2106</v>
      </c>
      <c r="D3298" t="s">
        <v>2107</v>
      </c>
      <c r="E3298" s="183">
        <v>20.2</v>
      </c>
    </row>
    <row r="3299" spans="1:5" ht="14.25">
      <c r="A3299">
        <v>41065</v>
      </c>
      <c r="B3299" t="s">
        <v>10900</v>
      </c>
      <c r="C3299" t="s">
        <v>2123</v>
      </c>
      <c r="D3299" t="s">
        <v>2103</v>
      </c>
      <c r="E3299" s="184">
        <v>3541.95</v>
      </c>
    </row>
    <row r="3300" spans="1:5" ht="14.25">
      <c r="A3300">
        <v>34747</v>
      </c>
      <c r="B3300" t="s">
        <v>10901</v>
      </c>
      <c r="C3300" t="s">
        <v>2109</v>
      </c>
      <c r="D3300" t="s">
        <v>2103</v>
      </c>
      <c r="E3300" s="183">
        <v>45.57</v>
      </c>
    </row>
    <row r="3301" spans="1:5" ht="14.25">
      <c r="A3301">
        <v>4826</v>
      </c>
      <c r="B3301" t="s">
        <v>10902</v>
      </c>
      <c r="C3301" t="s">
        <v>2109</v>
      </c>
      <c r="D3301" t="s">
        <v>2103</v>
      </c>
      <c r="E3301" s="183">
        <v>49</v>
      </c>
    </row>
    <row r="3302" spans="1:5" ht="14.25">
      <c r="A3302">
        <v>41975</v>
      </c>
      <c r="B3302" t="s">
        <v>10903</v>
      </c>
      <c r="C3302" t="s">
        <v>2104</v>
      </c>
      <c r="D3302" t="s">
        <v>2105</v>
      </c>
      <c r="E3302" s="183">
        <v>94.34</v>
      </c>
    </row>
    <row r="3303" spans="1:5" ht="14.25">
      <c r="A3303">
        <v>4825</v>
      </c>
      <c r="B3303" t="s">
        <v>10904</v>
      </c>
      <c r="C3303" t="s">
        <v>2109</v>
      </c>
      <c r="D3303" t="s">
        <v>2103</v>
      </c>
      <c r="E3303" s="183">
        <v>67.83</v>
      </c>
    </row>
    <row r="3304" spans="1:5" ht="14.25">
      <c r="A3304">
        <v>34744</v>
      </c>
      <c r="B3304" t="s">
        <v>10905</v>
      </c>
      <c r="C3304" t="s">
        <v>2104</v>
      </c>
      <c r="D3304" t="s">
        <v>2105</v>
      </c>
      <c r="E3304" s="183">
        <v>23.25</v>
      </c>
    </row>
    <row r="3305" spans="1:5" ht="14.25">
      <c r="A3305">
        <v>39430</v>
      </c>
      <c r="B3305" t="s">
        <v>10906</v>
      </c>
      <c r="C3305" t="s">
        <v>2102</v>
      </c>
      <c r="D3305" t="s">
        <v>2103</v>
      </c>
      <c r="E3305" s="183">
        <v>1.75</v>
      </c>
    </row>
    <row r="3306" spans="1:5" ht="14.25">
      <c r="A3306">
        <v>39573</v>
      </c>
      <c r="B3306" t="s">
        <v>10907</v>
      </c>
      <c r="C3306" t="s">
        <v>2102</v>
      </c>
      <c r="D3306" t="s">
        <v>2103</v>
      </c>
      <c r="E3306" s="183">
        <v>1.72</v>
      </c>
    </row>
    <row r="3307" spans="1:5" ht="14.25">
      <c r="A3307">
        <v>38410</v>
      </c>
      <c r="B3307" t="s">
        <v>10908</v>
      </c>
      <c r="C3307" t="s">
        <v>2102</v>
      </c>
      <c r="D3307" t="s">
        <v>2103</v>
      </c>
      <c r="E3307" s="184">
        <v>14242</v>
      </c>
    </row>
    <row r="3308" spans="1:5" ht="14.25">
      <c r="A3308">
        <v>41596</v>
      </c>
      <c r="B3308" t="s">
        <v>10909</v>
      </c>
      <c r="C3308" t="s">
        <v>2110</v>
      </c>
      <c r="D3308" t="s">
        <v>2105</v>
      </c>
      <c r="E3308" s="183">
        <v>10</v>
      </c>
    </row>
    <row r="3309" spans="1:5" ht="14.25">
      <c r="A3309">
        <v>41598</v>
      </c>
      <c r="B3309" t="s">
        <v>10910</v>
      </c>
      <c r="C3309" t="s">
        <v>2110</v>
      </c>
      <c r="D3309" t="s">
        <v>2105</v>
      </c>
      <c r="E3309" s="183">
        <v>10</v>
      </c>
    </row>
    <row r="3310" spans="1:5" ht="14.25">
      <c r="A3310">
        <v>41594</v>
      </c>
      <c r="B3310" t="s">
        <v>10911</v>
      </c>
      <c r="C3310" t="s">
        <v>2110</v>
      </c>
      <c r="D3310" t="s">
        <v>2105</v>
      </c>
      <c r="E3310" s="183">
        <v>10.16</v>
      </c>
    </row>
    <row r="3311" spans="1:5" ht="14.25">
      <c r="A3311">
        <v>43663</v>
      </c>
      <c r="B3311" t="s">
        <v>10912</v>
      </c>
      <c r="C3311" t="s">
        <v>2110</v>
      </c>
      <c r="D3311" t="s">
        <v>2105</v>
      </c>
      <c r="E3311" s="183">
        <v>8.3699999999999992</v>
      </c>
    </row>
    <row r="3312" spans="1:5" ht="14.25">
      <c r="A3312">
        <v>4766</v>
      </c>
      <c r="B3312" t="s">
        <v>10913</v>
      </c>
      <c r="C3312" t="s">
        <v>2110</v>
      </c>
      <c r="D3312" t="s">
        <v>2105</v>
      </c>
      <c r="E3312" s="183">
        <v>7.88</v>
      </c>
    </row>
    <row r="3313" spans="1:5" ht="14.25">
      <c r="A3313">
        <v>43664</v>
      </c>
      <c r="B3313" t="s">
        <v>10914</v>
      </c>
      <c r="C3313" t="s">
        <v>2110</v>
      </c>
      <c r="D3313" t="s">
        <v>2105</v>
      </c>
      <c r="E3313" s="183">
        <v>8.41</v>
      </c>
    </row>
    <row r="3314" spans="1:5" ht="14.25">
      <c r="A3314">
        <v>43082</v>
      </c>
      <c r="B3314" t="s">
        <v>10915</v>
      </c>
      <c r="C3314" t="s">
        <v>2110</v>
      </c>
      <c r="D3314" t="s">
        <v>2105</v>
      </c>
      <c r="E3314" s="183">
        <v>9.17</v>
      </c>
    </row>
    <row r="3315" spans="1:5" ht="14.25">
      <c r="A3315">
        <v>43665</v>
      </c>
      <c r="B3315" t="s">
        <v>10916</v>
      </c>
      <c r="C3315" t="s">
        <v>2110</v>
      </c>
      <c r="D3315" t="s">
        <v>2105</v>
      </c>
      <c r="E3315" s="183">
        <v>7.88</v>
      </c>
    </row>
    <row r="3316" spans="1:5" ht="14.25">
      <c r="A3316">
        <v>10966</v>
      </c>
      <c r="B3316" t="s">
        <v>10917</v>
      </c>
      <c r="C3316" t="s">
        <v>2110</v>
      </c>
      <c r="D3316" t="s">
        <v>2105</v>
      </c>
      <c r="E3316" s="183">
        <v>8.3699999999999992</v>
      </c>
    </row>
    <row r="3317" spans="1:5" ht="14.25">
      <c r="A3317">
        <v>43692</v>
      </c>
      <c r="B3317" t="s">
        <v>10918</v>
      </c>
      <c r="C3317" t="s">
        <v>2110</v>
      </c>
      <c r="D3317" t="s">
        <v>2105</v>
      </c>
      <c r="E3317" s="183">
        <v>8.3699999999999992</v>
      </c>
    </row>
    <row r="3318" spans="1:5" ht="14.25">
      <c r="A3318">
        <v>43083</v>
      </c>
      <c r="B3318" t="s">
        <v>10919</v>
      </c>
      <c r="C3318" t="s">
        <v>2110</v>
      </c>
      <c r="D3318" t="s">
        <v>2105</v>
      </c>
      <c r="E3318" s="183">
        <v>7.94</v>
      </c>
    </row>
    <row r="3319" spans="1:5" ht="14.25">
      <c r="A3319">
        <v>40535</v>
      </c>
      <c r="B3319" t="s">
        <v>10920</v>
      </c>
      <c r="C3319" t="s">
        <v>2110</v>
      </c>
      <c r="D3319" t="s">
        <v>2105</v>
      </c>
      <c r="E3319" s="183">
        <v>7.94</v>
      </c>
    </row>
    <row r="3320" spans="1:5" ht="14.25">
      <c r="A3320">
        <v>39427</v>
      </c>
      <c r="B3320" t="s">
        <v>10921</v>
      </c>
      <c r="C3320" t="s">
        <v>2109</v>
      </c>
      <c r="D3320" t="s">
        <v>2103</v>
      </c>
      <c r="E3320" s="183">
        <v>4.6500000000000004</v>
      </c>
    </row>
    <row r="3321" spans="1:5" ht="14.25">
      <c r="A3321">
        <v>39424</v>
      </c>
      <c r="B3321" t="s">
        <v>10922</v>
      </c>
      <c r="C3321" t="s">
        <v>2109</v>
      </c>
      <c r="D3321" t="s">
        <v>2103</v>
      </c>
      <c r="E3321" s="183">
        <v>2.76</v>
      </c>
    </row>
    <row r="3322" spans="1:5" ht="14.25">
      <c r="A3322">
        <v>39425</v>
      </c>
      <c r="B3322" t="s">
        <v>10923</v>
      </c>
      <c r="C3322" t="s">
        <v>2109</v>
      </c>
      <c r="D3322" t="s">
        <v>2103</v>
      </c>
      <c r="E3322" s="183">
        <v>2.73</v>
      </c>
    </row>
    <row r="3323" spans="1:5" ht="14.25">
      <c r="A3323">
        <v>40664</v>
      </c>
      <c r="B3323" t="s">
        <v>10924</v>
      </c>
      <c r="C3323" t="s">
        <v>2110</v>
      </c>
      <c r="D3323" t="s">
        <v>2105</v>
      </c>
      <c r="E3323" s="183">
        <v>16.3</v>
      </c>
    </row>
    <row r="3324" spans="1:5" ht="14.25">
      <c r="A3324">
        <v>34360</v>
      </c>
      <c r="B3324" t="s">
        <v>10925</v>
      </c>
      <c r="C3324" t="s">
        <v>2110</v>
      </c>
      <c r="D3324" t="s">
        <v>2105</v>
      </c>
      <c r="E3324" s="183">
        <v>37.130000000000003</v>
      </c>
    </row>
    <row r="3325" spans="1:5" ht="14.25">
      <c r="A3325">
        <v>20259</v>
      </c>
      <c r="B3325" t="s">
        <v>10926</v>
      </c>
      <c r="C3325" t="s">
        <v>2109</v>
      </c>
      <c r="D3325" t="s">
        <v>2105</v>
      </c>
      <c r="E3325" s="183">
        <v>12.9</v>
      </c>
    </row>
    <row r="3326" spans="1:5" ht="14.25">
      <c r="A3326">
        <v>14077</v>
      </c>
      <c r="B3326" t="s">
        <v>10927</v>
      </c>
      <c r="C3326" t="s">
        <v>2109</v>
      </c>
      <c r="D3326" t="s">
        <v>2105</v>
      </c>
      <c r="E3326" s="183">
        <v>197.44</v>
      </c>
    </row>
    <row r="3327" spans="1:5" ht="14.25">
      <c r="A3327">
        <v>3678</v>
      </c>
      <c r="B3327" t="s">
        <v>10928</v>
      </c>
      <c r="C3327" t="s">
        <v>2109</v>
      </c>
      <c r="D3327" t="s">
        <v>2105</v>
      </c>
      <c r="E3327" s="183">
        <v>89.24</v>
      </c>
    </row>
    <row r="3328" spans="1:5" ht="14.25">
      <c r="A3328">
        <v>585</v>
      </c>
      <c r="B3328" t="s">
        <v>18562</v>
      </c>
      <c r="C3328" t="s">
        <v>2110</v>
      </c>
      <c r="D3328" t="s">
        <v>2105</v>
      </c>
      <c r="E3328" s="183">
        <v>29.7</v>
      </c>
    </row>
    <row r="3329" spans="1:5" ht="14.25">
      <c r="A3329">
        <v>39418</v>
      </c>
      <c r="B3329" t="s">
        <v>10929</v>
      </c>
      <c r="C3329" t="s">
        <v>2109</v>
      </c>
      <c r="D3329" t="s">
        <v>2103</v>
      </c>
      <c r="E3329" s="183">
        <v>5.18</v>
      </c>
    </row>
    <row r="3330" spans="1:5" ht="14.25">
      <c r="A3330">
        <v>39419</v>
      </c>
      <c r="B3330" t="s">
        <v>10930</v>
      </c>
      <c r="C3330" t="s">
        <v>2109</v>
      </c>
      <c r="D3330" t="s">
        <v>2103</v>
      </c>
      <c r="E3330" s="183">
        <v>6.32</v>
      </c>
    </row>
    <row r="3331" spans="1:5" ht="14.25">
      <c r="A3331">
        <v>39420</v>
      </c>
      <c r="B3331" t="s">
        <v>10931</v>
      </c>
      <c r="C3331" t="s">
        <v>2109</v>
      </c>
      <c r="D3331" t="s">
        <v>2103</v>
      </c>
      <c r="E3331" s="183">
        <v>6.97</v>
      </c>
    </row>
    <row r="3332" spans="1:5" ht="14.25">
      <c r="A3332">
        <v>39571</v>
      </c>
      <c r="B3332" t="s">
        <v>13612</v>
      </c>
      <c r="C3332" t="s">
        <v>2109</v>
      </c>
      <c r="D3332" t="s">
        <v>2103</v>
      </c>
      <c r="E3332" s="183">
        <v>4.21</v>
      </c>
    </row>
    <row r="3333" spans="1:5" ht="14.25">
      <c r="A3333">
        <v>39421</v>
      </c>
      <c r="B3333" t="s">
        <v>10932</v>
      </c>
      <c r="C3333" t="s">
        <v>2109</v>
      </c>
      <c r="D3333" t="s">
        <v>2103</v>
      </c>
      <c r="E3333" s="183">
        <v>6.14</v>
      </c>
    </row>
    <row r="3334" spans="1:5" ht="14.25">
      <c r="A3334">
        <v>39422</v>
      </c>
      <c r="B3334" t="s">
        <v>10933</v>
      </c>
      <c r="C3334" t="s">
        <v>2109</v>
      </c>
      <c r="D3334" t="s">
        <v>2107</v>
      </c>
      <c r="E3334" s="183">
        <v>7.17</v>
      </c>
    </row>
    <row r="3335" spans="1:5" ht="14.25">
      <c r="A3335">
        <v>39423</v>
      </c>
      <c r="B3335" t="s">
        <v>10934</v>
      </c>
      <c r="C3335" t="s">
        <v>2109</v>
      </c>
      <c r="D3335" t="s">
        <v>2103</v>
      </c>
      <c r="E3335" s="183">
        <v>8.32</v>
      </c>
    </row>
    <row r="3336" spans="1:5" ht="14.25">
      <c r="A3336">
        <v>39426</v>
      </c>
      <c r="B3336" t="s">
        <v>10935</v>
      </c>
      <c r="C3336" t="s">
        <v>2109</v>
      </c>
      <c r="D3336" t="s">
        <v>2103</v>
      </c>
      <c r="E3336" s="183">
        <v>18.71</v>
      </c>
    </row>
    <row r="3337" spans="1:5" ht="14.25">
      <c r="A3337">
        <v>39429</v>
      </c>
      <c r="B3337" t="s">
        <v>10936</v>
      </c>
      <c r="C3337" t="s">
        <v>2109</v>
      </c>
      <c r="D3337" t="s">
        <v>2103</v>
      </c>
      <c r="E3337" s="183">
        <v>5.9</v>
      </c>
    </row>
    <row r="3338" spans="1:5" ht="14.25">
      <c r="A3338">
        <v>39428</v>
      </c>
      <c r="B3338" t="s">
        <v>10937</v>
      </c>
      <c r="C3338" t="s">
        <v>2109</v>
      </c>
      <c r="D3338" t="s">
        <v>2103</v>
      </c>
      <c r="E3338" s="183">
        <v>4.51</v>
      </c>
    </row>
    <row r="3339" spans="1:5" ht="14.25">
      <c r="A3339">
        <v>39572</v>
      </c>
      <c r="B3339" t="s">
        <v>10938</v>
      </c>
      <c r="C3339" t="s">
        <v>2109</v>
      </c>
      <c r="D3339" t="s">
        <v>2103</v>
      </c>
      <c r="E3339" s="183">
        <v>3.9</v>
      </c>
    </row>
    <row r="3340" spans="1:5" ht="14.25">
      <c r="A3340">
        <v>39570</v>
      </c>
      <c r="B3340" t="s">
        <v>10939</v>
      </c>
      <c r="C3340" t="s">
        <v>2109</v>
      </c>
      <c r="D3340" t="s">
        <v>2103</v>
      </c>
      <c r="E3340" s="183">
        <v>4.1399999999999997</v>
      </c>
    </row>
    <row r="3341" spans="1:5" ht="14.25">
      <c r="A3341">
        <v>39569</v>
      </c>
      <c r="B3341" t="s">
        <v>10940</v>
      </c>
      <c r="C3341" t="s">
        <v>2109</v>
      </c>
      <c r="D3341" t="s">
        <v>2103</v>
      </c>
      <c r="E3341" s="183">
        <v>4.09</v>
      </c>
    </row>
    <row r="3342" spans="1:5" ht="14.25">
      <c r="A3342">
        <v>11552</v>
      </c>
      <c r="B3342" t="s">
        <v>10941</v>
      </c>
      <c r="C3342" t="s">
        <v>2109</v>
      </c>
      <c r="D3342" t="s">
        <v>2103</v>
      </c>
      <c r="E3342" s="183">
        <v>6.97</v>
      </c>
    </row>
    <row r="3343" spans="1:5" ht="14.25">
      <c r="A3343">
        <v>40598</v>
      </c>
      <c r="B3343" t="s">
        <v>10942</v>
      </c>
      <c r="C3343" t="s">
        <v>2110</v>
      </c>
      <c r="D3343" t="s">
        <v>2105</v>
      </c>
      <c r="E3343" s="183">
        <v>7.75</v>
      </c>
    </row>
    <row r="3344" spans="1:5" ht="14.25">
      <c r="A3344">
        <v>39029</v>
      </c>
      <c r="B3344" t="s">
        <v>10943</v>
      </c>
      <c r="C3344" t="s">
        <v>2109</v>
      </c>
      <c r="D3344" t="s">
        <v>2103</v>
      </c>
      <c r="E3344" s="183">
        <v>13.21</v>
      </c>
    </row>
    <row r="3345" spans="1:5" ht="14.25">
      <c r="A3345">
        <v>39028</v>
      </c>
      <c r="B3345" t="s">
        <v>10944</v>
      </c>
      <c r="C3345" t="s">
        <v>2109</v>
      </c>
      <c r="D3345" t="s">
        <v>2103</v>
      </c>
      <c r="E3345" s="183">
        <v>7.69</v>
      </c>
    </row>
    <row r="3346" spans="1:5" ht="14.25">
      <c r="A3346">
        <v>39328</v>
      </c>
      <c r="B3346" t="s">
        <v>10945</v>
      </c>
      <c r="C3346" t="s">
        <v>2109</v>
      </c>
      <c r="D3346" t="s">
        <v>2103</v>
      </c>
      <c r="E3346" s="183">
        <v>4.2300000000000004</v>
      </c>
    </row>
    <row r="3347" spans="1:5" ht="14.25">
      <c r="A3347">
        <v>38541</v>
      </c>
      <c r="B3347" t="s">
        <v>10946</v>
      </c>
      <c r="C3347" t="s">
        <v>2102</v>
      </c>
      <c r="D3347" t="s">
        <v>2103</v>
      </c>
      <c r="E3347" s="184">
        <v>4020703.6</v>
      </c>
    </row>
    <row r="3348" spans="1:5" ht="14.25">
      <c r="A3348">
        <v>38542</v>
      </c>
      <c r="B3348" t="s">
        <v>10947</v>
      </c>
      <c r="C3348" t="s">
        <v>2102</v>
      </c>
      <c r="D3348" t="s">
        <v>2103</v>
      </c>
      <c r="E3348" s="184">
        <v>6252032.4199999999</v>
      </c>
    </row>
    <row r="3349" spans="1:5" ht="14.25">
      <c r="A3349">
        <v>38543</v>
      </c>
      <c r="B3349" t="s">
        <v>10948</v>
      </c>
      <c r="C3349" t="s">
        <v>2102</v>
      </c>
      <c r="D3349" t="s">
        <v>2103</v>
      </c>
      <c r="E3349" s="184">
        <v>1530670.05</v>
      </c>
    </row>
    <row r="3350" spans="1:5" ht="14.25">
      <c r="A3350">
        <v>40406</v>
      </c>
      <c r="B3350" t="s">
        <v>10949</v>
      </c>
      <c r="C3350" t="s">
        <v>2102</v>
      </c>
      <c r="D3350" t="s">
        <v>2105</v>
      </c>
      <c r="E3350" s="184">
        <v>68502.98</v>
      </c>
    </row>
    <row r="3351" spans="1:5" ht="14.25">
      <c r="A3351">
        <v>40789</v>
      </c>
      <c r="B3351" t="s">
        <v>10950</v>
      </c>
      <c r="C3351" t="s">
        <v>2102</v>
      </c>
      <c r="D3351" t="s">
        <v>2105</v>
      </c>
      <c r="E3351" s="184">
        <v>9871.98</v>
      </c>
    </row>
    <row r="3352" spans="1:5" ht="14.25">
      <c r="A3352">
        <v>40791</v>
      </c>
      <c r="B3352" t="s">
        <v>10951</v>
      </c>
      <c r="C3352" t="s">
        <v>2102</v>
      </c>
      <c r="D3352" t="s">
        <v>2105</v>
      </c>
      <c r="E3352" s="184">
        <v>30903.599999999999</v>
      </c>
    </row>
    <row r="3353" spans="1:5" ht="14.25">
      <c r="A3353">
        <v>11651</v>
      </c>
      <c r="B3353" t="s">
        <v>10952</v>
      </c>
      <c r="C3353" t="s">
        <v>2102</v>
      </c>
      <c r="D3353" t="s">
        <v>2105</v>
      </c>
      <c r="E3353" s="184">
        <v>16901.62</v>
      </c>
    </row>
    <row r="3354" spans="1:5" ht="14.25">
      <c r="A3354">
        <v>40435</v>
      </c>
      <c r="B3354" t="s">
        <v>10953</v>
      </c>
      <c r="C3354" t="s">
        <v>2102</v>
      </c>
      <c r="D3354" t="s">
        <v>2103</v>
      </c>
      <c r="E3354" s="184">
        <v>839712.63</v>
      </c>
    </row>
    <row r="3355" spans="1:5" ht="14.25">
      <c r="A3355">
        <v>39012</v>
      </c>
      <c r="B3355" t="s">
        <v>10954</v>
      </c>
      <c r="C3355" t="s">
        <v>2102</v>
      </c>
      <c r="D3355" t="s">
        <v>2103</v>
      </c>
      <c r="E3355" s="184">
        <v>876124.05</v>
      </c>
    </row>
    <row r="3356" spans="1:5" ht="14.25">
      <c r="A3356">
        <v>13617</v>
      </c>
      <c r="B3356" t="s">
        <v>10955</v>
      </c>
      <c r="C3356" t="s">
        <v>2102</v>
      </c>
      <c r="D3356" t="s">
        <v>2103</v>
      </c>
      <c r="E3356" s="184">
        <v>100023.96</v>
      </c>
    </row>
    <row r="3357" spans="1:5" ht="14.25">
      <c r="A3357">
        <v>35274</v>
      </c>
      <c r="B3357" t="s">
        <v>18563</v>
      </c>
      <c r="C3357" t="s">
        <v>2109</v>
      </c>
      <c r="D3357" t="s">
        <v>2103</v>
      </c>
      <c r="E3357" s="183">
        <v>50.05</v>
      </c>
    </row>
    <row r="3358" spans="1:5" ht="14.25">
      <c r="A3358">
        <v>35275</v>
      </c>
      <c r="B3358" t="s">
        <v>18564</v>
      </c>
      <c r="C3358" t="s">
        <v>2109</v>
      </c>
      <c r="D3358" t="s">
        <v>2103</v>
      </c>
      <c r="E3358" s="183">
        <v>106.23</v>
      </c>
    </row>
    <row r="3359" spans="1:5" ht="14.25">
      <c r="A3359">
        <v>35276</v>
      </c>
      <c r="B3359" t="s">
        <v>18565</v>
      </c>
      <c r="C3359" t="s">
        <v>2109</v>
      </c>
      <c r="D3359" t="s">
        <v>2103</v>
      </c>
      <c r="E3359" s="183">
        <v>184.84</v>
      </c>
    </row>
    <row r="3360" spans="1:5" ht="14.25">
      <c r="A3360">
        <v>38386</v>
      </c>
      <c r="B3360" t="s">
        <v>10956</v>
      </c>
      <c r="C3360" t="s">
        <v>2102</v>
      </c>
      <c r="D3360" t="s">
        <v>2103</v>
      </c>
      <c r="E3360" s="183">
        <v>5.82</v>
      </c>
    </row>
    <row r="3361" spans="1:5" ht="14.25">
      <c r="A3361">
        <v>11091</v>
      </c>
      <c r="B3361" t="s">
        <v>10957</v>
      </c>
      <c r="C3361" t="s">
        <v>2102</v>
      </c>
      <c r="D3361" t="s">
        <v>2103</v>
      </c>
      <c r="E3361" s="183">
        <v>2.08</v>
      </c>
    </row>
    <row r="3362" spans="1:5" ht="14.25">
      <c r="A3362">
        <v>37586</v>
      </c>
      <c r="B3362" t="s">
        <v>10958</v>
      </c>
      <c r="C3362" t="s">
        <v>2218</v>
      </c>
      <c r="D3362" t="s">
        <v>2105</v>
      </c>
      <c r="E3362" s="183">
        <v>46.91</v>
      </c>
    </row>
    <row r="3363" spans="1:5" ht="14.25">
      <c r="A3363">
        <v>37395</v>
      </c>
      <c r="B3363" t="s">
        <v>10959</v>
      </c>
      <c r="C3363" t="s">
        <v>2218</v>
      </c>
      <c r="D3363" t="s">
        <v>2105</v>
      </c>
      <c r="E3363" s="183">
        <v>40.33</v>
      </c>
    </row>
    <row r="3364" spans="1:5" ht="14.25">
      <c r="A3364">
        <v>14147</v>
      </c>
      <c r="B3364" t="s">
        <v>10960</v>
      </c>
      <c r="C3364" t="s">
        <v>2218</v>
      </c>
      <c r="D3364" t="s">
        <v>2105</v>
      </c>
      <c r="E3364" s="183">
        <v>53.5</v>
      </c>
    </row>
    <row r="3365" spans="1:5" ht="14.25">
      <c r="A3365">
        <v>37396</v>
      </c>
      <c r="B3365" t="s">
        <v>10961</v>
      </c>
      <c r="C3365" t="s">
        <v>2218</v>
      </c>
      <c r="D3365" t="s">
        <v>2105</v>
      </c>
      <c r="E3365" s="183">
        <v>33</v>
      </c>
    </row>
    <row r="3366" spans="1:5" ht="14.25">
      <c r="A3366">
        <v>37397</v>
      </c>
      <c r="B3366" t="s">
        <v>10962</v>
      </c>
      <c r="C3366" t="s">
        <v>2218</v>
      </c>
      <c r="D3366" t="s">
        <v>2105</v>
      </c>
      <c r="E3366" s="183">
        <v>34.57</v>
      </c>
    </row>
    <row r="3367" spans="1:5" ht="14.25">
      <c r="A3367">
        <v>43606</v>
      </c>
      <c r="B3367" t="s">
        <v>10963</v>
      </c>
      <c r="C3367" t="s">
        <v>2102</v>
      </c>
      <c r="D3367" t="s">
        <v>2103</v>
      </c>
      <c r="E3367" s="183">
        <v>8.36</v>
      </c>
    </row>
    <row r="3368" spans="1:5" ht="14.25">
      <c r="A3368">
        <v>444</v>
      </c>
      <c r="B3368" t="s">
        <v>10964</v>
      </c>
      <c r="C3368" t="s">
        <v>2102</v>
      </c>
      <c r="D3368" t="s">
        <v>2103</v>
      </c>
      <c r="E3368" s="183">
        <v>34.4</v>
      </c>
    </row>
    <row r="3369" spans="1:5" ht="14.25">
      <c r="A3369">
        <v>445</v>
      </c>
      <c r="B3369" t="s">
        <v>10965</v>
      </c>
      <c r="C3369" t="s">
        <v>2102</v>
      </c>
      <c r="D3369" t="s">
        <v>2103</v>
      </c>
      <c r="E3369" s="183">
        <v>47.08</v>
      </c>
    </row>
    <row r="3370" spans="1:5" ht="14.25">
      <c r="A3370">
        <v>4783</v>
      </c>
      <c r="B3370" t="s">
        <v>15285</v>
      </c>
      <c r="C3370" t="s">
        <v>2106</v>
      </c>
      <c r="D3370" t="s">
        <v>2107</v>
      </c>
      <c r="E3370" s="183">
        <v>22.37</v>
      </c>
    </row>
    <row r="3371" spans="1:5" ht="14.25">
      <c r="A3371">
        <v>41079</v>
      </c>
      <c r="B3371" t="s">
        <v>10966</v>
      </c>
      <c r="C3371" t="s">
        <v>2123</v>
      </c>
      <c r="D3371" t="s">
        <v>2103</v>
      </c>
      <c r="E3371" s="184">
        <v>3922.39</v>
      </c>
    </row>
    <row r="3372" spans="1:5" ht="14.25">
      <c r="A3372">
        <v>12874</v>
      </c>
      <c r="B3372" t="s">
        <v>15286</v>
      </c>
      <c r="C3372" t="s">
        <v>2106</v>
      </c>
      <c r="D3372" t="s">
        <v>2103</v>
      </c>
      <c r="E3372" s="183">
        <v>20.62</v>
      </c>
    </row>
    <row r="3373" spans="1:5" ht="14.25">
      <c r="A3373">
        <v>41082</v>
      </c>
      <c r="B3373" t="s">
        <v>10967</v>
      </c>
      <c r="C3373" t="s">
        <v>2123</v>
      </c>
      <c r="D3373" t="s">
        <v>2103</v>
      </c>
      <c r="E3373" s="184">
        <v>3617.24</v>
      </c>
    </row>
    <row r="3374" spans="1:5" ht="14.25">
      <c r="A3374">
        <v>4785</v>
      </c>
      <c r="B3374" t="s">
        <v>15287</v>
      </c>
      <c r="C3374" t="s">
        <v>2106</v>
      </c>
      <c r="D3374" t="s">
        <v>2103</v>
      </c>
      <c r="E3374" s="183">
        <v>22.37</v>
      </c>
    </row>
    <row r="3375" spans="1:5" ht="14.25">
      <c r="A3375">
        <v>41081</v>
      </c>
      <c r="B3375" t="s">
        <v>10968</v>
      </c>
      <c r="C3375" t="s">
        <v>2123</v>
      </c>
      <c r="D3375" t="s">
        <v>2103</v>
      </c>
      <c r="E3375" s="184">
        <v>3922.39</v>
      </c>
    </row>
    <row r="3376" spans="1:5" ht="14.25">
      <c r="A3376">
        <v>4801</v>
      </c>
      <c r="B3376" t="s">
        <v>10969</v>
      </c>
      <c r="C3376" t="s">
        <v>2104</v>
      </c>
      <c r="D3376" t="s">
        <v>2103</v>
      </c>
      <c r="E3376" s="183">
        <v>78.760000000000005</v>
      </c>
    </row>
    <row r="3377" spans="1:5" ht="14.25">
      <c r="A3377">
        <v>4794</v>
      </c>
      <c r="B3377" t="s">
        <v>10970</v>
      </c>
      <c r="C3377" t="s">
        <v>2104</v>
      </c>
      <c r="D3377" t="s">
        <v>2103</v>
      </c>
      <c r="E3377" s="183">
        <v>358.69</v>
      </c>
    </row>
    <row r="3378" spans="1:5" ht="14.25">
      <c r="A3378">
        <v>4796</v>
      </c>
      <c r="B3378" t="s">
        <v>10971</v>
      </c>
      <c r="C3378" t="s">
        <v>2104</v>
      </c>
      <c r="D3378" t="s">
        <v>2103</v>
      </c>
      <c r="E3378" s="183">
        <v>217.87</v>
      </c>
    </row>
    <row r="3379" spans="1:5" ht="14.25">
      <c r="A3379">
        <v>4800</v>
      </c>
      <c r="B3379" t="s">
        <v>10972</v>
      </c>
      <c r="C3379" t="s">
        <v>2104</v>
      </c>
      <c r="D3379" t="s">
        <v>2103</v>
      </c>
      <c r="E3379" s="183">
        <v>59.91</v>
      </c>
    </row>
    <row r="3380" spans="1:5" ht="14.25">
      <c r="A3380">
        <v>4795</v>
      </c>
      <c r="B3380" t="s">
        <v>10973</v>
      </c>
      <c r="C3380" t="s">
        <v>2104</v>
      </c>
      <c r="D3380" t="s">
        <v>2103</v>
      </c>
      <c r="E3380" s="183">
        <v>349.17</v>
      </c>
    </row>
    <row r="3381" spans="1:5" ht="14.25">
      <c r="A3381">
        <v>39694</v>
      </c>
      <c r="B3381" t="s">
        <v>10974</v>
      </c>
      <c r="C3381" t="s">
        <v>2104</v>
      </c>
      <c r="D3381" t="s">
        <v>2103</v>
      </c>
      <c r="E3381" s="183">
        <v>337.85</v>
      </c>
    </row>
    <row r="3382" spans="1:5" ht="14.25">
      <c r="A3382">
        <v>1292</v>
      </c>
      <c r="B3382" t="s">
        <v>18566</v>
      </c>
      <c r="C3382" t="s">
        <v>2104</v>
      </c>
      <c r="D3382" t="s">
        <v>2103</v>
      </c>
      <c r="E3382" s="183">
        <v>79.3</v>
      </c>
    </row>
    <row r="3383" spans="1:5" ht="14.25">
      <c r="A3383">
        <v>1287</v>
      </c>
      <c r="B3383" t="s">
        <v>18567</v>
      </c>
      <c r="C3383" t="s">
        <v>2104</v>
      </c>
      <c r="D3383" t="s">
        <v>2107</v>
      </c>
      <c r="E3383" s="183">
        <v>38.9</v>
      </c>
    </row>
    <row r="3384" spans="1:5" ht="14.25">
      <c r="A3384">
        <v>1297</v>
      </c>
      <c r="B3384" t="s">
        <v>18568</v>
      </c>
      <c r="C3384" t="s">
        <v>2104</v>
      </c>
      <c r="D3384" t="s">
        <v>2103</v>
      </c>
      <c r="E3384" s="183">
        <v>32.270000000000003</v>
      </c>
    </row>
    <row r="3385" spans="1:5" ht="14.25">
      <c r="A3385">
        <v>4786</v>
      </c>
      <c r="B3385" t="s">
        <v>10975</v>
      </c>
      <c r="C3385" t="s">
        <v>2104</v>
      </c>
      <c r="D3385" t="s">
        <v>2105</v>
      </c>
      <c r="E3385" s="183">
        <v>108.5</v>
      </c>
    </row>
    <row r="3386" spans="1:5" ht="14.25">
      <c r="A3386">
        <v>10840</v>
      </c>
      <c r="B3386" t="s">
        <v>10976</v>
      </c>
      <c r="C3386" t="s">
        <v>2104</v>
      </c>
      <c r="D3386" t="s">
        <v>2107</v>
      </c>
      <c r="E3386" s="183">
        <v>237.5</v>
      </c>
    </row>
    <row r="3387" spans="1:5" ht="14.25">
      <c r="A3387">
        <v>10841</v>
      </c>
      <c r="B3387" t="s">
        <v>10977</v>
      </c>
      <c r="C3387" t="s">
        <v>2104</v>
      </c>
      <c r="D3387" t="s">
        <v>2103</v>
      </c>
      <c r="E3387" s="183">
        <v>179.24</v>
      </c>
    </row>
    <row r="3388" spans="1:5" ht="14.25">
      <c r="A3388">
        <v>44540</v>
      </c>
      <c r="B3388" t="s">
        <v>13613</v>
      </c>
      <c r="C3388" t="s">
        <v>2104</v>
      </c>
      <c r="D3388" t="s">
        <v>2103</v>
      </c>
      <c r="E3388" s="183">
        <v>229.03</v>
      </c>
    </row>
    <row r="3389" spans="1:5" ht="14.25">
      <c r="A3389">
        <v>10842</v>
      </c>
      <c r="B3389" t="s">
        <v>10978</v>
      </c>
      <c r="C3389" t="s">
        <v>2104</v>
      </c>
      <c r="D3389" t="s">
        <v>2103</v>
      </c>
      <c r="E3389" s="183">
        <v>258.89999999999998</v>
      </c>
    </row>
    <row r="3390" spans="1:5" ht="14.25">
      <c r="A3390">
        <v>21108</v>
      </c>
      <c r="B3390" t="s">
        <v>18569</v>
      </c>
      <c r="C3390" t="s">
        <v>2104</v>
      </c>
      <c r="D3390" t="s">
        <v>2103</v>
      </c>
      <c r="E3390" s="183">
        <v>105.69</v>
      </c>
    </row>
    <row r="3391" spans="1:5" ht="14.25">
      <c r="A3391">
        <v>38195</v>
      </c>
      <c r="B3391" t="s">
        <v>18570</v>
      </c>
      <c r="C3391" t="s">
        <v>2104</v>
      </c>
      <c r="D3391" t="s">
        <v>2103</v>
      </c>
      <c r="E3391" s="183">
        <v>124.83</v>
      </c>
    </row>
    <row r="3392" spans="1:5" ht="14.25">
      <c r="A3392">
        <v>38180</v>
      </c>
      <c r="B3392" t="s">
        <v>10979</v>
      </c>
      <c r="C3392" t="s">
        <v>2104</v>
      </c>
      <c r="D3392" t="s">
        <v>2103</v>
      </c>
      <c r="E3392" s="183">
        <v>175.41</v>
      </c>
    </row>
    <row r="3393" spans="1:5" ht="14.25">
      <c r="A3393">
        <v>40648</v>
      </c>
      <c r="B3393" t="s">
        <v>10980</v>
      </c>
      <c r="C3393" t="s">
        <v>2104</v>
      </c>
      <c r="D3393" t="s">
        <v>2105</v>
      </c>
      <c r="E3393" s="183">
        <v>208.32</v>
      </c>
    </row>
    <row r="3394" spans="1:5" ht="14.25">
      <c r="A3394">
        <v>40649</v>
      </c>
      <c r="B3394" t="s">
        <v>10981</v>
      </c>
      <c r="C3394" t="s">
        <v>2104</v>
      </c>
      <c r="D3394" t="s">
        <v>2105</v>
      </c>
      <c r="E3394" s="183">
        <v>121.34</v>
      </c>
    </row>
    <row r="3395" spans="1:5" ht="14.25">
      <c r="A3395">
        <v>40650</v>
      </c>
      <c r="B3395" t="s">
        <v>10982</v>
      </c>
      <c r="C3395" t="s">
        <v>2104</v>
      </c>
      <c r="D3395" t="s">
        <v>2105</v>
      </c>
      <c r="E3395" s="183">
        <v>156.24</v>
      </c>
    </row>
    <row r="3396" spans="1:5" ht="14.25">
      <c r="A3396">
        <v>40651</v>
      </c>
      <c r="B3396" t="s">
        <v>10983</v>
      </c>
      <c r="C3396" t="s">
        <v>2104</v>
      </c>
      <c r="D3396" t="s">
        <v>2105</v>
      </c>
      <c r="E3396" s="183">
        <v>288.17</v>
      </c>
    </row>
    <row r="3397" spans="1:5" ht="14.25">
      <c r="A3397">
        <v>40652</v>
      </c>
      <c r="B3397" t="s">
        <v>10984</v>
      </c>
      <c r="C3397" t="s">
        <v>2104</v>
      </c>
      <c r="D3397" t="s">
        <v>2105</v>
      </c>
      <c r="E3397" s="183">
        <v>154.5</v>
      </c>
    </row>
    <row r="3398" spans="1:5" ht="14.25">
      <c r="A3398">
        <v>40647</v>
      </c>
      <c r="B3398" t="s">
        <v>10985</v>
      </c>
      <c r="C3398" t="s">
        <v>2104</v>
      </c>
      <c r="D3398" t="s">
        <v>2105</v>
      </c>
      <c r="E3398" s="183">
        <v>170.12</v>
      </c>
    </row>
    <row r="3399" spans="1:5" ht="14.25">
      <c r="A3399">
        <v>40653</v>
      </c>
      <c r="B3399" t="s">
        <v>10986</v>
      </c>
      <c r="C3399" t="s">
        <v>2104</v>
      </c>
      <c r="D3399" t="s">
        <v>2105</v>
      </c>
      <c r="E3399" s="183">
        <v>130.19999999999999</v>
      </c>
    </row>
    <row r="3400" spans="1:5" ht="14.25">
      <c r="A3400">
        <v>36178</v>
      </c>
      <c r="B3400" t="s">
        <v>10987</v>
      </c>
      <c r="C3400" t="s">
        <v>2102</v>
      </c>
      <c r="D3400" t="s">
        <v>2103</v>
      </c>
      <c r="E3400" s="183">
        <v>14.43</v>
      </c>
    </row>
    <row r="3401" spans="1:5" ht="14.25">
      <c r="A3401">
        <v>38181</v>
      </c>
      <c r="B3401" t="s">
        <v>10988</v>
      </c>
      <c r="C3401" t="s">
        <v>2104</v>
      </c>
      <c r="D3401" t="s">
        <v>2103</v>
      </c>
      <c r="E3401" s="183">
        <v>239.46</v>
      </c>
    </row>
    <row r="3402" spans="1:5" ht="14.25">
      <c r="A3402">
        <v>38182</v>
      </c>
      <c r="B3402" t="s">
        <v>10989</v>
      </c>
      <c r="C3402" t="s">
        <v>2104</v>
      </c>
      <c r="D3402" t="s">
        <v>2103</v>
      </c>
      <c r="E3402" s="183">
        <v>228.09</v>
      </c>
    </row>
    <row r="3403" spans="1:5" ht="14.25">
      <c r="A3403">
        <v>38186</v>
      </c>
      <c r="B3403" t="s">
        <v>10990</v>
      </c>
      <c r="C3403" t="s">
        <v>2104</v>
      </c>
      <c r="D3403" t="s">
        <v>2103</v>
      </c>
      <c r="E3403" s="183">
        <v>592.9</v>
      </c>
    </row>
    <row r="3404" spans="1:5" ht="14.25">
      <c r="A3404">
        <v>38185</v>
      </c>
      <c r="B3404" t="s">
        <v>10991</v>
      </c>
      <c r="C3404" t="s">
        <v>2104</v>
      </c>
      <c r="D3404" t="s">
        <v>2103</v>
      </c>
      <c r="E3404" s="183">
        <v>527.89</v>
      </c>
    </row>
    <row r="3405" spans="1:5" ht="14.25">
      <c r="A3405">
        <v>40654</v>
      </c>
      <c r="B3405" t="s">
        <v>10992</v>
      </c>
      <c r="C3405" t="s">
        <v>2104</v>
      </c>
      <c r="D3405" t="s">
        <v>2105</v>
      </c>
      <c r="E3405" s="183">
        <v>202.24</v>
      </c>
    </row>
    <row r="3406" spans="1:5" ht="14.25">
      <c r="A3406">
        <v>44541</v>
      </c>
      <c r="B3406" t="s">
        <v>13614</v>
      </c>
      <c r="C3406" t="s">
        <v>2104</v>
      </c>
      <c r="D3406" t="s">
        <v>2103</v>
      </c>
      <c r="E3406" s="183">
        <v>189.2</v>
      </c>
    </row>
    <row r="3407" spans="1:5" ht="14.25">
      <c r="A3407">
        <v>4822</v>
      </c>
      <c r="B3407" t="s">
        <v>10993</v>
      </c>
      <c r="C3407" t="s">
        <v>2104</v>
      </c>
      <c r="D3407" t="s">
        <v>2103</v>
      </c>
      <c r="E3407" s="183">
        <v>187.76</v>
      </c>
    </row>
    <row r="3408" spans="1:5" ht="14.25">
      <c r="A3408">
        <v>4818</v>
      </c>
      <c r="B3408" t="s">
        <v>10994</v>
      </c>
      <c r="C3408" t="s">
        <v>2104</v>
      </c>
      <c r="D3408" t="s">
        <v>2107</v>
      </c>
      <c r="E3408" s="183">
        <v>193</v>
      </c>
    </row>
    <row r="3409" spans="1:5" ht="14.25">
      <c r="A3409">
        <v>39567</v>
      </c>
      <c r="B3409" t="s">
        <v>10995</v>
      </c>
      <c r="C3409" t="s">
        <v>2104</v>
      </c>
      <c r="D3409" t="s">
        <v>2103</v>
      </c>
      <c r="E3409" s="183">
        <v>42.67</v>
      </c>
    </row>
    <row r="3410" spans="1:5" ht="14.25">
      <c r="A3410">
        <v>39566</v>
      </c>
      <c r="B3410" t="s">
        <v>10996</v>
      </c>
      <c r="C3410" t="s">
        <v>2104</v>
      </c>
      <c r="D3410" t="s">
        <v>2103</v>
      </c>
      <c r="E3410" s="183">
        <v>45.16</v>
      </c>
    </row>
    <row r="3411" spans="1:5" ht="14.25">
      <c r="A3411">
        <v>39416</v>
      </c>
      <c r="B3411" t="s">
        <v>10997</v>
      </c>
      <c r="C3411" t="s">
        <v>2104</v>
      </c>
      <c r="D3411" t="s">
        <v>2103</v>
      </c>
      <c r="E3411" s="183">
        <v>27.53</v>
      </c>
    </row>
    <row r="3412" spans="1:5" ht="14.25">
      <c r="A3412">
        <v>39417</v>
      </c>
      <c r="B3412" t="s">
        <v>10998</v>
      </c>
      <c r="C3412" t="s">
        <v>2104</v>
      </c>
      <c r="D3412" t="s">
        <v>2103</v>
      </c>
      <c r="E3412" s="183">
        <v>26.85</v>
      </c>
    </row>
    <row r="3413" spans="1:5" ht="14.25">
      <c r="A3413">
        <v>43742</v>
      </c>
      <c r="B3413" t="s">
        <v>13615</v>
      </c>
      <c r="C3413" t="s">
        <v>2104</v>
      </c>
      <c r="D3413" t="s">
        <v>2103</v>
      </c>
      <c r="E3413" s="183">
        <v>28.96</v>
      </c>
    </row>
    <row r="3414" spans="1:5" ht="14.25">
      <c r="A3414">
        <v>39414</v>
      </c>
      <c r="B3414" t="s">
        <v>10999</v>
      </c>
      <c r="C3414" t="s">
        <v>2104</v>
      </c>
      <c r="D3414" t="s">
        <v>2103</v>
      </c>
      <c r="E3414" s="183">
        <v>26.07</v>
      </c>
    </row>
    <row r="3415" spans="1:5" ht="14.25">
      <c r="A3415">
        <v>39415</v>
      </c>
      <c r="B3415" t="s">
        <v>11000</v>
      </c>
      <c r="C3415" t="s">
        <v>2104</v>
      </c>
      <c r="D3415" t="s">
        <v>2103</v>
      </c>
      <c r="E3415" s="183">
        <v>22.47</v>
      </c>
    </row>
    <row r="3416" spans="1:5" ht="14.25">
      <c r="A3416">
        <v>43740</v>
      </c>
      <c r="B3416" t="s">
        <v>13616</v>
      </c>
      <c r="C3416" t="s">
        <v>2104</v>
      </c>
      <c r="D3416" t="s">
        <v>2103</v>
      </c>
      <c r="E3416" s="183">
        <v>27.44</v>
      </c>
    </row>
    <row r="3417" spans="1:5" ht="14.25">
      <c r="A3417">
        <v>39412</v>
      </c>
      <c r="B3417" t="s">
        <v>11001</v>
      </c>
      <c r="C3417" t="s">
        <v>2104</v>
      </c>
      <c r="D3417" t="s">
        <v>2107</v>
      </c>
      <c r="E3417" s="183">
        <v>18.82</v>
      </c>
    </row>
    <row r="3418" spans="1:5" ht="14.25">
      <c r="A3418">
        <v>39413</v>
      </c>
      <c r="B3418" t="s">
        <v>11002</v>
      </c>
      <c r="C3418" t="s">
        <v>2104</v>
      </c>
      <c r="D3418" t="s">
        <v>2103</v>
      </c>
      <c r="E3418" s="183">
        <v>20.350000000000001</v>
      </c>
    </row>
    <row r="3419" spans="1:5" ht="14.25">
      <c r="A3419">
        <v>43741</v>
      </c>
      <c r="B3419" t="s">
        <v>13617</v>
      </c>
      <c r="C3419" t="s">
        <v>2104</v>
      </c>
      <c r="D3419" t="s">
        <v>2103</v>
      </c>
      <c r="E3419" s="183">
        <v>21.69</v>
      </c>
    </row>
    <row r="3420" spans="1:5" ht="14.25">
      <c r="A3420">
        <v>11062</v>
      </c>
      <c r="B3420" t="s">
        <v>13618</v>
      </c>
      <c r="C3420" t="s">
        <v>2104</v>
      </c>
      <c r="D3420" t="s">
        <v>2103</v>
      </c>
      <c r="E3420" s="183">
        <v>46.73</v>
      </c>
    </row>
    <row r="3421" spans="1:5" ht="14.25">
      <c r="A3421">
        <v>11063</v>
      </c>
      <c r="B3421" t="s">
        <v>13619</v>
      </c>
      <c r="C3421" t="s">
        <v>2104</v>
      </c>
      <c r="D3421" t="s">
        <v>2103</v>
      </c>
      <c r="E3421" s="183">
        <v>28.6</v>
      </c>
    </row>
    <row r="3422" spans="1:5" ht="14.25">
      <c r="A3422">
        <v>13521</v>
      </c>
      <c r="B3422" t="s">
        <v>11003</v>
      </c>
      <c r="C3422" t="s">
        <v>2102</v>
      </c>
      <c r="D3422" t="s">
        <v>2105</v>
      </c>
      <c r="E3422" s="183">
        <v>82.5</v>
      </c>
    </row>
    <row r="3423" spans="1:5" ht="14.25">
      <c r="A3423">
        <v>10851</v>
      </c>
      <c r="B3423" t="s">
        <v>11004</v>
      </c>
      <c r="C3423" t="s">
        <v>2102</v>
      </c>
      <c r="D3423" t="s">
        <v>2105</v>
      </c>
      <c r="E3423" s="183">
        <v>82.56</v>
      </c>
    </row>
    <row r="3424" spans="1:5" ht="14.25">
      <c r="A3424">
        <v>39515</v>
      </c>
      <c r="B3424" t="s">
        <v>11005</v>
      </c>
      <c r="C3424" t="s">
        <v>2102</v>
      </c>
      <c r="D3424" t="s">
        <v>2105</v>
      </c>
      <c r="E3424" s="183">
        <v>57.42</v>
      </c>
    </row>
    <row r="3425" spans="1:5" ht="14.25">
      <c r="A3425">
        <v>39516</v>
      </c>
      <c r="B3425" t="s">
        <v>11006</v>
      </c>
      <c r="C3425" t="s">
        <v>2102</v>
      </c>
      <c r="D3425" t="s">
        <v>2105</v>
      </c>
      <c r="E3425" s="183">
        <v>48.41</v>
      </c>
    </row>
    <row r="3426" spans="1:5" ht="14.25">
      <c r="A3426">
        <v>39514</v>
      </c>
      <c r="B3426" t="s">
        <v>11007</v>
      </c>
      <c r="C3426" t="s">
        <v>2102</v>
      </c>
      <c r="D3426" t="s">
        <v>2105</v>
      </c>
      <c r="E3426" s="183">
        <v>30.12</v>
      </c>
    </row>
    <row r="3427" spans="1:5" ht="14.25">
      <c r="A3427">
        <v>4812</v>
      </c>
      <c r="B3427" t="s">
        <v>11008</v>
      </c>
      <c r="C3427" t="s">
        <v>2104</v>
      </c>
      <c r="D3427" t="s">
        <v>2103</v>
      </c>
      <c r="E3427" s="183">
        <v>11.29</v>
      </c>
    </row>
    <row r="3428" spans="1:5" ht="14.25">
      <c r="A3428">
        <v>10849</v>
      </c>
      <c r="B3428" t="s">
        <v>11009</v>
      </c>
      <c r="C3428" t="s">
        <v>2102</v>
      </c>
      <c r="D3428" t="s">
        <v>2105</v>
      </c>
      <c r="E3428" s="184">
        <v>1200.01</v>
      </c>
    </row>
    <row r="3429" spans="1:5" ht="14.25">
      <c r="A3429">
        <v>10848</v>
      </c>
      <c r="B3429" t="s">
        <v>11010</v>
      </c>
      <c r="C3429" t="s">
        <v>2102</v>
      </c>
      <c r="D3429" t="s">
        <v>2105</v>
      </c>
      <c r="E3429" s="183">
        <v>753.75</v>
      </c>
    </row>
    <row r="3430" spans="1:5" ht="14.25">
      <c r="A3430">
        <v>4813</v>
      </c>
      <c r="B3430" t="s">
        <v>13620</v>
      </c>
      <c r="C3430" t="s">
        <v>2104</v>
      </c>
      <c r="D3430" t="s">
        <v>2105</v>
      </c>
      <c r="E3430" s="183">
        <v>250</v>
      </c>
    </row>
    <row r="3431" spans="1:5" ht="14.25">
      <c r="A3431">
        <v>37560</v>
      </c>
      <c r="B3431" t="s">
        <v>11011</v>
      </c>
      <c r="C3431" t="s">
        <v>2102</v>
      </c>
      <c r="D3431" t="s">
        <v>2103</v>
      </c>
      <c r="E3431" s="183">
        <v>35.43</v>
      </c>
    </row>
    <row r="3432" spans="1:5" ht="14.25">
      <c r="A3432">
        <v>37557</v>
      </c>
      <c r="B3432" t="s">
        <v>11012</v>
      </c>
      <c r="C3432" t="s">
        <v>2102</v>
      </c>
      <c r="D3432" t="s">
        <v>2103</v>
      </c>
      <c r="E3432" s="183">
        <v>10.76</v>
      </c>
    </row>
    <row r="3433" spans="1:5" ht="14.25">
      <c r="A3433">
        <v>37556</v>
      </c>
      <c r="B3433" t="s">
        <v>11013</v>
      </c>
      <c r="C3433" t="s">
        <v>2102</v>
      </c>
      <c r="D3433" t="s">
        <v>2103</v>
      </c>
      <c r="E3433" s="183">
        <v>20.82</v>
      </c>
    </row>
    <row r="3434" spans="1:5" ht="14.25">
      <c r="A3434">
        <v>37559</v>
      </c>
      <c r="B3434" t="s">
        <v>11014</v>
      </c>
      <c r="C3434" t="s">
        <v>2102</v>
      </c>
      <c r="D3434" t="s">
        <v>2103</v>
      </c>
      <c r="E3434" s="183">
        <v>25.54</v>
      </c>
    </row>
    <row r="3435" spans="1:5" ht="14.25">
      <c r="A3435">
        <v>37539</v>
      </c>
      <c r="B3435" t="s">
        <v>11015</v>
      </c>
      <c r="C3435" t="s">
        <v>2102</v>
      </c>
      <c r="D3435" t="s">
        <v>2107</v>
      </c>
      <c r="E3435" s="183">
        <v>18</v>
      </c>
    </row>
    <row r="3436" spans="1:5" ht="14.25">
      <c r="A3436">
        <v>37558</v>
      </c>
      <c r="B3436" t="s">
        <v>11016</v>
      </c>
      <c r="C3436" t="s">
        <v>2102</v>
      </c>
      <c r="D3436" t="s">
        <v>2103</v>
      </c>
      <c r="E3436" s="183">
        <v>33.56</v>
      </c>
    </row>
    <row r="3437" spans="1:5" ht="14.25">
      <c r="A3437">
        <v>34723</v>
      </c>
      <c r="B3437" t="s">
        <v>11017</v>
      </c>
      <c r="C3437" t="s">
        <v>2104</v>
      </c>
      <c r="D3437" t="s">
        <v>2105</v>
      </c>
      <c r="E3437" s="183">
        <v>577.5</v>
      </c>
    </row>
    <row r="3438" spans="1:5" ht="14.25">
      <c r="A3438">
        <v>34721</v>
      </c>
      <c r="B3438" t="s">
        <v>11018</v>
      </c>
      <c r="C3438" t="s">
        <v>2104</v>
      </c>
      <c r="D3438" t="s">
        <v>2105</v>
      </c>
      <c r="E3438" s="183">
        <v>720</v>
      </c>
    </row>
    <row r="3439" spans="1:5" ht="14.25">
      <c r="A3439">
        <v>4309</v>
      </c>
      <c r="B3439" t="s">
        <v>11019</v>
      </c>
      <c r="C3439" t="s">
        <v>2102</v>
      </c>
      <c r="D3439" t="s">
        <v>2103</v>
      </c>
      <c r="E3439" s="183">
        <v>9.36</v>
      </c>
    </row>
    <row r="3440" spans="1:5" ht="14.25">
      <c r="A3440">
        <v>4307</v>
      </c>
      <c r="B3440" t="s">
        <v>11020</v>
      </c>
      <c r="C3440" t="s">
        <v>2102</v>
      </c>
      <c r="D3440" t="s">
        <v>2103</v>
      </c>
      <c r="E3440" s="183">
        <v>16.010000000000002</v>
      </c>
    </row>
    <row r="3441" spans="1:5" ht="14.25">
      <c r="A3441">
        <v>10850</v>
      </c>
      <c r="B3441" t="s">
        <v>11021</v>
      </c>
      <c r="C3441" t="s">
        <v>2102</v>
      </c>
      <c r="D3441" t="s">
        <v>2105</v>
      </c>
      <c r="E3441" s="183">
        <v>37.5</v>
      </c>
    </row>
    <row r="3442" spans="1:5" ht="14.25">
      <c r="A3442">
        <v>42438</v>
      </c>
      <c r="B3442" t="s">
        <v>18571</v>
      </c>
      <c r="C3442" t="s">
        <v>2102</v>
      </c>
      <c r="D3442" t="s">
        <v>2105</v>
      </c>
      <c r="E3442" s="184">
        <v>2090.75</v>
      </c>
    </row>
    <row r="3443" spans="1:5" ht="14.25">
      <c r="A3443">
        <v>4792</v>
      </c>
      <c r="B3443" t="s">
        <v>11022</v>
      </c>
      <c r="C3443" t="s">
        <v>2104</v>
      </c>
      <c r="D3443" t="s">
        <v>2103</v>
      </c>
      <c r="E3443" s="183">
        <v>168.38</v>
      </c>
    </row>
    <row r="3444" spans="1:5" ht="14.25">
      <c r="A3444">
        <v>4790</v>
      </c>
      <c r="B3444" t="s">
        <v>11023</v>
      </c>
      <c r="C3444" t="s">
        <v>2104</v>
      </c>
      <c r="D3444" t="s">
        <v>2107</v>
      </c>
      <c r="E3444" s="183">
        <v>101.24</v>
      </c>
    </row>
    <row r="3445" spans="1:5" ht="14.25">
      <c r="A3445">
        <v>40671</v>
      </c>
      <c r="B3445" t="s">
        <v>11024</v>
      </c>
      <c r="C3445" t="s">
        <v>2104</v>
      </c>
      <c r="D3445" t="s">
        <v>2103</v>
      </c>
      <c r="E3445" s="183">
        <v>94.73</v>
      </c>
    </row>
    <row r="3446" spans="1:5" ht="14.25">
      <c r="A3446">
        <v>7552</v>
      </c>
      <c r="B3446" t="s">
        <v>11025</v>
      </c>
      <c r="C3446" t="s">
        <v>2102</v>
      </c>
      <c r="D3446" t="s">
        <v>2103</v>
      </c>
      <c r="E3446" s="183">
        <v>20.399999999999999</v>
      </c>
    </row>
    <row r="3447" spans="1:5" ht="14.25">
      <c r="A3447">
        <v>4893</v>
      </c>
      <c r="B3447" t="s">
        <v>11026</v>
      </c>
      <c r="C3447" t="s">
        <v>2102</v>
      </c>
      <c r="D3447" t="s">
        <v>2105</v>
      </c>
      <c r="E3447" s="183">
        <v>15.74</v>
      </c>
    </row>
    <row r="3448" spans="1:5" ht="14.25">
      <c r="A3448">
        <v>4894</v>
      </c>
      <c r="B3448" t="s">
        <v>11027</v>
      </c>
      <c r="C3448" t="s">
        <v>2102</v>
      </c>
      <c r="D3448" t="s">
        <v>2105</v>
      </c>
      <c r="E3448" s="183">
        <v>13.5</v>
      </c>
    </row>
    <row r="3449" spans="1:5" ht="14.25">
      <c r="A3449">
        <v>4888</v>
      </c>
      <c r="B3449" t="s">
        <v>11028</v>
      </c>
      <c r="C3449" t="s">
        <v>2102</v>
      </c>
      <c r="D3449" t="s">
        <v>2105</v>
      </c>
      <c r="E3449" s="183">
        <v>4.5999999999999996</v>
      </c>
    </row>
    <row r="3450" spans="1:5" ht="14.25">
      <c r="A3450">
        <v>4890</v>
      </c>
      <c r="B3450" t="s">
        <v>11029</v>
      </c>
      <c r="C3450" t="s">
        <v>2102</v>
      </c>
      <c r="D3450" t="s">
        <v>2105</v>
      </c>
      <c r="E3450" s="183">
        <v>8.64</v>
      </c>
    </row>
    <row r="3451" spans="1:5" ht="14.25">
      <c r="A3451">
        <v>12411</v>
      </c>
      <c r="B3451" t="s">
        <v>11030</v>
      </c>
      <c r="C3451" t="s">
        <v>2102</v>
      </c>
      <c r="D3451" t="s">
        <v>2105</v>
      </c>
      <c r="E3451" s="183">
        <v>46.54</v>
      </c>
    </row>
    <row r="3452" spans="1:5" ht="14.25">
      <c r="A3452">
        <v>4891</v>
      </c>
      <c r="B3452" t="s">
        <v>11031</v>
      </c>
      <c r="C3452" t="s">
        <v>2102</v>
      </c>
      <c r="D3452" t="s">
        <v>2105</v>
      </c>
      <c r="E3452" s="183">
        <v>23.27</v>
      </c>
    </row>
    <row r="3453" spans="1:5" ht="14.25">
      <c r="A3453">
        <v>4889</v>
      </c>
      <c r="B3453" t="s">
        <v>11032</v>
      </c>
      <c r="C3453" t="s">
        <v>2102</v>
      </c>
      <c r="D3453" t="s">
        <v>2105</v>
      </c>
      <c r="E3453" s="183">
        <v>6.22</v>
      </c>
    </row>
    <row r="3454" spans="1:5" ht="14.25">
      <c r="A3454">
        <v>4892</v>
      </c>
      <c r="B3454" t="s">
        <v>11033</v>
      </c>
      <c r="C3454" t="s">
        <v>2102</v>
      </c>
      <c r="D3454" t="s">
        <v>2105</v>
      </c>
      <c r="E3454" s="183">
        <v>65.17</v>
      </c>
    </row>
    <row r="3455" spans="1:5" ht="14.25">
      <c r="A3455">
        <v>12412</v>
      </c>
      <c r="B3455" t="s">
        <v>11034</v>
      </c>
      <c r="C3455" t="s">
        <v>2102</v>
      </c>
      <c r="D3455" t="s">
        <v>2105</v>
      </c>
      <c r="E3455" s="183">
        <v>121.12</v>
      </c>
    </row>
    <row r="3456" spans="1:5" ht="14.25">
      <c r="A3456">
        <v>4907</v>
      </c>
      <c r="B3456" t="s">
        <v>18572</v>
      </c>
      <c r="C3456" t="s">
        <v>2102</v>
      </c>
      <c r="D3456" t="s">
        <v>2103</v>
      </c>
      <c r="E3456" s="183">
        <v>26.22</v>
      </c>
    </row>
    <row r="3457" spans="1:5" ht="14.25">
      <c r="A3457">
        <v>4902</v>
      </c>
      <c r="B3457" t="s">
        <v>18573</v>
      </c>
      <c r="C3457" t="s">
        <v>2102</v>
      </c>
      <c r="D3457" t="s">
        <v>2103</v>
      </c>
      <c r="E3457" s="183">
        <v>68.010000000000005</v>
      </c>
    </row>
    <row r="3458" spans="1:5" ht="14.25">
      <c r="A3458">
        <v>11096</v>
      </c>
      <c r="B3458" t="s">
        <v>11035</v>
      </c>
      <c r="C3458" t="s">
        <v>2110</v>
      </c>
      <c r="D3458" t="s">
        <v>2103</v>
      </c>
      <c r="E3458" s="183">
        <v>1.92</v>
      </c>
    </row>
    <row r="3459" spans="1:5" ht="14.25">
      <c r="A3459">
        <v>4741</v>
      </c>
      <c r="B3459" t="s">
        <v>11036</v>
      </c>
      <c r="C3459" t="s">
        <v>2122</v>
      </c>
      <c r="D3459" t="s">
        <v>2103</v>
      </c>
      <c r="E3459" s="183">
        <v>132.11000000000001</v>
      </c>
    </row>
    <row r="3460" spans="1:5" ht="14.25">
      <c r="A3460">
        <v>4752</v>
      </c>
      <c r="B3460" t="s">
        <v>18574</v>
      </c>
      <c r="C3460" t="s">
        <v>2106</v>
      </c>
      <c r="D3460" t="s">
        <v>2103</v>
      </c>
      <c r="E3460" s="183">
        <v>19.510000000000002</v>
      </c>
    </row>
    <row r="3461" spans="1:5" ht="14.25">
      <c r="A3461">
        <v>41091</v>
      </c>
      <c r="B3461" t="s">
        <v>11037</v>
      </c>
      <c r="C3461" t="s">
        <v>2123</v>
      </c>
      <c r="D3461" t="s">
        <v>2103</v>
      </c>
      <c r="E3461" s="184">
        <v>3421.54</v>
      </c>
    </row>
    <row r="3462" spans="1:5" ht="14.25">
      <c r="A3462">
        <v>13954</v>
      </c>
      <c r="B3462" t="s">
        <v>11038</v>
      </c>
      <c r="C3462" t="s">
        <v>2102</v>
      </c>
      <c r="D3462" t="s">
        <v>2105</v>
      </c>
      <c r="E3462" s="184">
        <v>6768.76</v>
      </c>
    </row>
    <row r="3463" spans="1:5" ht="14.25">
      <c r="A3463">
        <v>3411</v>
      </c>
      <c r="B3463" t="s">
        <v>11039</v>
      </c>
      <c r="C3463" t="s">
        <v>2110</v>
      </c>
      <c r="D3463" t="s">
        <v>2103</v>
      </c>
      <c r="E3463" s="183">
        <v>42.58</v>
      </c>
    </row>
    <row r="3464" spans="1:5" ht="14.25">
      <c r="A3464">
        <v>39995</v>
      </c>
      <c r="B3464" t="s">
        <v>11040</v>
      </c>
      <c r="C3464" t="s">
        <v>2122</v>
      </c>
      <c r="D3464" t="s">
        <v>2103</v>
      </c>
      <c r="E3464" s="183">
        <v>327.61</v>
      </c>
    </row>
    <row r="3465" spans="1:5" ht="14.25">
      <c r="A3465">
        <v>11615</v>
      </c>
      <c r="B3465" t="s">
        <v>11041</v>
      </c>
      <c r="C3465" t="s">
        <v>2104</v>
      </c>
      <c r="D3465" t="s">
        <v>2103</v>
      </c>
      <c r="E3465" s="183">
        <v>2.78</v>
      </c>
    </row>
    <row r="3466" spans="1:5" ht="14.25">
      <c r="A3466">
        <v>3408</v>
      </c>
      <c r="B3466" t="s">
        <v>11042</v>
      </c>
      <c r="C3466" t="s">
        <v>2104</v>
      </c>
      <c r="D3466" t="s">
        <v>2107</v>
      </c>
      <c r="E3466" s="183">
        <v>7.38</v>
      </c>
    </row>
    <row r="3467" spans="1:5" ht="14.25">
      <c r="A3467">
        <v>3409</v>
      </c>
      <c r="B3467" t="s">
        <v>11043</v>
      </c>
      <c r="C3467" t="s">
        <v>2104</v>
      </c>
      <c r="D3467" t="s">
        <v>2103</v>
      </c>
      <c r="E3467" s="183">
        <v>18.45</v>
      </c>
    </row>
    <row r="3468" spans="1:5" ht="14.25">
      <c r="A3468">
        <v>11427</v>
      </c>
      <c r="B3468" t="s">
        <v>11044</v>
      </c>
      <c r="C3468" t="s">
        <v>2110</v>
      </c>
      <c r="D3468" t="s">
        <v>2105</v>
      </c>
      <c r="E3468" s="183">
        <v>109.19</v>
      </c>
    </row>
    <row r="3469" spans="1:5" ht="14.25">
      <c r="A3469">
        <v>4491</v>
      </c>
      <c r="B3469" t="s">
        <v>11045</v>
      </c>
      <c r="C3469" t="s">
        <v>2109</v>
      </c>
      <c r="D3469" t="s">
        <v>2103</v>
      </c>
      <c r="E3469" s="183">
        <v>8.02</v>
      </c>
    </row>
    <row r="3470" spans="1:5" ht="14.25">
      <c r="A3470">
        <v>2745</v>
      </c>
      <c r="B3470" t="s">
        <v>11046</v>
      </c>
      <c r="C3470" t="s">
        <v>2109</v>
      </c>
      <c r="D3470" t="s">
        <v>2105</v>
      </c>
      <c r="E3470" s="183">
        <v>3.24</v>
      </c>
    </row>
    <row r="3471" spans="1:5" ht="14.25">
      <c r="A3471">
        <v>14439</v>
      </c>
      <c r="B3471" t="s">
        <v>11047</v>
      </c>
      <c r="C3471" t="s">
        <v>2109</v>
      </c>
      <c r="D3471" t="s">
        <v>2105</v>
      </c>
      <c r="E3471" s="183">
        <v>4.0199999999999996</v>
      </c>
    </row>
    <row r="3472" spans="1:5" ht="14.25">
      <c r="A3472">
        <v>44496</v>
      </c>
      <c r="B3472" t="s">
        <v>13621</v>
      </c>
      <c r="C3472" t="s">
        <v>2102</v>
      </c>
      <c r="D3472" t="s">
        <v>2103</v>
      </c>
      <c r="E3472" s="183">
        <v>106.46</v>
      </c>
    </row>
    <row r="3473" spans="1:5" ht="14.25">
      <c r="A3473">
        <v>12362</v>
      </c>
      <c r="B3473" t="s">
        <v>11048</v>
      </c>
      <c r="C3473" t="s">
        <v>2102</v>
      </c>
      <c r="D3473" t="s">
        <v>2103</v>
      </c>
      <c r="E3473" s="183">
        <v>18.690000000000001</v>
      </c>
    </row>
    <row r="3474" spans="1:5" ht="14.25">
      <c r="A3474">
        <v>421</v>
      </c>
      <c r="B3474" t="s">
        <v>11049</v>
      </c>
      <c r="C3474" t="s">
        <v>2102</v>
      </c>
      <c r="D3474" t="s">
        <v>2105</v>
      </c>
      <c r="E3474" s="183">
        <v>23.07</v>
      </c>
    </row>
    <row r="3475" spans="1:5" ht="14.25">
      <c r="A3475">
        <v>14148</v>
      </c>
      <c r="B3475" t="s">
        <v>11050</v>
      </c>
      <c r="C3475" t="s">
        <v>2102</v>
      </c>
      <c r="D3475" t="s">
        <v>2105</v>
      </c>
      <c r="E3475" s="183">
        <v>0.91</v>
      </c>
    </row>
    <row r="3476" spans="1:5" ht="14.25">
      <c r="A3476">
        <v>4341</v>
      </c>
      <c r="B3476" t="s">
        <v>11051</v>
      </c>
      <c r="C3476" t="s">
        <v>2102</v>
      </c>
      <c r="D3476" t="s">
        <v>2105</v>
      </c>
      <c r="E3476" s="183">
        <v>1.01</v>
      </c>
    </row>
    <row r="3477" spans="1:5" ht="14.25">
      <c r="A3477">
        <v>4337</v>
      </c>
      <c r="B3477" t="s">
        <v>11052</v>
      </c>
      <c r="C3477" t="s">
        <v>2102</v>
      </c>
      <c r="D3477" t="s">
        <v>2105</v>
      </c>
      <c r="E3477" s="183">
        <v>2.5499999999999998</v>
      </c>
    </row>
    <row r="3478" spans="1:5" ht="14.25">
      <c r="A3478">
        <v>4339</v>
      </c>
      <c r="B3478" t="s">
        <v>11053</v>
      </c>
      <c r="C3478" t="s">
        <v>2102</v>
      </c>
      <c r="D3478" t="s">
        <v>2105</v>
      </c>
      <c r="E3478" s="183">
        <v>0.54</v>
      </c>
    </row>
    <row r="3479" spans="1:5" ht="14.25">
      <c r="A3479">
        <v>39997</v>
      </c>
      <c r="B3479" t="s">
        <v>11054</v>
      </c>
      <c r="C3479" t="s">
        <v>2102</v>
      </c>
      <c r="D3479" t="s">
        <v>2105</v>
      </c>
      <c r="E3479" s="183">
        <v>0.3</v>
      </c>
    </row>
    <row r="3480" spans="1:5" ht="14.25">
      <c r="A3480">
        <v>11971</v>
      </c>
      <c r="B3480" t="s">
        <v>11055</v>
      </c>
      <c r="C3480" t="s">
        <v>2102</v>
      </c>
      <c r="D3480" t="s">
        <v>2105</v>
      </c>
      <c r="E3480" s="183">
        <v>4.22</v>
      </c>
    </row>
    <row r="3481" spans="1:5" ht="14.25">
      <c r="A3481">
        <v>4342</v>
      </c>
      <c r="B3481" t="s">
        <v>11056</v>
      </c>
      <c r="C3481" t="s">
        <v>2102</v>
      </c>
      <c r="D3481" t="s">
        <v>2105</v>
      </c>
      <c r="E3481" s="183">
        <v>0.22</v>
      </c>
    </row>
    <row r="3482" spans="1:5" ht="14.25">
      <c r="A3482">
        <v>4330</v>
      </c>
      <c r="B3482" t="s">
        <v>11057</v>
      </c>
      <c r="C3482" t="s">
        <v>2102</v>
      </c>
      <c r="D3482" t="s">
        <v>2105</v>
      </c>
      <c r="E3482" s="183">
        <v>0.15</v>
      </c>
    </row>
    <row r="3483" spans="1:5" ht="14.25">
      <c r="A3483">
        <v>4340</v>
      </c>
      <c r="B3483" t="s">
        <v>11058</v>
      </c>
      <c r="C3483" t="s">
        <v>2102</v>
      </c>
      <c r="D3483" t="s">
        <v>2105</v>
      </c>
      <c r="E3483" s="183">
        <v>1.18</v>
      </c>
    </row>
    <row r="3484" spans="1:5" ht="14.25">
      <c r="A3484">
        <v>5088</v>
      </c>
      <c r="B3484" t="s">
        <v>11059</v>
      </c>
      <c r="C3484" t="s">
        <v>2102</v>
      </c>
      <c r="D3484" t="s">
        <v>2103</v>
      </c>
      <c r="E3484" s="183">
        <v>6.52</v>
      </c>
    </row>
    <row r="3485" spans="1:5" ht="14.25">
      <c r="A3485">
        <v>11154</v>
      </c>
      <c r="B3485" t="s">
        <v>18575</v>
      </c>
      <c r="C3485" t="s">
        <v>2102</v>
      </c>
      <c r="D3485" t="s">
        <v>2105</v>
      </c>
      <c r="E3485" s="184">
        <v>1369.37</v>
      </c>
    </row>
    <row r="3486" spans="1:5" ht="14.25">
      <c r="A3486">
        <v>4989</v>
      </c>
      <c r="B3486" t="s">
        <v>11060</v>
      </c>
      <c r="C3486" t="s">
        <v>2102</v>
      </c>
      <c r="D3486" t="s">
        <v>2103</v>
      </c>
      <c r="E3486" s="183">
        <v>301.81</v>
      </c>
    </row>
    <row r="3487" spans="1:5" ht="14.25">
      <c r="A3487">
        <v>4982</v>
      </c>
      <c r="B3487" t="s">
        <v>11061</v>
      </c>
      <c r="C3487" t="s">
        <v>2102</v>
      </c>
      <c r="D3487" t="s">
        <v>2103</v>
      </c>
      <c r="E3487" s="183">
        <v>283.08999999999997</v>
      </c>
    </row>
    <row r="3488" spans="1:5" ht="14.25">
      <c r="A3488">
        <v>4962</v>
      </c>
      <c r="B3488" t="s">
        <v>11062</v>
      </c>
      <c r="C3488" t="s">
        <v>2102</v>
      </c>
      <c r="D3488" t="s">
        <v>2103</v>
      </c>
      <c r="E3488" s="183">
        <v>223.25</v>
      </c>
    </row>
    <row r="3489" spans="1:5" ht="14.25">
      <c r="A3489">
        <v>4981</v>
      </c>
      <c r="B3489" t="s">
        <v>11063</v>
      </c>
      <c r="C3489" t="s">
        <v>2102</v>
      </c>
      <c r="D3489" t="s">
        <v>2107</v>
      </c>
      <c r="E3489" s="183">
        <v>198.75</v>
      </c>
    </row>
    <row r="3490" spans="1:5" ht="14.25">
      <c r="A3490">
        <v>4964</v>
      </c>
      <c r="B3490" t="s">
        <v>11064</v>
      </c>
      <c r="C3490" t="s">
        <v>2102</v>
      </c>
      <c r="D3490" t="s">
        <v>2103</v>
      </c>
      <c r="E3490" s="183">
        <v>252.14</v>
      </c>
    </row>
    <row r="3491" spans="1:5" ht="14.25">
      <c r="A3491">
        <v>4992</v>
      </c>
      <c r="B3491" t="s">
        <v>11065</v>
      </c>
      <c r="C3491" t="s">
        <v>2102</v>
      </c>
      <c r="D3491" t="s">
        <v>2103</v>
      </c>
      <c r="E3491" s="183">
        <v>246.29</v>
      </c>
    </row>
    <row r="3492" spans="1:5" ht="14.25">
      <c r="A3492">
        <v>4987</v>
      </c>
      <c r="B3492" t="s">
        <v>11066</v>
      </c>
      <c r="C3492" t="s">
        <v>2102</v>
      </c>
      <c r="D3492" t="s">
        <v>2103</v>
      </c>
      <c r="E3492" s="183">
        <v>281.77999999999997</v>
      </c>
    </row>
    <row r="3493" spans="1:5" ht="14.25">
      <c r="A3493">
        <v>4930</v>
      </c>
      <c r="B3493" t="s">
        <v>13622</v>
      </c>
      <c r="C3493" t="s">
        <v>2104</v>
      </c>
      <c r="D3493" t="s">
        <v>2105</v>
      </c>
      <c r="E3493" s="183">
        <v>580.02</v>
      </c>
    </row>
    <row r="3494" spans="1:5" ht="14.25">
      <c r="A3494">
        <v>39021</v>
      </c>
      <c r="B3494" t="s">
        <v>13623</v>
      </c>
      <c r="C3494" t="s">
        <v>2102</v>
      </c>
      <c r="D3494" t="s">
        <v>2105</v>
      </c>
      <c r="E3494" s="183">
        <v>616.70000000000005</v>
      </c>
    </row>
    <row r="3495" spans="1:5" ht="14.25">
      <c r="A3495">
        <v>39022</v>
      </c>
      <c r="B3495" t="s">
        <v>13624</v>
      </c>
      <c r="C3495" t="s">
        <v>2102</v>
      </c>
      <c r="D3495" t="s">
        <v>2105</v>
      </c>
      <c r="E3495" s="183">
        <v>552.4</v>
      </c>
    </row>
    <row r="3496" spans="1:5" ht="14.25">
      <c r="A3496">
        <v>39024</v>
      </c>
      <c r="B3496" t="s">
        <v>11067</v>
      </c>
      <c r="C3496" t="s">
        <v>2102</v>
      </c>
      <c r="D3496" t="s">
        <v>2105</v>
      </c>
      <c r="E3496" s="183">
        <v>729.73</v>
      </c>
    </row>
    <row r="3497" spans="1:5" ht="14.25">
      <c r="A3497">
        <v>4914</v>
      </c>
      <c r="B3497" t="s">
        <v>11068</v>
      </c>
      <c r="C3497" t="s">
        <v>2104</v>
      </c>
      <c r="D3497" t="s">
        <v>2105</v>
      </c>
      <c r="E3497" s="183">
        <v>591.67999999999995</v>
      </c>
    </row>
    <row r="3498" spans="1:5" ht="14.25">
      <c r="A3498">
        <v>4917</v>
      </c>
      <c r="B3498" t="s">
        <v>11069</v>
      </c>
      <c r="C3498" t="s">
        <v>2104</v>
      </c>
      <c r="D3498" t="s">
        <v>2105</v>
      </c>
      <c r="E3498" s="183">
        <v>408.62</v>
      </c>
    </row>
    <row r="3499" spans="1:5" ht="14.25">
      <c r="A3499">
        <v>39025</v>
      </c>
      <c r="B3499" t="s">
        <v>11070</v>
      </c>
      <c r="C3499" t="s">
        <v>2102</v>
      </c>
      <c r="D3499" t="s">
        <v>2105</v>
      </c>
      <c r="E3499" s="183">
        <v>748.26</v>
      </c>
    </row>
    <row r="3500" spans="1:5" ht="14.25">
      <c r="A3500">
        <v>4922</v>
      </c>
      <c r="B3500" t="s">
        <v>11071</v>
      </c>
      <c r="C3500" t="s">
        <v>2104</v>
      </c>
      <c r="D3500" t="s">
        <v>2105</v>
      </c>
      <c r="E3500" s="183">
        <v>379.03</v>
      </c>
    </row>
    <row r="3501" spans="1:5" ht="14.25">
      <c r="A3501">
        <v>4911</v>
      </c>
      <c r="B3501" t="s">
        <v>11072</v>
      </c>
      <c r="C3501" t="s">
        <v>2104</v>
      </c>
      <c r="D3501" t="s">
        <v>2103</v>
      </c>
      <c r="E3501" s="183">
        <v>381.92</v>
      </c>
    </row>
    <row r="3502" spans="1:5" ht="14.25">
      <c r="A3502">
        <v>37518</v>
      </c>
      <c r="B3502" t="s">
        <v>11073</v>
      </c>
      <c r="C3502" t="s">
        <v>2104</v>
      </c>
      <c r="D3502" t="s">
        <v>2103</v>
      </c>
      <c r="E3502" s="183">
        <v>620.62</v>
      </c>
    </row>
    <row r="3503" spans="1:5" ht="14.25">
      <c r="A3503">
        <v>4910</v>
      </c>
      <c r="B3503" t="s">
        <v>11074</v>
      </c>
      <c r="C3503" t="s">
        <v>2104</v>
      </c>
      <c r="D3503" t="s">
        <v>2103</v>
      </c>
      <c r="E3503" s="183">
        <v>523.19000000000005</v>
      </c>
    </row>
    <row r="3504" spans="1:5" ht="14.25">
      <c r="A3504">
        <v>4943</v>
      </c>
      <c r="B3504" t="s">
        <v>11075</v>
      </c>
      <c r="C3504" t="s">
        <v>2104</v>
      </c>
      <c r="D3504" t="s">
        <v>2103</v>
      </c>
      <c r="E3504" s="183">
        <v>779.42</v>
      </c>
    </row>
    <row r="3505" spans="1:5" ht="14.25">
      <c r="A3505">
        <v>5002</v>
      </c>
      <c r="B3505" t="s">
        <v>11076</v>
      </c>
      <c r="C3505" t="s">
        <v>2104</v>
      </c>
      <c r="D3505" t="s">
        <v>2105</v>
      </c>
      <c r="E3505" s="183">
        <v>477.42</v>
      </c>
    </row>
    <row r="3506" spans="1:5" ht="14.25">
      <c r="A3506">
        <v>4977</v>
      </c>
      <c r="B3506" t="s">
        <v>11077</v>
      </c>
      <c r="C3506" t="s">
        <v>2104</v>
      </c>
      <c r="D3506" t="s">
        <v>2105</v>
      </c>
      <c r="E3506" s="183">
        <v>322.27999999999997</v>
      </c>
    </row>
    <row r="3507" spans="1:5" ht="14.25">
      <c r="A3507">
        <v>5028</v>
      </c>
      <c r="B3507" t="s">
        <v>11078</v>
      </c>
      <c r="C3507" t="s">
        <v>2104</v>
      </c>
      <c r="D3507" t="s">
        <v>2105</v>
      </c>
      <c r="E3507" s="183">
        <v>788.56</v>
      </c>
    </row>
    <row r="3508" spans="1:5" ht="14.25">
      <c r="A3508">
        <v>4998</v>
      </c>
      <c r="B3508" t="s">
        <v>11079</v>
      </c>
      <c r="C3508" t="s">
        <v>2104</v>
      </c>
      <c r="D3508" t="s">
        <v>2105</v>
      </c>
      <c r="E3508" s="183">
        <v>654.91999999999996</v>
      </c>
    </row>
    <row r="3509" spans="1:5" ht="14.25">
      <c r="A3509">
        <v>4969</v>
      </c>
      <c r="B3509" t="s">
        <v>11080</v>
      </c>
      <c r="C3509" t="s">
        <v>2104</v>
      </c>
      <c r="D3509" t="s">
        <v>2105</v>
      </c>
      <c r="E3509" s="183">
        <v>455.8</v>
      </c>
    </row>
    <row r="3510" spans="1:5" ht="14.25">
      <c r="A3510">
        <v>11364</v>
      </c>
      <c r="B3510" t="s">
        <v>11081</v>
      </c>
      <c r="C3510" t="s">
        <v>2102</v>
      </c>
      <c r="D3510" t="s">
        <v>2103</v>
      </c>
      <c r="E3510" s="183">
        <v>170.74</v>
      </c>
    </row>
    <row r="3511" spans="1:5" ht="14.25">
      <c r="A3511">
        <v>11365</v>
      </c>
      <c r="B3511" t="s">
        <v>11082</v>
      </c>
      <c r="C3511" t="s">
        <v>2102</v>
      </c>
      <c r="D3511" t="s">
        <v>2103</v>
      </c>
      <c r="E3511" s="183">
        <v>177.19</v>
      </c>
    </row>
    <row r="3512" spans="1:5" ht="14.25">
      <c r="A3512">
        <v>11366</v>
      </c>
      <c r="B3512" t="s">
        <v>11083</v>
      </c>
      <c r="C3512" t="s">
        <v>2102</v>
      </c>
      <c r="D3512" t="s">
        <v>2103</v>
      </c>
      <c r="E3512" s="183">
        <v>188.35</v>
      </c>
    </row>
    <row r="3513" spans="1:5" ht="14.25">
      <c r="A3513">
        <v>43777</v>
      </c>
      <c r="B3513" t="s">
        <v>11084</v>
      </c>
      <c r="C3513" t="s">
        <v>2102</v>
      </c>
      <c r="D3513" t="s">
        <v>2103</v>
      </c>
      <c r="E3513" s="183">
        <v>221.25</v>
      </c>
    </row>
    <row r="3514" spans="1:5" ht="14.25">
      <c r="A3514">
        <v>20322</v>
      </c>
      <c r="B3514" t="s">
        <v>11085</v>
      </c>
      <c r="C3514" t="s">
        <v>2102</v>
      </c>
      <c r="D3514" t="s">
        <v>2103</v>
      </c>
      <c r="E3514" s="183">
        <v>205.38</v>
      </c>
    </row>
    <row r="3515" spans="1:5" ht="14.25">
      <c r="A3515">
        <v>10553</v>
      </c>
      <c r="B3515" t="s">
        <v>11086</v>
      </c>
      <c r="C3515" t="s">
        <v>2102</v>
      </c>
      <c r="D3515" t="s">
        <v>2103</v>
      </c>
      <c r="E3515" s="183">
        <v>186.49</v>
      </c>
    </row>
    <row r="3516" spans="1:5" ht="14.25">
      <c r="A3516">
        <v>5020</v>
      </c>
      <c r="B3516" t="s">
        <v>11087</v>
      </c>
      <c r="C3516" t="s">
        <v>2102</v>
      </c>
      <c r="D3516" t="s">
        <v>2103</v>
      </c>
      <c r="E3516" s="183">
        <v>196.62</v>
      </c>
    </row>
    <row r="3517" spans="1:5" ht="14.25">
      <c r="A3517">
        <v>10554</v>
      </c>
      <c r="B3517" t="s">
        <v>11088</v>
      </c>
      <c r="C3517" t="s">
        <v>2102</v>
      </c>
      <c r="D3517" t="s">
        <v>2103</v>
      </c>
      <c r="E3517" s="183">
        <v>188.14</v>
      </c>
    </row>
    <row r="3518" spans="1:5" ht="14.25">
      <c r="A3518">
        <v>10555</v>
      </c>
      <c r="B3518" t="s">
        <v>11089</v>
      </c>
      <c r="C3518" t="s">
        <v>2102</v>
      </c>
      <c r="D3518" t="s">
        <v>2103</v>
      </c>
      <c r="E3518" s="183">
        <v>205.17</v>
      </c>
    </row>
    <row r="3519" spans="1:5" ht="14.25">
      <c r="A3519">
        <v>10556</v>
      </c>
      <c r="B3519" t="s">
        <v>11090</v>
      </c>
      <c r="C3519" t="s">
        <v>2102</v>
      </c>
      <c r="D3519" t="s">
        <v>2103</v>
      </c>
      <c r="E3519" s="183">
        <v>272.8</v>
      </c>
    </row>
    <row r="3520" spans="1:5" ht="14.25">
      <c r="A3520">
        <v>39502</v>
      </c>
      <c r="B3520" t="s">
        <v>11091</v>
      </c>
      <c r="C3520" t="s">
        <v>2102</v>
      </c>
      <c r="D3520" t="s">
        <v>2103</v>
      </c>
      <c r="E3520" s="183">
        <v>383.08</v>
      </c>
    </row>
    <row r="3521" spans="1:5" ht="14.25">
      <c r="A3521">
        <v>39504</v>
      </c>
      <c r="B3521" t="s">
        <v>11092</v>
      </c>
      <c r="C3521" t="s">
        <v>2102</v>
      </c>
      <c r="D3521" t="s">
        <v>2103</v>
      </c>
      <c r="E3521" s="183">
        <v>423.61</v>
      </c>
    </row>
    <row r="3522" spans="1:5" ht="14.25">
      <c r="A3522">
        <v>39503</v>
      </c>
      <c r="B3522" t="s">
        <v>11093</v>
      </c>
      <c r="C3522" t="s">
        <v>2102</v>
      </c>
      <c r="D3522" t="s">
        <v>2103</v>
      </c>
      <c r="E3522" s="183">
        <v>445.84</v>
      </c>
    </row>
    <row r="3523" spans="1:5" ht="14.25">
      <c r="A3523">
        <v>39505</v>
      </c>
      <c r="B3523" t="s">
        <v>11094</v>
      </c>
      <c r="C3523" t="s">
        <v>2102</v>
      </c>
      <c r="D3523" t="s">
        <v>2103</v>
      </c>
      <c r="E3523" s="183">
        <v>480.45</v>
      </c>
    </row>
    <row r="3524" spans="1:5" ht="14.25">
      <c r="A3524">
        <v>44471</v>
      </c>
      <c r="B3524" t="s">
        <v>13625</v>
      </c>
      <c r="C3524" t="s">
        <v>2102</v>
      </c>
      <c r="D3524" t="s">
        <v>2105</v>
      </c>
      <c r="E3524" s="183">
        <v>457.89</v>
      </c>
    </row>
    <row r="3525" spans="1:5" ht="14.25">
      <c r="A3525">
        <v>4944</v>
      </c>
      <c r="B3525" t="s">
        <v>11095</v>
      </c>
      <c r="C3525" t="s">
        <v>2104</v>
      </c>
      <c r="D3525" t="s">
        <v>2103</v>
      </c>
      <c r="E3525" s="184">
        <v>1165.24</v>
      </c>
    </row>
    <row r="3526" spans="1:5" ht="14.25">
      <c r="A3526">
        <v>21102</v>
      </c>
      <c r="B3526" t="s">
        <v>11096</v>
      </c>
      <c r="C3526" t="s">
        <v>2102</v>
      </c>
      <c r="D3526" t="s">
        <v>2103</v>
      </c>
      <c r="E3526" s="183">
        <v>39.6</v>
      </c>
    </row>
    <row r="3527" spans="1:5" ht="14.25">
      <c r="A3527">
        <v>21101</v>
      </c>
      <c r="B3527" t="s">
        <v>11097</v>
      </c>
      <c r="C3527" t="s">
        <v>2102</v>
      </c>
      <c r="D3527" t="s">
        <v>2103</v>
      </c>
      <c r="E3527" s="183">
        <v>25.43</v>
      </c>
    </row>
    <row r="3528" spans="1:5" ht="14.25">
      <c r="A3528">
        <v>34713</v>
      </c>
      <c r="B3528" t="s">
        <v>11098</v>
      </c>
      <c r="C3528" t="s">
        <v>2104</v>
      </c>
      <c r="D3528" t="s">
        <v>2103</v>
      </c>
      <c r="E3528" s="183">
        <v>407.63</v>
      </c>
    </row>
    <row r="3529" spans="1:5" ht="14.25">
      <c r="A3529">
        <v>37563</v>
      </c>
      <c r="B3529" t="s">
        <v>13626</v>
      </c>
      <c r="C3529" t="s">
        <v>2104</v>
      </c>
      <c r="D3529" t="s">
        <v>2105</v>
      </c>
      <c r="E3529" s="183">
        <v>638.23</v>
      </c>
    </row>
    <row r="3530" spans="1:5" ht="14.25">
      <c r="A3530">
        <v>4948</v>
      </c>
      <c r="B3530" t="s">
        <v>13627</v>
      </c>
      <c r="C3530" t="s">
        <v>2104</v>
      </c>
      <c r="D3530" t="s">
        <v>2105</v>
      </c>
      <c r="E3530" s="183">
        <v>555.27</v>
      </c>
    </row>
    <row r="3531" spans="1:5" ht="14.25">
      <c r="A3531">
        <v>37561</v>
      </c>
      <c r="B3531" t="s">
        <v>11099</v>
      </c>
      <c r="C3531" t="s">
        <v>2104</v>
      </c>
      <c r="D3531" t="s">
        <v>2105</v>
      </c>
      <c r="E3531" s="183">
        <v>517.87</v>
      </c>
    </row>
    <row r="3532" spans="1:5" ht="14.25">
      <c r="A3532">
        <v>37562</v>
      </c>
      <c r="B3532" t="s">
        <v>11100</v>
      </c>
      <c r="C3532" t="s">
        <v>2104</v>
      </c>
      <c r="D3532" t="s">
        <v>2105</v>
      </c>
      <c r="E3532" s="183">
        <v>678.99</v>
      </c>
    </row>
    <row r="3533" spans="1:5" ht="14.25">
      <c r="A3533">
        <v>14164</v>
      </c>
      <c r="B3533" t="s">
        <v>11101</v>
      </c>
      <c r="C3533" t="s">
        <v>2102</v>
      </c>
      <c r="D3533" t="s">
        <v>2105</v>
      </c>
      <c r="E3533" s="184">
        <v>2023.75</v>
      </c>
    </row>
    <row r="3534" spans="1:5" ht="14.25">
      <c r="A3534">
        <v>14163</v>
      </c>
      <c r="B3534" t="s">
        <v>11102</v>
      </c>
      <c r="C3534" t="s">
        <v>2102</v>
      </c>
      <c r="D3534" t="s">
        <v>2105</v>
      </c>
      <c r="E3534" s="184">
        <v>2300.12</v>
      </c>
    </row>
    <row r="3535" spans="1:5" ht="14.25">
      <c r="A3535">
        <v>5051</v>
      </c>
      <c r="B3535" t="s">
        <v>11103</v>
      </c>
      <c r="C3535" t="s">
        <v>2102</v>
      </c>
      <c r="D3535" t="s">
        <v>2105</v>
      </c>
      <c r="E3535" s="184">
        <v>1956.22</v>
      </c>
    </row>
    <row r="3536" spans="1:5" ht="14.25">
      <c r="A3536">
        <v>14162</v>
      </c>
      <c r="B3536" t="s">
        <v>11104</v>
      </c>
      <c r="C3536" t="s">
        <v>2102</v>
      </c>
      <c r="D3536" t="s">
        <v>2105</v>
      </c>
      <c r="E3536" s="184">
        <v>1953.38</v>
      </c>
    </row>
    <row r="3537" spans="1:5" ht="14.25">
      <c r="A3537">
        <v>5052</v>
      </c>
      <c r="B3537" t="s">
        <v>11105</v>
      </c>
      <c r="C3537" t="s">
        <v>2102</v>
      </c>
      <c r="D3537" t="s">
        <v>2105</v>
      </c>
      <c r="E3537" s="184">
        <v>1457.5</v>
      </c>
    </row>
    <row r="3538" spans="1:5" ht="14.25">
      <c r="A3538">
        <v>14166</v>
      </c>
      <c r="B3538" t="s">
        <v>11106</v>
      </c>
      <c r="C3538" t="s">
        <v>2102</v>
      </c>
      <c r="D3538" t="s">
        <v>2105</v>
      </c>
      <c r="E3538" s="184">
        <v>1476</v>
      </c>
    </row>
    <row r="3539" spans="1:5" ht="14.25">
      <c r="A3539">
        <v>14165</v>
      </c>
      <c r="B3539" t="s">
        <v>11107</v>
      </c>
      <c r="C3539" t="s">
        <v>2102</v>
      </c>
      <c r="D3539" t="s">
        <v>2105</v>
      </c>
      <c r="E3539" s="184">
        <v>2044.8</v>
      </c>
    </row>
    <row r="3540" spans="1:5" ht="14.25">
      <c r="A3540">
        <v>5050</v>
      </c>
      <c r="B3540" t="s">
        <v>11108</v>
      </c>
      <c r="C3540" t="s">
        <v>2102</v>
      </c>
      <c r="D3540" t="s">
        <v>2105</v>
      </c>
      <c r="E3540" s="183">
        <v>503.27</v>
      </c>
    </row>
    <row r="3541" spans="1:5" ht="14.25">
      <c r="A3541">
        <v>12366</v>
      </c>
      <c r="B3541" t="s">
        <v>13628</v>
      </c>
      <c r="C3541" t="s">
        <v>2102</v>
      </c>
      <c r="D3541" t="s">
        <v>2105</v>
      </c>
      <c r="E3541" s="184">
        <v>1026.1400000000001</v>
      </c>
    </row>
    <row r="3542" spans="1:5" ht="14.25">
      <c r="A3542">
        <v>5045</v>
      </c>
      <c r="B3542" t="s">
        <v>13629</v>
      </c>
      <c r="C3542" t="s">
        <v>2102</v>
      </c>
      <c r="D3542" t="s">
        <v>2105</v>
      </c>
      <c r="E3542" s="184">
        <v>1417.55</v>
      </c>
    </row>
    <row r="3543" spans="1:5" ht="14.25">
      <c r="A3543">
        <v>5035</v>
      </c>
      <c r="B3543" t="s">
        <v>13630</v>
      </c>
      <c r="C3543" t="s">
        <v>2102</v>
      </c>
      <c r="D3543" t="s">
        <v>2105</v>
      </c>
      <c r="E3543" s="184">
        <v>1629.84</v>
      </c>
    </row>
    <row r="3544" spans="1:5" ht="14.25">
      <c r="A3544">
        <v>41180</v>
      </c>
      <c r="B3544" t="s">
        <v>13631</v>
      </c>
      <c r="C3544" t="s">
        <v>2102</v>
      </c>
      <c r="D3544" t="s">
        <v>2105</v>
      </c>
      <c r="E3544" s="184">
        <v>3663.87</v>
      </c>
    </row>
    <row r="3545" spans="1:5" ht="14.25">
      <c r="A3545">
        <v>41181</v>
      </c>
      <c r="B3545" t="s">
        <v>13632</v>
      </c>
      <c r="C3545" t="s">
        <v>2102</v>
      </c>
      <c r="D3545" t="s">
        <v>2105</v>
      </c>
      <c r="E3545" s="184">
        <v>4850.8500000000004</v>
      </c>
    </row>
    <row r="3546" spans="1:5" ht="14.25">
      <c r="A3546">
        <v>41182</v>
      </c>
      <c r="B3546" t="s">
        <v>13633</v>
      </c>
      <c r="C3546" t="s">
        <v>2102</v>
      </c>
      <c r="D3546" t="s">
        <v>2105</v>
      </c>
      <c r="E3546" s="184">
        <v>6958.94</v>
      </c>
    </row>
    <row r="3547" spans="1:5" ht="14.25">
      <c r="A3547">
        <v>41183</v>
      </c>
      <c r="B3547" t="s">
        <v>13634</v>
      </c>
      <c r="C3547" t="s">
        <v>2102</v>
      </c>
      <c r="D3547" t="s">
        <v>2105</v>
      </c>
      <c r="E3547" s="184">
        <v>8688.3799999999992</v>
      </c>
    </row>
    <row r="3548" spans="1:5" ht="14.25">
      <c r="A3548">
        <v>41184</v>
      </c>
      <c r="B3548" t="s">
        <v>13635</v>
      </c>
      <c r="C3548" t="s">
        <v>2102</v>
      </c>
      <c r="D3548" t="s">
        <v>2105</v>
      </c>
      <c r="E3548" s="184">
        <v>13228.59</v>
      </c>
    </row>
    <row r="3549" spans="1:5" ht="14.25">
      <c r="A3549">
        <v>41185</v>
      </c>
      <c r="B3549" t="s">
        <v>13636</v>
      </c>
      <c r="C3549" t="s">
        <v>2102</v>
      </c>
      <c r="D3549" t="s">
        <v>2105</v>
      </c>
      <c r="E3549" s="184">
        <v>4905.76</v>
      </c>
    </row>
    <row r="3550" spans="1:5" ht="14.25">
      <c r="A3550">
        <v>41186</v>
      </c>
      <c r="B3550" t="s">
        <v>13637</v>
      </c>
      <c r="C3550" t="s">
        <v>2102</v>
      </c>
      <c r="D3550" t="s">
        <v>2105</v>
      </c>
      <c r="E3550" s="184">
        <v>6874.85</v>
      </c>
    </row>
    <row r="3551" spans="1:5" ht="14.25">
      <c r="A3551">
        <v>41187</v>
      </c>
      <c r="B3551" t="s">
        <v>13638</v>
      </c>
      <c r="C3551" t="s">
        <v>2102</v>
      </c>
      <c r="D3551" t="s">
        <v>2105</v>
      </c>
      <c r="E3551" s="184">
        <v>9219.74</v>
      </c>
    </row>
    <row r="3552" spans="1:5" ht="14.25">
      <c r="A3552">
        <v>41188</v>
      </c>
      <c r="B3552" t="s">
        <v>13639</v>
      </c>
      <c r="C3552" t="s">
        <v>2102</v>
      </c>
      <c r="D3552" t="s">
        <v>2105</v>
      </c>
      <c r="E3552" s="184">
        <v>11790</v>
      </c>
    </row>
    <row r="3553" spans="1:5" ht="14.25">
      <c r="A3553">
        <v>5036</v>
      </c>
      <c r="B3553" t="s">
        <v>13640</v>
      </c>
      <c r="C3553" t="s">
        <v>2102</v>
      </c>
      <c r="D3553" t="s">
        <v>2105</v>
      </c>
      <c r="E3553" s="184">
        <v>2500.48</v>
      </c>
    </row>
    <row r="3554" spans="1:5" ht="14.25">
      <c r="A3554">
        <v>41189</v>
      </c>
      <c r="B3554" t="s">
        <v>13641</v>
      </c>
      <c r="C3554" t="s">
        <v>2102</v>
      </c>
      <c r="D3554" t="s">
        <v>2105</v>
      </c>
      <c r="E3554" s="184">
        <v>15157.28</v>
      </c>
    </row>
    <row r="3555" spans="1:5" ht="14.25">
      <c r="A3555">
        <v>41190</v>
      </c>
      <c r="B3555" t="s">
        <v>13642</v>
      </c>
      <c r="C3555" t="s">
        <v>2102</v>
      </c>
      <c r="D3555" t="s">
        <v>2105</v>
      </c>
      <c r="E3555" s="184">
        <v>5271.17</v>
      </c>
    </row>
    <row r="3556" spans="1:5" ht="14.25">
      <c r="A3556">
        <v>41191</v>
      </c>
      <c r="B3556" t="s">
        <v>13643</v>
      </c>
      <c r="C3556" t="s">
        <v>2102</v>
      </c>
      <c r="D3556" t="s">
        <v>2105</v>
      </c>
      <c r="E3556" s="184">
        <v>8083.14</v>
      </c>
    </row>
    <row r="3557" spans="1:5" ht="14.25">
      <c r="A3557">
        <v>41192</v>
      </c>
      <c r="B3557" t="s">
        <v>13644</v>
      </c>
      <c r="C3557" t="s">
        <v>2102</v>
      </c>
      <c r="D3557" t="s">
        <v>2105</v>
      </c>
      <c r="E3557" s="184">
        <v>8426.61</v>
      </c>
    </row>
    <row r="3558" spans="1:5" ht="14.25">
      <c r="A3558">
        <v>41193</v>
      </c>
      <c r="B3558" t="s">
        <v>13645</v>
      </c>
      <c r="C3558" t="s">
        <v>2102</v>
      </c>
      <c r="D3558" t="s">
        <v>2105</v>
      </c>
      <c r="E3558" s="184">
        <v>13768.81</v>
      </c>
    </row>
    <row r="3559" spans="1:5" ht="14.25">
      <c r="A3559">
        <v>41194</v>
      </c>
      <c r="B3559" t="s">
        <v>13646</v>
      </c>
      <c r="C3559" t="s">
        <v>2102</v>
      </c>
      <c r="D3559" t="s">
        <v>2105</v>
      </c>
      <c r="E3559" s="184">
        <v>16429.310000000001</v>
      </c>
    </row>
    <row r="3560" spans="1:5" ht="14.25">
      <c r="A3560">
        <v>5044</v>
      </c>
      <c r="B3560" t="s">
        <v>13647</v>
      </c>
      <c r="C3560" t="s">
        <v>2102</v>
      </c>
      <c r="D3560" t="s">
        <v>2105</v>
      </c>
      <c r="E3560" s="183">
        <v>884.06</v>
      </c>
    </row>
    <row r="3561" spans="1:5" ht="14.25">
      <c r="A3561">
        <v>5059</v>
      </c>
      <c r="B3561" t="s">
        <v>13648</v>
      </c>
      <c r="C3561" t="s">
        <v>2102</v>
      </c>
      <c r="D3561" t="s">
        <v>2105</v>
      </c>
      <c r="E3561" s="184">
        <v>1057.23</v>
      </c>
    </row>
    <row r="3562" spans="1:5" ht="14.25">
      <c r="A3562">
        <v>41201</v>
      </c>
      <c r="B3562" t="s">
        <v>13649</v>
      </c>
      <c r="C3562" t="s">
        <v>2102</v>
      </c>
      <c r="D3562" t="s">
        <v>2105</v>
      </c>
      <c r="E3562" s="184">
        <v>2145.56</v>
      </c>
    </row>
    <row r="3563" spans="1:5" ht="14.25">
      <c r="A3563">
        <v>41199</v>
      </c>
      <c r="B3563" t="s">
        <v>13650</v>
      </c>
      <c r="C3563" t="s">
        <v>2102</v>
      </c>
      <c r="D3563" t="s">
        <v>2105</v>
      </c>
      <c r="E3563" s="183">
        <v>689.45</v>
      </c>
    </row>
    <row r="3564" spans="1:5" ht="14.25">
      <c r="A3564">
        <v>5057</v>
      </c>
      <c r="B3564" t="s">
        <v>13651</v>
      </c>
      <c r="C3564" t="s">
        <v>2102</v>
      </c>
      <c r="D3564" t="s">
        <v>2105</v>
      </c>
      <c r="E3564" s="183">
        <v>933.39</v>
      </c>
    </row>
    <row r="3565" spans="1:5" ht="14.25">
      <c r="A3565">
        <v>41200</v>
      </c>
      <c r="B3565" t="s">
        <v>13652</v>
      </c>
      <c r="C3565" t="s">
        <v>2102</v>
      </c>
      <c r="D3565" t="s">
        <v>2105</v>
      </c>
      <c r="E3565" s="184">
        <v>1341.91</v>
      </c>
    </row>
    <row r="3566" spans="1:5" ht="14.25">
      <c r="A3566">
        <v>41205</v>
      </c>
      <c r="B3566" t="s">
        <v>13653</v>
      </c>
      <c r="C3566" t="s">
        <v>2102</v>
      </c>
      <c r="D3566" t="s">
        <v>2105</v>
      </c>
      <c r="E3566" s="184">
        <v>2486.54</v>
      </c>
    </row>
    <row r="3567" spans="1:5" ht="14.25">
      <c r="A3567">
        <v>41202</v>
      </c>
      <c r="B3567" t="s">
        <v>13654</v>
      </c>
      <c r="C3567" t="s">
        <v>2102</v>
      </c>
      <c r="D3567" t="s">
        <v>2105</v>
      </c>
      <c r="E3567" s="183">
        <v>725.59</v>
      </c>
    </row>
    <row r="3568" spans="1:5" ht="14.25">
      <c r="A3568">
        <v>41206</v>
      </c>
      <c r="B3568" t="s">
        <v>13655</v>
      </c>
      <c r="C3568" t="s">
        <v>2102</v>
      </c>
      <c r="D3568" t="s">
        <v>2105</v>
      </c>
      <c r="E3568" s="184">
        <v>3278.39</v>
      </c>
    </row>
    <row r="3569" spans="1:5" ht="14.25">
      <c r="A3569">
        <v>12372</v>
      </c>
      <c r="B3569" t="s">
        <v>13656</v>
      </c>
      <c r="C3569" t="s">
        <v>2102</v>
      </c>
      <c r="D3569" t="s">
        <v>2105</v>
      </c>
      <c r="E3569" s="183">
        <v>761.87</v>
      </c>
    </row>
    <row r="3570" spans="1:5" ht="14.25">
      <c r="A3570">
        <v>41207</v>
      </c>
      <c r="B3570" t="s">
        <v>13657</v>
      </c>
      <c r="C3570" t="s">
        <v>2102</v>
      </c>
      <c r="D3570" t="s">
        <v>2105</v>
      </c>
      <c r="E3570" s="184">
        <v>4413.37</v>
      </c>
    </row>
    <row r="3571" spans="1:5" ht="14.25">
      <c r="A3571">
        <v>41203</v>
      </c>
      <c r="B3571" t="s">
        <v>13658</v>
      </c>
      <c r="C3571" t="s">
        <v>2102</v>
      </c>
      <c r="D3571" t="s">
        <v>2105</v>
      </c>
      <c r="E3571" s="184">
        <v>1162.31</v>
      </c>
    </row>
    <row r="3572" spans="1:5" ht="14.25">
      <c r="A3572">
        <v>41204</v>
      </c>
      <c r="B3572" t="s">
        <v>13659</v>
      </c>
      <c r="C3572" t="s">
        <v>2102</v>
      </c>
      <c r="D3572" t="s">
        <v>2105</v>
      </c>
      <c r="E3572" s="184">
        <v>1643.22</v>
      </c>
    </row>
    <row r="3573" spans="1:5" ht="14.25">
      <c r="A3573">
        <v>41210</v>
      </c>
      <c r="B3573" t="s">
        <v>13660</v>
      </c>
      <c r="C3573" t="s">
        <v>2102</v>
      </c>
      <c r="D3573" t="s">
        <v>2105</v>
      </c>
      <c r="E3573" s="184">
        <v>2744.95</v>
      </c>
    </row>
    <row r="3574" spans="1:5" ht="14.25">
      <c r="A3574">
        <v>41208</v>
      </c>
      <c r="B3574" t="s">
        <v>13661</v>
      </c>
      <c r="C3574" t="s">
        <v>2102</v>
      </c>
      <c r="D3574" t="s">
        <v>2105</v>
      </c>
      <c r="E3574" s="183">
        <v>960.89</v>
      </c>
    </row>
    <row r="3575" spans="1:5" ht="14.25">
      <c r="A3575">
        <v>41211</v>
      </c>
      <c r="B3575" t="s">
        <v>13662</v>
      </c>
      <c r="C3575" t="s">
        <v>2102</v>
      </c>
      <c r="D3575" t="s">
        <v>2105</v>
      </c>
      <c r="E3575" s="184">
        <v>3867.6</v>
      </c>
    </row>
    <row r="3576" spans="1:5" ht="14.25">
      <c r="A3576">
        <v>13339</v>
      </c>
      <c r="B3576" t="s">
        <v>13663</v>
      </c>
      <c r="C3576" t="s">
        <v>2102</v>
      </c>
      <c r="D3576" t="s">
        <v>2105</v>
      </c>
      <c r="E3576" s="184">
        <v>1302.24</v>
      </c>
    </row>
    <row r="3577" spans="1:5" ht="14.25">
      <c r="A3577">
        <v>41213</v>
      </c>
      <c r="B3577" t="s">
        <v>13664</v>
      </c>
      <c r="C3577" t="s">
        <v>2102</v>
      </c>
      <c r="D3577" t="s">
        <v>2105</v>
      </c>
      <c r="E3577" s="184">
        <v>8016.58</v>
      </c>
    </row>
    <row r="3578" spans="1:5" ht="14.25">
      <c r="A3578">
        <v>41209</v>
      </c>
      <c r="B3578" t="s">
        <v>13665</v>
      </c>
      <c r="C3578" t="s">
        <v>2102</v>
      </c>
      <c r="D3578" t="s">
        <v>2105</v>
      </c>
      <c r="E3578" s="184">
        <v>1791.72</v>
      </c>
    </row>
    <row r="3579" spans="1:5" ht="14.25">
      <c r="A3579">
        <v>41216</v>
      </c>
      <c r="B3579" t="s">
        <v>13666</v>
      </c>
      <c r="C3579" t="s">
        <v>2102</v>
      </c>
      <c r="D3579" t="s">
        <v>2105</v>
      </c>
      <c r="E3579" s="184">
        <v>3356.13</v>
      </c>
    </row>
    <row r="3580" spans="1:5" ht="14.25">
      <c r="A3580">
        <v>41217</v>
      </c>
      <c r="B3580" t="s">
        <v>13667</v>
      </c>
      <c r="C3580" t="s">
        <v>2102</v>
      </c>
      <c r="D3580" t="s">
        <v>2105</v>
      </c>
      <c r="E3580" s="184">
        <v>5381.07</v>
      </c>
    </row>
    <row r="3581" spans="1:5" ht="14.25">
      <c r="A3581">
        <v>41218</v>
      </c>
      <c r="B3581" t="s">
        <v>13668</v>
      </c>
      <c r="C3581" t="s">
        <v>2102</v>
      </c>
      <c r="D3581" t="s">
        <v>2105</v>
      </c>
      <c r="E3581" s="184">
        <v>7216.18</v>
      </c>
    </row>
    <row r="3582" spans="1:5" ht="14.25">
      <c r="A3582">
        <v>41214</v>
      </c>
      <c r="B3582" t="s">
        <v>13669</v>
      </c>
      <c r="C3582" t="s">
        <v>2102</v>
      </c>
      <c r="D3582" t="s">
        <v>2105</v>
      </c>
      <c r="E3582" s="184">
        <v>1521.52</v>
      </c>
    </row>
    <row r="3583" spans="1:5" ht="14.25">
      <c r="A3583">
        <v>41215</v>
      </c>
      <c r="B3583" t="s">
        <v>13670</v>
      </c>
      <c r="C3583" t="s">
        <v>2102</v>
      </c>
      <c r="D3583" t="s">
        <v>2105</v>
      </c>
      <c r="E3583" s="184">
        <v>2290.85</v>
      </c>
    </row>
    <row r="3584" spans="1:5" ht="14.25">
      <c r="A3584">
        <v>41221</v>
      </c>
      <c r="B3584" t="s">
        <v>13671</v>
      </c>
      <c r="C3584" t="s">
        <v>2102</v>
      </c>
      <c r="D3584" t="s">
        <v>2105</v>
      </c>
      <c r="E3584" s="184">
        <v>6633.2</v>
      </c>
    </row>
    <row r="3585" spans="1:5" ht="14.25">
      <c r="A3585">
        <v>41222</v>
      </c>
      <c r="B3585" t="s">
        <v>13672</v>
      </c>
      <c r="C3585" t="s">
        <v>2102</v>
      </c>
      <c r="D3585" t="s">
        <v>2105</v>
      </c>
      <c r="E3585" s="184">
        <v>9492.19</v>
      </c>
    </row>
    <row r="3586" spans="1:5" ht="14.25">
      <c r="A3586">
        <v>41195</v>
      </c>
      <c r="B3586" t="s">
        <v>13673</v>
      </c>
      <c r="C3586" t="s">
        <v>2102</v>
      </c>
      <c r="D3586" t="s">
        <v>2105</v>
      </c>
      <c r="E3586" s="183">
        <v>487.87</v>
      </c>
    </row>
    <row r="3587" spans="1:5" ht="14.25">
      <c r="A3587">
        <v>41198</v>
      </c>
      <c r="B3587" t="s">
        <v>13674</v>
      </c>
      <c r="C3587" t="s">
        <v>2102</v>
      </c>
      <c r="D3587" t="s">
        <v>2105</v>
      </c>
      <c r="E3587" s="184">
        <v>1906.48</v>
      </c>
    </row>
    <row r="3588" spans="1:5" ht="14.25">
      <c r="A3588">
        <v>41196</v>
      </c>
      <c r="B3588" t="s">
        <v>13675</v>
      </c>
      <c r="C3588" t="s">
        <v>2102</v>
      </c>
      <c r="D3588" t="s">
        <v>2105</v>
      </c>
      <c r="E3588" s="183">
        <v>604.74</v>
      </c>
    </row>
    <row r="3589" spans="1:5" ht="14.25">
      <c r="A3589">
        <v>5033</v>
      </c>
      <c r="B3589" t="s">
        <v>13676</v>
      </c>
      <c r="C3589" t="s">
        <v>2102</v>
      </c>
      <c r="D3589" t="s">
        <v>2105</v>
      </c>
      <c r="E3589" s="183">
        <v>794</v>
      </c>
    </row>
    <row r="3590" spans="1:5" ht="14.25">
      <c r="A3590">
        <v>41197</v>
      </c>
      <c r="B3590" t="s">
        <v>13677</v>
      </c>
      <c r="C3590" t="s">
        <v>2102</v>
      </c>
      <c r="D3590" t="s">
        <v>2105</v>
      </c>
      <c r="E3590" s="184">
        <v>1179.3800000000001</v>
      </c>
    </row>
    <row r="3591" spans="1:5" ht="14.25">
      <c r="A3591">
        <v>12388</v>
      </c>
      <c r="B3591" t="s">
        <v>11109</v>
      </c>
      <c r="C3591" t="s">
        <v>2102</v>
      </c>
      <c r="D3591" t="s">
        <v>2105</v>
      </c>
      <c r="E3591" s="183">
        <v>297.89999999999998</v>
      </c>
    </row>
    <row r="3592" spans="1:5" ht="14.25">
      <c r="A3592">
        <v>2731</v>
      </c>
      <c r="B3592" t="s">
        <v>11110</v>
      </c>
      <c r="C3592" t="s">
        <v>2109</v>
      </c>
      <c r="D3592" t="s">
        <v>2105</v>
      </c>
      <c r="E3592" s="183">
        <v>92.68</v>
      </c>
    </row>
    <row r="3593" spans="1:5" ht="14.25">
      <c r="A3593">
        <v>41457</v>
      </c>
      <c r="B3593" t="s">
        <v>11111</v>
      </c>
      <c r="C3593" t="s">
        <v>2102</v>
      </c>
      <c r="D3593" t="s">
        <v>2103</v>
      </c>
      <c r="E3593" s="184">
        <v>1232.17</v>
      </c>
    </row>
    <row r="3594" spans="1:5" ht="14.25">
      <c r="A3594">
        <v>41458</v>
      </c>
      <c r="B3594" t="s">
        <v>11112</v>
      </c>
      <c r="C3594" t="s">
        <v>2102</v>
      </c>
      <c r="D3594" t="s">
        <v>2103</v>
      </c>
      <c r="E3594" s="184">
        <v>1720.17</v>
      </c>
    </row>
    <row r="3595" spans="1:5" ht="14.25">
      <c r="A3595">
        <v>41459</v>
      </c>
      <c r="B3595" t="s">
        <v>11113</v>
      </c>
      <c r="C3595" t="s">
        <v>2102</v>
      </c>
      <c r="D3595" t="s">
        <v>2103</v>
      </c>
      <c r="E3595" s="184">
        <v>2399.5100000000002</v>
      </c>
    </row>
    <row r="3596" spans="1:5" ht="14.25">
      <c r="A3596">
        <v>41461</v>
      </c>
      <c r="B3596" t="s">
        <v>11114</v>
      </c>
      <c r="C3596" t="s">
        <v>2102</v>
      </c>
      <c r="D3596" t="s">
        <v>2103</v>
      </c>
      <c r="E3596" s="184">
        <v>3271.6</v>
      </c>
    </row>
    <row r="3597" spans="1:5" ht="14.25">
      <c r="A3597">
        <v>44537</v>
      </c>
      <c r="B3597" t="s">
        <v>13678</v>
      </c>
      <c r="C3597" t="s">
        <v>2169</v>
      </c>
      <c r="D3597" t="s">
        <v>2103</v>
      </c>
      <c r="E3597" s="183">
        <v>314.61</v>
      </c>
    </row>
    <row r="3598" spans="1:5" ht="14.25">
      <c r="A3598">
        <v>11844</v>
      </c>
      <c r="B3598" t="s">
        <v>18576</v>
      </c>
      <c r="C3598" t="s">
        <v>2109</v>
      </c>
      <c r="D3598" t="s">
        <v>2103</v>
      </c>
      <c r="E3598" s="183">
        <v>52.41</v>
      </c>
    </row>
    <row r="3599" spans="1:5" ht="14.25">
      <c r="A3599">
        <v>4465</v>
      </c>
      <c r="B3599" t="s">
        <v>18577</v>
      </c>
      <c r="C3599" t="s">
        <v>2109</v>
      </c>
      <c r="D3599" t="s">
        <v>2103</v>
      </c>
      <c r="E3599" s="183">
        <v>43.55</v>
      </c>
    </row>
    <row r="3600" spans="1:5" ht="14.25">
      <c r="A3600">
        <v>35273</v>
      </c>
      <c r="B3600" t="s">
        <v>18578</v>
      </c>
      <c r="C3600" t="s">
        <v>2109</v>
      </c>
      <c r="D3600" t="s">
        <v>2103</v>
      </c>
      <c r="E3600" s="183">
        <v>52.23</v>
      </c>
    </row>
    <row r="3601" spans="1:5" ht="14.25">
      <c r="A3601">
        <v>4470</v>
      </c>
      <c r="B3601" t="s">
        <v>18579</v>
      </c>
      <c r="C3601" t="s">
        <v>2109</v>
      </c>
      <c r="D3601" t="s">
        <v>2103</v>
      </c>
      <c r="E3601" s="183">
        <v>120.55</v>
      </c>
    </row>
    <row r="3602" spans="1:5" ht="14.25">
      <c r="A3602">
        <v>20204</v>
      </c>
      <c r="B3602" t="s">
        <v>18580</v>
      </c>
      <c r="C3602" t="s">
        <v>2109</v>
      </c>
      <c r="D3602" t="s">
        <v>2103</v>
      </c>
      <c r="E3602" s="183">
        <v>80.36</v>
      </c>
    </row>
    <row r="3603" spans="1:5" ht="14.25">
      <c r="A3603">
        <v>20208</v>
      </c>
      <c r="B3603" t="s">
        <v>18581</v>
      </c>
      <c r="C3603" t="s">
        <v>2109</v>
      </c>
      <c r="D3603" t="s">
        <v>2103</v>
      </c>
      <c r="E3603" s="183">
        <v>108.49</v>
      </c>
    </row>
    <row r="3604" spans="1:5" ht="14.25">
      <c r="A3604">
        <v>4437</v>
      </c>
      <c r="B3604" t="s">
        <v>18582</v>
      </c>
      <c r="C3604" t="s">
        <v>2109</v>
      </c>
      <c r="D3604" t="s">
        <v>2103</v>
      </c>
      <c r="E3604" s="183">
        <v>90.41</v>
      </c>
    </row>
    <row r="3605" spans="1:5" ht="14.25">
      <c r="A3605">
        <v>14580</v>
      </c>
      <c r="B3605" t="s">
        <v>18583</v>
      </c>
      <c r="C3605" t="s">
        <v>2109</v>
      </c>
      <c r="D3605" t="s">
        <v>2103</v>
      </c>
      <c r="E3605" s="183">
        <v>90.41</v>
      </c>
    </row>
    <row r="3606" spans="1:5" ht="14.25">
      <c r="A3606">
        <v>40304</v>
      </c>
      <c r="B3606" t="s">
        <v>11115</v>
      </c>
      <c r="C3606" t="s">
        <v>2110</v>
      </c>
      <c r="D3606" t="s">
        <v>2103</v>
      </c>
      <c r="E3606" s="183">
        <v>24.71</v>
      </c>
    </row>
    <row r="3607" spans="1:5" ht="14.25">
      <c r="A3607">
        <v>5065</v>
      </c>
      <c r="B3607" t="s">
        <v>11116</v>
      </c>
      <c r="C3607" t="s">
        <v>2110</v>
      </c>
      <c r="D3607" t="s">
        <v>2103</v>
      </c>
      <c r="E3607" s="183">
        <v>38.08</v>
      </c>
    </row>
    <row r="3608" spans="1:5" ht="14.25">
      <c r="A3608">
        <v>5072</v>
      </c>
      <c r="B3608" t="s">
        <v>11117</v>
      </c>
      <c r="C3608" t="s">
        <v>2110</v>
      </c>
      <c r="D3608" t="s">
        <v>2103</v>
      </c>
      <c r="E3608" s="183">
        <v>35.22</v>
      </c>
    </row>
    <row r="3609" spans="1:5" ht="14.25">
      <c r="A3609">
        <v>5066</v>
      </c>
      <c r="B3609" t="s">
        <v>11118</v>
      </c>
      <c r="C3609" t="s">
        <v>2110</v>
      </c>
      <c r="D3609" t="s">
        <v>2103</v>
      </c>
      <c r="E3609" s="183">
        <v>26.38</v>
      </c>
    </row>
    <row r="3610" spans="1:5" ht="14.25">
      <c r="A3610">
        <v>5063</v>
      </c>
      <c r="B3610" t="s">
        <v>11119</v>
      </c>
      <c r="C3610" t="s">
        <v>2110</v>
      </c>
      <c r="D3610" t="s">
        <v>2103</v>
      </c>
      <c r="E3610" s="183">
        <v>23.89</v>
      </c>
    </row>
    <row r="3611" spans="1:5" ht="14.25">
      <c r="A3611">
        <v>20247</v>
      </c>
      <c r="B3611" t="s">
        <v>11120</v>
      </c>
      <c r="C3611" t="s">
        <v>2110</v>
      </c>
      <c r="D3611" t="s">
        <v>2103</v>
      </c>
      <c r="E3611" s="183">
        <v>22.17</v>
      </c>
    </row>
    <row r="3612" spans="1:5" ht="14.25">
      <c r="A3612">
        <v>5074</v>
      </c>
      <c r="B3612" t="s">
        <v>11121</v>
      </c>
      <c r="C3612" t="s">
        <v>2110</v>
      </c>
      <c r="D3612" t="s">
        <v>2103</v>
      </c>
      <c r="E3612" s="183">
        <v>22.43</v>
      </c>
    </row>
    <row r="3613" spans="1:5" ht="14.25">
      <c r="A3613">
        <v>5067</v>
      </c>
      <c r="B3613" t="s">
        <v>11122</v>
      </c>
      <c r="C3613" t="s">
        <v>2110</v>
      </c>
      <c r="D3613" t="s">
        <v>2103</v>
      </c>
      <c r="E3613" s="183">
        <v>21.34</v>
      </c>
    </row>
    <row r="3614" spans="1:5" ht="14.25">
      <c r="A3614">
        <v>5078</v>
      </c>
      <c r="B3614" t="s">
        <v>11123</v>
      </c>
      <c r="C3614" t="s">
        <v>2110</v>
      </c>
      <c r="D3614" t="s">
        <v>2103</v>
      </c>
      <c r="E3614" s="183">
        <v>21.09</v>
      </c>
    </row>
    <row r="3615" spans="1:5" ht="14.25">
      <c r="A3615">
        <v>5068</v>
      </c>
      <c r="B3615" t="s">
        <v>11124</v>
      </c>
      <c r="C3615" t="s">
        <v>2110</v>
      </c>
      <c r="D3615" t="s">
        <v>2103</v>
      </c>
      <c r="E3615" s="183">
        <v>20.02</v>
      </c>
    </row>
    <row r="3616" spans="1:5" ht="14.25">
      <c r="A3616">
        <v>5073</v>
      </c>
      <c r="B3616" t="s">
        <v>11125</v>
      </c>
      <c r="C3616" t="s">
        <v>2110</v>
      </c>
      <c r="D3616" t="s">
        <v>2103</v>
      </c>
      <c r="E3616" s="183">
        <v>20.399999999999999</v>
      </c>
    </row>
    <row r="3617" spans="1:5" ht="14.25">
      <c r="A3617">
        <v>5069</v>
      </c>
      <c r="B3617" t="s">
        <v>11126</v>
      </c>
      <c r="C3617" t="s">
        <v>2110</v>
      </c>
      <c r="D3617" t="s">
        <v>2103</v>
      </c>
      <c r="E3617" s="183">
        <v>20.399999999999999</v>
      </c>
    </row>
    <row r="3618" spans="1:5" ht="14.25">
      <c r="A3618">
        <v>5070</v>
      </c>
      <c r="B3618" t="s">
        <v>11127</v>
      </c>
      <c r="C3618" t="s">
        <v>2110</v>
      </c>
      <c r="D3618" t="s">
        <v>2103</v>
      </c>
      <c r="E3618" s="183">
        <v>20.63</v>
      </c>
    </row>
    <row r="3619" spans="1:5" ht="14.25">
      <c r="A3619">
        <v>5071</v>
      </c>
      <c r="B3619" t="s">
        <v>11128</v>
      </c>
      <c r="C3619" t="s">
        <v>2110</v>
      </c>
      <c r="D3619" t="s">
        <v>2103</v>
      </c>
      <c r="E3619" s="183">
        <v>20.02</v>
      </c>
    </row>
    <row r="3620" spans="1:5" ht="14.25">
      <c r="A3620">
        <v>5061</v>
      </c>
      <c r="B3620" t="s">
        <v>11129</v>
      </c>
      <c r="C3620" t="s">
        <v>2110</v>
      </c>
      <c r="D3620" t="s">
        <v>2107</v>
      </c>
      <c r="E3620" s="183">
        <v>19.68</v>
      </c>
    </row>
    <row r="3621" spans="1:5" ht="14.25">
      <c r="A3621">
        <v>5075</v>
      </c>
      <c r="B3621" t="s">
        <v>11130</v>
      </c>
      <c r="C3621" t="s">
        <v>2110</v>
      </c>
      <c r="D3621" t="s">
        <v>2103</v>
      </c>
      <c r="E3621" s="183">
        <v>20.02</v>
      </c>
    </row>
    <row r="3622" spans="1:5" ht="14.25">
      <c r="A3622">
        <v>39027</v>
      </c>
      <c r="B3622" t="s">
        <v>11131</v>
      </c>
      <c r="C3622" t="s">
        <v>2110</v>
      </c>
      <c r="D3622" t="s">
        <v>2103</v>
      </c>
      <c r="E3622" s="183">
        <v>20</v>
      </c>
    </row>
    <row r="3623" spans="1:5" ht="14.25">
      <c r="A3623">
        <v>5062</v>
      </c>
      <c r="B3623" t="s">
        <v>11132</v>
      </c>
      <c r="C3623" t="s">
        <v>2110</v>
      </c>
      <c r="D3623" t="s">
        <v>2103</v>
      </c>
      <c r="E3623" s="183">
        <v>20.28</v>
      </c>
    </row>
    <row r="3624" spans="1:5" ht="14.25">
      <c r="A3624">
        <v>40568</v>
      </c>
      <c r="B3624" t="s">
        <v>11133</v>
      </c>
      <c r="C3624" t="s">
        <v>2110</v>
      </c>
      <c r="D3624" t="s">
        <v>2103</v>
      </c>
      <c r="E3624" s="183">
        <v>20.170000000000002</v>
      </c>
    </row>
    <row r="3625" spans="1:5" ht="14.25">
      <c r="A3625">
        <v>39026</v>
      </c>
      <c r="B3625" t="s">
        <v>11134</v>
      </c>
      <c r="C3625" t="s">
        <v>2110</v>
      </c>
      <c r="D3625" t="s">
        <v>2103</v>
      </c>
      <c r="E3625" s="183">
        <v>22.51</v>
      </c>
    </row>
    <row r="3626" spans="1:5" ht="14.25">
      <c r="A3626">
        <v>42431</v>
      </c>
      <c r="B3626" t="s">
        <v>11135</v>
      </c>
      <c r="C3626" t="s">
        <v>2102</v>
      </c>
      <c r="D3626" t="s">
        <v>2105</v>
      </c>
      <c r="E3626" s="184">
        <v>3957.85</v>
      </c>
    </row>
    <row r="3627" spans="1:5" ht="14.25">
      <c r="A3627">
        <v>44074</v>
      </c>
      <c r="B3627" t="s">
        <v>11136</v>
      </c>
      <c r="C3627" t="s">
        <v>2117</v>
      </c>
      <c r="D3627" t="s">
        <v>2103</v>
      </c>
      <c r="E3627" s="183">
        <v>502.52</v>
      </c>
    </row>
    <row r="3628" spans="1:5" ht="14.25">
      <c r="A3628">
        <v>44072</v>
      </c>
      <c r="B3628" t="s">
        <v>13679</v>
      </c>
      <c r="C3628" t="s">
        <v>2117</v>
      </c>
      <c r="D3628" t="s">
        <v>2103</v>
      </c>
      <c r="E3628" s="183">
        <v>121.33</v>
      </c>
    </row>
    <row r="3629" spans="1:5" ht="14.25">
      <c r="A3629">
        <v>511</v>
      </c>
      <c r="B3629" t="s">
        <v>11137</v>
      </c>
      <c r="C3629" t="s">
        <v>2117</v>
      </c>
      <c r="D3629" t="s">
        <v>2107</v>
      </c>
      <c r="E3629" s="183">
        <v>23.19</v>
      </c>
    </row>
    <row r="3630" spans="1:5" ht="14.25">
      <c r="A3630">
        <v>37540</v>
      </c>
      <c r="B3630" t="s">
        <v>11138</v>
      </c>
      <c r="C3630" t="s">
        <v>2102</v>
      </c>
      <c r="D3630" t="s">
        <v>2103</v>
      </c>
      <c r="E3630" s="184">
        <v>79135.839999999997</v>
      </c>
    </row>
    <row r="3631" spans="1:5" ht="14.25">
      <c r="A3631">
        <v>37548</v>
      </c>
      <c r="B3631" t="s">
        <v>11139</v>
      </c>
      <c r="C3631" t="s">
        <v>2102</v>
      </c>
      <c r="D3631" t="s">
        <v>2103</v>
      </c>
      <c r="E3631" s="184">
        <v>104894.16</v>
      </c>
    </row>
    <row r="3632" spans="1:5" ht="14.25">
      <c r="A3632">
        <v>39828</v>
      </c>
      <c r="B3632" t="s">
        <v>11140</v>
      </c>
      <c r="C3632" t="s">
        <v>2102</v>
      </c>
      <c r="D3632" t="s">
        <v>2103</v>
      </c>
      <c r="E3632" s="183">
        <v>629.26</v>
      </c>
    </row>
    <row r="3633" spans="1:5" ht="14.25">
      <c r="A3633">
        <v>12273</v>
      </c>
      <c r="B3633" t="s">
        <v>11141</v>
      </c>
      <c r="C3633" t="s">
        <v>2102</v>
      </c>
      <c r="D3633" t="s">
        <v>2105</v>
      </c>
      <c r="E3633" s="183">
        <v>124.8</v>
      </c>
    </row>
    <row r="3634" spans="1:5" ht="14.25">
      <c r="A3634">
        <v>38392</v>
      </c>
      <c r="B3634" t="s">
        <v>11142</v>
      </c>
      <c r="C3634" t="s">
        <v>2102</v>
      </c>
      <c r="D3634" t="s">
        <v>2103</v>
      </c>
      <c r="E3634" s="183">
        <v>64.260000000000005</v>
      </c>
    </row>
    <row r="3635" spans="1:5" ht="14.25">
      <c r="A3635">
        <v>11735</v>
      </c>
      <c r="B3635" t="s">
        <v>11143</v>
      </c>
      <c r="C3635" t="s">
        <v>2102</v>
      </c>
      <c r="D3635" t="s">
        <v>2103</v>
      </c>
      <c r="E3635" s="183">
        <v>9.77</v>
      </c>
    </row>
    <row r="3636" spans="1:5" ht="14.25">
      <c r="A3636">
        <v>11737</v>
      </c>
      <c r="B3636" t="s">
        <v>11144</v>
      </c>
      <c r="C3636" t="s">
        <v>2102</v>
      </c>
      <c r="D3636" t="s">
        <v>2103</v>
      </c>
      <c r="E3636" s="183">
        <v>13.85</v>
      </c>
    </row>
    <row r="3637" spans="1:5" ht="14.25">
      <c r="A3637">
        <v>11738</v>
      </c>
      <c r="B3637" t="s">
        <v>11145</v>
      </c>
      <c r="C3637" t="s">
        <v>2102</v>
      </c>
      <c r="D3637" t="s">
        <v>2103</v>
      </c>
      <c r="E3637" s="183">
        <v>17.46</v>
      </c>
    </row>
    <row r="3638" spans="1:5" ht="14.25">
      <c r="A3638">
        <v>36143</v>
      </c>
      <c r="B3638" t="s">
        <v>11146</v>
      </c>
      <c r="C3638" t="s">
        <v>2102</v>
      </c>
      <c r="D3638" t="s">
        <v>2103</v>
      </c>
      <c r="E3638" s="183">
        <v>31.03</v>
      </c>
    </row>
    <row r="3639" spans="1:5" ht="14.25">
      <c r="A3639">
        <v>36142</v>
      </c>
      <c r="B3639" t="s">
        <v>11147</v>
      </c>
      <c r="C3639" t="s">
        <v>2102</v>
      </c>
      <c r="D3639" t="s">
        <v>2103</v>
      </c>
      <c r="E3639" s="183">
        <v>2.27</v>
      </c>
    </row>
    <row r="3640" spans="1:5" ht="14.25">
      <c r="A3640">
        <v>36146</v>
      </c>
      <c r="B3640" t="s">
        <v>11148</v>
      </c>
      <c r="C3640" t="s">
        <v>2102</v>
      </c>
      <c r="D3640" t="s">
        <v>2103</v>
      </c>
      <c r="E3640" s="183">
        <v>257.38</v>
      </c>
    </row>
    <row r="3641" spans="1:5" ht="14.25">
      <c r="A3641">
        <v>39015</v>
      </c>
      <c r="B3641" t="s">
        <v>11149</v>
      </c>
      <c r="C3641" t="s">
        <v>2102</v>
      </c>
      <c r="D3641" t="s">
        <v>2105</v>
      </c>
      <c r="E3641" s="183">
        <v>0.97</v>
      </c>
    </row>
    <row r="3642" spans="1:5" ht="14.25">
      <c r="A3642">
        <v>38377</v>
      </c>
      <c r="B3642" t="s">
        <v>11150</v>
      </c>
      <c r="C3642" t="s">
        <v>2102</v>
      </c>
      <c r="D3642" t="s">
        <v>2103</v>
      </c>
      <c r="E3642" s="183">
        <v>45.93</v>
      </c>
    </row>
    <row r="3643" spans="1:5" ht="14.25">
      <c r="A3643">
        <v>38376</v>
      </c>
      <c r="B3643" t="s">
        <v>11151</v>
      </c>
      <c r="C3643" t="s">
        <v>2102</v>
      </c>
      <c r="D3643" t="s">
        <v>2103</v>
      </c>
      <c r="E3643" s="183">
        <v>52.36</v>
      </c>
    </row>
    <row r="3644" spans="1:5" ht="14.25">
      <c r="A3644">
        <v>38116</v>
      </c>
      <c r="B3644" t="s">
        <v>11152</v>
      </c>
      <c r="C3644" t="s">
        <v>2102</v>
      </c>
      <c r="D3644" t="s">
        <v>2103</v>
      </c>
      <c r="E3644" s="183">
        <v>6.65</v>
      </c>
    </row>
    <row r="3645" spans="1:5" ht="14.25">
      <c r="A3645">
        <v>38066</v>
      </c>
      <c r="B3645" t="s">
        <v>11153</v>
      </c>
      <c r="C3645" t="s">
        <v>2102</v>
      </c>
      <c r="D3645" t="s">
        <v>2103</v>
      </c>
      <c r="E3645" s="183">
        <v>10.98</v>
      </c>
    </row>
    <row r="3646" spans="1:5" ht="14.25">
      <c r="A3646">
        <v>38117</v>
      </c>
      <c r="B3646" t="s">
        <v>11154</v>
      </c>
      <c r="C3646" t="s">
        <v>2102</v>
      </c>
      <c r="D3646" t="s">
        <v>2103</v>
      </c>
      <c r="E3646" s="183">
        <v>11.33</v>
      </c>
    </row>
    <row r="3647" spans="1:5" ht="14.25">
      <c r="A3647">
        <v>38067</v>
      </c>
      <c r="B3647" t="s">
        <v>11155</v>
      </c>
      <c r="C3647" t="s">
        <v>2102</v>
      </c>
      <c r="D3647" t="s">
        <v>2103</v>
      </c>
      <c r="E3647" s="183">
        <v>15.46</v>
      </c>
    </row>
    <row r="3648" spans="1:5" ht="14.25">
      <c r="A3648">
        <v>11522</v>
      </c>
      <c r="B3648" t="s">
        <v>11156</v>
      </c>
      <c r="C3648" t="s">
        <v>2102</v>
      </c>
      <c r="D3648" t="s">
        <v>2103</v>
      </c>
      <c r="E3648" s="183">
        <v>12.64</v>
      </c>
    </row>
    <row r="3649" spans="1:5" ht="14.25">
      <c r="A3649">
        <v>43600</v>
      </c>
      <c r="B3649" t="s">
        <v>11157</v>
      </c>
      <c r="C3649" t="s">
        <v>2102</v>
      </c>
      <c r="D3649" t="s">
        <v>2103</v>
      </c>
      <c r="E3649" s="183">
        <v>50.66</v>
      </c>
    </row>
    <row r="3650" spans="1:5" ht="14.25">
      <c r="A3650">
        <v>5080</v>
      </c>
      <c r="B3650" t="s">
        <v>11158</v>
      </c>
      <c r="C3650" t="s">
        <v>2102</v>
      </c>
      <c r="D3650" t="s">
        <v>2103</v>
      </c>
      <c r="E3650" s="183">
        <v>19.760000000000002</v>
      </c>
    </row>
    <row r="3651" spans="1:5" ht="14.25">
      <c r="A3651">
        <v>38168</v>
      </c>
      <c r="B3651" t="s">
        <v>11159</v>
      </c>
      <c r="C3651" t="s">
        <v>2102</v>
      </c>
      <c r="D3651" t="s">
        <v>2103</v>
      </c>
      <c r="E3651" s="183">
        <v>137.94</v>
      </c>
    </row>
    <row r="3652" spans="1:5" ht="14.25">
      <c r="A3652">
        <v>43601</v>
      </c>
      <c r="B3652" t="s">
        <v>11160</v>
      </c>
      <c r="C3652" t="s">
        <v>2102</v>
      </c>
      <c r="D3652" t="s">
        <v>2103</v>
      </c>
      <c r="E3652" s="183">
        <v>68.97</v>
      </c>
    </row>
    <row r="3653" spans="1:5" ht="14.25">
      <c r="A3653">
        <v>13393</v>
      </c>
      <c r="B3653" t="s">
        <v>11161</v>
      </c>
      <c r="C3653" t="s">
        <v>2102</v>
      </c>
      <c r="D3653" t="s">
        <v>2103</v>
      </c>
      <c r="E3653" s="183">
        <v>396.28</v>
      </c>
    </row>
    <row r="3654" spans="1:5" ht="14.25">
      <c r="A3654">
        <v>13395</v>
      </c>
      <c r="B3654" t="s">
        <v>11162</v>
      </c>
      <c r="C3654" t="s">
        <v>2102</v>
      </c>
      <c r="D3654" t="s">
        <v>2103</v>
      </c>
      <c r="E3654" s="183">
        <v>555.34</v>
      </c>
    </row>
    <row r="3655" spans="1:5" ht="14.25">
      <c r="A3655">
        <v>12039</v>
      </c>
      <c r="B3655" t="s">
        <v>11163</v>
      </c>
      <c r="C3655" t="s">
        <v>2102</v>
      </c>
      <c r="D3655" t="s">
        <v>2103</v>
      </c>
      <c r="E3655" s="183">
        <v>583.6</v>
      </c>
    </row>
    <row r="3656" spans="1:5" ht="14.25">
      <c r="A3656">
        <v>13396</v>
      </c>
      <c r="B3656" t="s">
        <v>11164</v>
      </c>
      <c r="C3656" t="s">
        <v>2102</v>
      </c>
      <c r="D3656" t="s">
        <v>2103</v>
      </c>
      <c r="E3656" s="183">
        <v>819.63</v>
      </c>
    </row>
    <row r="3657" spans="1:5" ht="14.25">
      <c r="A3657">
        <v>12041</v>
      </c>
      <c r="B3657" t="s">
        <v>11165</v>
      </c>
      <c r="C3657" t="s">
        <v>2102</v>
      </c>
      <c r="D3657" t="s">
        <v>2103</v>
      </c>
      <c r="E3657" s="183">
        <v>669.28</v>
      </c>
    </row>
    <row r="3658" spans="1:5" ht="14.25">
      <c r="A3658">
        <v>12043</v>
      </c>
      <c r="B3658" t="s">
        <v>11166</v>
      </c>
      <c r="C3658" t="s">
        <v>2102</v>
      </c>
      <c r="D3658" t="s">
        <v>2103</v>
      </c>
      <c r="E3658" s="184">
        <v>1413.08</v>
      </c>
    </row>
    <row r="3659" spans="1:5" ht="14.25">
      <c r="A3659">
        <v>39762</v>
      </c>
      <c r="B3659" t="s">
        <v>11167</v>
      </c>
      <c r="C3659" t="s">
        <v>2102</v>
      </c>
      <c r="D3659" t="s">
        <v>2103</v>
      </c>
      <c r="E3659" s="183">
        <v>672.66</v>
      </c>
    </row>
    <row r="3660" spans="1:5" ht="14.25">
      <c r="A3660">
        <v>12042</v>
      </c>
      <c r="B3660" t="s">
        <v>11168</v>
      </c>
      <c r="C3660" t="s">
        <v>2102</v>
      </c>
      <c r="D3660" t="s">
        <v>2103</v>
      </c>
      <c r="E3660" s="183">
        <v>982.07</v>
      </c>
    </row>
    <row r="3661" spans="1:5" ht="14.25">
      <c r="A3661">
        <v>39763</v>
      </c>
      <c r="B3661" t="s">
        <v>11169</v>
      </c>
      <c r="C3661" t="s">
        <v>2102</v>
      </c>
      <c r="D3661" t="s">
        <v>2103</v>
      </c>
      <c r="E3661" s="184">
        <v>1149.3800000000001</v>
      </c>
    </row>
    <row r="3662" spans="1:5" ht="14.25">
      <c r="A3662">
        <v>39760</v>
      </c>
      <c r="B3662" t="s">
        <v>11170</v>
      </c>
      <c r="C3662" t="s">
        <v>2102</v>
      </c>
      <c r="D3662" t="s">
        <v>2103</v>
      </c>
      <c r="E3662" s="184">
        <v>1145.5999999999999</v>
      </c>
    </row>
    <row r="3663" spans="1:5" ht="14.25">
      <c r="A3663">
        <v>39756</v>
      </c>
      <c r="B3663" t="s">
        <v>11171</v>
      </c>
      <c r="C3663" t="s">
        <v>2102</v>
      </c>
      <c r="D3663" t="s">
        <v>2103</v>
      </c>
      <c r="E3663" s="183">
        <v>411.34</v>
      </c>
    </row>
    <row r="3664" spans="1:5" ht="14.25">
      <c r="A3664">
        <v>12038</v>
      </c>
      <c r="B3664" t="s">
        <v>11172</v>
      </c>
      <c r="C3664" t="s">
        <v>2102</v>
      </c>
      <c r="D3664" t="s">
        <v>2103</v>
      </c>
      <c r="E3664" s="183">
        <v>513.98</v>
      </c>
    </row>
    <row r="3665" spans="1:5" ht="14.25">
      <c r="A3665">
        <v>39757</v>
      </c>
      <c r="B3665" t="s">
        <v>11173</v>
      </c>
      <c r="C3665" t="s">
        <v>2102</v>
      </c>
      <c r="D3665" t="s">
        <v>2103</v>
      </c>
      <c r="E3665" s="183">
        <v>475.27</v>
      </c>
    </row>
    <row r="3666" spans="1:5" ht="14.25">
      <c r="A3666">
        <v>39758</v>
      </c>
      <c r="B3666" t="s">
        <v>11174</v>
      </c>
      <c r="C3666" t="s">
        <v>2102</v>
      </c>
      <c r="D3666" t="s">
        <v>2103</v>
      </c>
      <c r="E3666" s="183">
        <v>692.64</v>
      </c>
    </row>
    <row r="3667" spans="1:5" ht="14.25">
      <c r="A3667">
        <v>39759</v>
      </c>
      <c r="B3667" t="s">
        <v>11175</v>
      </c>
      <c r="C3667" t="s">
        <v>2102</v>
      </c>
      <c r="D3667" t="s">
        <v>2103</v>
      </c>
      <c r="E3667" s="183">
        <v>855.42</v>
      </c>
    </row>
    <row r="3668" spans="1:5" ht="14.25">
      <c r="A3668">
        <v>39761</v>
      </c>
      <c r="B3668" t="s">
        <v>11176</v>
      </c>
      <c r="C3668" t="s">
        <v>2102</v>
      </c>
      <c r="D3668" t="s">
        <v>2103</v>
      </c>
      <c r="E3668" s="184">
        <v>1028.24</v>
      </c>
    </row>
    <row r="3669" spans="1:5" ht="14.25">
      <c r="A3669">
        <v>39805</v>
      </c>
      <c r="B3669" t="s">
        <v>11177</v>
      </c>
      <c r="C3669" t="s">
        <v>2102</v>
      </c>
      <c r="D3669" t="s">
        <v>2103</v>
      </c>
      <c r="E3669" s="183">
        <v>123.02</v>
      </c>
    </row>
    <row r="3670" spans="1:5" ht="14.25">
      <c r="A3670">
        <v>39806</v>
      </c>
      <c r="B3670" t="s">
        <v>11178</v>
      </c>
      <c r="C3670" t="s">
        <v>2102</v>
      </c>
      <c r="D3670" t="s">
        <v>2103</v>
      </c>
      <c r="E3670" s="183">
        <v>227.92</v>
      </c>
    </row>
    <row r="3671" spans="1:5" ht="14.25">
      <c r="A3671">
        <v>39807</v>
      </c>
      <c r="B3671" t="s">
        <v>11179</v>
      </c>
      <c r="C3671" t="s">
        <v>2102</v>
      </c>
      <c r="D3671" t="s">
        <v>2103</v>
      </c>
      <c r="E3671" s="183">
        <v>493.96</v>
      </c>
    </row>
    <row r="3672" spans="1:5" ht="14.25">
      <c r="A3672">
        <v>43100</v>
      </c>
      <c r="B3672" t="s">
        <v>11180</v>
      </c>
      <c r="C3672" t="s">
        <v>2102</v>
      </c>
      <c r="D3672" t="s">
        <v>2103</v>
      </c>
      <c r="E3672" s="183">
        <v>386.17</v>
      </c>
    </row>
    <row r="3673" spans="1:5" ht="14.25">
      <c r="A3673">
        <v>39804</v>
      </c>
      <c r="B3673" t="s">
        <v>11181</v>
      </c>
      <c r="C3673" t="s">
        <v>2102</v>
      </c>
      <c r="D3673" t="s">
        <v>2103</v>
      </c>
      <c r="E3673" s="183">
        <v>72.23</v>
      </c>
    </row>
    <row r="3674" spans="1:5" ht="14.25">
      <c r="A3674">
        <v>39796</v>
      </c>
      <c r="B3674" t="s">
        <v>11182</v>
      </c>
      <c r="C3674" t="s">
        <v>2102</v>
      </c>
      <c r="D3674" t="s">
        <v>2103</v>
      </c>
      <c r="E3674" s="183">
        <v>74.819999999999993</v>
      </c>
    </row>
    <row r="3675" spans="1:5" ht="14.25">
      <c r="A3675">
        <v>39797</v>
      </c>
      <c r="B3675" t="s">
        <v>11183</v>
      </c>
      <c r="C3675" t="s">
        <v>2102</v>
      </c>
      <c r="D3675" t="s">
        <v>2107</v>
      </c>
      <c r="E3675" s="183">
        <v>117.45</v>
      </c>
    </row>
    <row r="3676" spans="1:5" ht="14.25">
      <c r="A3676">
        <v>39798</v>
      </c>
      <c r="B3676" t="s">
        <v>11184</v>
      </c>
      <c r="C3676" t="s">
        <v>2102</v>
      </c>
      <c r="D3676" t="s">
        <v>2103</v>
      </c>
      <c r="E3676" s="183">
        <v>201.46</v>
      </c>
    </row>
    <row r="3677" spans="1:5" ht="14.25">
      <c r="A3677">
        <v>39794</v>
      </c>
      <c r="B3677" t="s">
        <v>11185</v>
      </c>
      <c r="C3677" t="s">
        <v>2102</v>
      </c>
      <c r="D3677" t="s">
        <v>2103</v>
      </c>
      <c r="E3677" s="183">
        <v>31.76</v>
      </c>
    </row>
    <row r="3678" spans="1:5" ht="14.25">
      <c r="A3678">
        <v>39795</v>
      </c>
      <c r="B3678" t="s">
        <v>11186</v>
      </c>
      <c r="C3678" t="s">
        <v>2102</v>
      </c>
      <c r="D3678" t="s">
        <v>2103</v>
      </c>
      <c r="E3678" s="183">
        <v>50.17</v>
      </c>
    </row>
    <row r="3679" spans="1:5" ht="14.25">
      <c r="A3679">
        <v>39799</v>
      </c>
      <c r="B3679" t="s">
        <v>11187</v>
      </c>
      <c r="C3679" t="s">
        <v>2102</v>
      </c>
      <c r="D3679" t="s">
        <v>2103</v>
      </c>
      <c r="E3679" s="183">
        <v>37.020000000000003</v>
      </c>
    </row>
    <row r="3680" spans="1:5" ht="14.25">
      <c r="A3680">
        <v>39801</v>
      </c>
      <c r="B3680" t="s">
        <v>11188</v>
      </c>
      <c r="C3680" t="s">
        <v>2102</v>
      </c>
      <c r="D3680" t="s">
        <v>2103</v>
      </c>
      <c r="E3680" s="183">
        <v>105.95</v>
      </c>
    </row>
    <row r="3681" spans="1:5" ht="14.25">
      <c r="A3681">
        <v>39802</v>
      </c>
      <c r="B3681" t="s">
        <v>11189</v>
      </c>
      <c r="C3681" t="s">
        <v>2102</v>
      </c>
      <c r="D3681" t="s">
        <v>2103</v>
      </c>
      <c r="E3681" s="183">
        <v>155.30000000000001</v>
      </c>
    </row>
    <row r="3682" spans="1:5" ht="14.25">
      <c r="A3682">
        <v>39803</v>
      </c>
      <c r="B3682" t="s">
        <v>11190</v>
      </c>
      <c r="C3682" t="s">
        <v>2102</v>
      </c>
      <c r="D3682" t="s">
        <v>2103</v>
      </c>
      <c r="E3682" s="183">
        <v>216.64</v>
      </c>
    </row>
    <row r="3683" spans="1:5" ht="14.25">
      <c r="A3683">
        <v>39800</v>
      </c>
      <c r="B3683" t="s">
        <v>11191</v>
      </c>
      <c r="C3683" t="s">
        <v>2102</v>
      </c>
      <c r="D3683" t="s">
        <v>2103</v>
      </c>
      <c r="E3683" s="183">
        <v>63.06</v>
      </c>
    </row>
    <row r="3684" spans="1:5" ht="14.25">
      <c r="A3684">
        <v>43837</v>
      </c>
      <c r="B3684" t="s">
        <v>15288</v>
      </c>
      <c r="C3684" t="s">
        <v>2102</v>
      </c>
      <c r="D3684" t="s">
        <v>2103</v>
      </c>
      <c r="E3684" s="184">
        <v>1852.42</v>
      </c>
    </row>
    <row r="3685" spans="1:5" ht="14.25">
      <c r="A3685">
        <v>43836</v>
      </c>
      <c r="B3685" t="s">
        <v>15289</v>
      </c>
      <c r="C3685" t="s">
        <v>2102</v>
      </c>
      <c r="D3685" t="s">
        <v>2103</v>
      </c>
      <c r="E3685" s="184">
        <v>3769.36</v>
      </c>
    </row>
    <row r="3686" spans="1:5" ht="14.25">
      <c r="A3686">
        <v>21059</v>
      </c>
      <c r="B3686" t="s">
        <v>11192</v>
      </c>
      <c r="C3686" t="s">
        <v>2102</v>
      </c>
      <c r="D3686" t="s">
        <v>2105</v>
      </c>
      <c r="E3686" s="183">
        <v>61.13</v>
      </c>
    </row>
    <row r="3687" spans="1:5" ht="14.25">
      <c r="A3687">
        <v>11234</v>
      </c>
      <c r="B3687" t="s">
        <v>11193</v>
      </c>
      <c r="C3687" t="s">
        <v>2102</v>
      </c>
      <c r="D3687" t="s">
        <v>2105</v>
      </c>
      <c r="E3687" s="183">
        <v>92.14</v>
      </c>
    </row>
    <row r="3688" spans="1:5" ht="14.25">
      <c r="A3688">
        <v>21060</v>
      </c>
      <c r="B3688" t="s">
        <v>11194</v>
      </c>
      <c r="C3688" t="s">
        <v>2102</v>
      </c>
      <c r="D3688" t="s">
        <v>2105</v>
      </c>
      <c r="E3688" s="183">
        <v>113.41</v>
      </c>
    </row>
    <row r="3689" spans="1:5" ht="14.25">
      <c r="A3689">
        <v>21061</v>
      </c>
      <c r="B3689" t="s">
        <v>11195</v>
      </c>
      <c r="C3689" t="s">
        <v>2102</v>
      </c>
      <c r="D3689" t="s">
        <v>2105</v>
      </c>
      <c r="E3689" s="183">
        <v>141.76</v>
      </c>
    </row>
    <row r="3690" spans="1:5" ht="14.25">
      <c r="A3690">
        <v>21062</v>
      </c>
      <c r="B3690" t="s">
        <v>11196</v>
      </c>
      <c r="C3690" t="s">
        <v>2102</v>
      </c>
      <c r="D3690" t="s">
        <v>2105</v>
      </c>
      <c r="E3690" s="183">
        <v>223.28</v>
      </c>
    </row>
    <row r="3691" spans="1:5" ht="14.25">
      <c r="A3691">
        <v>11708</v>
      </c>
      <c r="B3691" t="s">
        <v>11197</v>
      </c>
      <c r="C3691" t="s">
        <v>2102</v>
      </c>
      <c r="D3691" t="s">
        <v>2105</v>
      </c>
      <c r="E3691" s="183">
        <v>24.36</v>
      </c>
    </row>
    <row r="3692" spans="1:5" ht="14.25">
      <c r="A3692">
        <v>11709</v>
      </c>
      <c r="B3692" t="s">
        <v>11198</v>
      </c>
      <c r="C3692" t="s">
        <v>2102</v>
      </c>
      <c r="D3692" t="s">
        <v>2105</v>
      </c>
      <c r="E3692" s="183">
        <v>57.23</v>
      </c>
    </row>
    <row r="3693" spans="1:5" ht="14.25">
      <c r="A3693">
        <v>11710</v>
      </c>
      <c r="B3693" t="s">
        <v>11199</v>
      </c>
      <c r="C3693" t="s">
        <v>2102</v>
      </c>
      <c r="D3693" t="s">
        <v>2105</v>
      </c>
      <c r="E3693" s="183">
        <v>131.57</v>
      </c>
    </row>
    <row r="3694" spans="1:5" ht="14.25">
      <c r="A3694">
        <v>11707</v>
      </c>
      <c r="B3694" t="s">
        <v>11200</v>
      </c>
      <c r="C3694" t="s">
        <v>2102</v>
      </c>
      <c r="D3694" t="s">
        <v>2105</v>
      </c>
      <c r="E3694" s="183">
        <v>18.25</v>
      </c>
    </row>
    <row r="3695" spans="1:5" ht="14.25">
      <c r="A3695">
        <v>5102</v>
      </c>
      <c r="B3695" t="s">
        <v>11201</v>
      </c>
      <c r="C3695" t="s">
        <v>2102</v>
      </c>
      <c r="D3695" t="s">
        <v>2103</v>
      </c>
      <c r="E3695" s="183">
        <v>13.72</v>
      </c>
    </row>
    <row r="3696" spans="1:5" ht="14.25">
      <c r="A3696">
        <v>11739</v>
      </c>
      <c r="B3696" t="s">
        <v>11202</v>
      </c>
      <c r="C3696" t="s">
        <v>2102</v>
      </c>
      <c r="D3696" t="s">
        <v>2103</v>
      </c>
      <c r="E3696" s="183">
        <v>9.7799999999999994</v>
      </c>
    </row>
    <row r="3697" spans="1:5" ht="14.25">
      <c r="A3697">
        <v>11711</v>
      </c>
      <c r="B3697" t="s">
        <v>11203</v>
      </c>
      <c r="C3697" t="s">
        <v>2102</v>
      </c>
      <c r="D3697" t="s">
        <v>2103</v>
      </c>
      <c r="E3697" s="183">
        <v>11.43</v>
      </c>
    </row>
    <row r="3698" spans="1:5" ht="14.25">
      <c r="A3698">
        <v>11741</v>
      </c>
      <c r="B3698" t="s">
        <v>11204</v>
      </c>
      <c r="C3698" t="s">
        <v>2102</v>
      </c>
      <c r="D3698" t="s">
        <v>2103</v>
      </c>
      <c r="E3698" s="183">
        <v>12.45</v>
      </c>
    </row>
    <row r="3699" spans="1:5" ht="14.25">
      <c r="A3699">
        <v>11745</v>
      </c>
      <c r="B3699" t="s">
        <v>11205</v>
      </c>
      <c r="C3699" t="s">
        <v>2102</v>
      </c>
      <c r="D3699" t="s">
        <v>2103</v>
      </c>
      <c r="E3699" s="183">
        <v>16.41</v>
      </c>
    </row>
    <row r="3700" spans="1:5" ht="14.25">
      <c r="A3700">
        <v>11743</v>
      </c>
      <c r="B3700" t="s">
        <v>11206</v>
      </c>
      <c r="C3700" t="s">
        <v>2102</v>
      </c>
      <c r="D3700" t="s">
        <v>2103</v>
      </c>
      <c r="E3700" s="183">
        <v>10.45</v>
      </c>
    </row>
    <row r="3701" spans="1:5" ht="14.25">
      <c r="A3701">
        <v>1088</v>
      </c>
      <c r="B3701" t="s">
        <v>11207</v>
      </c>
      <c r="C3701" t="s">
        <v>2102</v>
      </c>
      <c r="D3701" t="s">
        <v>2105</v>
      </c>
      <c r="E3701" s="183">
        <v>33.159999999999997</v>
      </c>
    </row>
    <row r="3702" spans="1:5" ht="14.25">
      <c r="A3702">
        <v>1087</v>
      </c>
      <c r="B3702" t="s">
        <v>11208</v>
      </c>
      <c r="C3702" t="s">
        <v>2102</v>
      </c>
      <c r="D3702" t="s">
        <v>2105</v>
      </c>
      <c r="E3702" s="183">
        <v>41.41</v>
      </c>
    </row>
    <row r="3703" spans="1:5" ht="14.25">
      <c r="A3703">
        <v>38777</v>
      </c>
      <c r="B3703" t="s">
        <v>11209</v>
      </c>
      <c r="C3703" t="s">
        <v>2102</v>
      </c>
      <c r="D3703" t="s">
        <v>2105</v>
      </c>
      <c r="E3703" s="183">
        <v>82.49</v>
      </c>
    </row>
    <row r="3704" spans="1:5" ht="14.25">
      <c r="A3704">
        <v>1086</v>
      </c>
      <c r="B3704" t="s">
        <v>11210</v>
      </c>
      <c r="C3704" t="s">
        <v>2102</v>
      </c>
      <c r="D3704" t="s">
        <v>2105</v>
      </c>
      <c r="E3704" s="183">
        <v>43.53</v>
      </c>
    </row>
    <row r="3705" spans="1:5" ht="14.25">
      <c r="A3705">
        <v>1079</v>
      </c>
      <c r="B3705" t="s">
        <v>11211</v>
      </c>
      <c r="C3705" t="s">
        <v>2102</v>
      </c>
      <c r="D3705" t="s">
        <v>2105</v>
      </c>
      <c r="E3705" s="183">
        <v>45</v>
      </c>
    </row>
    <row r="3706" spans="1:5" ht="14.25">
      <c r="A3706">
        <v>39374</v>
      </c>
      <c r="B3706" t="s">
        <v>11212</v>
      </c>
      <c r="C3706" t="s">
        <v>2102</v>
      </c>
      <c r="D3706" t="s">
        <v>2107</v>
      </c>
      <c r="E3706" s="183">
        <v>139</v>
      </c>
    </row>
    <row r="3707" spans="1:5" ht="14.25">
      <c r="A3707">
        <v>1082</v>
      </c>
      <c r="B3707" t="s">
        <v>11213</v>
      </c>
      <c r="C3707" t="s">
        <v>2102</v>
      </c>
      <c r="D3707" t="s">
        <v>2105</v>
      </c>
      <c r="E3707" s="183">
        <v>282.88</v>
      </c>
    </row>
    <row r="3708" spans="1:5" ht="14.25">
      <c r="A3708">
        <v>12316</v>
      </c>
      <c r="B3708" t="s">
        <v>11214</v>
      </c>
      <c r="C3708" t="s">
        <v>2102</v>
      </c>
      <c r="D3708" t="s">
        <v>2105</v>
      </c>
      <c r="E3708" s="183">
        <v>129.65</v>
      </c>
    </row>
    <row r="3709" spans="1:5" ht="14.25">
      <c r="A3709">
        <v>12317</v>
      </c>
      <c r="B3709" t="s">
        <v>11215</v>
      </c>
      <c r="C3709" t="s">
        <v>2102</v>
      </c>
      <c r="D3709" t="s">
        <v>2105</v>
      </c>
      <c r="E3709" s="183">
        <v>154.61000000000001</v>
      </c>
    </row>
    <row r="3710" spans="1:5" ht="14.25">
      <c r="A3710">
        <v>12318</v>
      </c>
      <c r="B3710" t="s">
        <v>11216</v>
      </c>
      <c r="C3710" t="s">
        <v>2102</v>
      </c>
      <c r="D3710" t="s">
        <v>2105</v>
      </c>
      <c r="E3710" s="183">
        <v>178.12</v>
      </c>
    </row>
    <row r="3711" spans="1:5" ht="14.25">
      <c r="A3711">
        <v>5104</v>
      </c>
      <c r="B3711" t="s">
        <v>18584</v>
      </c>
      <c r="C3711" t="s">
        <v>2110</v>
      </c>
      <c r="D3711" t="s">
        <v>2105</v>
      </c>
      <c r="E3711" s="183">
        <v>60.54</v>
      </c>
    </row>
    <row r="3712" spans="1:5" ht="14.25">
      <c r="A3712">
        <v>44530</v>
      </c>
      <c r="B3712" t="s">
        <v>13680</v>
      </c>
      <c r="C3712" t="s">
        <v>2102</v>
      </c>
      <c r="D3712" t="s">
        <v>2103</v>
      </c>
      <c r="E3712" s="183">
        <v>37.81</v>
      </c>
    </row>
    <row r="3713" spans="1:5" ht="14.25">
      <c r="A3713">
        <v>2710</v>
      </c>
      <c r="B3713" t="s">
        <v>11217</v>
      </c>
      <c r="C3713" t="s">
        <v>2102</v>
      </c>
      <c r="D3713" t="s">
        <v>2103</v>
      </c>
      <c r="E3713" s="183">
        <v>30.2</v>
      </c>
    </row>
    <row r="3714" spans="1:5" ht="14.25">
      <c r="A3714">
        <v>14575</v>
      </c>
      <c r="B3714" t="s">
        <v>11218</v>
      </c>
      <c r="C3714" t="s">
        <v>2102</v>
      </c>
      <c r="D3714" t="s">
        <v>2105</v>
      </c>
      <c r="E3714" s="184">
        <v>4625057.1500000004</v>
      </c>
    </row>
    <row r="3715" spans="1:5" ht="14.25">
      <c r="A3715">
        <v>20043</v>
      </c>
      <c r="B3715" t="s">
        <v>18585</v>
      </c>
      <c r="C3715" t="s">
        <v>2102</v>
      </c>
      <c r="D3715" t="s">
        <v>2103</v>
      </c>
      <c r="E3715" s="183">
        <v>11.04</v>
      </c>
    </row>
    <row r="3716" spans="1:5" ht="14.25">
      <c r="A3716">
        <v>20044</v>
      </c>
      <c r="B3716" t="s">
        <v>18586</v>
      </c>
      <c r="C3716" t="s">
        <v>2102</v>
      </c>
      <c r="D3716" t="s">
        <v>2103</v>
      </c>
      <c r="E3716" s="183">
        <v>12.8</v>
      </c>
    </row>
    <row r="3717" spans="1:5" ht="14.25">
      <c r="A3717">
        <v>20042</v>
      </c>
      <c r="B3717" t="s">
        <v>18587</v>
      </c>
      <c r="C3717" t="s">
        <v>2102</v>
      </c>
      <c r="D3717" t="s">
        <v>2103</v>
      </c>
      <c r="E3717" s="183">
        <v>9.58</v>
      </c>
    </row>
    <row r="3718" spans="1:5" ht="14.25">
      <c r="A3718">
        <v>20046</v>
      </c>
      <c r="B3718" t="s">
        <v>18588</v>
      </c>
      <c r="C3718" t="s">
        <v>2102</v>
      </c>
      <c r="D3718" t="s">
        <v>2103</v>
      </c>
      <c r="E3718" s="183">
        <v>22.67</v>
      </c>
    </row>
    <row r="3719" spans="1:5" ht="14.25">
      <c r="A3719">
        <v>20047</v>
      </c>
      <c r="B3719" t="s">
        <v>18589</v>
      </c>
      <c r="C3719" t="s">
        <v>2102</v>
      </c>
      <c r="D3719" t="s">
        <v>2103</v>
      </c>
      <c r="E3719" s="183">
        <v>67.989999999999995</v>
      </c>
    </row>
    <row r="3720" spans="1:5" ht="14.25">
      <c r="A3720">
        <v>20045</v>
      </c>
      <c r="B3720" t="s">
        <v>18590</v>
      </c>
      <c r="C3720" t="s">
        <v>2102</v>
      </c>
      <c r="D3720" t="s">
        <v>2103</v>
      </c>
      <c r="E3720" s="183">
        <v>11.47</v>
      </c>
    </row>
    <row r="3721" spans="1:5" ht="14.25">
      <c r="A3721">
        <v>20972</v>
      </c>
      <c r="B3721" t="s">
        <v>11219</v>
      </c>
      <c r="C3721" t="s">
        <v>2102</v>
      </c>
      <c r="D3721" t="s">
        <v>2103</v>
      </c>
      <c r="E3721" s="183">
        <v>135.71</v>
      </c>
    </row>
    <row r="3722" spans="1:5" ht="14.25">
      <c r="A3722">
        <v>11321</v>
      </c>
      <c r="B3722" t="s">
        <v>11220</v>
      </c>
      <c r="C3722" t="s">
        <v>2102</v>
      </c>
      <c r="D3722" t="s">
        <v>2105</v>
      </c>
      <c r="E3722" s="183">
        <v>24.73</v>
      </c>
    </row>
    <row r="3723" spans="1:5" ht="14.25">
      <c r="A3723">
        <v>11323</v>
      </c>
      <c r="B3723" t="s">
        <v>11221</v>
      </c>
      <c r="C3723" t="s">
        <v>2102</v>
      </c>
      <c r="D3723" t="s">
        <v>2105</v>
      </c>
      <c r="E3723" s="183">
        <v>28.45</v>
      </c>
    </row>
    <row r="3724" spans="1:5" ht="14.25">
      <c r="A3724">
        <v>20327</v>
      </c>
      <c r="B3724" t="s">
        <v>11222</v>
      </c>
      <c r="C3724" t="s">
        <v>2102</v>
      </c>
      <c r="D3724" t="s">
        <v>2105</v>
      </c>
      <c r="E3724" s="183">
        <v>16.14</v>
      </c>
    </row>
    <row r="3725" spans="1:5" ht="14.25">
      <c r="A3725">
        <v>13390</v>
      </c>
      <c r="B3725" t="s">
        <v>11223</v>
      </c>
      <c r="C3725" t="s">
        <v>2102</v>
      </c>
      <c r="D3725" t="s">
        <v>2105</v>
      </c>
      <c r="E3725" s="183">
        <v>163.63</v>
      </c>
    </row>
    <row r="3726" spans="1:5" ht="14.25">
      <c r="A3726">
        <v>6034</v>
      </c>
      <c r="B3726" t="s">
        <v>11224</v>
      </c>
      <c r="C3726" t="s">
        <v>2102</v>
      </c>
      <c r="D3726" t="s">
        <v>2103</v>
      </c>
      <c r="E3726" s="183">
        <v>15.36</v>
      </c>
    </row>
    <row r="3727" spans="1:5" ht="14.25">
      <c r="A3727">
        <v>6036</v>
      </c>
      <c r="B3727" t="s">
        <v>11225</v>
      </c>
      <c r="C3727" t="s">
        <v>2102</v>
      </c>
      <c r="D3727" t="s">
        <v>2103</v>
      </c>
      <c r="E3727" s="183">
        <v>20.92</v>
      </c>
    </row>
    <row r="3728" spans="1:5" ht="14.25">
      <c r="A3728">
        <v>6031</v>
      </c>
      <c r="B3728" t="s">
        <v>11226</v>
      </c>
      <c r="C3728" t="s">
        <v>2102</v>
      </c>
      <c r="D3728" t="s">
        <v>2107</v>
      </c>
      <c r="E3728" s="183">
        <v>24.58</v>
      </c>
    </row>
    <row r="3729" spans="1:5" ht="14.25">
      <c r="A3729">
        <v>6029</v>
      </c>
      <c r="B3729" t="s">
        <v>11227</v>
      </c>
      <c r="C3729" t="s">
        <v>2102</v>
      </c>
      <c r="D3729" t="s">
        <v>2103</v>
      </c>
      <c r="E3729" s="183">
        <v>24.84</v>
      </c>
    </row>
    <row r="3730" spans="1:5" ht="14.25">
      <c r="A3730">
        <v>6033</v>
      </c>
      <c r="B3730" t="s">
        <v>11228</v>
      </c>
      <c r="C3730" t="s">
        <v>2102</v>
      </c>
      <c r="D3730" t="s">
        <v>2103</v>
      </c>
      <c r="E3730" s="183">
        <v>32.74</v>
      </c>
    </row>
    <row r="3731" spans="1:5" ht="14.25">
      <c r="A3731">
        <v>11672</v>
      </c>
      <c r="B3731" t="s">
        <v>11229</v>
      </c>
      <c r="C3731" t="s">
        <v>2102</v>
      </c>
      <c r="D3731" t="s">
        <v>2103</v>
      </c>
      <c r="E3731" s="183">
        <v>71.22</v>
      </c>
    </row>
    <row r="3732" spans="1:5" ht="14.25">
      <c r="A3732">
        <v>11669</v>
      </c>
      <c r="B3732" t="s">
        <v>11230</v>
      </c>
      <c r="C3732" t="s">
        <v>2102</v>
      </c>
      <c r="D3732" t="s">
        <v>2103</v>
      </c>
      <c r="E3732" s="183">
        <v>67.819999999999993</v>
      </c>
    </row>
    <row r="3733" spans="1:5" ht="14.25">
      <c r="A3733">
        <v>11670</v>
      </c>
      <c r="B3733" t="s">
        <v>11231</v>
      </c>
      <c r="C3733" t="s">
        <v>2102</v>
      </c>
      <c r="D3733" t="s">
        <v>2103</v>
      </c>
      <c r="E3733" s="183">
        <v>25.98</v>
      </c>
    </row>
    <row r="3734" spans="1:5" ht="14.25">
      <c r="A3734">
        <v>20055</v>
      </c>
      <c r="B3734" t="s">
        <v>11232</v>
      </c>
      <c r="C3734" t="s">
        <v>2102</v>
      </c>
      <c r="D3734" t="s">
        <v>2103</v>
      </c>
      <c r="E3734" s="183">
        <v>50.79</v>
      </c>
    </row>
    <row r="3735" spans="1:5" ht="14.25">
      <c r="A3735">
        <v>11671</v>
      </c>
      <c r="B3735" t="s">
        <v>11233</v>
      </c>
      <c r="C3735" t="s">
        <v>2102</v>
      </c>
      <c r="D3735" t="s">
        <v>2103</v>
      </c>
      <c r="E3735" s="183">
        <v>109</v>
      </c>
    </row>
    <row r="3736" spans="1:5" ht="14.25">
      <c r="A3736">
        <v>6032</v>
      </c>
      <c r="B3736" t="s">
        <v>11234</v>
      </c>
      <c r="C3736" t="s">
        <v>2102</v>
      </c>
      <c r="D3736" t="s">
        <v>2103</v>
      </c>
      <c r="E3736" s="183">
        <v>31.13</v>
      </c>
    </row>
    <row r="3737" spans="1:5" ht="14.25">
      <c r="A3737">
        <v>11673</v>
      </c>
      <c r="B3737" t="s">
        <v>11235</v>
      </c>
      <c r="C3737" t="s">
        <v>2102</v>
      </c>
      <c r="D3737" t="s">
        <v>2103</v>
      </c>
      <c r="E3737" s="183">
        <v>24.52</v>
      </c>
    </row>
    <row r="3738" spans="1:5" ht="14.25">
      <c r="A3738">
        <v>11674</v>
      </c>
      <c r="B3738" t="s">
        <v>11236</v>
      </c>
      <c r="C3738" t="s">
        <v>2102</v>
      </c>
      <c r="D3738" t="s">
        <v>2103</v>
      </c>
      <c r="E3738" s="183">
        <v>31.57</v>
      </c>
    </row>
    <row r="3739" spans="1:5" ht="14.25">
      <c r="A3739">
        <v>11675</v>
      </c>
      <c r="B3739" t="s">
        <v>11237</v>
      </c>
      <c r="C3739" t="s">
        <v>2102</v>
      </c>
      <c r="D3739" t="s">
        <v>2103</v>
      </c>
      <c r="E3739" s="183">
        <v>50.12</v>
      </c>
    </row>
    <row r="3740" spans="1:5" ht="14.25">
      <c r="A3740">
        <v>11676</v>
      </c>
      <c r="B3740" t="s">
        <v>11238</v>
      </c>
      <c r="C3740" t="s">
        <v>2102</v>
      </c>
      <c r="D3740" t="s">
        <v>2103</v>
      </c>
      <c r="E3740" s="183">
        <v>67.03</v>
      </c>
    </row>
    <row r="3741" spans="1:5" ht="14.25">
      <c r="A3741">
        <v>11677</v>
      </c>
      <c r="B3741" t="s">
        <v>11239</v>
      </c>
      <c r="C3741" t="s">
        <v>2102</v>
      </c>
      <c r="D3741" t="s">
        <v>2103</v>
      </c>
      <c r="E3741" s="183">
        <v>69.23</v>
      </c>
    </row>
    <row r="3742" spans="1:5" ht="14.25">
      <c r="A3742">
        <v>11678</v>
      </c>
      <c r="B3742" t="s">
        <v>11240</v>
      </c>
      <c r="C3742" t="s">
        <v>2102</v>
      </c>
      <c r="D3742" t="s">
        <v>2103</v>
      </c>
      <c r="E3742" s="183">
        <v>126.79</v>
      </c>
    </row>
    <row r="3743" spans="1:5" ht="14.25">
      <c r="A3743">
        <v>6038</v>
      </c>
      <c r="B3743" t="s">
        <v>11241</v>
      </c>
      <c r="C3743" t="s">
        <v>2102</v>
      </c>
      <c r="D3743" t="s">
        <v>2103</v>
      </c>
      <c r="E3743" s="183">
        <v>8.0399999999999991</v>
      </c>
    </row>
    <row r="3744" spans="1:5" ht="14.25">
      <c r="A3744">
        <v>11718</v>
      </c>
      <c r="B3744" t="s">
        <v>11242</v>
      </c>
      <c r="C3744" t="s">
        <v>2102</v>
      </c>
      <c r="D3744" t="s">
        <v>2103</v>
      </c>
      <c r="E3744" s="183">
        <v>22.94</v>
      </c>
    </row>
    <row r="3745" spans="1:5" ht="14.25">
      <c r="A3745">
        <v>6037</v>
      </c>
      <c r="B3745" t="s">
        <v>11243</v>
      </c>
      <c r="C3745" t="s">
        <v>2102</v>
      </c>
      <c r="D3745" t="s">
        <v>2103</v>
      </c>
      <c r="E3745" s="183">
        <v>16.73</v>
      </c>
    </row>
    <row r="3746" spans="1:5" ht="14.25">
      <c r="A3746">
        <v>11719</v>
      </c>
      <c r="B3746" t="s">
        <v>11244</v>
      </c>
      <c r="C3746" t="s">
        <v>2102</v>
      </c>
      <c r="D3746" t="s">
        <v>2103</v>
      </c>
      <c r="E3746" s="183">
        <v>18.61</v>
      </c>
    </row>
    <row r="3747" spans="1:5" ht="14.25">
      <c r="A3747">
        <v>6019</v>
      </c>
      <c r="B3747" t="s">
        <v>11245</v>
      </c>
      <c r="C3747" t="s">
        <v>2102</v>
      </c>
      <c r="D3747" t="s">
        <v>2103</v>
      </c>
      <c r="E3747" s="183">
        <v>62.36</v>
      </c>
    </row>
    <row r="3748" spans="1:5" ht="14.25">
      <c r="A3748">
        <v>6010</v>
      </c>
      <c r="B3748" t="s">
        <v>11246</v>
      </c>
      <c r="C3748" t="s">
        <v>2102</v>
      </c>
      <c r="D3748" t="s">
        <v>2103</v>
      </c>
      <c r="E3748" s="183">
        <v>107.31</v>
      </c>
    </row>
    <row r="3749" spans="1:5" ht="14.25">
      <c r="A3749">
        <v>6017</v>
      </c>
      <c r="B3749" t="s">
        <v>11247</v>
      </c>
      <c r="C3749" t="s">
        <v>2102</v>
      </c>
      <c r="D3749" t="s">
        <v>2103</v>
      </c>
      <c r="E3749" s="183">
        <v>84.99</v>
      </c>
    </row>
    <row r="3750" spans="1:5" ht="14.25">
      <c r="A3750">
        <v>6020</v>
      </c>
      <c r="B3750" t="s">
        <v>11248</v>
      </c>
      <c r="C3750" t="s">
        <v>2102</v>
      </c>
      <c r="D3750" t="s">
        <v>2103</v>
      </c>
      <c r="E3750" s="183">
        <v>37.46</v>
      </c>
    </row>
    <row r="3751" spans="1:5" ht="14.25">
      <c r="A3751">
        <v>6028</v>
      </c>
      <c r="B3751" t="s">
        <v>11249</v>
      </c>
      <c r="C3751" t="s">
        <v>2102</v>
      </c>
      <c r="D3751" t="s">
        <v>2103</v>
      </c>
      <c r="E3751" s="183">
        <v>149.46</v>
      </c>
    </row>
    <row r="3752" spans="1:5" ht="14.25">
      <c r="A3752">
        <v>6011</v>
      </c>
      <c r="B3752" t="s">
        <v>11250</v>
      </c>
      <c r="C3752" t="s">
        <v>2102</v>
      </c>
      <c r="D3752" t="s">
        <v>2103</v>
      </c>
      <c r="E3752" s="183">
        <v>309.98</v>
      </c>
    </row>
    <row r="3753" spans="1:5" ht="14.25">
      <c r="A3753">
        <v>6012</v>
      </c>
      <c r="B3753" t="s">
        <v>11251</v>
      </c>
      <c r="C3753" t="s">
        <v>2102</v>
      </c>
      <c r="D3753" t="s">
        <v>2103</v>
      </c>
      <c r="E3753" s="183">
        <v>375.28</v>
      </c>
    </row>
    <row r="3754" spans="1:5" ht="14.25">
      <c r="A3754">
        <v>6016</v>
      </c>
      <c r="B3754" t="s">
        <v>11252</v>
      </c>
      <c r="C3754" t="s">
        <v>2102</v>
      </c>
      <c r="D3754" t="s">
        <v>2103</v>
      </c>
      <c r="E3754" s="183">
        <v>39.51</v>
      </c>
    </row>
    <row r="3755" spans="1:5" ht="14.25">
      <c r="A3755">
        <v>6027</v>
      </c>
      <c r="B3755" t="s">
        <v>11253</v>
      </c>
      <c r="C3755" t="s">
        <v>2102</v>
      </c>
      <c r="D3755" t="s">
        <v>2103</v>
      </c>
      <c r="E3755" s="183">
        <v>781.95</v>
      </c>
    </row>
    <row r="3756" spans="1:5" ht="14.25">
      <c r="A3756">
        <v>6013</v>
      </c>
      <c r="B3756" t="s">
        <v>11254</v>
      </c>
      <c r="C3756" t="s">
        <v>2102</v>
      </c>
      <c r="D3756" t="s">
        <v>2103</v>
      </c>
      <c r="E3756" s="183">
        <v>117.99</v>
      </c>
    </row>
    <row r="3757" spans="1:5" ht="14.25">
      <c r="A3757">
        <v>6015</v>
      </c>
      <c r="B3757" t="s">
        <v>11255</v>
      </c>
      <c r="C3757" t="s">
        <v>2102</v>
      </c>
      <c r="D3757" t="s">
        <v>2103</v>
      </c>
      <c r="E3757" s="183">
        <v>171.59</v>
      </c>
    </row>
    <row r="3758" spans="1:5" ht="14.25">
      <c r="A3758">
        <v>6014</v>
      </c>
      <c r="B3758" t="s">
        <v>11256</v>
      </c>
      <c r="C3758" t="s">
        <v>2102</v>
      </c>
      <c r="D3758" t="s">
        <v>2103</v>
      </c>
      <c r="E3758" s="183">
        <v>164.05</v>
      </c>
    </row>
    <row r="3759" spans="1:5" ht="14.25">
      <c r="A3759">
        <v>6006</v>
      </c>
      <c r="B3759" t="s">
        <v>11257</v>
      </c>
      <c r="C3759" t="s">
        <v>2102</v>
      </c>
      <c r="D3759" t="s">
        <v>2103</v>
      </c>
      <c r="E3759" s="183">
        <v>85.44</v>
      </c>
    </row>
    <row r="3760" spans="1:5" ht="14.25">
      <c r="A3760">
        <v>6005</v>
      </c>
      <c r="B3760" t="s">
        <v>11258</v>
      </c>
      <c r="C3760" t="s">
        <v>2102</v>
      </c>
      <c r="D3760" t="s">
        <v>2107</v>
      </c>
      <c r="E3760" s="183">
        <v>96.39</v>
      </c>
    </row>
    <row r="3761" spans="1:5" ht="14.25">
      <c r="A3761">
        <v>11756</v>
      </c>
      <c r="B3761" t="s">
        <v>11259</v>
      </c>
      <c r="C3761" t="s">
        <v>2102</v>
      </c>
      <c r="D3761" t="s">
        <v>2103</v>
      </c>
      <c r="E3761" s="183">
        <v>46.03</v>
      </c>
    </row>
    <row r="3762" spans="1:5" ht="14.25">
      <c r="A3762">
        <v>10904</v>
      </c>
      <c r="B3762" t="s">
        <v>11260</v>
      </c>
      <c r="C3762" t="s">
        <v>2102</v>
      </c>
      <c r="D3762" t="s">
        <v>2107</v>
      </c>
      <c r="E3762" s="183">
        <v>190</v>
      </c>
    </row>
    <row r="3763" spans="1:5" ht="14.25">
      <c r="A3763">
        <v>11752</v>
      </c>
      <c r="B3763" t="s">
        <v>11261</v>
      </c>
      <c r="C3763" t="s">
        <v>2102</v>
      </c>
      <c r="D3763" t="s">
        <v>2103</v>
      </c>
      <c r="E3763" s="183">
        <v>26.54</v>
      </c>
    </row>
    <row r="3764" spans="1:5" ht="14.25">
      <c r="A3764">
        <v>11753</v>
      </c>
      <c r="B3764" t="s">
        <v>11262</v>
      </c>
      <c r="C3764" t="s">
        <v>2102</v>
      </c>
      <c r="D3764" t="s">
        <v>2103</v>
      </c>
      <c r="E3764" s="183">
        <v>31.69</v>
      </c>
    </row>
    <row r="3765" spans="1:5" ht="14.25">
      <c r="A3765">
        <v>6021</v>
      </c>
      <c r="B3765" t="s">
        <v>11263</v>
      </c>
      <c r="C3765" t="s">
        <v>2102</v>
      </c>
      <c r="D3765" t="s">
        <v>2103</v>
      </c>
      <c r="E3765" s="183">
        <v>87.95</v>
      </c>
    </row>
    <row r="3766" spans="1:5" ht="14.25">
      <c r="A3766">
        <v>6024</v>
      </c>
      <c r="B3766" t="s">
        <v>11264</v>
      </c>
      <c r="C3766" t="s">
        <v>2102</v>
      </c>
      <c r="D3766" t="s">
        <v>2103</v>
      </c>
      <c r="E3766" s="183">
        <v>90.91</v>
      </c>
    </row>
    <row r="3767" spans="1:5" ht="14.25">
      <c r="A3767">
        <v>38379</v>
      </c>
      <c r="B3767" t="s">
        <v>11265</v>
      </c>
      <c r="C3767" t="s">
        <v>2109</v>
      </c>
      <c r="D3767" t="s">
        <v>2103</v>
      </c>
      <c r="E3767" s="183">
        <v>61.44</v>
      </c>
    </row>
    <row r="3768" spans="1:5" ht="14.25">
      <c r="A3768">
        <v>13897</v>
      </c>
      <c r="B3768" t="s">
        <v>11266</v>
      </c>
      <c r="C3768" t="s">
        <v>2102</v>
      </c>
      <c r="D3768" t="s">
        <v>2105</v>
      </c>
      <c r="E3768" s="184">
        <v>6173.11</v>
      </c>
    </row>
    <row r="3769" spans="1:5" ht="14.25">
      <c r="A3769">
        <v>10640</v>
      </c>
      <c r="B3769" t="s">
        <v>11267</v>
      </c>
      <c r="C3769" t="s">
        <v>2102</v>
      </c>
      <c r="D3769" t="s">
        <v>2105</v>
      </c>
      <c r="E3769" s="184">
        <v>13369.66</v>
      </c>
    </row>
    <row r="3770" spans="1:5" ht="14.25">
      <c r="A3770">
        <v>34357</v>
      </c>
      <c r="B3770" t="s">
        <v>11268</v>
      </c>
      <c r="C3770" t="s">
        <v>2110</v>
      </c>
      <c r="D3770" t="s">
        <v>2103</v>
      </c>
      <c r="E3770" s="183">
        <v>4.16</v>
      </c>
    </row>
    <row r="3771" spans="1:5" ht="14.25">
      <c r="A3771">
        <v>37329</v>
      </c>
      <c r="B3771" t="s">
        <v>11269</v>
      </c>
      <c r="C3771" t="s">
        <v>2110</v>
      </c>
      <c r="D3771" t="s">
        <v>2103</v>
      </c>
      <c r="E3771" s="183">
        <v>87.8</v>
      </c>
    </row>
    <row r="3772" spans="1:5" ht="14.25">
      <c r="A3772">
        <v>2510</v>
      </c>
      <c r="B3772" t="s">
        <v>11270</v>
      </c>
      <c r="C3772" t="s">
        <v>2102</v>
      </c>
      <c r="D3772" t="s">
        <v>2105</v>
      </c>
      <c r="E3772" s="183">
        <v>40.98</v>
      </c>
    </row>
    <row r="3773" spans="1:5" ht="14.25">
      <c r="A3773">
        <v>12359</v>
      </c>
      <c r="B3773" t="s">
        <v>11271</v>
      </c>
      <c r="C3773" t="s">
        <v>2102</v>
      </c>
      <c r="D3773" t="s">
        <v>2103</v>
      </c>
      <c r="E3773" s="183">
        <v>118.13</v>
      </c>
    </row>
    <row r="3774" spans="1:5" ht="14.25">
      <c r="A3774">
        <v>7353</v>
      </c>
      <c r="B3774" t="s">
        <v>13681</v>
      </c>
      <c r="C3774" t="s">
        <v>2117</v>
      </c>
      <c r="D3774" t="s">
        <v>2103</v>
      </c>
      <c r="E3774" s="183">
        <v>31.06</v>
      </c>
    </row>
    <row r="3775" spans="1:5" ht="14.25">
      <c r="A3775">
        <v>36144</v>
      </c>
      <c r="B3775" t="s">
        <v>11272</v>
      </c>
      <c r="C3775" t="s">
        <v>2102</v>
      </c>
      <c r="D3775" t="s">
        <v>2103</v>
      </c>
      <c r="E3775" s="183">
        <v>1.69</v>
      </c>
    </row>
    <row r="3776" spans="1:5" ht="14.25">
      <c r="A3776">
        <v>10518</v>
      </c>
      <c r="B3776" t="s">
        <v>11273</v>
      </c>
      <c r="C3776" t="s">
        <v>2102</v>
      </c>
      <c r="D3776" t="s">
        <v>2105</v>
      </c>
      <c r="E3776" s="183">
        <v>116.96</v>
      </c>
    </row>
    <row r="3777" spans="1:5" ht="14.25">
      <c r="A3777">
        <v>36530</v>
      </c>
      <c r="B3777" t="s">
        <v>11274</v>
      </c>
      <c r="C3777" t="s">
        <v>2102</v>
      </c>
      <c r="D3777" t="s">
        <v>2103</v>
      </c>
      <c r="E3777" s="184">
        <v>428707.3</v>
      </c>
    </row>
    <row r="3778" spans="1:5" ht="14.25">
      <c r="A3778">
        <v>6046</v>
      </c>
      <c r="B3778" t="s">
        <v>11275</v>
      </c>
      <c r="C3778" t="s">
        <v>2102</v>
      </c>
      <c r="D3778" t="s">
        <v>2107</v>
      </c>
      <c r="E3778" s="184">
        <v>465000</v>
      </c>
    </row>
    <row r="3779" spans="1:5" ht="14.25">
      <c r="A3779">
        <v>36531</v>
      </c>
      <c r="B3779" t="s">
        <v>11276</v>
      </c>
      <c r="C3779" t="s">
        <v>2102</v>
      </c>
      <c r="D3779" t="s">
        <v>2103</v>
      </c>
      <c r="E3779" s="184">
        <v>482012.15999999997</v>
      </c>
    </row>
    <row r="3780" spans="1:5" ht="14.25">
      <c r="A3780">
        <v>34684</v>
      </c>
      <c r="B3780" t="s">
        <v>11277</v>
      </c>
      <c r="C3780" t="s">
        <v>2104</v>
      </c>
      <c r="D3780" t="s">
        <v>2105</v>
      </c>
      <c r="E3780" s="183">
        <v>256.62</v>
      </c>
    </row>
    <row r="3781" spans="1:5" ht="14.25">
      <c r="A3781">
        <v>34683</v>
      </c>
      <c r="B3781" t="s">
        <v>11278</v>
      </c>
      <c r="C3781" t="s">
        <v>2104</v>
      </c>
      <c r="D3781" t="s">
        <v>2105</v>
      </c>
      <c r="E3781" s="183">
        <v>160.38999999999999</v>
      </c>
    </row>
    <row r="3782" spans="1:5" ht="14.25">
      <c r="A3782">
        <v>533</v>
      </c>
      <c r="B3782" t="s">
        <v>11279</v>
      </c>
      <c r="C3782" t="s">
        <v>2104</v>
      </c>
      <c r="D3782" t="s">
        <v>2103</v>
      </c>
      <c r="E3782" s="183">
        <v>27.59</v>
      </c>
    </row>
    <row r="3783" spans="1:5" ht="14.25">
      <c r="A3783">
        <v>10515</v>
      </c>
      <c r="B3783" t="s">
        <v>11280</v>
      </c>
      <c r="C3783" t="s">
        <v>2104</v>
      </c>
      <c r="D3783" t="s">
        <v>2103</v>
      </c>
      <c r="E3783" s="183">
        <v>52.04</v>
      </c>
    </row>
    <row r="3784" spans="1:5" ht="14.25">
      <c r="A3784">
        <v>536</v>
      </c>
      <c r="B3784" t="s">
        <v>11281</v>
      </c>
      <c r="C3784" t="s">
        <v>2104</v>
      </c>
      <c r="D3784" t="s">
        <v>2107</v>
      </c>
      <c r="E3784" s="183">
        <v>37.65</v>
      </c>
    </row>
    <row r="3785" spans="1:5" ht="14.25">
      <c r="A3785">
        <v>153</v>
      </c>
      <c r="B3785" t="s">
        <v>11282</v>
      </c>
      <c r="C3785" t="s">
        <v>2117</v>
      </c>
      <c r="D3785" t="s">
        <v>2103</v>
      </c>
      <c r="E3785" s="183">
        <v>87.13</v>
      </c>
    </row>
    <row r="3786" spans="1:5" ht="14.25">
      <c r="A3786">
        <v>34682</v>
      </c>
      <c r="B3786" t="s">
        <v>11283</v>
      </c>
      <c r="C3786" t="s">
        <v>2104</v>
      </c>
      <c r="D3786" t="s">
        <v>2105</v>
      </c>
      <c r="E3786" s="183">
        <v>122.65</v>
      </c>
    </row>
    <row r="3787" spans="1:5" ht="14.25">
      <c r="A3787">
        <v>20205</v>
      </c>
      <c r="B3787" t="s">
        <v>18591</v>
      </c>
      <c r="C3787" t="s">
        <v>2109</v>
      </c>
      <c r="D3787" t="s">
        <v>2103</v>
      </c>
      <c r="E3787" s="183">
        <v>3.35</v>
      </c>
    </row>
    <row r="3788" spans="1:5" ht="14.25">
      <c r="A3788">
        <v>4412</v>
      </c>
      <c r="B3788" t="s">
        <v>18592</v>
      </c>
      <c r="C3788" t="s">
        <v>2109</v>
      </c>
      <c r="D3788" t="s">
        <v>2103</v>
      </c>
      <c r="E3788" s="183">
        <v>2</v>
      </c>
    </row>
    <row r="3789" spans="1:5" ht="14.25">
      <c r="A3789">
        <v>4408</v>
      </c>
      <c r="B3789" t="s">
        <v>18593</v>
      </c>
      <c r="C3789" t="s">
        <v>2109</v>
      </c>
      <c r="D3789" t="s">
        <v>2103</v>
      </c>
      <c r="E3789" s="183">
        <v>2.5</v>
      </c>
    </row>
    <row r="3790" spans="1:5" ht="14.25">
      <c r="A3790">
        <v>36250</v>
      </c>
      <c r="B3790" t="s">
        <v>11284</v>
      </c>
      <c r="C3790" t="s">
        <v>2109</v>
      </c>
      <c r="D3790" t="s">
        <v>2103</v>
      </c>
      <c r="E3790" s="183">
        <v>4</v>
      </c>
    </row>
    <row r="3791" spans="1:5" ht="14.25">
      <c r="A3791">
        <v>10857</v>
      </c>
      <c r="B3791" t="s">
        <v>11285</v>
      </c>
      <c r="C3791" t="s">
        <v>2109</v>
      </c>
      <c r="D3791" t="s">
        <v>2105</v>
      </c>
      <c r="E3791" s="183">
        <v>13.53</v>
      </c>
    </row>
    <row r="3792" spans="1:5" ht="14.25">
      <c r="A3792">
        <v>4803</v>
      </c>
      <c r="B3792" t="s">
        <v>11286</v>
      </c>
      <c r="C3792" t="s">
        <v>2109</v>
      </c>
      <c r="D3792" t="s">
        <v>2103</v>
      </c>
      <c r="E3792" s="183">
        <v>32.020000000000003</v>
      </c>
    </row>
    <row r="3793" spans="1:5" ht="14.25">
      <c r="A3793">
        <v>6186</v>
      </c>
      <c r="B3793" t="s">
        <v>11287</v>
      </c>
      <c r="C3793" t="s">
        <v>2109</v>
      </c>
      <c r="D3793" t="s">
        <v>2103</v>
      </c>
      <c r="E3793" s="183">
        <v>14.72</v>
      </c>
    </row>
    <row r="3794" spans="1:5" ht="14.25">
      <c r="A3794">
        <v>4829</v>
      </c>
      <c r="B3794" t="s">
        <v>11288</v>
      </c>
      <c r="C3794" t="s">
        <v>2109</v>
      </c>
      <c r="D3794" t="s">
        <v>2103</v>
      </c>
      <c r="E3794" s="183">
        <v>22.97</v>
      </c>
    </row>
    <row r="3795" spans="1:5" ht="14.25">
      <c r="A3795">
        <v>39829</v>
      </c>
      <c r="B3795" t="s">
        <v>11289</v>
      </c>
      <c r="C3795" t="s">
        <v>2109</v>
      </c>
      <c r="D3795" t="s">
        <v>2105</v>
      </c>
      <c r="E3795" s="183">
        <v>33.6</v>
      </c>
    </row>
    <row r="3796" spans="1:5" ht="14.25">
      <c r="A3796">
        <v>20231</v>
      </c>
      <c r="B3796" t="s">
        <v>11290</v>
      </c>
      <c r="C3796" t="s">
        <v>2109</v>
      </c>
      <c r="D3796" t="s">
        <v>2103</v>
      </c>
      <c r="E3796" s="183">
        <v>35.35</v>
      </c>
    </row>
    <row r="3797" spans="1:5" ht="14.25">
      <c r="A3797">
        <v>4804</v>
      </c>
      <c r="B3797" t="s">
        <v>11291</v>
      </c>
      <c r="C3797" t="s">
        <v>2109</v>
      </c>
      <c r="D3797" t="s">
        <v>2103</v>
      </c>
      <c r="E3797" s="183">
        <v>24.58</v>
      </c>
    </row>
    <row r="3798" spans="1:5" ht="14.25">
      <c r="A3798">
        <v>34680</v>
      </c>
      <c r="B3798" t="s">
        <v>11292</v>
      </c>
      <c r="C3798" t="s">
        <v>2109</v>
      </c>
      <c r="D3798" t="s">
        <v>2105</v>
      </c>
      <c r="E3798" s="183">
        <v>37.729999999999997</v>
      </c>
    </row>
    <row r="3799" spans="1:5" ht="14.25">
      <c r="A3799">
        <v>11573</v>
      </c>
      <c r="B3799" t="s">
        <v>11293</v>
      </c>
      <c r="C3799" t="s">
        <v>2102</v>
      </c>
      <c r="D3799" t="s">
        <v>2103</v>
      </c>
      <c r="E3799" s="183">
        <v>5.66</v>
      </c>
    </row>
    <row r="3800" spans="1:5" ht="14.25">
      <c r="A3800">
        <v>38401</v>
      </c>
      <c r="B3800" t="s">
        <v>11294</v>
      </c>
      <c r="C3800" t="s">
        <v>2102</v>
      </c>
      <c r="D3800" t="s">
        <v>2103</v>
      </c>
      <c r="E3800" s="183">
        <v>14.23</v>
      </c>
    </row>
    <row r="3801" spans="1:5" ht="14.25">
      <c r="A3801">
        <v>11575</v>
      </c>
      <c r="B3801" t="s">
        <v>11295</v>
      </c>
      <c r="C3801" t="s">
        <v>2102</v>
      </c>
      <c r="D3801" t="s">
        <v>2103</v>
      </c>
      <c r="E3801" s="183">
        <v>54.56</v>
      </c>
    </row>
    <row r="3802" spans="1:5" ht="14.25">
      <c r="A3802">
        <v>38179</v>
      </c>
      <c r="B3802" t="s">
        <v>11296</v>
      </c>
      <c r="C3802" t="s">
        <v>2102</v>
      </c>
      <c r="D3802" t="s">
        <v>2103</v>
      </c>
      <c r="E3802" s="183">
        <v>45.11</v>
      </c>
    </row>
    <row r="3803" spans="1:5" ht="14.25">
      <c r="A3803">
        <v>20256</v>
      </c>
      <c r="B3803" t="s">
        <v>11297</v>
      </c>
      <c r="C3803" t="s">
        <v>2102</v>
      </c>
      <c r="D3803" t="s">
        <v>2103</v>
      </c>
      <c r="E3803" s="183">
        <v>0.35</v>
      </c>
    </row>
    <row r="3804" spans="1:5" ht="14.25">
      <c r="A3804">
        <v>14511</v>
      </c>
      <c r="B3804" t="s">
        <v>11298</v>
      </c>
      <c r="C3804" t="s">
        <v>2102</v>
      </c>
      <c r="D3804" t="s">
        <v>2105</v>
      </c>
      <c r="E3804" s="184">
        <v>997825.41</v>
      </c>
    </row>
    <row r="3805" spans="1:5" ht="14.25">
      <c r="A3805">
        <v>10642</v>
      </c>
      <c r="B3805" t="s">
        <v>11299</v>
      </c>
      <c r="C3805" t="s">
        <v>2102</v>
      </c>
      <c r="D3805" t="s">
        <v>2105</v>
      </c>
      <c r="E3805" s="184">
        <v>940000</v>
      </c>
    </row>
    <row r="3806" spans="1:5" ht="14.25">
      <c r="A3806">
        <v>14489</v>
      </c>
      <c r="B3806" t="s">
        <v>11300</v>
      </c>
      <c r="C3806" t="s">
        <v>2102</v>
      </c>
      <c r="D3806" t="s">
        <v>2105</v>
      </c>
      <c r="E3806" s="184">
        <v>833762.51</v>
      </c>
    </row>
    <row r="3807" spans="1:5" ht="14.25">
      <c r="A3807">
        <v>14513</v>
      </c>
      <c r="B3807" t="s">
        <v>11301</v>
      </c>
      <c r="C3807" t="s">
        <v>2102</v>
      </c>
      <c r="D3807" t="s">
        <v>2105</v>
      </c>
      <c r="E3807" s="184">
        <v>625341.67000000004</v>
      </c>
    </row>
    <row r="3808" spans="1:5" ht="14.25">
      <c r="A3808">
        <v>13600</v>
      </c>
      <c r="B3808" t="s">
        <v>11302</v>
      </c>
      <c r="C3808" t="s">
        <v>2102</v>
      </c>
      <c r="D3808" t="s">
        <v>2105</v>
      </c>
      <c r="E3808" s="184">
        <v>806866.86</v>
      </c>
    </row>
    <row r="3809" spans="1:5" ht="14.25">
      <c r="A3809">
        <v>10646</v>
      </c>
      <c r="B3809" t="s">
        <v>11303</v>
      </c>
      <c r="C3809" t="s">
        <v>2102</v>
      </c>
      <c r="D3809" t="s">
        <v>2105</v>
      </c>
      <c r="E3809" s="184">
        <v>601465.48</v>
      </c>
    </row>
    <row r="3810" spans="1:5" ht="14.25">
      <c r="A3810">
        <v>6070</v>
      </c>
      <c r="B3810" t="s">
        <v>11304</v>
      </c>
      <c r="C3810" t="s">
        <v>2102</v>
      </c>
      <c r="D3810" t="s">
        <v>2105</v>
      </c>
      <c r="E3810" s="184">
        <v>821828.55</v>
      </c>
    </row>
    <row r="3811" spans="1:5" ht="14.25">
      <c r="A3811">
        <v>6069</v>
      </c>
      <c r="B3811" t="s">
        <v>11305</v>
      </c>
      <c r="C3811" t="s">
        <v>2102</v>
      </c>
      <c r="D3811" t="s">
        <v>2105</v>
      </c>
      <c r="E3811" s="184">
        <v>181554.32</v>
      </c>
    </row>
    <row r="3812" spans="1:5" ht="14.25">
      <c r="A3812">
        <v>14626</v>
      </c>
      <c r="B3812" t="s">
        <v>11306</v>
      </c>
      <c r="C3812" t="s">
        <v>2102</v>
      </c>
      <c r="D3812" t="s">
        <v>2105</v>
      </c>
      <c r="E3812" s="184">
        <v>899714.32</v>
      </c>
    </row>
    <row r="3813" spans="1:5" ht="14.25">
      <c r="A3813">
        <v>6067</v>
      </c>
      <c r="B3813" t="s">
        <v>11307</v>
      </c>
      <c r="C3813" t="s">
        <v>2102</v>
      </c>
      <c r="D3813" t="s">
        <v>2105</v>
      </c>
      <c r="E3813" s="184">
        <v>738571.44</v>
      </c>
    </row>
    <row r="3814" spans="1:5" ht="14.25">
      <c r="A3814">
        <v>38393</v>
      </c>
      <c r="B3814" t="s">
        <v>11308</v>
      </c>
      <c r="C3814" t="s">
        <v>2102</v>
      </c>
      <c r="D3814" t="s">
        <v>2107</v>
      </c>
      <c r="E3814" s="183">
        <v>18</v>
      </c>
    </row>
    <row r="3815" spans="1:5" ht="14.25">
      <c r="A3815">
        <v>38390</v>
      </c>
      <c r="B3815" t="s">
        <v>11309</v>
      </c>
      <c r="C3815" t="s">
        <v>2102</v>
      </c>
      <c r="D3815" t="s">
        <v>2103</v>
      </c>
      <c r="E3815" s="183">
        <v>39.92</v>
      </c>
    </row>
    <row r="3816" spans="1:5" ht="14.25">
      <c r="A3816">
        <v>36532</v>
      </c>
      <c r="B3816" t="s">
        <v>11310</v>
      </c>
      <c r="C3816" t="s">
        <v>2102</v>
      </c>
      <c r="D3816" t="s">
        <v>2105</v>
      </c>
      <c r="E3816" s="184">
        <v>26431.48</v>
      </c>
    </row>
    <row r="3817" spans="1:5" ht="14.25">
      <c r="A3817">
        <v>11578</v>
      </c>
      <c r="B3817" t="s">
        <v>11311</v>
      </c>
      <c r="C3817" t="s">
        <v>2102</v>
      </c>
      <c r="D3817" t="s">
        <v>2103</v>
      </c>
      <c r="E3817" s="183">
        <v>11.78</v>
      </c>
    </row>
    <row r="3818" spans="1:5" ht="14.25">
      <c r="A3818">
        <v>11577</v>
      </c>
      <c r="B3818" t="s">
        <v>11312</v>
      </c>
      <c r="C3818" t="s">
        <v>2102</v>
      </c>
      <c r="D3818" t="s">
        <v>2103</v>
      </c>
      <c r="E3818" s="183">
        <v>11.24</v>
      </c>
    </row>
    <row r="3819" spans="1:5" ht="14.25">
      <c r="A3819">
        <v>42432</v>
      </c>
      <c r="B3819" t="s">
        <v>11313</v>
      </c>
      <c r="C3819" t="s">
        <v>2102</v>
      </c>
      <c r="D3819" t="s">
        <v>2105</v>
      </c>
      <c r="E3819" s="184">
        <v>2424.64</v>
      </c>
    </row>
    <row r="3820" spans="1:5" ht="14.25">
      <c r="A3820">
        <v>42437</v>
      </c>
      <c r="B3820" t="s">
        <v>11314</v>
      </c>
      <c r="C3820" t="s">
        <v>2102</v>
      </c>
      <c r="D3820" t="s">
        <v>2105</v>
      </c>
      <c r="E3820" s="184">
        <v>1843.37</v>
      </c>
    </row>
    <row r="3821" spans="1:5" ht="14.25">
      <c r="A3821">
        <v>1116</v>
      </c>
      <c r="B3821" t="s">
        <v>11315</v>
      </c>
      <c r="C3821" t="s">
        <v>2109</v>
      </c>
      <c r="D3821" t="s">
        <v>2103</v>
      </c>
      <c r="E3821" s="183">
        <v>22.77</v>
      </c>
    </row>
    <row r="3822" spans="1:5" ht="14.25">
      <c r="A3822">
        <v>1115</v>
      </c>
      <c r="B3822" t="s">
        <v>11316</v>
      </c>
      <c r="C3822" t="s">
        <v>2109</v>
      </c>
      <c r="D3822" t="s">
        <v>2103</v>
      </c>
      <c r="E3822" s="183">
        <v>27.28</v>
      </c>
    </row>
    <row r="3823" spans="1:5" ht="14.25">
      <c r="A3823">
        <v>1113</v>
      </c>
      <c r="B3823" t="s">
        <v>11317</v>
      </c>
      <c r="C3823" t="s">
        <v>2109</v>
      </c>
      <c r="D3823" t="s">
        <v>2103</v>
      </c>
      <c r="E3823" s="183">
        <v>31.89</v>
      </c>
    </row>
    <row r="3824" spans="1:5" ht="14.25">
      <c r="A3824">
        <v>1114</v>
      </c>
      <c r="B3824" t="s">
        <v>11318</v>
      </c>
      <c r="C3824" t="s">
        <v>2109</v>
      </c>
      <c r="D3824" t="s">
        <v>2103</v>
      </c>
      <c r="E3824" s="183">
        <v>37.99</v>
      </c>
    </row>
    <row r="3825" spans="1:5" ht="14.25">
      <c r="A3825">
        <v>40873</v>
      </c>
      <c r="B3825" t="s">
        <v>11319</v>
      </c>
      <c r="C3825" t="s">
        <v>2109</v>
      </c>
      <c r="D3825" t="s">
        <v>2103</v>
      </c>
      <c r="E3825" s="183">
        <v>29.73</v>
      </c>
    </row>
    <row r="3826" spans="1:5" ht="14.25">
      <c r="A3826">
        <v>20214</v>
      </c>
      <c r="B3826" t="s">
        <v>11320</v>
      </c>
      <c r="C3826" t="s">
        <v>2102</v>
      </c>
      <c r="D3826" t="s">
        <v>2103</v>
      </c>
      <c r="E3826" s="183">
        <v>52.41</v>
      </c>
    </row>
    <row r="3827" spans="1:5" ht="14.25">
      <c r="A3827">
        <v>7237</v>
      </c>
      <c r="B3827" t="s">
        <v>11321</v>
      </c>
      <c r="C3827" t="s">
        <v>2102</v>
      </c>
      <c r="D3827" t="s">
        <v>2103</v>
      </c>
      <c r="E3827" s="183">
        <v>51.31</v>
      </c>
    </row>
    <row r="3828" spans="1:5" ht="14.25">
      <c r="A3828">
        <v>11757</v>
      </c>
      <c r="B3828" t="s">
        <v>11322</v>
      </c>
      <c r="C3828" t="s">
        <v>2102</v>
      </c>
      <c r="D3828" t="s">
        <v>2107</v>
      </c>
      <c r="E3828" s="183">
        <v>32.450000000000003</v>
      </c>
    </row>
    <row r="3829" spans="1:5" ht="14.25">
      <c r="A3829">
        <v>11758</v>
      </c>
      <c r="B3829" t="s">
        <v>11323</v>
      </c>
      <c r="C3829" t="s">
        <v>2102</v>
      </c>
      <c r="D3829" t="s">
        <v>2107</v>
      </c>
      <c r="E3829" s="183">
        <v>68.989999999999995</v>
      </c>
    </row>
    <row r="3830" spans="1:5" ht="14.25">
      <c r="A3830">
        <v>37526</v>
      </c>
      <c r="B3830" t="s">
        <v>11324</v>
      </c>
      <c r="C3830" t="s">
        <v>2102</v>
      </c>
      <c r="D3830" t="s">
        <v>2105</v>
      </c>
      <c r="E3830" s="183">
        <v>5.94</v>
      </c>
    </row>
    <row r="3831" spans="1:5" ht="14.25">
      <c r="A3831">
        <v>6076</v>
      </c>
      <c r="B3831" t="s">
        <v>11325</v>
      </c>
      <c r="C3831" t="s">
        <v>2122</v>
      </c>
      <c r="D3831" t="s">
        <v>2105</v>
      </c>
      <c r="E3831" s="183">
        <v>65</v>
      </c>
    </row>
    <row r="3832" spans="1:5" ht="14.25">
      <c r="A3832">
        <v>13109</v>
      </c>
      <c r="B3832" t="s">
        <v>11326</v>
      </c>
      <c r="C3832" t="s">
        <v>2102</v>
      </c>
      <c r="D3832" t="s">
        <v>2105</v>
      </c>
      <c r="E3832" s="183">
        <v>270.93</v>
      </c>
    </row>
    <row r="3833" spans="1:5" ht="14.25">
      <c r="A3833">
        <v>13110</v>
      </c>
      <c r="B3833" t="s">
        <v>11327</v>
      </c>
      <c r="C3833" t="s">
        <v>2102</v>
      </c>
      <c r="D3833" t="s">
        <v>2105</v>
      </c>
      <c r="E3833" s="183">
        <v>356.56</v>
      </c>
    </row>
    <row r="3834" spans="1:5" ht="14.25">
      <c r="A3834">
        <v>7581</v>
      </c>
      <c r="B3834" t="s">
        <v>11328</v>
      </c>
      <c r="C3834" t="s">
        <v>2102</v>
      </c>
      <c r="D3834" t="s">
        <v>2103</v>
      </c>
      <c r="E3834" s="183">
        <v>4.93</v>
      </c>
    </row>
    <row r="3835" spans="1:5" ht="14.25">
      <c r="A3835">
        <v>4509</v>
      </c>
      <c r="B3835" t="s">
        <v>11329</v>
      </c>
      <c r="C3835" t="s">
        <v>2109</v>
      </c>
      <c r="D3835" t="s">
        <v>2103</v>
      </c>
      <c r="E3835" s="183">
        <v>4.07</v>
      </c>
    </row>
    <row r="3836" spans="1:5" ht="14.25">
      <c r="A3836">
        <v>4512</v>
      </c>
      <c r="B3836" t="s">
        <v>11330</v>
      </c>
      <c r="C3836" t="s">
        <v>2109</v>
      </c>
      <c r="D3836" t="s">
        <v>2103</v>
      </c>
      <c r="E3836" s="183">
        <v>1.94</v>
      </c>
    </row>
    <row r="3837" spans="1:5" ht="14.25">
      <c r="A3837">
        <v>4517</v>
      </c>
      <c r="B3837" t="s">
        <v>11331</v>
      </c>
      <c r="C3837" t="s">
        <v>2109</v>
      </c>
      <c r="D3837" t="s">
        <v>2103</v>
      </c>
      <c r="E3837" s="183">
        <v>2.8</v>
      </c>
    </row>
    <row r="3838" spans="1:5" ht="14.25">
      <c r="A3838">
        <v>20206</v>
      </c>
      <c r="B3838" t="s">
        <v>18594</v>
      </c>
      <c r="C3838" t="s">
        <v>2109</v>
      </c>
      <c r="D3838" t="s">
        <v>2103</v>
      </c>
      <c r="E3838" s="183">
        <v>9.0399999999999991</v>
      </c>
    </row>
    <row r="3839" spans="1:5" ht="14.25">
      <c r="A3839">
        <v>4460</v>
      </c>
      <c r="B3839" t="s">
        <v>18595</v>
      </c>
      <c r="C3839" t="s">
        <v>2109</v>
      </c>
      <c r="D3839" t="s">
        <v>2103</v>
      </c>
      <c r="E3839" s="183">
        <v>9.2799999999999994</v>
      </c>
    </row>
    <row r="3840" spans="1:5" ht="14.25">
      <c r="A3840">
        <v>4415</v>
      </c>
      <c r="B3840" t="s">
        <v>18596</v>
      </c>
      <c r="C3840" t="s">
        <v>2109</v>
      </c>
      <c r="D3840" t="s">
        <v>2103</v>
      </c>
      <c r="E3840" s="183">
        <v>4.97</v>
      </c>
    </row>
    <row r="3841" spans="1:5" ht="14.25">
      <c r="A3841">
        <v>4417</v>
      </c>
      <c r="B3841" t="s">
        <v>18597</v>
      </c>
      <c r="C3841" t="s">
        <v>2109</v>
      </c>
      <c r="D3841" t="s">
        <v>2103</v>
      </c>
      <c r="E3841" s="183">
        <v>7.15</v>
      </c>
    </row>
    <row r="3842" spans="1:5" ht="14.25">
      <c r="A3842">
        <v>37373</v>
      </c>
      <c r="B3842" t="s">
        <v>18598</v>
      </c>
      <c r="C3842" t="s">
        <v>2106</v>
      </c>
      <c r="D3842" t="s">
        <v>2107</v>
      </c>
      <c r="E3842" s="183">
        <v>0.04</v>
      </c>
    </row>
    <row r="3843" spans="1:5" ht="14.25">
      <c r="A3843">
        <v>40864</v>
      </c>
      <c r="B3843" t="s">
        <v>18599</v>
      </c>
      <c r="C3843" t="s">
        <v>2123</v>
      </c>
      <c r="D3843" t="s">
        <v>2107</v>
      </c>
      <c r="E3843" s="183">
        <v>7.31</v>
      </c>
    </row>
    <row r="3844" spans="1:5" ht="14.25">
      <c r="A3844">
        <v>4734</v>
      </c>
      <c r="B3844" t="s">
        <v>11332</v>
      </c>
      <c r="C3844" t="s">
        <v>2122</v>
      </c>
      <c r="D3844" t="s">
        <v>2103</v>
      </c>
      <c r="E3844" s="183">
        <v>459.77</v>
      </c>
    </row>
    <row r="3845" spans="1:5" ht="14.25">
      <c r="A3845">
        <v>6085</v>
      </c>
      <c r="B3845" t="s">
        <v>11333</v>
      </c>
      <c r="C3845" t="s">
        <v>2117</v>
      </c>
      <c r="D3845" t="s">
        <v>2107</v>
      </c>
      <c r="E3845" s="183">
        <v>12.5</v>
      </c>
    </row>
    <row r="3846" spans="1:5" ht="14.25">
      <c r="A3846">
        <v>38396</v>
      </c>
      <c r="B3846" t="s">
        <v>11334</v>
      </c>
      <c r="C3846" t="s">
        <v>2102</v>
      </c>
      <c r="D3846" t="s">
        <v>2103</v>
      </c>
      <c r="E3846" s="183">
        <v>629.85</v>
      </c>
    </row>
    <row r="3847" spans="1:5" ht="14.25">
      <c r="A3847">
        <v>11622</v>
      </c>
      <c r="B3847" t="s">
        <v>11335</v>
      </c>
      <c r="C3847" t="s">
        <v>2110</v>
      </c>
      <c r="D3847" t="s">
        <v>2103</v>
      </c>
      <c r="E3847" s="183">
        <v>65.650000000000006</v>
      </c>
    </row>
    <row r="3848" spans="1:5" ht="14.25">
      <c r="A3848">
        <v>43143</v>
      </c>
      <c r="B3848" t="s">
        <v>11336</v>
      </c>
      <c r="C3848" t="s">
        <v>2117</v>
      </c>
      <c r="D3848" t="s">
        <v>2103</v>
      </c>
      <c r="E3848" s="183">
        <v>24.8</v>
      </c>
    </row>
    <row r="3849" spans="1:5" ht="14.25">
      <c r="A3849">
        <v>7317</v>
      </c>
      <c r="B3849" t="s">
        <v>11337</v>
      </c>
      <c r="C3849" t="s">
        <v>2110</v>
      </c>
      <c r="D3849" t="s">
        <v>2103</v>
      </c>
      <c r="E3849" s="183">
        <v>34.79</v>
      </c>
    </row>
    <row r="3850" spans="1:5" ht="14.25">
      <c r="A3850">
        <v>142</v>
      </c>
      <c r="B3850" t="s">
        <v>11338</v>
      </c>
      <c r="C3850" t="s">
        <v>2274</v>
      </c>
      <c r="D3850" t="s">
        <v>2103</v>
      </c>
      <c r="E3850" s="183">
        <v>30.98</v>
      </c>
    </row>
    <row r="3851" spans="1:5" ht="14.25">
      <c r="A3851">
        <v>43142</v>
      </c>
      <c r="B3851" t="s">
        <v>11339</v>
      </c>
      <c r="C3851" t="s">
        <v>2117</v>
      </c>
      <c r="D3851" t="s">
        <v>2103</v>
      </c>
      <c r="E3851" s="183">
        <v>140.72999999999999</v>
      </c>
    </row>
    <row r="3852" spans="1:5" ht="14.25">
      <c r="A3852">
        <v>38123</v>
      </c>
      <c r="B3852" t="s">
        <v>11340</v>
      </c>
      <c r="C3852" t="s">
        <v>2110</v>
      </c>
      <c r="D3852" t="s">
        <v>2103</v>
      </c>
      <c r="E3852" s="183">
        <v>79.02</v>
      </c>
    </row>
    <row r="3853" spans="1:5" ht="14.25">
      <c r="A3853">
        <v>42699</v>
      </c>
      <c r="B3853" t="s">
        <v>18600</v>
      </c>
      <c r="C3853" t="s">
        <v>2102</v>
      </c>
      <c r="D3853" t="s">
        <v>2103</v>
      </c>
      <c r="E3853" s="183">
        <v>39.729999999999997</v>
      </c>
    </row>
    <row r="3854" spans="1:5" ht="14.25">
      <c r="A3854">
        <v>37743</v>
      </c>
      <c r="B3854" t="s">
        <v>11341</v>
      </c>
      <c r="C3854" t="s">
        <v>2102</v>
      </c>
      <c r="D3854" t="s">
        <v>2103</v>
      </c>
      <c r="E3854" s="184">
        <v>206076.92</v>
      </c>
    </row>
    <row r="3855" spans="1:5" ht="14.25">
      <c r="A3855">
        <v>37744</v>
      </c>
      <c r="B3855" t="s">
        <v>11342</v>
      </c>
      <c r="C3855" t="s">
        <v>2102</v>
      </c>
      <c r="D3855" t="s">
        <v>2103</v>
      </c>
      <c r="E3855" s="184">
        <v>242307.69</v>
      </c>
    </row>
    <row r="3856" spans="1:5" ht="14.25">
      <c r="A3856">
        <v>37741</v>
      </c>
      <c r="B3856" t="s">
        <v>11343</v>
      </c>
      <c r="C3856" t="s">
        <v>2102</v>
      </c>
      <c r="D3856" t="s">
        <v>2103</v>
      </c>
      <c r="E3856" s="184">
        <v>187384.61</v>
      </c>
    </row>
    <row r="3857" spans="1:5" ht="14.25">
      <c r="A3857">
        <v>39396</v>
      </c>
      <c r="B3857" t="s">
        <v>11344</v>
      </c>
      <c r="C3857" t="s">
        <v>2102</v>
      </c>
      <c r="D3857" t="s">
        <v>2105</v>
      </c>
      <c r="E3857" s="183">
        <v>80.25</v>
      </c>
    </row>
    <row r="3858" spans="1:5" ht="14.25">
      <c r="A3858">
        <v>39392</v>
      </c>
      <c r="B3858" t="s">
        <v>11345</v>
      </c>
      <c r="C3858" t="s">
        <v>2102</v>
      </c>
      <c r="D3858" t="s">
        <v>2105</v>
      </c>
      <c r="E3858" s="183">
        <v>90.52</v>
      </c>
    </row>
    <row r="3859" spans="1:5" ht="14.25">
      <c r="A3859">
        <v>39393</v>
      </c>
      <c r="B3859" t="s">
        <v>11346</v>
      </c>
      <c r="C3859" t="s">
        <v>2102</v>
      </c>
      <c r="D3859" t="s">
        <v>2105</v>
      </c>
      <c r="E3859" s="183">
        <v>55.98</v>
      </c>
    </row>
    <row r="3860" spans="1:5" ht="14.25">
      <c r="A3860">
        <v>39394</v>
      </c>
      <c r="B3860" t="s">
        <v>11347</v>
      </c>
      <c r="C3860" t="s">
        <v>2102</v>
      </c>
      <c r="D3860" t="s">
        <v>2105</v>
      </c>
      <c r="E3860" s="183">
        <v>63.01</v>
      </c>
    </row>
    <row r="3861" spans="1:5" ht="14.25">
      <c r="A3861">
        <v>39395</v>
      </c>
      <c r="B3861" t="s">
        <v>11348</v>
      </c>
      <c r="C3861" t="s">
        <v>2102</v>
      </c>
      <c r="D3861" t="s">
        <v>2105</v>
      </c>
      <c r="E3861" s="183">
        <v>58.59</v>
      </c>
    </row>
    <row r="3862" spans="1:5" ht="14.25">
      <c r="A3862">
        <v>14618</v>
      </c>
      <c r="B3862" t="s">
        <v>11349</v>
      </c>
      <c r="C3862" t="s">
        <v>2102</v>
      </c>
      <c r="D3862" t="s">
        <v>2105</v>
      </c>
      <c r="E3862" s="184">
        <v>1345.98</v>
      </c>
    </row>
    <row r="3863" spans="1:5" ht="14.25">
      <c r="A3863">
        <v>40269</v>
      </c>
      <c r="B3863" t="s">
        <v>11350</v>
      </c>
      <c r="C3863" t="s">
        <v>2102</v>
      </c>
      <c r="D3863" t="s">
        <v>2105</v>
      </c>
      <c r="E3863" s="184">
        <v>5422.84</v>
      </c>
    </row>
    <row r="3864" spans="1:5" ht="14.25">
      <c r="A3864">
        <v>6110</v>
      </c>
      <c r="B3864" t="s">
        <v>15290</v>
      </c>
      <c r="C3864" t="s">
        <v>2106</v>
      </c>
      <c r="D3864" t="s">
        <v>2103</v>
      </c>
      <c r="E3864" s="183">
        <v>23.78</v>
      </c>
    </row>
    <row r="3865" spans="1:5" ht="14.25">
      <c r="A3865">
        <v>40910</v>
      </c>
      <c r="B3865" t="s">
        <v>11351</v>
      </c>
      <c r="C3865" t="s">
        <v>2123</v>
      </c>
      <c r="D3865" t="s">
        <v>2103</v>
      </c>
      <c r="E3865" s="184">
        <v>4171.1899999999996</v>
      </c>
    </row>
    <row r="3866" spans="1:5" ht="14.25">
      <c r="A3866">
        <v>6111</v>
      </c>
      <c r="B3866" t="s">
        <v>18601</v>
      </c>
      <c r="C3866" t="s">
        <v>2106</v>
      </c>
      <c r="D3866" t="s">
        <v>2107</v>
      </c>
      <c r="E3866" s="183">
        <v>14.23</v>
      </c>
    </row>
    <row r="3867" spans="1:5" ht="14.25">
      <c r="A3867">
        <v>41084</v>
      </c>
      <c r="B3867" t="s">
        <v>11352</v>
      </c>
      <c r="C3867" t="s">
        <v>2123</v>
      </c>
      <c r="D3867" t="s">
        <v>2103</v>
      </c>
      <c r="E3867" s="184">
        <v>2495.7199999999998</v>
      </c>
    </row>
    <row r="3868" spans="1:5" ht="14.25">
      <c r="A3868">
        <v>44535</v>
      </c>
      <c r="B3868" t="s">
        <v>18602</v>
      </c>
      <c r="C3868" t="s">
        <v>2122</v>
      </c>
      <c r="D3868" t="s">
        <v>2103</v>
      </c>
      <c r="E3868" s="183">
        <v>53.67</v>
      </c>
    </row>
    <row r="3869" spans="1:5" ht="14.25">
      <c r="A3869">
        <v>44945</v>
      </c>
      <c r="B3869" t="s">
        <v>15291</v>
      </c>
      <c r="C3869" t="s">
        <v>2102</v>
      </c>
      <c r="D3869" t="s">
        <v>2107</v>
      </c>
      <c r="E3869" s="183">
        <v>8</v>
      </c>
    </row>
    <row r="3870" spans="1:5" ht="14.25">
      <c r="A3870">
        <v>38637</v>
      </c>
      <c r="B3870" t="s">
        <v>11353</v>
      </c>
      <c r="C3870" t="s">
        <v>2102</v>
      </c>
      <c r="D3870" t="s">
        <v>2103</v>
      </c>
      <c r="E3870" s="183">
        <v>223.96</v>
      </c>
    </row>
    <row r="3871" spans="1:5" ht="14.25">
      <c r="A3871">
        <v>6150</v>
      </c>
      <c r="B3871" t="s">
        <v>11354</v>
      </c>
      <c r="C3871" t="s">
        <v>2102</v>
      </c>
      <c r="D3871" t="s">
        <v>2103</v>
      </c>
      <c r="E3871" s="183">
        <v>226.7</v>
      </c>
    </row>
    <row r="3872" spans="1:5" ht="14.25">
      <c r="A3872">
        <v>6136</v>
      </c>
      <c r="B3872" t="s">
        <v>11355</v>
      </c>
      <c r="C3872" t="s">
        <v>2102</v>
      </c>
      <c r="D3872" t="s">
        <v>2107</v>
      </c>
      <c r="E3872" s="183">
        <v>178.2</v>
      </c>
    </row>
    <row r="3873" spans="1:5" ht="14.25">
      <c r="A3873">
        <v>38638</v>
      </c>
      <c r="B3873" t="s">
        <v>11356</v>
      </c>
      <c r="C3873" t="s">
        <v>2102</v>
      </c>
      <c r="D3873" t="s">
        <v>2103</v>
      </c>
      <c r="E3873" s="183">
        <v>188.72</v>
      </c>
    </row>
    <row r="3874" spans="1:5" ht="14.25">
      <c r="A3874">
        <v>20262</v>
      </c>
      <c r="B3874" t="s">
        <v>11357</v>
      </c>
      <c r="C3874" t="s">
        <v>2102</v>
      </c>
      <c r="D3874" t="s">
        <v>2103</v>
      </c>
      <c r="E3874" s="183">
        <v>14.65</v>
      </c>
    </row>
    <row r="3875" spans="1:5" ht="14.25">
      <c r="A3875">
        <v>6145</v>
      </c>
      <c r="B3875" t="s">
        <v>11358</v>
      </c>
      <c r="C3875" t="s">
        <v>2102</v>
      </c>
      <c r="D3875" t="s">
        <v>2103</v>
      </c>
      <c r="E3875" s="183">
        <v>16.18</v>
      </c>
    </row>
    <row r="3876" spans="1:5" ht="14.25">
      <c r="A3876">
        <v>6149</v>
      </c>
      <c r="B3876" t="s">
        <v>11359</v>
      </c>
      <c r="C3876" t="s">
        <v>2102</v>
      </c>
      <c r="D3876" t="s">
        <v>2103</v>
      </c>
      <c r="E3876" s="183">
        <v>10.7</v>
      </c>
    </row>
    <row r="3877" spans="1:5" ht="14.25">
      <c r="A3877">
        <v>6146</v>
      </c>
      <c r="B3877" t="s">
        <v>11360</v>
      </c>
      <c r="C3877" t="s">
        <v>2102</v>
      </c>
      <c r="D3877" t="s">
        <v>2103</v>
      </c>
      <c r="E3877" s="183">
        <v>15.38</v>
      </c>
    </row>
    <row r="3878" spans="1:5" ht="14.25">
      <c r="A3878">
        <v>44536</v>
      </c>
      <c r="B3878" t="s">
        <v>13682</v>
      </c>
      <c r="C3878" t="s">
        <v>2110</v>
      </c>
      <c r="D3878" t="s">
        <v>2103</v>
      </c>
      <c r="E3878" s="183">
        <v>2.6</v>
      </c>
    </row>
    <row r="3879" spans="1:5" ht="14.25">
      <c r="A3879">
        <v>39961</v>
      </c>
      <c r="B3879" t="s">
        <v>11361</v>
      </c>
      <c r="C3879" t="s">
        <v>2102</v>
      </c>
      <c r="D3879" t="s">
        <v>2103</v>
      </c>
      <c r="E3879" s="183">
        <v>20.47</v>
      </c>
    </row>
    <row r="3880" spans="1:5" ht="14.25">
      <c r="A3880">
        <v>42433</v>
      </c>
      <c r="B3880" t="s">
        <v>11362</v>
      </c>
      <c r="C3880" t="s">
        <v>2102</v>
      </c>
      <c r="D3880" t="s">
        <v>2105</v>
      </c>
      <c r="E3880" s="184">
        <v>4789.18</v>
      </c>
    </row>
    <row r="3881" spans="1:5" ht="14.25">
      <c r="A3881">
        <v>42434</v>
      </c>
      <c r="B3881" t="s">
        <v>11363</v>
      </c>
      <c r="C3881" t="s">
        <v>2102</v>
      </c>
      <c r="D3881" t="s">
        <v>2105</v>
      </c>
      <c r="E3881" s="184">
        <v>5175.3999999999996</v>
      </c>
    </row>
    <row r="3882" spans="1:5" ht="14.25">
      <c r="A3882">
        <v>42435</v>
      </c>
      <c r="B3882" t="s">
        <v>11364</v>
      </c>
      <c r="C3882" t="s">
        <v>2102</v>
      </c>
      <c r="D3882" t="s">
        <v>2105</v>
      </c>
      <c r="E3882" s="184">
        <v>2580.7800000000002</v>
      </c>
    </row>
    <row r="3883" spans="1:5" ht="14.25">
      <c r="A3883">
        <v>38061</v>
      </c>
      <c r="B3883" t="s">
        <v>11365</v>
      </c>
      <c r="C3883" t="s">
        <v>2102</v>
      </c>
      <c r="D3883" t="s">
        <v>2103</v>
      </c>
      <c r="E3883" s="183">
        <v>37.26</v>
      </c>
    </row>
    <row r="3884" spans="1:5" ht="14.25">
      <c r="A3884">
        <v>20250</v>
      </c>
      <c r="B3884" t="s">
        <v>15292</v>
      </c>
      <c r="C3884" t="s">
        <v>2110</v>
      </c>
      <c r="D3884" t="s">
        <v>2105</v>
      </c>
      <c r="E3884" s="183">
        <v>26.75</v>
      </c>
    </row>
    <row r="3885" spans="1:5" ht="14.25">
      <c r="A3885">
        <v>13388</v>
      </c>
      <c r="B3885" t="s">
        <v>11366</v>
      </c>
      <c r="C3885" t="s">
        <v>2110</v>
      </c>
      <c r="D3885" t="s">
        <v>2103</v>
      </c>
      <c r="E3885" s="183">
        <v>143.56</v>
      </c>
    </row>
    <row r="3886" spans="1:5" ht="14.25">
      <c r="A3886">
        <v>39914</v>
      </c>
      <c r="B3886" t="s">
        <v>11367</v>
      </c>
      <c r="C3886" t="s">
        <v>2110</v>
      </c>
      <c r="D3886" t="s">
        <v>2105</v>
      </c>
      <c r="E3886" s="183">
        <v>237.46</v>
      </c>
    </row>
    <row r="3887" spans="1:5" ht="14.25">
      <c r="A3887">
        <v>12732</v>
      </c>
      <c r="B3887" t="s">
        <v>11368</v>
      </c>
      <c r="C3887" t="s">
        <v>2102</v>
      </c>
      <c r="D3887" t="s">
        <v>2105</v>
      </c>
      <c r="E3887" s="183">
        <v>273.99</v>
      </c>
    </row>
    <row r="3888" spans="1:5" ht="14.25">
      <c r="A3888">
        <v>6160</v>
      </c>
      <c r="B3888" t="s">
        <v>15293</v>
      </c>
      <c r="C3888" t="s">
        <v>2106</v>
      </c>
      <c r="D3888" t="s">
        <v>2107</v>
      </c>
      <c r="E3888" s="183">
        <v>22.59</v>
      </c>
    </row>
    <row r="3889" spans="1:5" ht="14.25">
      <c r="A3889">
        <v>41087</v>
      </c>
      <c r="B3889" t="s">
        <v>11369</v>
      </c>
      <c r="C3889" t="s">
        <v>2123</v>
      </c>
      <c r="D3889" t="s">
        <v>2103</v>
      </c>
      <c r="E3889" s="184">
        <v>3960.44</v>
      </c>
    </row>
    <row r="3890" spans="1:5" ht="14.25">
      <c r="A3890">
        <v>6166</v>
      </c>
      <c r="B3890" t="s">
        <v>15294</v>
      </c>
      <c r="C3890" t="s">
        <v>2106</v>
      </c>
      <c r="D3890" t="s">
        <v>2103</v>
      </c>
      <c r="E3890" s="183">
        <v>26.54</v>
      </c>
    </row>
    <row r="3891" spans="1:5" ht="14.25">
      <c r="A3891">
        <v>41088</v>
      </c>
      <c r="B3891" t="s">
        <v>11370</v>
      </c>
      <c r="C3891" t="s">
        <v>2123</v>
      </c>
      <c r="D3891" t="s">
        <v>2103</v>
      </c>
      <c r="E3891" s="184">
        <v>4654.01</v>
      </c>
    </row>
    <row r="3892" spans="1:5" ht="14.25">
      <c r="A3892">
        <v>20232</v>
      </c>
      <c r="B3892" t="s">
        <v>11371</v>
      </c>
      <c r="C3892" t="s">
        <v>2109</v>
      </c>
      <c r="D3892" t="s">
        <v>2103</v>
      </c>
      <c r="E3892" s="183">
        <v>50.03</v>
      </c>
    </row>
    <row r="3893" spans="1:5" ht="14.25">
      <c r="A3893">
        <v>10856</v>
      </c>
      <c r="B3893" t="s">
        <v>11372</v>
      </c>
      <c r="C3893" t="s">
        <v>2109</v>
      </c>
      <c r="D3893" t="s">
        <v>2105</v>
      </c>
      <c r="E3893" s="183">
        <v>103.78</v>
      </c>
    </row>
    <row r="3894" spans="1:5" ht="14.25">
      <c r="A3894">
        <v>4828</v>
      </c>
      <c r="B3894" t="s">
        <v>11373</v>
      </c>
      <c r="C3894" t="s">
        <v>2109</v>
      </c>
      <c r="D3894" t="s">
        <v>2103</v>
      </c>
      <c r="E3894" s="183">
        <v>34.29</v>
      </c>
    </row>
    <row r="3895" spans="1:5" ht="14.25">
      <c r="A3895">
        <v>20249</v>
      </c>
      <c r="B3895" t="s">
        <v>11374</v>
      </c>
      <c r="C3895" t="s">
        <v>2109</v>
      </c>
      <c r="D3895" t="s">
        <v>2103</v>
      </c>
      <c r="E3895" s="183">
        <v>18.78</v>
      </c>
    </row>
    <row r="3896" spans="1:5" ht="14.25">
      <c r="A3896">
        <v>11609</v>
      </c>
      <c r="B3896" t="s">
        <v>11375</v>
      </c>
      <c r="C3896" t="s">
        <v>2117</v>
      </c>
      <c r="D3896" t="s">
        <v>2103</v>
      </c>
      <c r="E3896" s="183">
        <v>10.91</v>
      </c>
    </row>
    <row r="3897" spans="1:5" ht="14.25">
      <c r="A3897">
        <v>20083</v>
      </c>
      <c r="B3897" t="s">
        <v>11376</v>
      </c>
      <c r="C3897" t="s">
        <v>2102</v>
      </c>
      <c r="D3897" t="s">
        <v>2103</v>
      </c>
      <c r="E3897" s="183">
        <v>74.62</v>
      </c>
    </row>
    <row r="3898" spans="1:5" ht="14.25">
      <c r="A3898">
        <v>10691</v>
      </c>
      <c r="B3898" t="s">
        <v>11377</v>
      </c>
      <c r="C3898" t="s">
        <v>2117</v>
      </c>
      <c r="D3898" t="s">
        <v>2103</v>
      </c>
      <c r="E3898" s="183">
        <v>65.12</v>
      </c>
    </row>
    <row r="3899" spans="1:5" ht="14.25">
      <c r="A3899">
        <v>12295</v>
      </c>
      <c r="B3899" t="s">
        <v>11378</v>
      </c>
      <c r="C3899" t="s">
        <v>2102</v>
      </c>
      <c r="D3899" t="s">
        <v>2103</v>
      </c>
      <c r="E3899" s="183">
        <v>2.95</v>
      </c>
    </row>
    <row r="3900" spans="1:5" ht="14.25">
      <c r="A3900">
        <v>12296</v>
      </c>
      <c r="B3900" t="s">
        <v>11379</v>
      </c>
      <c r="C3900" t="s">
        <v>2102</v>
      </c>
      <c r="D3900" t="s">
        <v>2103</v>
      </c>
      <c r="E3900" s="183">
        <v>3.82</v>
      </c>
    </row>
    <row r="3901" spans="1:5" ht="14.25">
      <c r="A3901">
        <v>12294</v>
      </c>
      <c r="B3901" t="s">
        <v>11380</v>
      </c>
      <c r="C3901" t="s">
        <v>2102</v>
      </c>
      <c r="D3901" t="s">
        <v>2103</v>
      </c>
      <c r="E3901" s="183">
        <v>9.19</v>
      </c>
    </row>
    <row r="3902" spans="1:5" ht="14.25">
      <c r="A3902">
        <v>14543</v>
      </c>
      <c r="B3902" t="s">
        <v>11381</v>
      </c>
      <c r="C3902" t="s">
        <v>2102</v>
      </c>
      <c r="D3902" t="s">
        <v>2103</v>
      </c>
      <c r="E3902" s="183">
        <v>6.56</v>
      </c>
    </row>
    <row r="3903" spans="1:5" ht="14.25">
      <c r="A3903">
        <v>13329</v>
      </c>
      <c r="B3903" t="s">
        <v>11382</v>
      </c>
      <c r="C3903" t="s">
        <v>2102</v>
      </c>
      <c r="D3903" t="s">
        <v>2107</v>
      </c>
      <c r="E3903" s="183">
        <v>3.85</v>
      </c>
    </row>
    <row r="3904" spans="1:5" ht="14.25">
      <c r="A3904">
        <v>21047</v>
      </c>
      <c r="B3904" t="s">
        <v>18603</v>
      </c>
      <c r="C3904" t="s">
        <v>2102</v>
      </c>
      <c r="D3904" t="s">
        <v>2103</v>
      </c>
      <c r="E3904" s="183">
        <v>60.26</v>
      </c>
    </row>
    <row r="3905" spans="1:5" ht="14.25">
      <c r="A3905">
        <v>21042</v>
      </c>
      <c r="B3905" t="s">
        <v>18604</v>
      </c>
      <c r="C3905" t="s">
        <v>2102</v>
      </c>
      <c r="D3905" t="s">
        <v>2103</v>
      </c>
      <c r="E3905" s="183">
        <v>46.45</v>
      </c>
    </row>
    <row r="3906" spans="1:5" ht="14.25">
      <c r="A3906">
        <v>21043</v>
      </c>
      <c r="B3906" t="s">
        <v>18605</v>
      </c>
      <c r="C3906" t="s">
        <v>2102</v>
      </c>
      <c r="D3906" t="s">
        <v>2103</v>
      </c>
      <c r="E3906" s="183">
        <v>58.67</v>
      </c>
    </row>
    <row r="3907" spans="1:5" ht="14.25">
      <c r="A3907">
        <v>21044</v>
      </c>
      <c r="B3907" t="s">
        <v>18606</v>
      </c>
      <c r="C3907" t="s">
        <v>2102</v>
      </c>
      <c r="D3907" t="s">
        <v>2103</v>
      </c>
      <c r="E3907" s="183">
        <v>40.880000000000003</v>
      </c>
    </row>
    <row r="3908" spans="1:5" ht="14.25">
      <c r="A3908">
        <v>21045</v>
      </c>
      <c r="B3908" t="s">
        <v>18607</v>
      </c>
      <c r="C3908" t="s">
        <v>2102</v>
      </c>
      <c r="D3908" t="s">
        <v>2103</v>
      </c>
      <c r="E3908" s="183">
        <v>55.99</v>
      </c>
    </row>
    <row r="3909" spans="1:5" ht="14.25">
      <c r="A3909">
        <v>21041</v>
      </c>
      <c r="B3909" t="s">
        <v>18608</v>
      </c>
      <c r="C3909" t="s">
        <v>2102</v>
      </c>
      <c r="D3909" t="s">
        <v>2103</v>
      </c>
      <c r="E3909" s="183">
        <v>48.28</v>
      </c>
    </row>
    <row r="3910" spans="1:5" ht="14.25">
      <c r="A3910">
        <v>21040</v>
      </c>
      <c r="B3910" t="s">
        <v>18609</v>
      </c>
      <c r="C3910" t="s">
        <v>2102</v>
      </c>
      <c r="D3910" t="s">
        <v>2107</v>
      </c>
      <c r="E3910" s="183">
        <v>40</v>
      </c>
    </row>
    <row r="3911" spans="1:5" ht="14.25">
      <c r="A3911">
        <v>14149</v>
      </c>
      <c r="B3911" t="s">
        <v>11383</v>
      </c>
      <c r="C3911" t="s">
        <v>2218</v>
      </c>
      <c r="D3911" t="s">
        <v>2105</v>
      </c>
      <c r="E3911" s="183">
        <v>190.4</v>
      </c>
    </row>
    <row r="3912" spans="1:5" ht="14.25">
      <c r="A3912">
        <v>38099</v>
      </c>
      <c r="B3912" t="s">
        <v>11384</v>
      </c>
      <c r="C3912" t="s">
        <v>2102</v>
      </c>
      <c r="D3912" t="s">
        <v>2103</v>
      </c>
      <c r="E3912" s="183">
        <v>1.74</v>
      </c>
    </row>
    <row r="3913" spans="1:5" ht="14.25">
      <c r="A3913">
        <v>38100</v>
      </c>
      <c r="B3913" t="s">
        <v>11385</v>
      </c>
      <c r="C3913" t="s">
        <v>2102</v>
      </c>
      <c r="D3913" t="s">
        <v>2103</v>
      </c>
      <c r="E3913" s="183">
        <v>2.86</v>
      </c>
    </row>
    <row r="3914" spans="1:5" ht="14.25">
      <c r="A3914">
        <v>7576</v>
      </c>
      <c r="B3914" t="s">
        <v>11386</v>
      </c>
      <c r="C3914" t="s">
        <v>2102</v>
      </c>
      <c r="D3914" t="s">
        <v>2103</v>
      </c>
      <c r="E3914" s="183">
        <v>202.53</v>
      </c>
    </row>
    <row r="3915" spans="1:5" ht="14.25">
      <c r="A3915">
        <v>3384</v>
      </c>
      <c r="B3915" t="s">
        <v>11387</v>
      </c>
      <c r="C3915" t="s">
        <v>2102</v>
      </c>
      <c r="D3915" t="s">
        <v>2103</v>
      </c>
      <c r="E3915" s="183">
        <v>7.99</v>
      </c>
    </row>
    <row r="3916" spans="1:5" ht="14.25">
      <c r="A3916">
        <v>7572</v>
      </c>
      <c r="B3916" t="s">
        <v>11388</v>
      </c>
      <c r="C3916" t="s">
        <v>2102</v>
      </c>
      <c r="D3916" t="s">
        <v>2103</v>
      </c>
      <c r="E3916" s="183">
        <v>6.09</v>
      </c>
    </row>
    <row r="3917" spans="1:5" ht="14.25">
      <c r="A3917">
        <v>3396</v>
      </c>
      <c r="B3917" t="s">
        <v>11389</v>
      </c>
      <c r="C3917" t="s">
        <v>2102</v>
      </c>
      <c r="D3917" t="s">
        <v>2103</v>
      </c>
      <c r="E3917" s="183">
        <v>4.12</v>
      </c>
    </row>
    <row r="3918" spans="1:5" ht="14.25">
      <c r="A3918">
        <v>37590</v>
      </c>
      <c r="B3918" t="s">
        <v>11390</v>
      </c>
      <c r="C3918" t="s">
        <v>2102</v>
      </c>
      <c r="D3918" t="s">
        <v>2105</v>
      </c>
      <c r="E3918" s="183">
        <v>15.46</v>
      </c>
    </row>
    <row r="3919" spans="1:5" ht="14.25">
      <c r="A3919">
        <v>37591</v>
      </c>
      <c r="B3919" t="s">
        <v>11391</v>
      </c>
      <c r="C3919" t="s">
        <v>2102</v>
      </c>
      <c r="D3919" t="s">
        <v>2105</v>
      </c>
      <c r="E3919" s="183">
        <v>18.579999999999998</v>
      </c>
    </row>
    <row r="3920" spans="1:5" ht="14.25">
      <c r="A3920">
        <v>12626</v>
      </c>
      <c r="B3920" t="s">
        <v>18610</v>
      </c>
      <c r="C3920" t="s">
        <v>2102</v>
      </c>
      <c r="D3920" t="s">
        <v>2103</v>
      </c>
      <c r="E3920" s="183">
        <v>50.26</v>
      </c>
    </row>
    <row r="3921" spans="1:5" ht="14.25">
      <c r="A3921">
        <v>11033</v>
      </c>
      <c r="B3921" t="s">
        <v>11392</v>
      </c>
      <c r="C3921" t="s">
        <v>2102</v>
      </c>
      <c r="D3921" t="s">
        <v>2103</v>
      </c>
      <c r="E3921" s="183">
        <v>8.9499999999999993</v>
      </c>
    </row>
    <row r="3922" spans="1:5" ht="14.25">
      <c r="A3922">
        <v>390</v>
      </c>
      <c r="B3922" t="s">
        <v>11393</v>
      </c>
      <c r="C3922" t="s">
        <v>2102</v>
      </c>
      <c r="D3922" t="s">
        <v>2103</v>
      </c>
      <c r="E3922" s="183">
        <v>7.45</v>
      </c>
    </row>
    <row r="3923" spans="1:5" ht="14.25">
      <c r="A3923">
        <v>42436</v>
      </c>
      <c r="B3923" t="s">
        <v>11394</v>
      </c>
      <c r="C3923" t="s">
        <v>2102</v>
      </c>
      <c r="D3923" t="s">
        <v>2105</v>
      </c>
      <c r="E3923" s="184">
        <v>2701.34</v>
      </c>
    </row>
    <row r="3924" spans="1:5" ht="14.25">
      <c r="A3924">
        <v>6194</v>
      </c>
      <c r="B3924" t="s">
        <v>11395</v>
      </c>
      <c r="C3924" t="s">
        <v>2109</v>
      </c>
      <c r="D3924" t="s">
        <v>2103</v>
      </c>
      <c r="E3924" s="183">
        <v>5.72</v>
      </c>
    </row>
    <row r="3925" spans="1:5" ht="14.25">
      <c r="A3925">
        <v>10567</v>
      </c>
      <c r="B3925" t="s">
        <v>11396</v>
      </c>
      <c r="C3925" t="s">
        <v>2109</v>
      </c>
      <c r="D3925" t="s">
        <v>2103</v>
      </c>
      <c r="E3925" s="183">
        <v>9.06</v>
      </c>
    </row>
    <row r="3926" spans="1:5" ht="14.25">
      <c r="A3926">
        <v>6212</v>
      </c>
      <c r="B3926" t="s">
        <v>11397</v>
      </c>
      <c r="C3926" t="s">
        <v>2109</v>
      </c>
      <c r="D3926" t="s">
        <v>2107</v>
      </c>
      <c r="E3926" s="183">
        <v>13.3</v>
      </c>
    </row>
    <row r="3927" spans="1:5" ht="14.25">
      <c r="A3927">
        <v>3993</v>
      </c>
      <c r="B3927" t="s">
        <v>18611</v>
      </c>
      <c r="C3927" t="s">
        <v>2104</v>
      </c>
      <c r="D3927" t="s">
        <v>2103</v>
      </c>
      <c r="E3927" s="183">
        <v>120.11</v>
      </c>
    </row>
    <row r="3928" spans="1:5" ht="14.25">
      <c r="A3928">
        <v>3990</v>
      </c>
      <c r="B3928" t="s">
        <v>18612</v>
      </c>
      <c r="C3928" t="s">
        <v>2109</v>
      </c>
      <c r="D3928" t="s">
        <v>2103</v>
      </c>
      <c r="E3928" s="183">
        <v>22.6</v>
      </c>
    </row>
    <row r="3929" spans="1:5" ht="14.25">
      <c r="A3929">
        <v>3992</v>
      </c>
      <c r="B3929" t="s">
        <v>18613</v>
      </c>
      <c r="C3929" t="s">
        <v>2109</v>
      </c>
      <c r="D3929" t="s">
        <v>2103</v>
      </c>
      <c r="E3929" s="183">
        <v>30.51</v>
      </c>
    </row>
    <row r="3930" spans="1:5" ht="14.25">
      <c r="A3930">
        <v>6178</v>
      </c>
      <c r="B3930" t="s">
        <v>11398</v>
      </c>
      <c r="C3930" t="s">
        <v>2104</v>
      </c>
      <c r="D3930" t="s">
        <v>2103</v>
      </c>
      <c r="E3930" s="183">
        <v>245.54</v>
      </c>
    </row>
    <row r="3931" spans="1:5" ht="14.25">
      <c r="A3931">
        <v>6180</v>
      </c>
      <c r="B3931" t="s">
        <v>11399</v>
      </c>
      <c r="C3931" t="s">
        <v>2104</v>
      </c>
      <c r="D3931" t="s">
        <v>2107</v>
      </c>
      <c r="E3931" s="183">
        <v>265</v>
      </c>
    </row>
    <row r="3932" spans="1:5" ht="14.25">
      <c r="A3932">
        <v>6182</v>
      </c>
      <c r="B3932" t="s">
        <v>11400</v>
      </c>
      <c r="C3932" t="s">
        <v>2104</v>
      </c>
      <c r="D3932" t="s">
        <v>2103</v>
      </c>
      <c r="E3932" s="183">
        <v>328.93</v>
      </c>
    </row>
    <row r="3933" spans="1:5" ht="14.25">
      <c r="A3933">
        <v>43614</v>
      </c>
      <c r="B3933" t="s">
        <v>18614</v>
      </c>
      <c r="C3933" t="s">
        <v>2109</v>
      </c>
      <c r="D3933" t="s">
        <v>2103</v>
      </c>
      <c r="E3933" s="183">
        <v>15.26</v>
      </c>
    </row>
    <row r="3934" spans="1:5" ht="14.25">
      <c r="A3934">
        <v>6193</v>
      </c>
      <c r="B3934" t="s">
        <v>18615</v>
      </c>
      <c r="C3934" t="s">
        <v>2109</v>
      </c>
      <c r="D3934" t="s">
        <v>2103</v>
      </c>
      <c r="E3934" s="183">
        <v>18.579999999999998</v>
      </c>
    </row>
    <row r="3935" spans="1:5" ht="14.25">
      <c r="A3935">
        <v>6189</v>
      </c>
      <c r="B3935" t="s">
        <v>18616</v>
      </c>
      <c r="C3935" t="s">
        <v>2109</v>
      </c>
      <c r="D3935" t="s">
        <v>2103</v>
      </c>
      <c r="E3935" s="183">
        <v>27.12</v>
      </c>
    </row>
    <row r="3936" spans="1:5" ht="14.25">
      <c r="A3936">
        <v>6214</v>
      </c>
      <c r="B3936" t="s">
        <v>11401</v>
      </c>
      <c r="C3936" t="s">
        <v>2104</v>
      </c>
      <c r="D3936" t="s">
        <v>2103</v>
      </c>
      <c r="E3936" s="183">
        <v>153.81</v>
      </c>
    </row>
    <row r="3937" spans="1:5" ht="14.25">
      <c r="A3937">
        <v>36153</v>
      </c>
      <c r="B3937" t="s">
        <v>11402</v>
      </c>
      <c r="C3937" t="s">
        <v>2102</v>
      </c>
      <c r="D3937" t="s">
        <v>2103</v>
      </c>
      <c r="E3937" s="183">
        <v>202.49</v>
      </c>
    </row>
    <row r="3938" spans="1:5" ht="14.25">
      <c r="A3938">
        <v>10740</v>
      </c>
      <c r="B3938" t="s">
        <v>11403</v>
      </c>
      <c r="C3938" t="s">
        <v>2102</v>
      </c>
      <c r="D3938" t="s">
        <v>2105</v>
      </c>
      <c r="E3938" s="184">
        <v>10461.11</v>
      </c>
    </row>
    <row r="3939" spans="1:5" ht="14.25">
      <c r="A3939">
        <v>13914</v>
      </c>
      <c r="B3939" t="s">
        <v>11404</v>
      </c>
      <c r="C3939" t="s">
        <v>2102</v>
      </c>
      <c r="D3939" t="s">
        <v>2105</v>
      </c>
      <c r="E3939" s="183">
        <v>756.9</v>
      </c>
    </row>
    <row r="3940" spans="1:5" ht="14.25">
      <c r="A3940">
        <v>10742</v>
      </c>
      <c r="B3940" t="s">
        <v>11405</v>
      </c>
      <c r="C3940" t="s">
        <v>2102</v>
      </c>
      <c r="D3940" t="s">
        <v>2105</v>
      </c>
      <c r="E3940" s="184">
        <v>1103.95</v>
      </c>
    </row>
    <row r="3941" spans="1:5" ht="14.25">
      <c r="A3941">
        <v>38465</v>
      </c>
      <c r="B3941" t="s">
        <v>11406</v>
      </c>
      <c r="C3941" t="s">
        <v>2102</v>
      </c>
      <c r="D3941" t="s">
        <v>2103</v>
      </c>
      <c r="E3941" s="183">
        <v>38.03</v>
      </c>
    </row>
    <row r="3942" spans="1:5" ht="14.25">
      <c r="A3942">
        <v>7543</v>
      </c>
      <c r="B3942" t="s">
        <v>11407</v>
      </c>
      <c r="C3942" t="s">
        <v>2102</v>
      </c>
      <c r="D3942" t="s">
        <v>2103</v>
      </c>
      <c r="E3942" s="183">
        <v>5.71</v>
      </c>
    </row>
    <row r="3943" spans="1:5" ht="14.25">
      <c r="A3943">
        <v>43427</v>
      </c>
      <c r="B3943" t="s">
        <v>11408</v>
      </c>
      <c r="C3943" t="s">
        <v>2102</v>
      </c>
      <c r="D3943" t="s">
        <v>2103</v>
      </c>
      <c r="E3943" s="184">
        <v>1627.41</v>
      </c>
    </row>
    <row r="3944" spans="1:5" ht="14.25">
      <c r="A3944">
        <v>41613</v>
      </c>
      <c r="B3944" t="s">
        <v>11409</v>
      </c>
      <c r="C3944" t="s">
        <v>2102</v>
      </c>
      <c r="D3944" t="s">
        <v>2103</v>
      </c>
      <c r="E3944" s="183">
        <v>104.61</v>
      </c>
    </row>
    <row r="3945" spans="1:5" ht="14.25">
      <c r="A3945">
        <v>41614</v>
      </c>
      <c r="B3945" t="s">
        <v>11410</v>
      </c>
      <c r="C3945" t="s">
        <v>2102</v>
      </c>
      <c r="D3945" t="s">
        <v>2103</v>
      </c>
      <c r="E3945" s="183">
        <v>133.29</v>
      </c>
    </row>
    <row r="3946" spans="1:5" ht="14.25">
      <c r="A3946">
        <v>41615</v>
      </c>
      <c r="B3946" t="s">
        <v>11411</v>
      </c>
      <c r="C3946" t="s">
        <v>2102</v>
      </c>
      <c r="D3946" t="s">
        <v>2103</v>
      </c>
      <c r="E3946" s="183">
        <v>206.02</v>
      </c>
    </row>
    <row r="3947" spans="1:5" ht="14.25">
      <c r="A3947">
        <v>41616</v>
      </c>
      <c r="B3947" t="s">
        <v>11412</v>
      </c>
      <c r="C3947" t="s">
        <v>2102</v>
      </c>
      <c r="D3947" t="s">
        <v>2103</v>
      </c>
      <c r="E3947" s="183">
        <v>307.82</v>
      </c>
    </row>
    <row r="3948" spans="1:5" ht="14.25">
      <c r="A3948">
        <v>41617</v>
      </c>
      <c r="B3948" t="s">
        <v>11413</v>
      </c>
      <c r="C3948" t="s">
        <v>2102</v>
      </c>
      <c r="D3948" t="s">
        <v>2103</v>
      </c>
      <c r="E3948" s="183">
        <v>612.07000000000005</v>
      </c>
    </row>
    <row r="3949" spans="1:5" ht="14.25">
      <c r="A3949">
        <v>41618</v>
      </c>
      <c r="B3949" t="s">
        <v>11414</v>
      </c>
      <c r="C3949" t="s">
        <v>2102</v>
      </c>
      <c r="D3949" t="s">
        <v>2103</v>
      </c>
      <c r="E3949" s="184">
        <v>1126.78</v>
      </c>
    </row>
    <row r="3950" spans="1:5" ht="14.25">
      <c r="A3950">
        <v>43428</v>
      </c>
      <c r="B3950" t="s">
        <v>11415</v>
      </c>
      <c r="C3950" t="s">
        <v>2102</v>
      </c>
      <c r="D3950" t="s">
        <v>2103</v>
      </c>
      <c r="E3950" s="184">
        <v>1979.21</v>
      </c>
    </row>
    <row r="3951" spans="1:5" ht="14.25">
      <c r="A3951">
        <v>41619</v>
      </c>
      <c r="B3951" t="s">
        <v>11416</v>
      </c>
      <c r="C3951" t="s">
        <v>2102</v>
      </c>
      <c r="D3951" t="s">
        <v>2103</v>
      </c>
      <c r="E3951" s="183">
        <v>128.22999999999999</v>
      </c>
    </row>
    <row r="3952" spans="1:5" ht="14.25">
      <c r="A3952">
        <v>41620</v>
      </c>
      <c r="B3952" t="s">
        <v>11417</v>
      </c>
      <c r="C3952" t="s">
        <v>2102</v>
      </c>
      <c r="D3952" t="s">
        <v>2103</v>
      </c>
      <c r="E3952" s="183">
        <v>161.97999999999999</v>
      </c>
    </row>
    <row r="3953" spans="1:5" ht="14.25">
      <c r="A3953">
        <v>41622</v>
      </c>
      <c r="B3953" t="s">
        <v>11418</v>
      </c>
      <c r="C3953" t="s">
        <v>2102</v>
      </c>
      <c r="D3953" t="s">
        <v>2103</v>
      </c>
      <c r="E3953" s="183">
        <v>280.93</v>
      </c>
    </row>
    <row r="3954" spans="1:5" ht="14.25">
      <c r="A3954">
        <v>41623</v>
      </c>
      <c r="B3954" t="s">
        <v>11419</v>
      </c>
      <c r="C3954" t="s">
        <v>2102</v>
      </c>
      <c r="D3954" t="s">
        <v>2103</v>
      </c>
      <c r="E3954" s="183">
        <v>431.95</v>
      </c>
    </row>
    <row r="3955" spans="1:5" ht="14.25">
      <c r="A3955">
        <v>41624</v>
      </c>
      <c r="B3955" t="s">
        <v>11420</v>
      </c>
      <c r="C3955" t="s">
        <v>2102</v>
      </c>
      <c r="D3955" t="s">
        <v>2103</v>
      </c>
      <c r="E3955" s="183">
        <v>809.9</v>
      </c>
    </row>
    <row r="3956" spans="1:5" ht="14.25">
      <c r="A3956">
        <v>41625</v>
      </c>
      <c r="B3956" t="s">
        <v>11421</v>
      </c>
      <c r="C3956" t="s">
        <v>2102</v>
      </c>
      <c r="D3956" t="s">
        <v>2103</v>
      </c>
      <c r="E3956" s="184">
        <v>1246.07</v>
      </c>
    </row>
    <row r="3957" spans="1:5" ht="14.25">
      <c r="A3957">
        <v>39352</v>
      </c>
      <c r="B3957" t="s">
        <v>11422</v>
      </c>
      <c r="C3957" t="s">
        <v>2102</v>
      </c>
      <c r="D3957" t="s">
        <v>2103</v>
      </c>
      <c r="E3957" s="183">
        <v>3.53</v>
      </c>
    </row>
    <row r="3958" spans="1:5" ht="14.25">
      <c r="A3958">
        <v>39346</v>
      </c>
      <c r="B3958" t="s">
        <v>11423</v>
      </c>
      <c r="C3958" t="s">
        <v>2102</v>
      </c>
      <c r="D3958" t="s">
        <v>2103</v>
      </c>
      <c r="E3958" s="183">
        <v>3.53</v>
      </c>
    </row>
    <row r="3959" spans="1:5" ht="14.25">
      <c r="A3959">
        <v>39350</v>
      </c>
      <c r="B3959" t="s">
        <v>11424</v>
      </c>
      <c r="C3959" t="s">
        <v>2102</v>
      </c>
      <c r="D3959" t="s">
        <v>2103</v>
      </c>
      <c r="E3959" s="183">
        <v>3.79</v>
      </c>
    </row>
    <row r="3960" spans="1:5" ht="14.25">
      <c r="A3960">
        <v>39351</v>
      </c>
      <c r="B3960" t="s">
        <v>11425</v>
      </c>
      <c r="C3960" t="s">
        <v>2102</v>
      </c>
      <c r="D3960" t="s">
        <v>2103</v>
      </c>
      <c r="E3960" s="183">
        <v>4.3899999999999997</v>
      </c>
    </row>
    <row r="3961" spans="1:5" ht="14.25">
      <c r="A3961">
        <v>38837</v>
      </c>
      <c r="B3961" t="s">
        <v>18617</v>
      </c>
      <c r="C3961" t="s">
        <v>2102</v>
      </c>
      <c r="D3961" t="s">
        <v>2105</v>
      </c>
      <c r="E3961" s="183">
        <v>7.53</v>
      </c>
    </row>
    <row r="3962" spans="1:5" ht="14.25">
      <c r="A3962">
        <v>38836</v>
      </c>
      <c r="B3962" t="s">
        <v>18618</v>
      </c>
      <c r="C3962" t="s">
        <v>2102</v>
      </c>
      <c r="D3962" t="s">
        <v>2105</v>
      </c>
      <c r="E3962" s="183">
        <v>5.26</v>
      </c>
    </row>
    <row r="3963" spans="1:5" ht="14.25">
      <c r="A3963">
        <v>2666</v>
      </c>
      <c r="B3963" t="s">
        <v>11426</v>
      </c>
      <c r="C3963" t="s">
        <v>2102</v>
      </c>
      <c r="D3963" t="s">
        <v>2103</v>
      </c>
      <c r="E3963" s="183">
        <v>7.8</v>
      </c>
    </row>
    <row r="3964" spans="1:5" ht="14.25">
      <c r="A3964">
        <v>2668</v>
      </c>
      <c r="B3964" t="s">
        <v>11427</v>
      </c>
      <c r="C3964" t="s">
        <v>2102</v>
      </c>
      <c r="D3964" t="s">
        <v>2103</v>
      </c>
      <c r="E3964" s="183">
        <v>8.91</v>
      </c>
    </row>
    <row r="3965" spans="1:5" ht="14.25">
      <c r="A3965">
        <v>2664</v>
      </c>
      <c r="B3965" t="s">
        <v>11428</v>
      </c>
      <c r="C3965" t="s">
        <v>2102</v>
      </c>
      <c r="D3965" t="s">
        <v>2103</v>
      </c>
      <c r="E3965" s="183">
        <v>13.14</v>
      </c>
    </row>
    <row r="3966" spans="1:5" ht="14.25">
      <c r="A3966">
        <v>2662</v>
      </c>
      <c r="B3966" t="s">
        <v>11429</v>
      </c>
      <c r="C3966" t="s">
        <v>2102</v>
      </c>
      <c r="D3966" t="s">
        <v>2103</v>
      </c>
      <c r="E3966" s="183">
        <v>16.12</v>
      </c>
    </row>
    <row r="3967" spans="1:5" ht="14.25">
      <c r="A3967">
        <v>20964</v>
      </c>
      <c r="B3967" t="s">
        <v>11430</v>
      </c>
      <c r="C3967" t="s">
        <v>2102</v>
      </c>
      <c r="D3967" t="s">
        <v>2103</v>
      </c>
      <c r="E3967" s="183">
        <v>74.19</v>
      </c>
    </row>
    <row r="3968" spans="1:5" ht="14.25">
      <c r="A3968">
        <v>10905</v>
      </c>
      <c r="B3968" t="s">
        <v>11431</v>
      </c>
      <c r="C3968" t="s">
        <v>2102</v>
      </c>
      <c r="D3968" t="s">
        <v>2103</v>
      </c>
      <c r="E3968" s="183">
        <v>99.52</v>
      </c>
    </row>
    <row r="3969" spans="1:5" ht="14.25">
      <c r="A3969">
        <v>11289</v>
      </c>
      <c r="B3969" t="s">
        <v>11432</v>
      </c>
      <c r="C3969" t="s">
        <v>2102</v>
      </c>
      <c r="D3969" t="s">
        <v>2105</v>
      </c>
      <c r="E3969" s="183">
        <v>99.23</v>
      </c>
    </row>
    <row r="3970" spans="1:5" ht="14.25">
      <c r="A3970">
        <v>11241</v>
      </c>
      <c r="B3970" t="s">
        <v>11433</v>
      </c>
      <c r="C3970" t="s">
        <v>2102</v>
      </c>
      <c r="D3970" t="s">
        <v>2105</v>
      </c>
      <c r="E3970" s="183">
        <v>248.09</v>
      </c>
    </row>
    <row r="3971" spans="1:5" ht="14.25">
      <c r="A3971">
        <v>11301</v>
      </c>
      <c r="B3971" t="s">
        <v>15295</v>
      </c>
      <c r="C3971" t="s">
        <v>2102</v>
      </c>
      <c r="D3971" t="s">
        <v>2105</v>
      </c>
      <c r="E3971" s="183">
        <v>629.09</v>
      </c>
    </row>
    <row r="3972" spans="1:5" ht="14.25">
      <c r="A3972">
        <v>21090</v>
      </c>
      <c r="B3972" t="s">
        <v>15296</v>
      </c>
      <c r="C3972" t="s">
        <v>2102</v>
      </c>
      <c r="D3972" t="s">
        <v>2105</v>
      </c>
      <c r="E3972" s="183">
        <v>770.86</v>
      </c>
    </row>
    <row r="3973" spans="1:5" ht="14.25">
      <c r="A3973">
        <v>11315</v>
      </c>
      <c r="B3973" t="s">
        <v>18619</v>
      </c>
      <c r="C3973" t="s">
        <v>2102</v>
      </c>
      <c r="D3973" t="s">
        <v>2105</v>
      </c>
      <c r="E3973" s="183">
        <v>150.62</v>
      </c>
    </row>
    <row r="3974" spans="1:5" ht="14.25">
      <c r="A3974">
        <v>21071</v>
      </c>
      <c r="B3974" t="s">
        <v>18620</v>
      </c>
      <c r="C3974" t="s">
        <v>2102</v>
      </c>
      <c r="D3974" t="s">
        <v>2105</v>
      </c>
      <c r="E3974" s="183">
        <v>230.37</v>
      </c>
    </row>
    <row r="3975" spans="1:5" ht="14.25">
      <c r="A3975">
        <v>14112</v>
      </c>
      <c r="B3975" t="s">
        <v>18621</v>
      </c>
      <c r="C3975" t="s">
        <v>2102</v>
      </c>
      <c r="D3975" t="s">
        <v>2105</v>
      </c>
      <c r="E3975" s="183">
        <v>321.63</v>
      </c>
    </row>
    <row r="3976" spans="1:5" ht="14.25">
      <c r="A3976">
        <v>11316</v>
      </c>
      <c r="B3976" t="s">
        <v>18622</v>
      </c>
      <c r="C3976" t="s">
        <v>2102</v>
      </c>
      <c r="D3976" t="s">
        <v>2105</v>
      </c>
      <c r="E3976" s="183">
        <v>496.18</v>
      </c>
    </row>
    <row r="3977" spans="1:5" ht="14.25">
      <c r="A3977">
        <v>6243</v>
      </c>
      <c r="B3977" t="s">
        <v>18623</v>
      </c>
      <c r="C3977" t="s">
        <v>2102</v>
      </c>
      <c r="D3977" t="s">
        <v>2105</v>
      </c>
      <c r="E3977" s="183">
        <v>571.5</v>
      </c>
    </row>
    <row r="3978" spans="1:5" ht="14.25">
      <c r="A3978">
        <v>6240</v>
      </c>
      <c r="B3978" t="s">
        <v>18624</v>
      </c>
      <c r="C3978" t="s">
        <v>2102</v>
      </c>
      <c r="D3978" t="s">
        <v>2105</v>
      </c>
      <c r="E3978" s="183">
        <v>756.68</v>
      </c>
    </row>
    <row r="3979" spans="1:5" ht="14.25">
      <c r="A3979">
        <v>11296</v>
      </c>
      <c r="B3979" t="s">
        <v>18625</v>
      </c>
      <c r="C3979" t="s">
        <v>2102</v>
      </c>
      <c r="D3979" t="s">
        <v>2105</v>
      </c>
      <c r="E3979" s="184">
        <v>2410.9299999999998</v>
      </c>
    </row>
    <row r="3980" spans="1:5" ht="14.25">
      <c r="A3980">
        <v>11299</v>
      </c>
      <c r="B3980" t="s">
        <v>18626</v>
      </c>
      <c r="C3980" t="s">
        <v>2102</v>
      </c>
      <c r="D3980" t="s">
        <v>2105</v>
      </c>
      <c r="E3980" s="183">
        <v>816.04</v>
      </c>
    </row>
    <row r="3981" spans="1:5" ht="14.25">
      <c r="A3981">
        <v>11688</v>
      </c>
      <c r="B3981" t="s">
        <v>11434</v>
      </c>
      <c r="C3981" t="s">
        <v>2102</v>
      </c>
      <c r="D3981" t="s">
        <v>2103</v>
      </c>
      <c r="E3981" s="183">
        <v>538.55999999999995</v>
      </c>
    </row>
    <row r="3982" spans="1:5" ht="14.25">
      <c r="A3982">
        <v>37736</v>
      </c>
      <c r="B3982" t="s">
        <v>11435</v>
      </c>
      <c r="C3982" t="s">
        <v>2102</v>
      </c>
      <c r="D3982" t="s">
        <v>2105</v>
      </c>
      <c r="E3982" s="184">
        <v>82950</v>
      </c>
    </row>
    <row r="3983" spans="1:5" ht="14.25">
      <c r="A3983">
        <v>37739</v>
      </c>
      <c r="B3983" t="s">
        <v>11436</v>
      </c>
      <c r="C3983" t="s">
        <v>2102</v>
      </c>
      <c r="D3983" t="s">
        <v>2105</v>
      </c>
      <c r="E3983" s="184">
        <v>102092.3</v>
      </c>
    </row>
    <row r="3984" spans="1:5" ht="14.25">
      <c r="A3984">
        <v>37740</v>
      </c>
      <c r="B3984" t="s">
        <v>11437</v>
      </c>
      <c r="C3984" t="s">
        <v>2102</v>
      </c>
      <c r="D3984" t="s">
        <v>2105</v>
      </c>
      <c r="E3984" s="184">
        <v>58259.19</v>
      </c>
    </row>
    <row r="3985" spans="1:5" ht="14.25">
      <c r="A3985">
        <v>37738</v>
      </c>
      <c r="B3985" t="s">
        <v>11438</v>
      </c>
      <c r="C3985" t="s">
        <v>2102</v>
      </c>
      <c r="D3985" t="s">
        <v>2105</v>
      </c>
      <c r="E3985" s="184">
        <v>69217.47</v>
      </c>
    </row>
    <row r="3986" spans="1:5" ht="14.25">
      <c r="A3986">
        <v>37737</v>
      </c>
      <c r="B3986" t="s">
        <v>11439</v>
      </c>
      <c r="C3986" t="s">
        <v>2102</v>
      </c>
      <c r="D3986" t="s">
        <v>2105</v>
      </c>
      <c r="E3986" s="184">
        <v>55068.81</v>
      </c>
    </row>
    <row r="3987" spans="1:5" ht="14.25">
      <c r="A3987">
        <v>25014</v>
      </c>
      <c r="B3987" t="s">
        <v>11440</v>
      </c>
      <c r="C3987" t="s">
        <v>2102</v>
      </c>
      <c r="D3987" t="s">
        <v>2105</v>
      </c>
      <c r="E3987" s="184">
        <v>115339.33</v>
      </c>
    </row>
    <row r="3988" spans="1:5" ht="14.25">
      <c r="A3988">
        <v>25013</v>
      </c>
      <c r="B3988" t="s">
        <v>11441</v>
      </c>
      <c r="C3988" t="s">
        <v>2102</v>
      </c>
      <c r="D3988" t="s">
        <v>2105</v>
      </c>
      <c r="E3988" s="184">
        <v>120887.83</v>
      </c>
    </row>
    <row r="3989" spans="1:5" ht="14.25">
      <c r="A3989">
        <v>14405</v>
      </c>
      <c r="B3989" t="s">
        <v>11442</v>
      </c>
      <c r="C3989" t="s">
        <v>2102</v>
      </c>
      <c r="D3989" t="s">
        <v>2105</v>
      </c>
      <c r="E3989" s="184">
        <v>141902.75</v>
      </c>
    </row>
    <row r="3990" spans="1:5" ht="14.25">
      <c r="A3990">
        <v>20271</v>
      </c>
      <c r="B3990" t="s">
        <v>11443</v>
      </c>
      <c r="C3990" t="s">
        <v>2102</v>
      </c>
      <c r="D3990" t="s">
        <v>2103</v>
      </c>
      <c r="E3990" s="183">
        <v>520.89</v>
      </c>
    </row>
    <row r="3991" spans="1:5" ht="14.25">
      <c r="A3991">
        <v>10423</v>
      </c>
      <c r="B3991" t="s">
        <v>11444</v>
      </c>
      <c r="C3991" t="s">
        <v>2102</v>
      </c>
      <c r="D3991" t="s">
        <v>2103</v>
      </c>
      <c r="E3991" s="183">
        <v>382.45</v>
      </c>
    </row>
    <row r="3992" spans="1:5" ht="14.25">
      <c r="A3992">
        <v>36790</v>
      </c>
      <c r="B3992" t="s">
        <v>11445</v>
      </c>
      <c r="C3992" t="s">
        <v>2102</v>
      </c>
      <c r="D3992" t="s">
        <v>2103</v>
      </c>
      <c r="E3992" s="183">
        <v>228.85</v>
      </c>
    </row>
    <row r="3993" spans="1:5" ht="14.25">
      <c r="A3993">
        <v>37589</v>
      </c>
      <c r="B3993" t="s">
        <v>11446</v>
      </c>
      <c r="C3993" t="s">
        <v>2102</v>
      </c>
      <c r="D3993" t="s">
        <v>2103</v>
      </c>
      <c r="E3993" s="183">
        <v>280.39999999999998</v>
      </c>
    </row>
    <row r="3994" spans="1:5" ht="14.25">
      <c r="A3994">
        <v>11690</v>
      </c>
      <c r="B3994" t="s">
        <v>11447</v>
      </c>
      <c r="C3994" t="s">
        <v>2102</v>
      </c>
      <c r="D3994" t="s">
        <v>2103</v>
      </c>
      <c r="E3994" s="183">
        <v>148.96</v>
      </c>
    </row>
    <row r="3995" spans="1:5" ht="14.25">
      <c r="A3995">
        <v>20234</v>
      </c>
      <c r="B3995" t="s">
        <v>11448</v>
      </c>
      <c r="C3995" t="s">
        <v>2102</v>
      </c>
      <c r="D3995" t="s">
        <v>2103</v>
      </c>
      <c r="E3995" s="183">
        <v>188.51</v>
      </c>
    </row>
    <row r="3996" spans="1:5" ht="14.25">
      <c r="A3996">
        <v>4763</v>
      </c>
      <c r="B3996" t="s">
        <v>15297</v>
      </c>
      <c r="C3996" t="s">
        <v>2106</v>
      </c>
      <c r="D3996" t="s">
        <v>2103</v>
      </c>
      <c r="E3996" s="183">
        <v>22.61</v>
      </c>
    </row>
    <row r="3997" spans="1:5" ht="14.25">
      <c r="A3997">
        <v>41070</v>
      </c>
      <c r="B3997" t="s">
        <v>11449</v>
      </c>
      <c r="C3997" t="s">
        <v>2123</v>
      </c>
      <c r="D3997" t="s">
        <v>2103</v>
      </c>
      <c r="E3997" s="184">
        <v>3964.24</v>
      </c>
    </row>
    <row r="3998" spans="1:5" ht="14.25">
      <c r="A3998">
        <v>44480</v>
      </c>
      <c r="B3998" t="s">
        <v>13683</v>
      </c>
      <c r="C3998" t="s">
        <v>2122</v>
      </c>
      <c r="D3998" t="s">
        <v>2103</v>
      </c>
      <c r="E3998" s="183">
        <v>16.46</v>
      </c>
    </row>
    <row r="3999" spans="1:5" ht="14.25">
      <c r="A3999">
        <v>11457</v>
      </c>
      <c r="B3999" t="s">
        <v>11450</v>
      </c>
      <c r="C3999" t="s">
        <v>2102</v>
      </c>
      <c r="D3999" t="s">
        <v>2103</v>
      </c>
      <c r="E3999" s="183">
        <v>44.6</v>
      </c>
    </row>
    <row r="4000" spans="1:5" ht="14.25">
      <c r="A4000">
        <v>44073</v>
      </c>
      <c r="B4000" t="s">
        <v>13684</v>
      </c>
      <c r="C4000" t="s">
        <v>2109</v>
      </c>
      <c r="D4000" t="s">
        <v>2103</v>
      </c>
      <c r="E4000" s="183">
        <v>0.68</v>
      </c>
    </row>
    <row r="4001" spans="1:5" ht="14.25">
      <c r="A4001">
        <v>44253</v>
      </c>
      <c r="B4001" t="s">
        <v>18627</v>
      </c>
      <c r="C4001" t="s">
        <v>2102</v>
      </c>
      <c r="D4001" t="s">
        <v>2103</v>
      </c>
      <c r="E4001" s="183">
        <v>297.75</v>
      </c>
    </row>
    <row r="4002" spans="1:5" ht="14.25">
      <c r="A4002">
        <v>21121</v>
      </c>
      <c r="B4002" t="s">
        <v>11451</v>
      </c>
      <c r="C4002" t="s">
        <v>2102</v>
      </c>
      <c r="D4002" t="s">
        <v>2103</v>
      </c>
      <c r="E4002" s="183">
        <v>4.2699999999999996</v>
      </c>
    </row>
    <row r="4003" spans="1:5" ht="14.25">
      <c r="A4003">
        <v>38010</v>
      </c>
      <c r="B4003" t="s">
        <v>11452</v>
      </c>
      <c r="C4003" t="s">
        <v>2102</v>
      </c>
      <c r="D4003" t="s">
        <v>2103</v>
      </c>
      <c r="E4003" s="183">
        <v>5.32</v>
      </c>
    </row>
    <row r="4004" spans="1:5" ht="14.25">
      <c r="A4004">
        <v>38011</v>
      </c>
      <c r="B4004" t="s">
        <v>11453</v>
      </c>
      <c r="C4004" t="s">
        <v>2102</v>
      </c>
      <c r="D4004" t="s">
        <v>2103</v>
      </c>
      <c r="E4004" s="183">
        <v>10.66</v>
      </c>
    </row>
    <row r="4005" spans="1:5" ht="14.25">
      <c r="A4005">
        <v>38012</v>
      </c>
      <c r="B4005" t="s">
        <v>11454</v>
      </c>
      <c r="C4005" t="s">
        <v>2102</v>
      </c>
      <c r="D4005" t="s">
        <v>2103</v>
      </c>
      <c r="E4005" s="183">
        <v>40.64</v>
      </c>
    </row>
    <row r="4006" spans="1:5" ht="14.25">
      <c r="A4006">
        <v>38013</v>
      </c>
      <c r="B4006" t="s">
        <v>11455</v>
      </c>
      <c r="C4006" t="s">
        <v>2102</v>
      </c>
      <c r="D4006" t="s">
        <v>2103</v>
      </c>
      <c r="E4006" s="183">
        <v>52.21</v>
      </c>
    </row>
    <row r="4007" spans="1:5" ht="14.25">
      <c r="A4007">
        <v>38014</v>
      </c>
      <c r="B4007" t="s">
        <v>11456</v>
      </c>
      <c r="C4007" t="s">
        <v>2102</v>
      </c>
      <c r="D4007" t="s">
        <v>2103</v>
      </c>
      <c r="E4007" s="183">
        <v>87.2</v>
      </c>
    </row>
    <row r="4008" spans="1:5" ht="14.25">
      <c r="A4008">
        <v>38015</v>
      </c>
      <c r="B4008" t="s">
        <v>11457</v>
      </c>
      <c r="C4008" t="s">
        <v>2102</v>
      </c>
      <c r="D4008" t="s">
        <v>2103</v>
      </c>
      <c r="E4008" s="183">
        <v>205</v>
      </c>
    </row>
    <row r="4009" spans="1:5" ht="14.25">
      <c r="A4009">
        <v>38016</v>
      </c>
      <c r="B4009" t="s">
        <v>11458</v>
      </c>
      <c r="C4009" t="s">
        <v>2102</v>
      </c>
      <c r="D4009" t="s">
        <v>2103</v>
      </c>
      <c r="E4009" s="183">
        <v>238.39</v>
      </c>
    </row>
    <row r="4010" spans="1:5" ht="14.25">
      <c r="A4010">
        <v>12741</v>
      </c>
      <c r="B4010" t="s">
        <v>11459</v>
      </c>
      <c r="C4010" t="s">
        <v>2102</v>
      </c>
      <c r="D4010" t="s">
        <v>2105</v>
      </c>
      <c r="E4010" s="184">
        <v>1315.65</v>
      </c>
    </row>
    <row r="4011" spans="1:5" ht="14.25">
      <c r="A4011">
        <v>12733</v>
      </c>
      <c r="B4011" t="s">
        <v>11460</v>
      </c>
      <c r="C4011" t="s">
        <v>2102</v>
      </c>
      <c r="D4011" t="s">
        <v>2105</v>
      </c>
      <c r="E4011" s="183">
        <v>6.62</v>
      </c>
    </row>
    <row r="4012" spans="1:5" ht="14.25">
      <c r="A4012">
        <v>12734</v>
      </c>
      <c r="B4012" t="s">
        <v>11461</v>
      </c>
      <c r="C4012" t="s">
        <v>2102</v>
      </c>
      <c r="D4012" t="s">
        <v>2105</v>
      </c>
      <c r="E4012" s="183">
        <v>14.11</v>
      </c>
    </row>
    <row r="4013" spans="1:5" ht="14.25">
      <c r="A4013">
        <v>12735</v>
      </c>
      <c r="B4013" t="s">
        <v>11462</v>
      </c>
      <c r="C4013" t="s">
        <v>2102</v>
      </c>
      <c r="D4013" t="s">
        <v>2105</v>
      </c>
      <c r="E4013" s="183">
        <v>23.21</v>
      </c>
    </row>
    <row r="4014" spans="1:5" ht="14.25">
      <c r="A4014">
        <v>12736</v>
      </c>
      <c r="B4014" t="s">
        <v>11463</v>
      </c>
      <c r="C4014" t="s">
        <v>2102</v>
      </c>
      <c r="D4014" t="s">
        <v>2105</v>
      </c>
      <c r="E4014" s="183">
        <v>53.06</v>
      </c>
    </row>
    <row r="4015" spans="1:5" ht="14.25">
      <c r="A4015">
        <v>12737</v>
      </c>
      <c r="B4015" t="s">
        <v>11464</v>
      </c>
      <c r="C4015" t="s">
        <v>2102</v>
      </c>
      <c r="D4015" t="s">
        <v>2105</v>
      </c>
      <c r="E4015" s="183">
        <v>68.36</v>
      </c>
    </row>
    <row r="4016" spans="1:5" ht="14.25">
      <c r="A4016">
        <v>12738</v>
      </c>
      <c r="B4016" t="s">
        <v>11465</v>
      </c>
      <c r="C4016" t="s">
        <v>2102</v>
      </c>
      <c r="D4016" t="s">
        <v>2105</v>
      </c>
      <c r="E4016" s="183">
        <v>135.11000000000001</v>
      </c>
    </row>
    <row r="4017" spans="1:5" ht="14.25">
      <c r="A4017">
        <v>12739</v>
      </c>
      <c r="B4017" t="s">
        <v>11466</v>
      </c>
      <c r="C4017" t="s">
        <v>2102</v>
      </c>
      <c r="D4017" t="s">
        <v>2105</v>
      </c>
      <c r="E4017" s="183">
        <v>384.6</v>
      </c>
    </row>
    <row r="4018" spans="1:5" ht="14.25">
      <c r="A4018">
        <v>12740</v>
      </c>
      <c r="B4018" t="s">
        <v>11467</v>
      </c>
      <c r="C4018" t="s">
        <v>2102</v>
      </c>
      <c r="D4018" t="s">
        <v>2105</v>
      </c>
      <c r="E4018" s="183">
        <v>601.73</v>
      </c>
    </row>
    <row r="4019" spans="1:5" ht="14.25">
      <c r="A4019">
        <v>6297</v>
      </c>
      <c r="B4019" t="s">
        <v>11468</v>
      </c>
      <c r="C4019" t="s">
        <v>2102</v>
      </c>
      <c r="D4019" t="s">
        <v>2105</v>
      </c>
      <c r="E4019" s="183">
        <v>46.75</v>
      </c>
    </row>
    <row r="4020" spans="1:5" ht="14.25">
      <c r="A4020">
        <v>6296</v>
      </c>
      <c r="B4020" t="s">
        <v>11469</v>
      </c>
      <c r="C4020" t="s">
        <v>2102</v>
      </c>
      <c r="D4020" t="s">
        <v>2105</v>
      </c>
      <c r="E4020" s="183">
        <v>36.9</v>
      </c>
    </row>
    <row r="4021" spans="1:5" ht="14.25">
      <c r="A4021">
        <v>6294</v>
      </c>
      <c r="B4021" t="s">
        <v>11470</v>
      </c>
      <c r="C4021" t="s">
        <v>2102</v>
      </c>
      <c r="D4021" t="s">
        <v>2105</v>
      </c>
      <c r="E4021" s="183">
        <v>10.52</v>
      </c>
    </row>
    <row r="4022" spans="1:5" ht="14.25">
      <c r="A4022">
        <v>6323</v>
      </c>
      <c r="B4022" t="s">
        <v>11471</v>
      </c>
      <c r="C4022" t="s">
        <v>2102</v>
      </c>
      <c r="D4022" t="s">
        <v>2105</v>
      </c>
      <c r="E4022" s="183">
        <v>24.11</v>
      </c>
    </row>
    <row r="4023" spans="1:5" ht="14.25">
      <c r="A4023">
        <v>6299</v>
      </c>
      <c r="B4023" t="s">
        <v>11472</v>
      </c>
      <c r="C4023" t="s">
        <v>2102</v>
      </c>
      <c r="D4023" t="s">
        <v>2105</v>
      </c>
      <c r="E4023" s="183">
        <v>140.62</v>
      </c>
    </row>
    <row r="4024" spans="1:5" ht="14.25">
      <c r="A4024">
        <v>6298</v>
      </c>
      <c r="B4024" t="s">
        <v>11473</v>
      </c>
      <c r="C4024" t="s">
        <v>2102</v>
      </c>
      <c r="D4024" t="s">
        <v>2105</v>
      </c>
      <c r="E4024" s="183">
        <v>74.06</v>
      </c>
    </row>
    <row r="4025" spans="1:5" ht="14.25">
      <c r="A4025">
        <v>6295</v>
      </c>
      <c r="B4025" t="s">
        <v>11474</v>
      </c>
      <c r="C4025" t="s">
        <v>2102</v>
      </c>
      <c r="D4025" t="s">
        <v>2105</v>
      </c>
      <c r="E4025" s="183">
        <v>14.98</v>
      </c>
    </row>
    <row r="4026" spans="1:5" ht="14.25">
      <c r="A4026">
        <v>6322</v>
      </c>
      <c r="B4026" t="s">
        <v>11475</v>
      </c>
      <c r="C4026" t="s">
        <v>2102</v>
      </c>
      <c r="D4026" t="s">
        <v>2105</v>
      </c>
      <c r="E4026" s="183">
        <v>188.34</v>
      </c>
    </row>
    <row r="4027" spans="1:5" ht="14.25">
      <c r="A4027">
        <v>6300</v>
      </c>
      <c r="B4027" t="s">
        <v>11476</v>
      </c>
      <c r="C4027" t="s">
        <v>2102</v>
      </c>
      <c r="D4027" t="s">
        <v>2105</v>
      </c>
      <c r="E4027" s="183">
        <v>347.23</v>
      </c>
    </row>
    <row r="4028" spans="1:5" ht="14.25">
      <c r="A4028">
        <v>6321</v>
      </c>
      <c r="B4028" t="s">
        <v>11477</v>
      </c>
      <c r="C4028" t="s">
        <v>2102</v>
      </c>
      <c r="D4028" t="s">
        <v>2105</v>
      </c>
      <c r="E4028" s="183">
        <v>495.99</v>
      </c>
    </row>
    <row r="4029" spans="1:5" ht="14.25">
      <c r="A4029">
        <v>6301</v>
      </c>
      <c r="B4029" t="s">
        <v>11478</v>
      </c>
      <c r="C4029" t="s">
        <v>2102</v>
      </c>
      <c r="D4029" t="s">
        <v>2105</v>
      </c>
      <c r="E4029" s="184">
        <v>1162.55</v>
      </c>
    </row>
    <row r="4030" spans="1:5" ht="14.25">
      <c r="A4030">
        <v>7105</v>
      </c>
      <c r="B4030" t="s">
        <v>11479</v>
      </c>
      <c r="C4030" t="s">
        <v>2102</v>
      </c>
      <c r="D4030" t="s">
        <v>2103</v>
      </c>
      <c r="E4030" s="183">
        <v>50.5</v>
      </c>
    </row>
    <row r="4031" spans="1:5" ht="14.25">
      <c r="A4031">
        <v>20183</v>
      </c>
      <c r="B4031" t="s">
        <v>18628</v>
      </c>
      <c r="C4031" t="s">
        <v>2102</v>
      </c>
      <c r="D4031" t="s">
        <v>2103</v>
      </c>
      <c r="E4031" s="183">
        <v>62.22</v>
      </c>
    </row>
    <row r="4032" spans="1:5" ht="14.25">
      <c r="A4032">
        <v>38448</v>
      </c>
      <c r="B4032" t="s">
        <v>18629</v>
      </c>
      <c r="C4032" t="s">
        <v>2102</v>
      </c>
      <c r="D4032" t="s">
        <v>2103</v>
      </c>
      <c r="E4032" s="183">
        <v>282.33</v>
      </c>
    </row>
    <row r="4033" spans="1:5" ht="14.25">
      <c r="A4033">
        <v>20182</v>
      </c>
      <c r="B4033" t="s">
        <v>18630</v>
      </c>
      <c r="C4033" t="s">
        <v>2102</v>
      </c>
      <c r="D4033" t="s">
        <v>2103</v>
      </c>
      <c r="E4033" s="183">
        <v>36.17</v>
      </c>
    </row>
    <row r="4034" spans="1:5" ht="14.25">
      <c r="A4034">
        <v>7119</v>
      </c>
      <c r="B4034" t="s">
        <v>11480</v>
      </c>
      <c r="C4034" t="s">
        <v>2102</v>
      </c>
      <c r="D4034" t="s">
        <v>2103</v>
      </c>
      <c r="E4034" s="183">
        <v>15.04</v>
      </c>
    </row>
    <row r="4035" spans="1:5" ht="14.25">
      <c r="A4035">
        <v>7126</v>
      </c>
      <c r="B4035" t="s">
        <v>18631</v>
      </c>
      <c r="C4035" t="s">
        <v>2102</v>
      </c>
      <c r="D4035" t="s">
        <v>2103</v>
      </c>
      <c r="E4035" s="183">
        <v>30.7</v>
      </c>
    </row>
    <row r="4036" spans="1:5" ht="14.25">
      <c r="A4036">
        <v>7120</v>
      </c>
      <c r="B4036" t="s">
        <v>11481</v>
      </c>
      <c r="C4036" t="s">
        <v>2102</v>
      </c>
      <c r="D4036" t="s">
        <v>2103</v>
      </c>
      <c r="E4036" s="183">
        <v>11.54</v>
      </c>
    </row>
    <row r="4037" spans="1:5" ht="14.25">
      <c r="A4037">
        <v>6319</v>
      </c>
      <c r="B4037" t="s">
        <v>11482</v>
      </c>
      <c r="C4037" t="s">
        <v>2102</v>
      </c>
      <c r="D4037" t="s">
        <v>2105</v>
      </c>
      <c r="E4037" s="183">
        <v>54.93</v>
      </c>
    </row>
    <row r="4038" spans="1:5" ht="14.25">
      <c r="A4038">
        <v>6304</v>
      </c>
      <c r="B4038" t="s">
        <v>11483</v>
      </c>
      <c r="C4038" t="s">
        <v>2102</v>
      </c>
      <c r="D4038" t="s">
        <v>2105</v>
      </c>
      <c r="E4038" s="183">
        <v>54.93</v>
      </c>
    </row>
    <row r="4039" spans="1:5" ht="14.25">
      <c r="A4039">
        <v>21116</v>
      </c>
      <c r="B4039" t="s">
        <v>11484</v>
      </c>
      <c r="C4039" t="s">
        <v>2102</v>
      </c>
      <c r="D4039" t="s">
        <v>2105</v>
      </c>
      <c r="E4039" s="183">
        <v>41.59</v>
      </c>
    </row>
    <row r="4040" spans="1:5" ht="14.25">
      <c r="A4040">
        <v>6320</v>
      </c>
      <c r="B4040" t="s">
        <v>11485</v>
      </c>
      <c r="C4040" t="s">
        <v>2102</v>
      </c>
      <c r="D4040" t="s">
        <v>2105</v>
      </c>
      <c r="E4040" s="183">
        <v>28.29</v>
      </c>
    </row>
    <row r="4041" spans="1:5" ht="14.25">
      <c r="A4041">
        <v>6303</v>
      </c>
      <c r="B4041" t="s">
        <v>11486</v>
      </c>
      <c r="C4041" t="s">
        <v>2102</v>
      </c>
      <c r="D4041" t="s">
        <v>2105</v>
      </c>
      <c r="E4041" s="183">
        <v>28.29</v>
      </c>
    </row>
    <row r="4042" spans="1:5" ht="14.25">
      <c r="A4042">
        <v>6308</v>
      </c>
      <c r="B4042" t="s">
        <v>11487</v>
      </c>
      <c r="C4042" t="s">
        <v>2102</v>
      </c>
      <c r="D4042" t="s">
        <v>2105</v>
      </c>
      <c r="E4042" s="183">
        <v>151.99</v>
      </c>
    </row>
    <row r="4043" spans="1:5" ht="14.25">
      <c r="A4043">
        <v>6317</v>
      </c>
      <c r="B4043" t="s">
        <v>11488</v>
      </c>
      <c r="C4043" t="s">
        <v>2102</v>
      </c>
      <c r="D4043" t="s">
        <v>2105</v>
      </c>
      <c r="E4043" s="183">
        <v>151.99</v>
      </c>
    </row>
    <row r="4044" spans="1:5" ht="14.25">
      <c r="A4044">
        <v>6307</v>
      </c>
      <c r="B4044" t="s">
        <v>11489</v>
      </c>
      <c r="C4044" t="s">
        <v>2102</v>
      </c>
      <c r="D4044" t="s">
        <v>2105</v>
      </c>
      <c r="E4044" s="183">
        <v>151.99</v>
      </c>
    </row>
    <row r="4045" spans="1:5" ht="14.25">
      <c r="A4045">
        <v>6309</v>
      </c>
      <c r="B4045" t="s">
        <v>11490</v>
      </c>
      <c r="C4045" t="s">
        <v>2102</v>
      </c>
      <c r="D4045" t="s">
        <v>2105</v>
      </c>
      <c r="E4045" s="183">
        <v>156.4</v>
      </c>
    </row>
    <row r="4046" spans="1:5" ht="14.25">
      <c r="A4046">
        <v>6318</v>
      </c>
      <c r="B4046" t="s">
        <v>11491</v>
      </c>
      <c r="C4046" t="s">
        <v>2102</v>
      </c>
      <c r="D4046" t="s">
        <v>2105</v>
      </c>
      <c r="E4046" s="183">
        <v>81.98</v>
      </c>
    </row>
    <row r="4047" spans="1:5" ht="14.25">
      <c r="A4047">
        <v>6306</v>
      </c>
      <c r="B4047" t="s">
        <v>11492</v>
      </c>
      <c r="C4047" t="s">
        <v>2102</v>
      </c>
      <c r="D4047" t="s">
        <v>2105</v>
      </c>
      <c r="E4047" s="183">
        <v>81.98</v>
      </c>
    </row>
    <row r="4048" spans="1:5" ht="14.25">
      <c r="A4048">
        <v>6305</v>
      </c>
      <c r="B4048" t="s">
        <v>11493</v>
      </c>
      <c r="C4048" t="s">
        <v>2102</v>
      </c>
      <c r="D4048" t="s">
        <v>2105</v>
      </c>
      <c r="E4048" s="183">
        <v>81.98</v>
      </c>
    </row>
    <row r="4049" spans="1:5" ht="14.25">
      <c r="A4049">
        <v>6302</v>
      </c>
      <c r="B4049" t="s">
        <v>11494</v>
      </c>
      <c r="C4049" t="s">
        <v>2102</v>
      </c>
      <c r="D4049" t="s">
        <v>2105</v>
      </c>
      <c r="E4049" s="183">
        <v>17.39</v>
      </c>
    </row>
    <row r="4050" spans="1:5" ht="14.25">
      <c r="A4050">
        <v>6312</v>
      </c>
      <c r="B4050" t="s">
        <v>11495</v>
      </c>
      <c r="C4050" t="s">
        <v>2102</v>
      </c>
      <c r="D4050" t="s">
        <v>2105</v>
      </c>
      <c r="E4050" s="183">
        <v>218.62</v>
      </c>
    </row>
    <row r="4051" spans="1:5" ht="14.25">
      <c r="A4051">
        <v>6311</v>
      </c>
      <c r="B4051" t="s">
        <v>11496</v>
      </c>
      <c r="C4051" t="s">
        <v>2102</v>
      </c>
      <c r="D4051" t="s">
        <v>2105</v>
      </c>
      <c r="E4051" s="183">
        <v>218.62</v>
      </c>
    </row>
    <row r="4052" spans="1:5" ht="14.25">
      <c r="A4052">
        <v>6310</v>
      </c>
      <c r="B4052" t="s">
        <v>11497</v>
      </c>
      <c r="C4052" t="s">
        <v>2102</v>
      </c>
      <c r="D4052" t="s">
        <v>2105</v>
      </c>
      <c r="E4052" s="183">
        <v>218.62</v>
      </c>
    </row>
    <row r="4053" spans="1:5" ht="14.25">
      <c r="A4053">
        <v>6314</v>
      </c>
      <c r="B4053" t="s">
        <v>11498</v>
      </c>
      <c r="C4053" t="s">
        <v>2102</v>
      </c>
      <c r="D4053" t="s">
        <v>2105</v>
      </c>
      <c r="E4053" s="183">
        <v>218.62</v>
      </c>
    </row>
    <row r="4054" spans="1:5" ht="14.25">
      <c r="A4054">
        <v>6313</v>
      </c>
      <c r="B4054" t="s">
        <v>11499</v>
      </c>
      <c r="C4054" t="s">
        <v>2102</v>
      </c>
      <c r="D4054" t="s">
        <v>2105</v>
      </c>
      <c r="E4054" s="183">
        <v>218.62</v>
      </c>
    </row>
    <row r="4055" spans="1:5" ht="14.25">
      <c r="A4055">
        <v>6315</v>
      </c>
      <c r="B4055" t="s">
        <v>11500</v>
      </c>
      <c r="C4055" t="s">
        <v>2102</v>
      </c>
      <c r="D4055" t="s">
        <v>2105</v>
      </c>
      <c r="E4055" s="183">
        <v>413.94</v>
      </c>
    </row>
    <row r="4056" spans="1:5" ht="14.25">
      <c r="A4056">
        <v>6316</v>
      </c>
      <c r="B4056" t="s">
        <v>11501</v>
      </c>
      <c r="C4056" t="s">
        <v>2102</v>
      </c>
      <c r="D4056" t="s">
        <v>2105</v>
      </c>
      <c r="E4056" s="183">
        <v>413.94</v>
      </c>
    </row>
    <row r="4057" spans="1:5" ht="14.25">
      <c r="A4057">
        <v>39324</v>
      </c>
      <c r="B4057" t="s">
        <v>11502</v>
      </c>
      <c r="C4057" t="s">
        <v>2102</v>
      </c>
      <c r="D4057" t="s">
        <v>2103</v>
      </c>
      <c r="E4057" s="183">
        <v>5.56</v>
      </c>
    </row>
    <row r="4058" spans="1:5" ht="14.25">
      <c r="A4058">
        <v>39325</v>
      </c>
      <c r="B4058" t="s">
        <v>11503</v>
      </c>
      <c r="C4058" t="s">
        <v>2102</v>
      </c>
      <c r="D4058" t="s">
        <v>2103</v>
      </c>
      <c r="E4058" s="183">
        <v>8.3800000000000008</v>
      </c>
    </row>
    <row r="4059" spans="1:5" ht="14.25">
      <c r="A4059">
        <v>39326</v>
      </c>
      <c r="B4059" t="s">
        <v>11504</v>
      </c>
      <c r="C4059" t="s">
        <v>2102</v>
      </c>
      <c r="D4059" t="s">
        <v>2103</v>
      </c>
      <c r="E4059" s="183">
        <v>30.06</v>
      </c>
    </row>
    <row r="4060" spans="1:5" ht="14.25">
      <c r="A4060">
        <v>39327</v>
      </c>
      <c r="B4060" t="s">
        <v>11505</v>
      </c>
      <c r="C4060" t="s">
        <v>2102</v>
      </c>
      <c r="D4060" t="s">
        <v>2103</v>
      </c>
      <c r="E4060" s="183">
        <v>45.35</v>
      </c>
    </row>
    <row r="4061" spans="1:5" ht="14.25">
      <c r="A4061">
        <v>11378</v>
      </c>
      <c r="B4061" t="s">
        <v>11506</v>
      </c>
      <c r="C4061" t="s">
        <v>2102</v>
      </c>
      <c r="D4061" t="s">
        <v>2105</v>
      </c>
      <c r="E4061" s="183">
        <v>77.37</v>
      </c>
    </row>
    <row r="4062" spans="1:5" ht="14.25">
      <c r="A4062">
        <v>11379</v>
      </c>
      <c r="B4062" t="s">
        <v>11507</v>
      </c>
      <c r="C4062" t="s">
        <v>2102</v>
      </c>
      <c r="D4062" t="s">
        <v>2105</v>
      </c>
      <c r="E4062" s="183">
        <v>65.38</v>
      </c>
    </row>
    <row r="4063" spans="1:5" ht="14.25">
      <c r="A4063">
        <v>11493</v>
      </c>
      <c r="B4063" t="s">
        <v>11508</v>
      </c>
      <c r="C4063" t="s">
        <v>2102</v>
      </c>
      <c r="D4063" t="s">
        <v>2105</v>
      </c>
      <c r="E4063" s="183">
        <v>37.71</v>
      </c>
    </row>
    <row r="4064" spans="1:5" ht="14.25">
      <c r="A4064">
        <v>7106</v>
      </c>
      <c r="B4064" t="s">
        <v>11509</v>
      </c>
      <c r="C4064" t="s">
        <v>2102</v>
      </c>
      <c r="D4064" t="s">
        <v>2103</v>
      </c>
      <c r="E4064" s="183">
        <v>189.94</v>
      </c>
    </row>
    <row r="4065" spans="1:5" ht="14.25">
      <c r="A4065">
        <v>7104</v>
      </c>
      <c r="B4065" t="s">
        <v>11510</v>
      </c>
      <c r="C4065" t="s">
        <v>2102</v>
      </c>
      <c r="D4065" t="s">
        <v>2103</v>
      </c>
      <c r="E4065" s="183">
        <v>5.12</v>
      </c>
    </row>
    <row r="4066" spans="1:5" ht="14.25">
      <c r="A4066">
        <v>7136</v>
      </c>
      <c r="B4066" t="s">
        <v>11511</v>
      </c>
      <c r="C4066" t="s">
        <v>2102</v>
      </c>
      <c r="D4066" t="s">
        <v>2103</v>
      </c>
      <c r="E4066" s="183">
        <v>8.92</v>
      </c>
    </row>
    <row r="4067" spans="1:5" ht="14.25">
      <c r="A4067">
        <v>7128</v>
      </c>
      <c r="B4067" t="s">
        <v>11512</v>
      </c>
      <c r="C4067" t="s">
        <v>2102</v>
      </c>
      <c r="D4067" t="s">
        <v>2103</v>
      </c>
      <c r="E4067" s="183">
        <v>11.57</v>
      </c>
    </row>
    <row r="4068" spans="1:5" ht="14.25">
      <c r="A4068">
        <v>7108</v>
      </c>
      <c r="B4068" t="s">
        <v>11513</v>
      </c>
      <c r="C4068" t="s">
        <v>2102</v>
      </c>
      <c r="D4068" t="s">
        <v>2103</v>
      </c>
      <c r="E4068" s="183">
        <v>11.54</v>
      </c>
    </row>
    <row r="4069" spans="1:5" ht="14.25">
      <c r="A4069">
        <v>7129</v>
      </c>
      <c r="B4069" t="s">
        <v>11514</v>
      </c>
      <c r="C4069" t="s">
        <v>2102</v>
      </c>
      <c r="D4069" t="s">
        <v>2103</v>
      </c>
      <c r="E4069" s="183">
        <v>13.58</v>
      </c>
    </row>
    <row r="4070" spans="1:5" ht="14.25">
      <c r="A4070">
        <v>7130</v>
      </c>
      <c r="B4070" t="s">
        <v>11515</v>
      </c>
      <c r="C4070" t="s">
        <v>2102</v>
      </c>
      <c r="D4070" t="s">
        <v>2103</v>
      </c>
      <c r="E4070" s="183">
        <v>19.73</v>
      </c>
    </row>
    <row r="4071" spans="1:5" ht="14.25">
      <c r="A4071">
        <v>7131</v>
      </c>
      <c r="B4071" t="s">
        <v>11516</v>
      </c>
      <c r="C4071" t="s">
        <v>2102</v>
      </c>
      <c r="D4071" t="s">
        <v>2103</v>
      </c>
      <c r="E4071" s="183">
        <v>24.13</v>
      </c>
    </row>
    <row r="4072" spans="1:5" ht="14.25">
      <c r="A4072">
        <v>7132</v>
      </c>
      <c r="B4072" t="s">
        <v>11517</v>
      </c>
      <c r="C4072" t="s">
        <v>2102</v>
      </c>
      <c r="D4072" t="s">
        <v>2103</v>
      </c>
      <c r="E4072" s="183">
        <v>56.82</v>
      </c>
    </row>
    <row r="4073" spans="1:5" ht="14.25">
      <c r="A4073">
        <v>7133</v>
      </c>
      <c r="B4073" t="s">
        <v>11518</v>
      </c>
      <c r="C4073" t="s">
        <v>2102</v>
      </c>
      <c r="D4073" t="s">
        <v>2103</v>
      </c>
      <c r="E4073" s="183">
        <v>131.29</v>
      </c>
    </row>
    <row r="4074" spans="1:5" ht="14.25">
      <c r="A4074">
        <v>37420</v>
      </c>
      <c r="B4074" t="s">
        <v>11519</v>
      </c>
      <c r="C4074" t="s">
        <v>2102</v>
      </c>
      <c r="D4074" t="s">
        <v>2105</v>
      </c>
      <c r="E4074" s="183">
        <v>40.33</v>
      </c>
    </row>
    <row r="4075" spans="1:5" ht="14.25">
      <c r="A4075">
        <v>37421</v>
      </c>
      <c r="B4075" t="s">
        <v>11520</v>
      </c>
      <c r="C4075" t="s">
        <v>2102</v>
      </c>
      <c r="D4075" t="s">
        <v>2105</v>
      </c>
      <c r="E4075" s="183">
        <v>55.12</v>
      </c>
    </row>
    <row r="4076" spans="1:5" ht="14.25">
      <c r="A4076">
        <v>37422</v>
      </c>
      <c r="B4076" t="s">
        <v>11521</v>
      </c>
      <c r="C4076" t="s">
        <v>2102</v>
      </c>
      <c r="D4076" t="s">
        <v>2105</v>
      </c>
      <c r="E4076" s="183">
        <v>51.59</v>
      </c>
    </row>
    <row r="4077" spans="1:5" ht="14.25">
      <c r="A4077">
        <v>37443</v>
      </c>
      <c r="B4077" t="s">
        <v>11522</v>
      </c>
      <c r="C4077" t="s">
        <v>2102</v>
      </c>
      <c r="D4077" t="s">
        <v>2105</v>
      </c>
      <c r="E4077" s="183">
        <v>191.41</v>
      </c>
    </row>
    <row r="4078" spans="1:5" ht="14.25">
      <c r="A4078">
        <v>37444</v>
      </c>
      <c r="B4078" t="s">
        <v>11523</v>
      </c>
      <c r="C4078" t="s">
        <v>2102</v>
      </c>
      <c r="D4078" t="s">
        <v>2105</v>
      </c>
      <c r="E4078" s="183">
        <v>194.65</v>
      </c>
    </row>
    <row r="4079" spans="1:5" ht="14.25">
      <c r="A4079">
        <v>37445</v>
      </c>
      <c r="B4079" t="s">
        <v>11524</v>
      </c>
      <c r="C4079" t="s">
        <v>2102</v>
      </c>
      <c r="D4079" t="s">
        <v>2105</v>
      </c>
      <c r="E4079" s="183">
        <v>295.04000000000002</v>
      </c>
    </row>
    <row r="4080" spans="1:5" ht="14.25">
      <c r="A4080">
        <v>37446</v>
      </c>
      <c r="B4080" t="s">
        <v>11525</v>
      </c>
      <c r="C4080" t="s">
        <v>2102</v>
      </c>
      <c r="D4080" t="s">
        <v>2105</v>
      </c>
      <c r="E4080" s="183">
        <v>321.64</v>
      </c>
    </row>
    <row r="4081" spans="1:5" ht="14.25">
      <c r="A4081">
        <v>37447</v>
      </c>
      <c r="B4081" t="s">
        <v>11526</v>
      </c>
      <c r="C4081" t="s">
        <v>2102</v>
      </c>
      <c r="D4081" t="s">
        <v>2105</v>
      </c>
      <c r="E4081" s="183">
        <v>326.68</v>
      </c>
    </row>
    <row r="4082" spans="1:5" ht="14.25">
      <c r="A4082">
        <v>37448</v>
      </c>
      <c r="B4082" t="s">
        <v>11527</v>
      </c>
      <c r="C4082" t="s">
        <v>2102</v>
      </c>
      <c r="D4082" t="s">
        <v>2105</v>
      </c>
      <c r="E4082" s="183">
        <v>448.09</v>
      </c>
    </row>
    <row r="4083" spans="1:5" ht="14.25">
      <c r="A4083">
        <v>37440</v>
      </c>
      <c r="B4083" t="s">
        <v>11528</v>
      </c>
      <c r="C4083" t="s">
        <v>2102</v>
      </c>
      <c r="D4083" t="s">
        <v>2105</v>
      </c>
      <c r="E4083" s="183">
        <v>151.91999999999999</v>
      </c>
    </row>
    <row r="4084" spans="1:5" ht="14.25">
      <c r="A4084">
        <v>37441</v>
      </c>
      <c r="B4084" t="s">
        <v>11529</v>
      </c>
      <c r="C4084" t="s">
        <v>2102</v>
      </c>
      <c r="D4084" t="s">
        <v>2105</v>
      </c>
      <c r="E4084" s="183">
        <v>151.91999999999999</v>
      </c>
    </row>
    <row r="4085" spans="1:5" ht="14.25">
      <c r="A4085">
        <v>37442</v>
      </c>
      <c r="B4085" t="s">
        <v>11530</v>
      </c>
      <c r="C4085" t="s">
        <v>2102</v>
      </c>
      <c r="D4085" t="s">
        <v>2105</v>
      </c>
      <c r="E4085" s="183">
        <v>182.98</v>
      </c>
    </row>
    <row r="4086" spans="1:5" ht="14.25">
      <c r="A4086">
        <v>38017</v>
      </c>
      <c r="B4086" t="s">
        <v>11531</v>
      </c>
      <c r="C4086" t="s">
        <v>2102</v>
      </c>
      <c r="D4086" t="s">
        <v>2103</v>
      </c>
      <c r="E4086" s="183">
        <v>11.36</v>
      </c>
    </row>
    <row r="4087" spans="1:5" ht="14.25">
      <c r="A4087">
        <v>38018</v>
      </c>
      <c r="B4087" t="s">
        <v>11532</v>
      </c>
      <c r="C4087" t="s">
        <v>2102</v>
      </c>
      <c r="D4087" t="s">
        <v>2103</v>
      </c>
      <c r="E4087" s="183">
        <v>12.77</v>
      </c>
    </row>
    <row r="4088" spans="1:5" ht="14.25">
      <c r="A4088">
        <v>39895</v>
      </c>
      <c r="B4088" t="s">
        <v>11533</v>
      </c>
      <c r="C4088" t="s">
        <v>2102</v>
      </c>
      <c r="D4088" t="s">
        <v>2105</v>
      </c>
      <c r="E4088" s="183">
        <v>47.79</v>
      </c>
    </row>
    <row r="4089" spans="1:5" ht="14.25">
      <c r="A4089">
        <v>39896</v>
      </c>
      <c r="B4089" t="s">
        <v>11534</v>
      </c>
      <c r="C4089" t="s">
        <v>2102</v>
      </c>
      <c r="D4089" t="s">
        <v>2105</v>
      </c>
      <c r="E4089" s="183">
        <v>70.05</v>
      </c>
    </row>
    <row r="4090" spans="1:5" ht="14.25">
      <c r="A4090">
        <v>38873</v>
      </c>
      <c r="B4090" t="s">
        <v>18632</v>
      </c>
      <c r="C4090" t="s">
        <v>2102</v>
      </c>
      <c r="D4090" t="s">
        <v>2105</v>
      </c>
      <c r="E4090" s="183">
        <v>14.35</v>
      </c>
    </row>
    <row r="4091" spans="1:5" ht="14.25">
      <c r="A4091">
        <v>38874</v>
      </c>
      <c r="B4091" t="s">
        <v>18633</v>
      </c>
      <c r="C4091" t="s">
        <v>2102</v>
      </c>
      <c r="D4091" t="s">
        <v>2105</v>
      </c>
      <c r="E4091" s="183">
        <v>18.170000000000002</v>
      </c>
    </row>
    <row r="4092" spans="1:5" ht="14.25">
      <c r="A4092">
        <v>38875</v>
      </c>
      <c r="B4092" t="s">
        <v>18634</v>
      </c>
      <c r="C4092" t="s">
        <v>2102</v>
      </c>
      <c r="D4092" t="s">
        <v>2105</v>
      </c>
      <c r="E4092" s="183">
        <v>28.8</v>
      </c>
    </row>
    <row r="4093" spans="1:5" ht="14.25">
      <c r="A4093">
        <v>38876</v>
      </c>
      <c r="B4093" t="s">
        <v>18635</v>
      </c>
      <c r="C4093" t="s">
        <v>2102</v>
      </c>
      <c r="D4093" t="s">
        <v>2105</v>
      </c>
      <c r="E4093" s="183">
        <v>38.700000000000003</v>
      </c>
    </row>
    <row r="4094" spans="1:5" ht="14.25">
      <c r="A4094">
        <v>39000</v>
      </c>
      <c r="B4094" t="s">
        <v>11535</v>
      </c>
      <c r="C4094" t="s">
        <v>2102</v>
      </c>
      <c r="D4094" t="s">
        <v>2105</v>
      </c>
      <c r="E4094" s="183">
        <v>29.79</v>
      </c>
    </row>
    <row r="4095" spans="1:5" ht="14.25">
      <c r="A4095">
        <v>38674</v>
      </c>
      <c r="B4095" t="s">
        <v>11536</v>
      </c>
      <c r="C4095" t="s">
        <v>2102</v>
      </c>
      <c r="D4095" t="s">
        <v>2103</v>
      </c>
      <c r="E4095" s="183">
        <v>38.24</v>
      </c>
    </row>
    <row r="4096" spans="1:5" ht="14.25">
      <c r="A4096">
        <v>38019</v>
      </c>
      <c r="B4096" t="s">
        <v>11537</v>
      </c>
      <c r="C4096" t="s">
        <v>2102</v>
      </c>
      <c r="D4096" t="s">
        <v>2103</v>
      </c>
      <c r="E4096" s="183">
        <v>8.09</v>
      </c>
    </row>
    <row r="4097" spans="1:5" ht="14.25">
      <c r="A4097">
        <v>38020</v>
      </c>
      <c r="B4097" t="s">
        <v>11538</v>
      </c>
      <c r="C4097" t="s">
        <v>2102</v>
      </c>
      <c r="D4097" t="s">
        <v>2103</v>
      </c>
      <c r="E4097" s="183">
        <v>9.9600000000000009</v>
      </c>
    </row>
    <row r="4098" spans="1:5" ht="14.25">
      <c r="A4098">
        <v>38454</v>
      </c>
      <c r="B4098" t="s">
        <v>18636</v>
      </c>
      <c r="C4098" t="s">
        <v>2102</v>
      </c>
      <c r="D4098" t="s">
        <v>2105</v>
      </c>
      <c r="E4098" s="183">
        <v>11.17</v>
      </c>
    </row>
    <row r="4099" spans="1:5" ht="14.25">
      <c r="A4099">
        <v>38455</v>
      </c>
      <c r="B4099" t="s">
        <v>18637</v>
      </c>
      <c r="C4099" t="s">
        <v>2102</v>
      </c>
      <c r="D4099" t="s">
        <v>2105</v>
      </c>
      <c r="E4099" s="183">
        <v>14.95</v>
      </c>
    </row>
    <row r="4100" spans="1:5" ht="14.25">
      <c r="A4100">
        <v>38462</v>
      </c>
      <c r="B4100" t="s">
        <v>18638</v>
      </c>
      <c r="C4100" t="s">
        <v>2102</v>
      </c>
      <c r="D4100" t="s">
        <v>2105</v>
      </c>
      <c r="E4100" s="183">
        <v>241.08</v>
      </c>
    </row>
    <row r="4101" spans="1:5" ht="14.25">
      <c r="A4101">
        <v>36362</v>
      </c>
      <c r="B4101" t="s">
        <v>18639</v>
      </c>
      <c r="C4101" t="s">
        <v>2102</v>
      </c>
      <c r="D4101" t="s">
        <v>2105</v>
      </c>
      <c r="E4101" s="183">
        <v>3.33</v>
      </c>
    </row>
    <row r="4102" spans="1:5" ht="14.25">
      <c r="A4102">
        <v>36298</v>
      </c>
      <c r="B4102" t="s">
        <v>18640</v>
      </c>
      <c r="C4102" t="s">
        <v>2102</v>
      </c>
      <c r="D4102" t="s">
        <v>2105</v>
      </c>
      <c r="E4102" s="183">
        <v>2.86</v>
      </c>
    </row>
    <row r="4103" spans="1:5" ht="14.25">
      <c r="A4103">
        <v>38456</v>
      </c>
      <c r="B4103" t="s">
        <v>18641</v>
      </c>
      <c r="C4103" t="s">
        <v>2102</v>
      </c>
      <c r="D4103" t="s">
        <v>2105</v>
      </c>
      <c r="E4103" s="183">
        <v>7.13</v>
      </c>
    </row>
    <row r="4104" spans="1:5" ht="14.25">
      <c r="A4104">
        <v>38457</v>
      </c>
      <c r="B4104" t="s">
        <v>18642</v>
      </c>
      <c r="C4104" t="s">
        <v>2102</v>
      </c>
      <c r="D4104" t="s">
        <v>2105</v>
      </c>
      <c r="E4104" s="183">
        <v>12.99</v>
      </c>
    </row>
    <row r="4105" spans="1:5" ht="14.25">
      <c r="A4105">
        <v>38458</v>
      </c>
      <c r="B4105" t="s">
        <v>18643</v>
      </c>
      <c r="C4105" t="s">
        <v>2102</v>
      </c>
      <c r="D4105" t="s">
        <v>2105</v>
      </c>
      <c r="E4105" s="183">
        <v>25.02</v>
      </c>
    </row>
    <row r="4106" spans="1:5" ht="14.25">
      <c r="A4106">
        <v>38459</v>
      </c>
      <c r="B4106" t="s">
        <v>18644</v>
      </c>
      <c r="C4106" t="s">
        <v>2102</v>
      </c>
      <c r="D4106" t="s">
        <v>2105</v>
      </c>
      <c r="E4106" s="183">
        <v>39.340000000000003</v>
      </c>
    </row>
    <row r="4107" spans="1:5" ht="14.25">
      <c r="A4107">
        <v>38460</v>
      </c>
      <c r="B4107" t="s">
        <v>18645</v>
      </c>
      <c r="C4107" t="s">
        <v>2102</v>
      </c>
      <c r="D4107" t="s">
        <v>2105</v>
      </c>
      <c r="E4107" s="183">
        <v>84.39</v>
      </c>
    </row>
    <row r="4108" spans="1:5" ht="14.25">
      <c r="A4108">
        <v>38461</v>
      </c>
      <c r="B4108" t="s">
        <v>18646</v>
      </c>
      <c r="C4108" t="s">
        <v>2102</v>
      </c>
      <c r="D4108" t="s">
        <v>2105</v>
      </c>
      <c r="E4108" s="183">
        <v>113.25</v>
      </c>
    </row>
    <row r="4109" spans="1:5" ht="14.25">
      <c r="A4109">
        <v>7094</v>
      </c>
      <c r="B4109" t="s">
        <v>11539</v>
      </c>
      <c r="C4109" t="s">
        <v>2102</v>
      </c>
      <c r="D4109" t="s">
        <v>2103</v>
      </c>
      <c r="E4109" s="183">
        <v>16.71</v>
      </c>
    </row>
    <row r="4110" spans="1:5" ht="14.25">
      <c r="A4110">
        <v>7116</v>
      </c>
      <c r="B4110" t="s">
        <v>11540</v>
      </c>
      <c r="C4110" t="s">
        <v>2102</v>
      </c>
      <c r="D4110" t="s">
        <v>2103</v>
      </c>
      <c r="E4110" s="183">
        <v>4.53</v>
      </c>
    </row>
    <row r="4111" spans="1:5" ht="14.25">
      <c r="A4111">
        <v>7118</v>
      </c>
      <c r="B4111" t="s">
        <v>11541</v>
      </c>
      <c r="C4111" t="s">
        <v>2102</v>
      </c>
      <c r="D4111" t="s">
        <v>2103</v>
      </c>
      <c r="E4111" s="183">
        <v>34.369999999999997</v>
      </c>
    </row>
    <row r="4112" spans="1:5" ht="14.25">
      <c r="A4112">
        <v>7098</v>
      </c>
      <c r="B4112" t="s">
        <v>11542</v>
      </c>
      <c r="C4112" t="s">
        <v>2102</v>
      </c>
      <c r="D4112" t="s">
        <v>2103</v>
      </c>
      <c r="E4112" s="183">
        <v>5.1100000000000003</v>
      </c>
    </row>
    <row r="4113" spans="1:5" ht="14.25">
      <c r="A4113">
        <v>7110</v>
      </c>
      <c r="B4113" t="s">
        <v>11543</v>
      </c>
      <c r="C4113" t="s">
        <v>2102</v>
      </c>
      <c r="D4113" t="s">
        <v>2103</v>
      </c>
      <c r="E4113" s="183">
        <v>65.349999999999994</v>
      </c>
    </row>
    <row r="4114" spans="1:5" ht="14.25">
      <c r="A4114">
        <v>7123</v>
      </c>
      <c r="B4114" t="s">
        <v>11544</v>
      </c>
      <c r="C4114" t="s">
        <v>2102</v>
      </c>
      <c r="D4114" t="s">
        <v>2103</v>
      </c>
      <c r="E4114" s="183">
        <v>6.18</v>
      </c>
    </row>
    <row r="4115" spans="1:5" ht="14.25">
      <c r="A4115">
        <v>7121</v>
      </c>
      <c r="B4115" t="s">
        <v>11545</v>
      </c>
      <c r="C4115" t="s">
        <v>2102</v>
      </c>
      <c r="D4115" t="s">
        <v>2103</v>
      </c>
      <c r="E4115" s="183">
        <v>12.22</v>
      </c>
    </row>
    <row r="4116" spans="1:5" ht="14.25">
      <c r="A4116">
        <v>7137</v>
      </c>
      <c r="B4116" t="s">
        <v>11546</v>
      </c>
      <c r="C4116" t="s">
        <v>2102</v>
      </c>
      <c r="D4116" t="s">
        <v>2103</v>
      </c>
      <c r="E4116" s="183">
        <v>13.35</v>
      </c>
    </row>
    <row r="4117" spans="1:5" ht="14.25">
      <c r="A4117">
        <v>7122</v>
      </c>
      <c r="B4117" t="s">
        <v>11547</v>
      </c>
      <c r="C4117" t="s">
        <v>2102</v>
      </c>
      <c r="D4117" t="s">
        <v>2103</v>
      </c>
      <c r="E4117" s="183">
        <v>14.69</v>
      </c>
    </row>
    <row r="4118" spans="1:5" ht="14.25">
      <c r="A4118">
        <v>7114</v>
      </c>
      <c r="B4118" t="s">
        <v>11548</v>
      </c>
      <c r="C4118" t="s">
        <v>2102</v>
      </c>
      <c r="D4118" t="s">
        <v>2103</v>
      </c>
      <c r="E4118" s="183">
        <v>17.09</v>
      </c>
    </row>
    <row r="4119" spans="1:5" ht="14.25">
      <c r="A4119">
        <v>7109</v>
      </c>
      <c r="B4119" t="s">
        <v>11549</v>
      </c>
      <c r="C4119" t="s">
        <v>2102</v>
      </c>
      <c r="D4119" t="s">
        <v>2103</v>
      </c>
      <c r="E4119" s="183">
        <v>3.39</v>
      </c>
    </row>
    <row r="4120" spans="1:5" ht="14.25">
      <c r="A4120">
        <v>7135</v>
      </c>
      <c r="B4120" t="s">
        <v>11550</v>
      </c>
      <c r="C4120" t="s">
        <v>2102</v>
      </c>
      <c r="D4120" t="s">
        <v>2103</v>
      </c>
      <c r="E4120" s="183">
        <v>6.94</v>
      </c>
    </row>
    <row r="4121" spans="1:5" ht="14.25">
      <c r="A4121">
        <v>37947</v>
      </c>
      <c r="B4121" t="s">
        <v>11551</v>
      </c>
      <c r="C4121" t="s">
        <v>2102</v>
      </c>
      <c r="D4121" t="s">
        <v>2103</v>
      </c>
      <c r="E4121" s="183">
        <v>5.64</v>
      </c>
    </row>
    <row r="4122" spans="1:5" ht="14.25">
      <c r="A4122">
        <v>7103</v>
      </c>
      <c r="B4122" t="s">
        <v>11552</v>
      </c>
      <c r="C4122" t="s">
        <v>2102</v>
      </c>
      <c r="D4122" t="s">
        <v>2103</v>
      </c>
      <c r="E4122" s="183">
        <v>18.38</v>
      </c>
    </row>
    <row r="4123" spans="1:5" ht="14.25">
      <c r="A4123">
        <v>40419</v>
      </c>
      <c r="B4123" t="s">
        <v>11553</v>
      </c>
      <c r="C4123" t="s">
        <v>2102</v>
      </c>
      <c r="D4123" t="s">
        <v>2105</v>
      </c>
      <c r="E4123" s="183">
        <v>36.950000000000003</v>
      </c>
    </row>
    <row r="4124" spans="1:5" ht="14.25">
      <c r="A4124">
        <v>40420</v>
      </c>
      <c r="B4124" t="s">
        <v>11554</v>
      </c>
      <c r="C4124" t="s">
        <v>2102</v>
      </c>
      <c r="D4124" t="s">
        <v>2105</v>
      </c>
      <c r="E4124" s="183">
        <v>53.91</v>
      </c>
    </row>
    <row r="4125" spans="1:5" ht="14.25">
      <c r="A4125">
        <v>40421</v>
      </c>
      <c r="B4125" t="s">
        <v>11555</v>
      </c>
      <c r="C4125" t="s">
        <v>2102</v>
      </c>
      <c r="D4125" t="s">
        <v>2105</v>
      </c>
      <c r="E4125" s="183">
        <v>57.39</v>
      </c>
    </row>
    <row r="4126" spans="1:5" ht="14.25">
      <c r="A4126">
        <v>38905</v>
      </c>
      <c r="B4126" t="s">
        <v>18647</v>
      </c>
      <c r="C4126" t="s">
        <v>2102</v>
      </c>
      <c r="D4126" t="s">
        <v>2105</v>
      </c>
      <c r="E4126" s="183">
        <v>18.57</v>
      </c>
    </row>
    <row r="4127" spans="1:5" ht="14.25">
      <c r="A4127">
        <v>38907</v>
      </c>
      <c r="B4127" t="s">
        <v>18648</v>
      </c>
      <c r="C4127" t="s">
        <v>2102</v>
      </c>
      <c r="D4127" t="s">
        <v>2105</v>
      </c>
      <c r="E4127" s="183">
        <v>17.899999999999999</v>
      </c>
    </row>
    <row r="4128" spans="1:5" ht="14.25">
      <c r="A4128">
        <v>38910</v>
      </c>
      <c r="B4128" t="s">
        <v>18649</v>
      </c>
      <c r="C4128" t="s">
        <v>2102</v>
      </c>
      <c r="D4128" t="s">
        <v>2105</v>
      </c>
      <c r="E4128" s="183">
        <v>20.94</v>
      </c>
    </row>
    <row r="4129" spans="1:5" ht="14.25">
      <c r="A4129">
        <v>11655</v>
      </c>
      <c r="B4129" t="s">
        <v>18650</v>
      </c>
      <c r="C4129" t="s">
        <v>2102</v>
      </c>
      <c r="D4129" t="s">
        <v>2103</v>
      </c>
      <c r="E4129" s="183">
        <v>20.93</v>
      </c>
    </row>
    <row r="4130" spans="1:5" ht="14.25">
      <c r="A4130">
        <v>11656</v>
      </c>
      <c r="B4130" t="s">
        <v>18651</v>
      </c>
      <c r="C4130" t="s">
        <v>2102</v>
      </c>
      <c r="D4130" t="s">
        <v>2103</v>
      </c>
      <c r="E4130" s="183">
        <v>24.03</v>
      </c>
    </row>
    <row r="4131" spans="1:5" ht="14.25">
      <c r="A4131">
        <v>7091</v>
      </c>
      <c r="B4131" t="s">
        <v>11556</v>
      </c>
      <c r="C4131" t="s">
        <v>2102</v>
      </c>
      <c r="D4131" t="s">
        <v>2103</v>
      </c>
      <c r="E4131" s="183">
        <v>19.68</v>
      </c>
    </row>
    <row r="4132" spans="1:5" ht="14.25">
      <c r="A4132">
        <v>37948</v>
      </c>
      <c r="B4132" t="s">
        <v>11557</v>
      </c>
      <c r="C4132" t="s">
        <v>2102</v>
      </c>
      <c r="D4132" t="s">
        <v>2103</v>
      </c>
      <c r="E4132" s="183">
        <v>4.5599999999999996</v>
      </c>
    </row>
    <row r="4133" spans="1:5" ht="14.25">
      <c r="A4133">
        <v>7097</v>
      </c>
      <c r="B4133" t="s">
        <v>11558</v>
      </c>
      <c r="C4133" t="s">
        <v>2102</v>
      </c>
      <c r="D4133" t="s">
        <v>2103</v>
      </c>
      <c r="E4133" s="183">
        <v>9.25</v>
      </c>
    </row>
    <row r="4134" spans="1:5" ht="14.25">
      <c r="A4134">
        <v>11658</v>
      </c>
      <c r="B4134" t="s">
        <v>11559</v>
      </c>
      <c r="C4134" t="s">
        <v>2102</v>
      </c>
      <c r="D4134" t="s">
        <v>2103</v>
      </c>
      <c r="E4134" s="183">
        <v>20.43</v>
      </c>
    </row>
    <row r="4135" spans="1:5" ht="14.25">
      <c r="A4135">
        <v>7146</v>
      </c>
      <c r="B4135" t="s">
        <v>11560</v>
      </c>
      <c r="C4135" t="s">
        <v>2102</v>
      </c>
      <c r="D4135" t="s">
        <v>2103</v>
      </c>
      <c r="E4135" s="183">
        <v>223.67</v>
      </c>
    </row>
    <row r="4136" spans="1:5" ht="14.25">
      <c r="A4136">
        <v>7138</v>
      </c>
      <c r="B4136" t="s">
        <v>11561</v>
      </c>
      <c r="C4136" t="s">
        <v>2102</v>
      </c>
      <c r="D4136" t="s">
        <v>2103</v>
      </c>
      <c r="E4136" s="183">
        <v>1.42</v>
      </c>
    </row>
    <row r="4137" spans="1:5" ht="14.25">
      <c r="A4137">
        <v>7139</v>
      </c>
      <c r="B4137" t="s">
        <v>11562</v>
      </c>
      <c r="C4137" t="s">
        <v>2102</v>
      </c>
      <c r="D4137" t="s">
        <v>2103</v>
      </c>
      <c r="E4137" s="183">
        <v>1.6</v>
      </c>
    </row>
    <row r="4138" spans="1:5" ht="14.25">
      <c r="A4138">
        <v>7140</v>
      </c>
      <c r="B4138" t="s">
        <v>11563</v>
      </c>
      <c r="C4138" t="s">
        <v>2102</v>
      </c>
      <c r="D4138" t="s">
        <v>2103</v>
      </c>
      <c r="E4138" s="183">
        <v>5.03</v>
      </c>
    </row>
    <row r="4139" spans="1:5" ht="14.25">
      <c r="A4139">
        <v>7141</v>
      </c>
      <c r="B4139" t="s">
        <v>11564</v>
      </c>
      <c r="C4139" t="s">
        <v>2102</v>
      </c>
      <c r="D4139" t="s">
        <v>2103</v>
      </c>
      <c r="E4139" s="183">
        <v>12.31</v>
      </c>
    </row>
    <row r="4140" spans="1:5" ht="14.25">
      <c r="A4140">
        <v>7143</v>
      </c>
      <c r="B4140" t="s">
        <v>11565</v>
      </c>
      <c r="C4140" t="s">
        <v>2102</v>
      </c>
      <c r="D4140" t="s">
        <v>2103</v>
      </c>
      <c r="E4140" s="183">
        <v>41.29</v>
      </c>
    </row>
    <row r="4141" spans="1:5" ht="14.25">
      <c r="A4141">
        <v>7144</v>
      </c>
      <c r="B4141" t="s">
        <v>11566</v>
      </c>
      <c r="C4141" t="s">
        <v>2102</v>
      </c>
      <c r="D4141" t="s">
        <v>2103</v>
      </c>
      <c r="E4141" s="183">
        <v>76.61</v>
      </c>
    </row>
    <row r="4142" spans="1:5" ht="14.25">
      <c r="A4142">
        <v>7145</v>
      </c>
      <c r="B4142" t="s">
        <v>11567</v>
      </c>
      <c r="C4142" t="s">
        <v>2102</v>
      </c>
      <c r="D4142" t="s">
        <v>2103</v>
      </c>
      <c r="E4142" s="183">
        <v>104.17</v>
      </c>
    </row>
    <row r="4143" spans="1:5" ht="14.25">
      <c r="A4143">
        <v>7142</v>
      </c>
      <c r="B4143" t="s">
        <v>11568</v>
      </c>
      <c r="C4143" t="s">
        <v>2102</v>
      </c>
      <c r="D4143" t="s">
        <v>2103</v>
      </c>
      <c r="E4143" s="183">
        <v>12.86</v>
      </c>
    </row>
    <row r="4144" spans="1:5" ht="14.25">
      <c r="A4144">
        <v>3593</v>
      </c>
      <c r="B4144" t="s">
        <v>11569</v>
      </c>
      <c r="C4144" t="s">
        <v>2102</v>
      </c>
      <c r="D4144" t="s">
        <v>2105</v>
      </c>
      <c r="E4144" s="183">
        <v>101.47</v>
      </c>
    </row>
    <row r="4145" spans="1:5" ht="14.25">
      <c r="A4145">
        <v>3588</v>
      </c>
      <c r="B4145" t="s">
        <v>11570</v>
      </c>
      <c r="C4145" t="s">
        <v>2102</v>
      </c>
      <c r="D4145" t="s">
        <v>2105</v>
      </c>
      <c r="E4145" s="183">
        <v>78.209999999999994</v>
      </c>
    </row>
    <row r="4146" spans="1:5" ht="14.25">
      <c r="A4146">
        <v>3585</v>
      </c>
      <c r="B4146" t="s">
        <v>11571</v>
      </c>
      <c r="C4146" t="s">
        <v>2102</v>
      </c>
      <c r="D4146" t="s">
        <v>2105</v>
      </c>
      <c r="E4146" s="183">
        <v>24.16</v>
      </c>
    </row>
    <row r="4147" spans="1:5" ht="14.25">
      <c r="A4147">
        <v>3587</v>
      </c>
      <c r="B4147" t="s">
        <v>11572</v>
      </c>
      <c r="C4147" t="s">
        <v>2102</v>
      </c>
      <c r="D4147" t="s">
        <v>2105</v>
      </c>
      <c r="E4147" s="183">
        <v>48.53</v>
      </c>
    </row>
    <row r="4148" spans="1:5" ht="14.25">
      <c r="A4148">
        <v>3590</v>
      </c>
      <c r="B4148" t="s">
        <v>11573</v>
      </c>
      <c r="C4148" t="s">
        <v>2102</v>
      </c>
      <c r="D4148" t="s">
        <v>2105</v>
      </c>
      <c r="E4148" s="183">
        <v>288.11</v>
      </c>
    </row>
    <row r="4149" spans="1:5" ht="14.25">
      <c r="A4149">
        <v>3589</v>
      </c>
      <c r="B4149" t="s">
        <v>11574</v>
      </c>
      <c r="C4149" t="s">
        <v>2102</v>
      </c>
      <c r="D4149" t="s">
        <v>2105</v>
      </c>
      <c r="E4149" s="183">
        <v>154.63999999999999</v>
      </c>
    </row>
    <row r="4150" spans="1:5" ht="14.25">
      <c r="A4150">
        <v>3586</v>
      </c>
      <c r="B4150" t="s">
        <v>11575</v>
      </c>
      <c r="C4150" t="s">
        <v>2102</v>
      </c>
      <c r="D4150" t="s">
        <v>2105</v>
      </c>
      <c r="E4150" s="183">
        <v>31.64</v>
      </c>
    </row>
    <row r="4151" spans="1:5" ht="14.25">
      <c r="A4151">
        <v>3592</v>
      </c>
      <c r="B4151" t="s">
        <v>11576</v>
      </c>
      <c r="C4151" t="s">
        <v>2102</v>
      </c>
      <c r="D4151" t="s">
        <v>2105</v>
      </c>
      <c r="E4151" s="183">
        <v>455.41</v>
      </c>
    </row>
    <row r="4152" spans="1:5" ht="14.25">
      <c r="A4152">
        <v>3591</v>
      </c>
      <c r="B4152" t="s">
        <v>11577</v>
      </c>
      <c r="C4152" t="s">
        <v>2102</v>
      </c>
      <c r="D4152" t="s">
        <v>2105</v>
      </c>
      <c r="E4152" s="183">
        <v>730.05</v>
      </c>
    </row>
    <row r="4153" spans="1:5" ht="14.25">
      <c r="A4153">
        <v>40396</v>
      </c>
      <c r="B4153" t="s">
        <v>11578</v>
      </c>
      <c r="C4153" t="s">
        <v>2102</v>
      </c>
      <c r="D4153" t="s">
        <v>2103</v>
      </c>
      <c r="E4153" s="183">
        <v>167.13</v>
      </c>
    </row>
    <row r="4154" spans="1:5" ht="14.25">
      <c r="A4154">
        <v>40395</v>
      </c>
      <c r="B4154" t="s">
        <v>11579</v>
      </c>
      <c r="C4154" t="s">
        <v>2102</v>
      </c>
      <c r="D4154" t="s">
        <v>2103</v>
      </c>
      <c r="E4154" s="183">
        <v>128.26</v>
      </c>
    </row>
    <row r="4155" spans="1:5" ht="14.25">
      <c r="A4155">
        <v>40392</v>
      </c>
      <c r="B4155" t="s">
        <v>11580</v>
      </c>
      <c r="C4155" t="s">
        <v>2102</v>
      </c>
      <c r="D4155" t="s">
        <v>2103</v>
      </c>
      <c r="E4155" s="183">
        <v>41.27</v>
      </c>
    </row>
    <row r="4156" spans="1:5" ht="14.25">
      <c r="A4156">
        <v>40394</v>
      </c>
      <c r="B4156" t="s">
        <v>11581</v>
      </c>
      <c r="C4156" t="s">
        <v>2102</v>
      </c>
      <c r="D4156" t="s">
        <v>2103</v>
      </c>
      <c r="E4156" s="183">
        <v>83.51</v>
      </c>
    </row>
    <row r="4157" spans="1:5" ht="14.25">
      <c r="A4157">
        <v>40398</v>
      </c>
      <c r="B4157" t="s">
        <v>11582</v>
      </c>
      <c r="C4157" t="s">
        <v>2102</v>
      </c>
      <c r="D4157" t="s">
        <v>2103</v>
      </c>
      <c r="E4157" s="183">
        <v>536.19000000000005</v>
      </c>
    </row>
    <row r="4158" spans="1:5" ht="14.25">
      <c r="A4158">
        <v>40397</v>
      </c>
      <c r="B4158" t="s">
        <v>11583</v>
      </c>
      <c r="C4158" t="s">
        <v>2102</v>
      </c>
      <c r="D4158" t="s">
        <v>2103</v>
      </c>
      <c r="E4158" s="183">
        <v>274.58999999999997</v>
      </c>
    </row>
    <row r="4159" spans="1:5" ht="14.25">
      <c r="A4159">
        <v>40393</v>
      </c>
      <c r="B4159" t="s">
        <v>11584</v>
      </c>
      <c r="C4159" t="s">
        <v>2102</v>
      </c>
      <c r="D4159" t="s">
        <v>2103</v>
      </c>
      <c r="E4159" s="183">
        <v>53.16</v>
      </c>
    </row>
    <row r="4160" spans="1:5" ht="14.25">
      <c r="A4160">
        <v>40399</v>
      </c>
      <c r="B4160" t="s">
        <v>11585</v>
      </c>
      <c r="C4160" t="s">
        <v>2102</v>
      </c>
      <c r="D4160" t="s">
        <v>2103</v>
      </c>
      <c r="E4160" s="183">
        <v>877.19</v>
      </c>
    </row>
    <row r="4161" spans="1:5" ht="14.25">
      <c r="A4161">
        <v>39322</v>
      </c>
      <c r="B4161" t="s">
        <v>18652</v>
      </c>
      <c r="C4161" t="s">
        <v>2102</v>
      </c>
      <c r="D4161" t="s">
        <v>2105</v>
      </c>
      <c r="E4161" s="183">
        <v>8.83</v>
      </c>
    </row>
    <row r="4162" spans="1:5" ht="14.25">
      <c r="A4162">
        <v>39289</v>
      </c>
      <c r="B4162" t="s">
        <v>18653</v>
      </c>
      <c r="C4162" t="s">
        <v>2102</v>
      </c>
      <c r="D4162" t="s">
        <v>2105</v>
      </c>
      <c r="E4162" s="183">
        <v>16.46</v>
      </c>
    </row>
    <row r="4163" spans="1:5" ht="14.25">
      <c r="A4163">
        <v>39290</v>
      </c>
      <c r="B4163" t="s">
        <v>18654</v>
      </c>
      <c r="C4163" t="s">
        <v>2102</v>
      </c>
      <c r="D4163" t="s">
        <v>2105</v>
      </c>
      <c r="E4163" s="183">
        <v>27.8</v>
      </c>
    </row>
    <row r="4164" spans="1:5" ht="14.25">
      <c r="A4164">
        <v>39291</v>
      </c>
      <c r="B4164" t="s">
        <v>18655</v>
      </c>
      <c r="C4164" t="s">
        <v>2102</v>
      </c>
      <c r="D4164" t="s">
        <v>2105</v>
      </c>
      <c r="E4164" s="183">
        <v>30.74</v>
      </c>
    </row>
    <row r="4165" spans="1:5" ht="14.25">
      <c r="A4165">
        <v>41892</v>
      </c>
      <c r="B4165" t="s">
        <v>11586</v>
      </c>
      <c r="C4165" t="s">
        <v>2102</v>
      </c>
      <c r="D4165" t="s">
        <v>2105</v>
      </c>
      <c r="E4165" s="183">
        <v>97.36</v>
      </c>
    </row>
    <row r="4166" spans="1:5" ht="14.25">
      <c r="A4166">
        <v>7048</v>
      </c>
      <c r="B4166" t="s">
        <v>11587</v>
      </c>
      <c r="C4166" t="s">
        <v>2102</v>
      </c>
      <c r="D4166" t="s">
        <v>2105</v>
      </c>
      <c r="E4166" s="183">
        <v>21.01</v>
      </c>
    </row>
    <row r="4167" spans="1:5" ht="14.25">
      <c r="A4167">
        <v>7088</v>
      </c>
      <c r="B4167" t="s">
        <v>11588</v>
      </c>
      <c r="C4167" t="s">
        <v>2102</v>
      </c>
      <c r="D4167" t="s">
        <v>2105</v>
      </c>
      <c r="E4167" s="183">
        <v>45.95</v>
      </c>
    </row>
    <row r="4168" spans="1:5" ht="14.25">
      <c r="A4168">
        <v>20179</v>
      </c>
      <c r="B4168" t="s">
        <v>18656</v>
      </c>
      <c r="C4168" t="s">
        <v>2102</v>
      </c>
      <c r="D4168" t="s">
        <v>2103</v>
      </c>
      <c r="E4168" s="183">
        <v>53.86</v>
      </c>
    </row>
    <row r="4169" spans="1:5" ht="14.25">
      <c r="A4169">
        <v>20178</v>
      </c>
      <c r="B4169" t="s">
        <v>18657</v>
      </c>
      <c r="C4169" t="s">
        <v>2102</v>
      </c>
      <c r="D4169" t="s">
        <v>2103</v>
      </c>
      <c r="E4169" s="183">
        <v>64.56</v>
      </c>
    </row>
    <row r="4170" spans="1:5" ht="14.25">
      <c r="A4170">
        <v>20180</v>
      </c>
      <c r="B4170" t="s">
        <v>18658</v>
      </c>
      <c r="C4170" t="s">
        <v>2102</v>
      </c>
      <c r="D4170" t="s">
        <v>2103</v>
      </c>
      <c r="E4170" s="183">
        <v>106.56</v>
      </c>
    </row>
    <row r="4171" spans="1:5" ht="14.25">
      <c r="A4171">
        <v>20181</v>
      </c>
      <c r="B4171" t="s">
        <v>18659</v>
      </c>
      <c r="C4171" t="s">
        <v>2102</v>
      </c>
      <c r="D4171" t="s">
        <v>2103</v>
      </c>
      <c r="E4171" s="183">
        <v>142.66999999999999</v>
      </c>
    </row>
    <row r="4172" spans="1:5" ht="14.25">
      <c r="A4172">
        <v>20177</v>
      </c>
      <c r="B4172" t="s">
        <v>18660</v>
      </c>
      <c r="C4172" t="s">
        <v>2102</v>
      </c>
      <c r="D4172" t="s">
        <v>2103</v>
      </c>
      <c r="E4172" s="183">
        <v>35.29</v>
      </c>
    </row>
    <row r="4173" spans="1:5" ht="14.25">
      <c r="A4173">
        <v>7070</v>
      </c>
      <c r="B4173" t="s">
        <v>18661</v>
      </c>
      <c r="C4173" t="s">
        <v>2102</v>
      </c>
      <c r="D4173" t="s">
        <v>2103</v>
      </c>
      <c r="E4173" s="183">
        <v>253.24</v>
      </c>
    </row>
    <row r="4174" spans="1:5" ht="14.25">
      <c r="A4174">
        <v>40945</v>
      </c>
      <c r="B4174" t="s">
        <v>15298</v>
      </c>
      <c r="C4174" t="s">
        <v>2106</v>
      </c>
      <c r="D4174" t="s">
        <v>2103</v>
      </c>
      <c r="E4174" s="183">
        <v>22.81</v>
      </c>
    </row>
    <row r="4175" spans="1:5" ht="14.25">
      <c r="A4175">
        <v>40946</v>
      </c>
      <c r="B4175" t="s">
        <v>11589</v>
      </c>
      <c r="C4175" t="s">
        <v>2123</v>
      </c>
      <c r="D4175" t="s">
        <v>2103</v>
      </c>
      <c r="E4175" s="184">
        <v>4000.99</v>
      </c>
    </row>
    <row r="4176" spans="1:5" ht="14.25">
      <c r="A4176">
        <v>7153</v>
      </c>
      <c r="B4176" t="s">
        <v>15299</v>
      </c>
      <c r="C4176" t="s">
        <v>2106</v>
      </c>
      <c r="D4176" t="s">
        <v>2103</v>
      </c>
      <c r="E4176" s="183">
        <v>47.64</v>
      </c>
    </row>
    <row r="4177" spans="1:5" ht="14.25">
      <c r="A4177">
        <v>41089</v>
      </c>
      <c r="B4177" t="s">
        <v>11590</v>
      </c>
      <c r="C4177" t="s">
        <v>2123</v>
      </c>
      <c r="D4177" t="s">
        <v>2103</v>
      </c>
      <c r="E4177" s="184">
        <v>8351.6</v>
      </c>
    </row>
    <row r="4178" spans="1:5" ht="14.25">
      <c r="A4178">
        <v>40943</v>
      </c>
      <c r="B4178" t="s">
        <v>15300</v>
      </c>
      <c r="C4178" t="s">
        <v>2106</v>
      </c>
      <c r="D4178" t="s">
        <v>2103</v>
      </c>
      <c r="E4178" s="183">
        <v>33.81</v>
      </c>
    </row>
    <row r="4179" spans="1:5" ht="14.25">
      <c r="A4179">
        <v>40944</v>
      </c>
      <c r="B4179" t="s">
        <v>11591</v>
      </c>
      <c r="C4179" t="s">
        <v>2123</v>
      </c>
      <c r="D4179" t="s">
        <v>2103</v>
      </c>
      <c r="E4179" s="184">
        <v>5929.14</v>
      </c>
    </row>
    <row r="4180" spans="1:5" ht="14.25">
      <c r="A4180">
        <v>6175</v>
      </c>
      <c r="B4180" t="s">
        <v>18662</v>
      </c>
      <c r="C4180" t="s">
        <v>2106</v>
      </c>
      <c r="D4180" t="s">
        <v>2103</v>
      </c>
      <c r="E4180" s="183">
        <v>47.05</v>
      </c>
    </row>
    <row r="4181" spans="1:5" ht="14.25">
      <c r="A4181">
        <v>41092</v>
      </c>
      <c r="B4181" t="s">
        <v>11592</v>
      </c>
      <c r="C4181" t="s">
        <v>2123</v>
      </c>
      <c r="D4181" t="s">
        <v>2103</v>
      </c>
      <c r="E4181" s="184">
        <v>8251.51</v>
      </c>
    </row>
    <row r="4182" spans="1:5" ht="14.25">
      <c r="A4182">
        <v>37712</v>
      </c>
      <c r="B4182" t="s">
        <v>11593</v>
      </c>
      <c r="C4182" t="s">
        <v>2104</v>
      </c>
      <c r="D4182" t="s">
        <v>2103</v>
      </c>
      <c r="E4182" s="183">
        <v>81.75</v>
      </c>
    </row>
    <row r="4183" spans="1:5" ht="14.25">
      <c r="A4183">
        <v>34547</v>
      </c>
      <c r="B4183" t="s">
        <v>11594</v>
      </c>
      <c r="C4183" t="s">
        <v>2109</v>
      </c>
      <c r="D4183" t="s">
        <v>2103</v>
      </c>
      <c r="E4183" s="183">
        <v>4.63</v>
      </c>
    </row>
    <row r="4184" spans="1:5" ht="14.25">
      <c r="A4184">
        <v>34548</v>
      </c>
      <c r="B4184" t="s">
        <v>11595</v>
      </c>
      <c r="C4184" t="s">
        <v>2109</v>
      </c>
      <c r="D4184" t="s">
        <v>2103</v>
      </c>
      <c r="E4184" s="183">
        <v>7.6</v>
      </c>
    </row>
    <row r="4185" spans="1:5" ht="14.25">
      <c r="A4185">
        <v>34558</v>
      </c>
      <c r="B4185" t="s">
        <v>11596</v>
      </c>
      <c r="C4185" t="s">
        <v>2109</v>
      </c>
      <c r="D4185" t="s">
        <v>2103</v>
      </c>
      <c r="E4185" s="183">
        <v>3.77</v>
      </c>
    </row>
    <row r="4186" spans="1:5" ht="14.25">
      <c r="A4186">
        <v>34550</v>
      </c>
      <c r="B4186" t="s">
        <v>11597</v>
      </c>
      <c r="C4186" t="s">
        <v>2109</v>
      </c>
      <c r="D4186" t="s">
        <v>2103</v>
      </c>
      <c r="E4186" s="183">
        <v>2</v>
      </c>
    </row>
    <row r="4187" spans="1:5" ht="14.25">
      <c r="A4187">
        <v>34557</v>
      </c>
      <c r="B4187" t="s">
        <v>11598</v>
      </c>
      <c r="C4187" t="s">
        <v>2109</v>
      </c>
      <c r="D4187" t="s">
        <v>2103</v>
      </c>
      <c r="E4187" s="183">
        <v>2.93</v>
      </c>
    </row>
    <row r="4188" spans="1:5" ht="14.25">
      <c r="A4188">
        <v>37411</v>
      </c>
      <c r="B4188" t="s">
        <v>11599</v>
      </c>
      <c r="C4188" t="s">
        <v>2104</v>
      </c>
      <c r="D4188" t="s">
        <v>2103</v>
      </c>
      <c r="E4188" s="183">
        <v>21.45</v>
      </c>
    </row>
    <row r="4189" spans="1:5" ht="14.25">
      <c r="A4189">
        <v>39508</v>
      </c>
      <c r="B4189" t="s">
        <v>11600</v>
      </c>
      <c r="C4189" t="s">
        <v>2104</v>
      </c>
      <c r="D4189" t="s">
        <v>2103</v>
      </c>
      <c r="E4189" s="183">
        <v>12.05</v>
      </c>
    </row>
    <row r="4190" spans="1:5" ht="14.25">
      <c r="A4190">
        <v>39507</v>
      </c>
      <c r="B4190" t="s">
        <v>11601</v>
      </c>
      <c r="C4190" t="s">
        <v>2104</v>
      </c>
      <c r="D4190" t="s">
        <v>2103</v>
      </c>
      <c r="E4190" s="183">
        <v>17.98</v>
      </c>
    </row>
    <row r="4191" spans="1:5" ht="14.25">
      <c r="A4191">
        <v>7155</v>
      </c>
      <c r="B4191" t="s">
        <v>11602</v>
      </c>
      <c r="C4191" t="s">
        <v>2104</v>
      </c>
      <c r="D4191" t="s">
        <v>2103</v>
      </c>
      <c r="E4191" s="183">
        <v>23.08</v>
      </c>
    </row>
    <row r="4192" spans="1:5" ht="14.25">
      <c r="A4192">
        <v>42406</v>
      </c>
      <c r="B4192" t="s">
        <v>11603</v>
      </c>
      <c r="C4192" t="s">
        <v>2104</v>
      </c>
      <c r="D4192" t="s">
        <v>2103</v>
      </c>
      <c r="E4192" s="183">
        <v>26.46</v>
      </c>
    </row>
    <row r="4193" spans="1:5" ht="14.25">
      <c r="A4193">
        <v>7156</v>
      </c>
      <c r="B4193" t="s">
        <v>11604</v>
      </c>
      <c r="C4193" t="s">
        <v>2104</v>
      </c>
      <c r="D4193" t="s">
        <v>2107</v>
      </c>
      <c r="E4193" s="183">
        <v>33.11</v>
      </c>
    </row>
    <row r="4194" spans="1:5" ht="14.25">
      <c r="A4194">
        <v>43127</v>
      </c>
      <c r="B4194" t="s">
        <v>11605</v>
      </c>
      <c r="C4194" t="s">
        <v>2104</v>
      </c>
      <c r="D4194" t="s">
        <v>2103</v>
      </c>
      <c r="E4194" s="183">
        <v>47.38</v>
      </c>
    </row>
    <row r="4195" spans="1:5" ht="14.25">
      <c r="A4195">
        <v>10917</v>
      </c>
      <c r="B4195" t="s">
        <v>11606</v>
      </c>
      <c r="C4195" t="s">
        <v>2104</v>
      </c>
      <c r="D4195" t="s">
        <v>2103</v>
      </c>
      <c r="E4195" s="183">
        <v>10</v>
      </c>
    </row>
    <row r="4196" spans="1:5" ht="14.25">
      <c r="A4196">
        <v>21141</v>
      </c>
      <c r="B4196" t="s">
        <v>11607</v>
      </c>
      <c r="C4196" t="s">
        <v>2104</v>
      </c>
      <c r="D4196" t="s">
        <v>2103</v>
      </c>
      <c r="E4196" s="183">
        <v>15.48</v>
      </c>
    </row>
    <row r="4197" spans="1:5" ht="14.25">
      <c r="A4197">
        <v>39509</v>
      </c>
      <c r="B4197" t="s">
        <v>11608</v>
      </c>
      <c r="C4197" t="s">
        <v>2104</v>
      </c>
      <c r="D4197" t="s">
        <v>2103</v>
      </c>
      <c r="E4197" s="183">
        <v>14.89</v>
      </c>
    </row>
    <row r="4198" spans="1:5" ht="14.25">
      <c r="A4198">
        <v>44529</v>
      </c>
      <c r="B4198" t="s">
        <v>13685</v>
      </c>
      <c r="C4198" t="s">
        <v>2104</v>
      </c>
      <c r="D4198" t="s">
        <v>2105</v>
      </c>
      <c r="E4198" s="183">
        <v>24.02</v>
      </c>
    </row>
    <row r="4199" spans="1:5" ht="14.25">
      <c r="A4199">
        <v>7167</v>
      </c>
      <c r="B4199" t="s">
        <v>11609</v>
      </c>
      <c r="C4199" t="s">
        <v>2104</v>
      </c>
      <c r="D4199" t="s">
        <v>2105</v>
      </c>
      <c r="E4199" s="183">
        <v>24.07</v>
      </c>
    </row>
    <row r="4200" spans="1:5" ht="14.25">
      <c r="A4200">
        <v>10928</v>
      </c>
      <c r="B4200" t="s">
        <v>11610</v>
      </c>
      <c r="C4200" t="s">
        <v>2104</v>
      </c>
      <c r="D4200" t="s">
        <v>2105</v>
      </c>
      <c r="E4200" s="183">
        <v>13.83</v>
      </c>
    </row>
    <row r="4201" spans="1:5" ht="14.25">
      <c r="A4201">
        <v>10933</v>
      </c>
      <c r="B4201" t="s">
        <v>11611</v>
      </c>
      <c r="C4201" t="s">
        <v>2104</v>
      </c>
      <c r="D4201" t="s">
        <v>2105</v>
      </c>
      <c r="E4201" s="183">
        <v>20.86</v>
      </c>
    </row>
    <row r="4202" spans="1:5" ht="14.25">
      <c r="A4202">
        <v>7158</v>
      </c>
      <c r="B4202" t="s">
        <v>11612</v>
      </c>
      <c r="C4202" t="s">
        <v>2104</v>
      </c>
      <c r="D4202" t="s">
        <v>2105</v>
      </c>
      <c r="E4202" s="183">
        <v>35.380000000000003</v>
      </c>
    </row>
    <row r="4203" spans="1:5" ht="14.25">
      <c r="A4203">
        <v>10927</v>
      </c>
      <c r="B4203" t="s">
        <v>11613</v>
      </c>
      <c r="C4203" t="s">
        <v>2104</v>
      </c>
      <c r="D4203" t="s">
        <v>2105</v>
      </c>
      <c r="E4203" s="183">
        <v>22.62</v>
      </c>
    </row>
    <row r="4204" spans="1:5" ht="14.25">
      <c r="A4204">
        <v>7162</v>
      </c>
      <c r="B4204" t="s">
        <v>11614</v>
      </c>
      <c r="C4204" t="s">
        <v>2104</v>
      </c>
      <c r="D4204" t="s">
        <v>2105</v>
      </c>
      <c r="E4204" s="183">
        <v>55.36</v>
      </c>
    </row>
    <row r="4205" spans="1:5" ht="14.25">
      <c r="A4205">
        <v>10932</v>
      </c>
      <c r="B4205" t="s">
        <v>11615</v>
      </c>
      <c r="C4205" t="s">
        <v>2104</v>
      </c>
      <c r="D4205" t="s">
        <v>2105</v>
      </c>
      <c r="E4205" s="183">
        <v>96.3</v>
      </c>
    </row>
    <row r="4206" spans="1:5" ht="14.25">
      <c r="A4206">
        <v>10937</v>
      </c>
      <c r="B4206" t="s">
        <v>11616</v>
      </c>
      <c r="C4206" t="s">
        <v>2104</v>
      </c>
      <c r="D4206" t="s">
        <v>2105</v>
      </c>
      <c r="E4206" s="183">
        <v>24.75</v>
      </c>
    </row>
    <row r="4207" spans="1:5" ht="14.25">
      <c r="A4207">
        <v>10935</v>
      </c>
      <c r="B4207" t="s">
        <v>11617</v>
      </c>
      <c r="C4207" t="s">
        <v>2104</v>
      </c>
      <c r="D4207" t="s">
        <v>2105</v>
      </c>
      <c r="E4207" s="183">
        <v>42.93</v>
      </c>
    </row>
    <row r="4208" spans="1:5" ht="14.25">
      <c r="A4208">
        <v>10931</v>
      </c>
      <c r="B4208" t="s">
        <v>11618</v>
      </c>
      <c r="C4208" t="s">
        <v>2104</v>
      </c>
      <c r="D4208" t="s">
        <v>2105</v>
      </c>
      <c r="E4208" s="183">
        <v>12.07</v>
      </c>
    </row>
    <row r="4209" spans="1:5" ht="14.25">
      <c r="A4209">
        <v>7164</v>
      </c>
      <c r="B4209" t="s">
        <v>11619</v>
      </c>
      <c r="C4209" t="s">
        <v>2104</v>
      </c>
      <c r="D4209" t="s">
        <v>2105</v>
      </c>
      <c r="E4209" s="183">
        <v>39.96</v>
      </c>
    </row>
    <row r="4210" spans="1:5" ht="14.25">
      <c r="A4210">
        <v>36887</v>
      </c>
      <c r="B4210" t="s">
        <v>11620</v>
      </c>
      <c r="C4210" t="s">
        <v>2104</v>
      </c>
      <c r="D4210" t="s">
        <v>2103</v>
      </c>
      <c r="E4210" s="183">
        <v>9.8699999999999992</v>
      </c>
    </row>
    <row r="4211" spans="1:5" ht="14.25">
      <c r="A4211">
        <v>34630</v>
      </c>
      <c r="B4211" t="s">
        <v>11621</v>
      </c>
      <c r="C4211" t="s">
        <v>2102</v>
      </c>
      <c r="D4211" t="s">
        <v>2103</v>
      </c>
      <c r="E4211" s="184">
        <v>1328.58</v>
      </c>
    </row>
    <row r="4212" spans="1:5" ht="14.25">
      <c r="A4212">
        <v>7161</v>
      </c>
      <c r="B4212" t="s">
        <v>11622</v>
      </c>
      <c r="C4212" t="s">
        <v>2104</v>
      </c>
      <c r="D4212" t="s">
        <v>2105</v>
      </c>
      <c r="E4212" s="183">
        <v>4.97</v>
      </c>
    </row>
    <row r="4213" spans="1:5" ht="14.25">
      <c r="A4213">
        <v>7170</v>
      </c>
      <c r="B4213" t="s">
        <v>11623</v>
      </c>
      <c r="C4213" t="s">
        <v>2104</v>
      </c>
      <c r="D4213" t="s">
        <v>2103</v>
      </c>
      <c r="E4213" s="183">
        <v>2.38</v>
      </c>
    </row>
    <row r="4214" spans="1:5" ht="14.25">
      <c r="A4214">
        <v>37524</v>
      </c>
      <c r="B4214" t="s">
        <v>11624</v>
      </c>
      <c r="C4214" t="s">
        <v>2109</v>
      </c>
      <c r="D4214" t="s">
        <v>2107</v>
      </c>
      <c r="E4214" s="183">
        <v>2.1800000000000002</v>
      </c>
    </row>
    <row r="4215" spans="1:5" ht="14.25">
      <c r="A4215">
        <v>37525</v>
      </c>
      <c r="B4215" t="s">
        <v>11625</v>
      </c>
      <c r="C4215" t="s">
        <v>2109</v>
      </c>
      <c r="D4215" t="s">
        <v>2103</v>
      </c>
      <c r="E4215" s="183">
        <v>2.98</v>
      </c>
    </row>
    <row r="4216" spans="1:5" ht="14.25">
      <c r="A4216">
        <v>36789</v>
      </c>
      <c r="B4216" t="s">
        <v>11626</v>
      </c>
      <c r="C4216" t="s">
        <v>2102</v>
      </c>
      <c r="D4216" t="s">
        <v>2103</v>
      </c>
      <c r="E4216" s="183">
        <v>1.23</v>
      </c>
    </row>
    <row r="4217" spans="1:5" ht="14.25">
      <c r="A4217">
        <v>7173</v>
      </c>
      <c r="B4217" t="s">
        <v>11627</v>
      </c>
      <c r="C4217" t="s">
        <v>2141</v>
      </c>
      <c r="D4217" t="s">
        <v>2107</v>
      </c>
      <c r="E4217" s="183">
        <v>800</v>
      </c>
    </row>
    <row r="4218" spans="1:5" ht="14.25">
      <c r="A4218">
        <v>7175</v>
      </c>
      <c r="B4218" t="s">
        <v>11628</v>
      </c>
      <c r="C4218" t="s">
        <v>2102</v>
      </c>
      <c r="D4218" t="s">
        <v>2103</v>
      </c>
      <c r="E4218" s="183">
        <v>0.9</v>
      </c>
    </row>
    <row r="4219" spans="1:5" ht="14.25">
      <c r="A4219">
        <v>40741</v>
      </c>
      <c r="B4219" t="s">
        <v>11629</v>
      </c>
      <c r="C4219" t="s">
        <v>2102</v>
      </c>
      <c r="D4219" t="s">
        <v>2103</v>
      </c>
      <c r="E4219" s="183">
        <v>2.89</v>
      </c>
    </row>
    <row r="4220" spans="1:5" ht="14.25">
      <c r="A4220">
        <v>7184</v>
      </c>
      <c r="B4220" t="s">
        <v>11630</v>
      </c>
      <c r="C4220" t="s">
        <v>2104</v>
      </c>
      <c r="D4220" t="s">
        <v>2105</v>
      </c>
      <c r="E4220" s="183">
        <v>52.54</v>
      </c>
    </row>
    <row r="4221" spans="1:5" ht="14.25">
      <c r="A4221">
        <v>34458</v>
      </c>
      <c r="B4221" t="s">
        <v>11631</v>
      </c>
      <c r="C4221" t="s">
        <v>2102</v>
      </c>
      <c r="D4221" t="s">
        <v>2103</v>
      </c>
      <c r="E4221" s="183">
        <v>143.15</v>
      </c>
    </row>
    <row r="4222" spans="1:5" ht="14.25">
      <c r="A4222">
        <v>34464</v>
      </c>
      <c r="B4222" t="s">
        <v>11632</v>
      </c>
      <c r="C4222" t="s">
        <v>2102</v>
      </c>
      <c r="D4222" t="s">
        <v>2103</v>
      </c>
      <c r="E4222" s="183">
        <v>213.09</v>
      </c>
    </row>
    <row r="4223" spans="1:5" ht="14.25">
      <c r="A4223">
        <v>34468</v>
      </c>
      <c r="B4223" t="s">
        <v>11633</v>
      </c>
      <c r="C4223" t="s">
        <v>2102</v>
      </c>
      <c r="D4223" t="s">
        <v>2103</v>
      </c>
      <c r="E4223" s="183">
        <v>268.64999999999998</v>
      </c>
    </row>
    <row r="4224" spans="1:5" ht="14.25">
      <c r="A4224">
        <v>34473</v>
      </c>
      <c r="B4224" t="s">
        <v>11634</v>
      </c>
      <c r="C4224" t="s">
        <v>2102</v>
      </c>
      <c r="D4224" t="s">
        <v>2103</v>
      </c>
      <c r="E4224" s="183">
        <v>162.97</v>
      </c>
    </row>
    <row r="4225" spans="1:5" ht="14.25">
      <c r="A4225">
        <v>34480</v>
      </c>
      <c r="B4225" t="s">
        <v>11635</v>
      </c>
      <c r="C4225" t="s">
        <v>2102</v>
      </c>
      <c r="D4225" t="s">
        <v>2103</v>
      </c>
      <c r="E4225" s="183">
        <v>301.17</v>
      </c>
    </row>
    <row r="4226" spans="1:5" ht="14.25">
      <c r="A4226">
        <v>34486</v>
      </c>
      <c r="B4226" t="s">
        <v>11636</v>
      </c>
      <c r="C4226" t="s">
        <v>2102</v>
      </c>
      <c r="D4226" t="s">
        <v>2103</v>
      </c>
      <c r="E4226" s="183">
        <v>356.58</v>
      </c>
    </row>
    <row r="4227" spans="1:5" ht="14.25">
      <c r="A4227">
        <v>7190</v>
      </c>
      <c r="B4227" t="s">
        <v>11637</v>
      </c>
      <c r="C4227" t="s">
        <v>2102</v>
      </c>
      <c r="D4227" t="s">
        <v>2103</v>
      </c>
      <c r="E4227" s="183">
        <v>11.9</v>
      </c>
    </row>
    <row r="4228" spans="1:5" ht="14.25">
      <c r="A4228">
        <v>34417</v>
      </c>
      <c r="B4228" t="s">
        <v>11638</v>
      </c>
      <c r="C4228" t="s">
        <v>2102</v>
      </c>
      <c r="D4228" t="s">
        <v>2103</v>
      </c>
      <c r="E4228" s="183">
        <v>19.05</v>
      </c>
    </row>
    <row r="4229" spans="1:5" ht="14.25">
      <c r="A4229">
        <v>7213</v>
      </c>
      <c r="B4229" t="s">
        <v>11639</v>
      </c>
      <c r="C4229" t="s">
        <v>2104</v>
      </c>
      <c r="D4229" t="s">
        <v>2103</v>
      </c>
      <c r="E4229" s="183">
        <v>17.47</v>
      </c>
    </row>
    <row r="4230" spans="1:5" ht="14.25">
      <c r="A4230">
        <v>7195</v>
      </c>
      <c r="B4230" t="s">
        <v>11640</v>
      </c>
      <c r="C4230" t="s">
        <v>2102</v>
      </c>
      <c r="D4230" t="s">
        <v>2103</v>
      </c>
      <c r="E4230" s="183">
        <v>51.3</v>
      </c>
    </row>
    <row r="4231" spans="1:5" ht="14.25">
      <c r="A4231">
        <v>7186</v>
      </c>
      <c r="B4231" t="s">
        <v>11641</v>
      </c>
      <c r="C4231" t="s">
        <v>2102</v>
      </c>
      <c r="D4231" t="s">
        <v>2107</v>
      </c>
      <c r="E4231" s="183">
        <v>55.88</v>
      </c>
    </row>
    <row r="4232" spans="1:5" ht="14.25">
      <c r="A4232">
        <v>7194</v>
      </c>
      <c r="B4232" t="s">
        <v>11642</v>
      </c>
      <c r="C4232" t="s">
        <v>2104</v>
      </c>
      <c r="D4232" t="s">
        <v>2103</v>
      </c>
      <c r="E4232" s="183">
        <v>25.76</v>
      </c>
    </row>
    <row r="4233" spans="1:5" ht="14.25">
      <c r="A4233">
        <v>7197</v>
      </c>
      <c r="B4233" t="s">
        <v>11643</v>
      </c>
      <c r="C4233" t="s">
        <v>2102</v>
      </c>
      <c r="D4233" t="s">
        <v>2103</v>
      </c>
      <c r="E4233" s="183">
        <v>108.74</v>
      </c>
    </row>
    <row r="4234" spans="1:5" ht="14.25">
      <c r="A4234">
        <v>7192</v>
      </c>
      <c r="B4234" t="s">
        <v>11644</v>
      </c>
      <c r="C4234" t="s">
        <v>2102</v>
      </c>
      <c r="D4234" t="s">
        <v>2103</v>
      </c>
      <c r="E4234" s="183">
        <v>97.42</v>
      </c>
    </row>
    <row r="4235" spans="1:5" ht="14.25">
      <c r="A4235">
        <v>7193</v>
      </c>
      <c r="B4235" t="s">
        <v>11645</v>
      </c>
      <c r="C4235" t="s">
        <v>2102</v>
      </c>
      <c r="D4235" t="s">
        <v>2103</v>
      </c>
      <c r="E4235" s="183">
        <v>109.68</v>
      </c>
    </row>
    <row r="4236" spans="1:5" ht="14.25">
      <c r="A4236">
        <v>7189</v>
      </c>
      <c r="B4236" t="s">
        <v>11646</v>
      </c>
      <c r="C4236" t="s">
        <v>2102</v>
      </c>
      <c r="D4236" t="s">
        <v>2103</v>
      </c>
      <c r="E4236" s="183">
        <v>127.46</v>
      </c>
    </row>
    <row r="4237" spans="1:5" ht="14.25">
      <c r="A4237">
        <v>34402</v>
      </c>
      <c r="B4237" t="s">
        <v>11647</v>
      </c>
      <c r="C4237" t="s">
        <v>2102</v>
      </c>
      <c r="D4237" t="s">
        <v>2103</v>
      </c>
      <c r="E4237" s="183">
        <v>179.96</v>
      </c>
    </row>
    <row r="4238" spans="1:5" ht="14.25">
      <c r="A4238">
        <v>7245</v>
      </c>
      <c r="B4238" t="s">
        <v>11648</v>
      </c>
      <c r="C4238" t="s">
        <v>2102</v>
      </c>
      <c r="D4238" t="s">
        <v>2103</v>
      </c>
      <c r="E4238" s="183">
        <v>42.49</v>
      </c>
    </row>
    <row r="4239" spans="1:5" ht="14.25">
      <c r="A4239">
        <v>34425</v>
      </c>
      <c r="B4239" t="s">
        <v>11649</v>
      </c>
      <c r="C4239" t="s">
        <v>2102</v>
      </c>
      <c r="D4239" t="s">
        <v>2103</v>
      </c>
      <c r="E4239" s="183">
        <v>115.6</v>
      </c>
    </row>
    <row r="4240" spans="1:5" ht="14.25">
      <c r="A4240">
        <v>7223</v>
      </c>
      <c r="B4240" t="s">
        <v>11650</v>
      </c>
      <c r="C4240" t="s">
        <v>2102</v>
      </c>
      <c r="D4240" t="s">
        <v>2103</v>
      </c>
      <c r="E4240" s="183">
        <v>128.83000000000001</v>
      </c>
    </row>
    <row r="4241" spans="1:5" ht="14.25">
      <c r="A4241">
        <v>7234</v>
      </c>
      <c r="B4241" t="s">
        <v>11651</v>
      </c>
      <c r="C4241" t="s">
        <v>2102</v>
      </c>
      <c r="D4241" t="s">
        <v>2103</v>
      </c>
      <c r="E4241" s="183">
        <v>194.4</v>
      </c>
    </row>
    <row r="4242" spans="1:5" ht="14.25">
      <c r="A4242">
        <v>7224</v>
      </c>
      <c r="B4242" t="s">
        <v>11652</v>
      </c>
      <c r="C4242" t="s">
        <v>2102</v>
      </c>
      <c r="D4242" t="s">
        <v>2103</v>
      </c>
      <c r="E4242" s="183">
        <v>236.83</v>
      </c>
    </row>
    <row r="4243" spans="1:5" ht="14.25">
      <c r="A4243">
        <v>7225</v>
      </c>
      <c r="B4243" t="s">
        <v>11653</v>
      </c>
      <c r="C4243" t="s">
        <v>2102</v>
      </c>
      <c r="D4243" t="s">
        <v>2103</v>
      </c>
      <c r="E4243" s="183">
        <v>253.94</v>
      </c>
    </row>
    <row r="4244" spans="1:5" ht="14.25">
      <c r="A4244">
        <v>7226</v>
      </c>
      <c r="B4244" t="s">
        <v>11654</v>
      </c>
      <c r="C4244" t="s">
        <v>2102</v>
      </c>
      <c r="D4244" t="s">
        <v>2103</v>
      </c>
      <c r="E4244" s="183">
        <v>270.99</v>
      </c>
    </row>
    <row r="4245" spans="1:5" ht="14.25">
      <c r="A4245">
        <v>7227</v>
      </c>
      <c r="B4245" t="s">
        <v>11655</v>
      </c>
      <c r="C4245" t="s">
        <v>2102</v>
      </c>
      <c r="D4245" t="s">
        <v>2103</v>
      </c>
      <c r="E4245" s="183">
        <v>308.45999999999998</v>
      </c>
    </row>
    <row r="4246" spans="1:5" ht="14.25">
      <c r="A4246">
        <v>7212</v>
      </c>
      <c r="B4246" t="s">
        <v>11656</v>
      </c>
      <c r="C4246" t="s">
        <v>2102</v>
      </c>
      <c r="D4246" t="s">
        <v>2103</v>
      </c>
      <c r="E4246" s="183">
        <v>338.92</v>
      </c>
    </row>
    <row r="4247" spans="1:5" ht="14.25">
      <c r="A4247">
        <v>7229</v>
      </c>
      <c r="B4247" t="s">
        <v>11657</v>
      </c>
      <c r="C4247" t="s">
        <v>2102</v>
      </c>
      <c r="D4247" t="s">
        <v>2103</v>
      </c>
      <c r="E4247" s="183">
        <v>214.83</v>
      </c>
    </row>
    <row r="4248" spans="1:5" ht="14.25">
      <c r="A4248">
        <v>7230</v>
      </c>
      <c r="B4248" t="s">
        <v>11658</v>
      </c>
      <c r="C4248" t="s">
        <v>2102</v>
      </c>
      <c r="D4248" t="s">
        <v>2103</v>
      </c>
      <c r="E4248" s="183">
        <v>357.65</v>
      </c>
    </row>
    <row r="4249" spans="1:5" ht="14.25">
      <c r="A4249">
        <v>7231</v>
      </c>
      <c r="B4249" t="s">
        <v>11659</v>
      </c>
      <c r="C4249" t="s">
        <v>2102</v>
      </c>
      <c r="D4249" t="s">
        <v>2103</v>
      </c>
      <c r="E4249" s="183">
        <v>507.36</v>
      </c>
    </row>
    <row r="4250" spans="1:5" ht="14.25">
      <c r="A4250">
        <v>7220</v>
      </c>
      <c r="B4250" t="s">
        <v>11660</v>
      </c>
      <c r="C4250" t="s">
        <v>2102</v>
      </c>
      <c r="D4250" t="s">
        <v>2103</v>
      </c>
      <c r="E4250" s="183">
        <v>626.29</v>
      </c>
    </row>
    <row r="4251" spans="1:5" ht="14.25">
      <c r="A4251">
        <v>34447</v>
      </c>
      <c r="B4251" t="s">
        <v>11661</v>
      </c>
      <c r="C4251" t="s">
        <v>2102</v>
      </c>
      <c r="D4251" t="s">
        <v>2103</v>
      </c>
      <c r="E4251" s="183">
        <v>700.28</v>
      </c>
    </row>
    <row r="4252" spans="1:5" ht="14.25">
      <c r="A4252">
        <v>7233</v>
      </c>
      <c r="B4252" t="s">
        <v>11662</v>
      </c>
      <c r="C4252" t="s">
        <v>2102</v>
      </c>
      <c r="D4252" t="s">
        <v>2103</v>
      </c>
      <c r="E4252" s="183">
        <v>803.33</v>
      </c>
    </row>
    <row r="4253" spans="1:5" ht="14.25">
      <c r="A4253">
        <v>40740</v>
      </c>
      <c r="B4253" t="s">
        <v>13686</v>
      </c>
      <c r="C4253" t="s">
        <v>2104</v>
      </c>
      <c r="D4253" t="s">
        <v>2105</v>
      </c>
      <c r="E4253" s="183">
        <v>158.41</v>
      </c>
    </row>
    <row r="4254" spans="1:5" ht="14.25">
      <c r="A4254">
        <v>25007</v>
      </c>
      <c r="B4254" t="s">
        <v>11663</v>
      </c>
      <c r="C4254" t="s">
        <v>2104</v>
      </c>
      <c r="D4254" t="s">
        <v>2105</v>
      </c>
      <c r="E4254" s="183">
        <v>45.33</v>
      </c>
    </row>
    <row r="4255" spans="1:5" ht="14.25">
      <c r="A4255">
        <v>43071</v>
      </c>
      <c r="B4255" t="s">
        <v>11664</v>
      </c>
      <c r="C4255" t="s">
        <v>2104</v>
      </c>
      <c r="D4255" t="s">
        <v>2105</v>
      </c>
      <c r="E4255" s="183">
        <v>178.37</v>
      </c>
    </row>
    <row r="4256" spans="1:5" ht="14.25">
      <c r="A4256">
        <v>39520</v>
      </c>
      <c r="B4256" t="s">
        <v>11665</v>
      </c>
      <c r="C4256" t="s">
        <v>2104</v>
      </c>
      <c r="D4256" t="s">
        <v>2105</v>
      </c>
      <c r="E4256" s="183">
        <v>145.52000000000001</v>
      </c>
    </row>
    <row r="4257" spans="1:5" ht="14.25">
      <c r="A4257">
        <v>39521</v>
      </c>
      <c r="B4257" t="s">
        <v>11666</v>
      </c>
      <c r="C4257" t="s">
        <v>2104</v>
      </c>
      <c r="D4257" t="s">
        <v>2105</v>
      </c>
      <c r="E4257" s="183">
        <v>150.28</v>
      </c>
    </row>
    <row r="4258" spans="1:5" ht="14.25">
      <c r="A4258">
        <v>39522</v>
      </c>
      <c r="B4258" t="s">
        <v>11667</v>
      </c>
      <c r="C4258" t="s">
        <v>2104</v>
      </c>
      <c r="D4258" t="s">
        <v>2105</v>
      </c>
      <c r="E4258" s="183">
        <v>155.18</v>
      </c>
    </row>
    <row r="4259" spans="1:5" ht="14.25">
      <c r="A4259">
        <v>7243</v>
      </c>
      <c r="B4259" t="s">
        <v>11668</v>
      </c>
      <c r="C4259" t="s">
        <v>2104</v>
      </c>
      <c r="D4259" t="s">
        <v>2105</v>
      </c>
      <c r="E4259" s="183">
        <v>47.37</v>
      </c>
    </row>
    <row r="4260" spans="1:5" ht="14.25">
      <c r="A4260">
        <v>11067</v>
      </c>
      <c r="B4260" t="s">
        <v>11669</v>
      </c>
      <c r="C4260" t="s">
        <v>2102</v>
      </c>
      <c r="D4260" t="s">
        <v>2105</v>
      </c>
      <c r="E4260" s="183">
        <v>327.2</v>
      </c>
    </row>
    <row r="4261" spans="1:5" ht="14.25">
      <c r="A4261">
        <v>11068</v>
      </c>
      <c r="B4261" t="s">
        <v>11670</v>
      </c>
      <c r="C4261" t="s">
        <v>2102</v>
      </c>
      <c r="D4261" t="s">
        <v>2105</v>
      </c>
      <c r="E4261" s="183">
        <v>413.36</v>
      </c>
    </row>
    <row r="4262" spans="1:5" ht="14.25">
      <c r="A4262">
        <v>7246</v>
      </c>
      <c r="B4262" t="s">
        <v>11671</v>
      </c>
      <c r="C4262" t="s">
        <v>2102</v>
      </c>
      <c r="D4262" t="s">
        <v>2103</v>
      </c>
      <c r="E4262" s="183">
        <v>46.93</v>
      </c>
    </row>
    <row r="4263" spans="1:5" ht="14.25">
      <c r="A4263">
        <v>41097</v>
      </c>
      <c r="B4263" t="s">
        <v>11672</v>
      </c>
      <c r="C4263" t="s">
        <v>2123</v>
      </c>
      <c r="D4263" t="s">
        <v>2103</v>
      </c>
      <c r="E4263" s="184">
        <v>3917.12</v>
      </c>
    </row>
    <row r="4264" spans="1:5" ht="14.25">
      <c r="A4264">
        <v>12869</v>
      </c>
      <c r="B4264" t="s">
        <v>15301</v>
      </c>
      <c r="C4264" t="s">
        <v>2106</v>
      </c>
      <c r="D4264" t="s">
        <v>2103</v>
      </c>
      <c r="E4264" s="183">
        <v>22.33</v>
      </c>
    </row>
    <row r="4265" spans="1:5" ht="14.25">
      <c r="A4265">
        <v>1574</v>
      </c>
      <c r="B4265" t="s">
        <v>11673</v>
      </c>
      <c r="C4265" t="s">
        <v>2102</v>
      </c>
      <c r="D4265" t="s">
        <v>2103</v>
      </c>
      <c r="E4265" s="183">
        <v>1.72</v>
      </c>
    </row>
    <row r="4266" spans="1:5" ht="14.25">
      <c r="A4266">
        <v>1581</v>
      </c>
      <c r="B4266" t="s">
        <v>11674</v>
      </c>
      <c r="C4266" t="s">
        <v>2102</v>
      </c>
      <c r="D4266" t="s">
        <v>2103</v>
      </c>
      <c r="E4266" s="183">
        <v>11.95</v>
      </c>
    </row>
    <row r="4267" spans="1:5" ht="14.25">
      <c r="A4267">
        <v>1575</v>
      </c>
      <c r="B4267" t="s">
        <v>11675</v>
      </c>
      <c r="C4267" t="s">
        <v>2102</v>
      </c>
      <c r="D4267" t="s">
        <v>2103</v>
      </c>
      <c r="E4267" s="183">
        <v>2.04</v>
      </c>
    </row>
    <row r="4268" spans="1:5" ht="14.25">
      <c r="A4268">
        <v>1570</v>
      </c>
      <c r="B4268" t="s">
        <v>11676</v>
      </c>
      <c r="C4268" t="s">
        <v>2102</v>
      </c>
      <c r="D4268" t="s">
        <v>2103</v>
      </c>
      <c r="E4268" s="183">
        <v>1.03</v>
      </c>
    </row>
    <row r="4269" spans="1:5" ht="14.25">
      <c r="A4269">
        <v>1576</v>
      </c>
      <c r="B4269" t="s">
        <v>11677</v>
      </c>
      <c r="C4269" t="s">
        <v>2102</v>
      </c>
      <c r="D4269" t="s">
        <v>2103</v>
      </c>
      <c r="E4269" s="183">
        <v>2.83</v>
      </c>
    </row>
    <row r="4270" spans="1:5" ht="14.25">
      <c r="A4270">
        <v>1577</v>
      </c>
      <c r="B4270" t="s">
        <v>11678</v>
      </c>
      <c r="C4270" t="s">
        <v>2102</v>
      </c>
      <c r="D4270" t="s">
        <v>2103</v>
      </c>
      <c r="E4270" s="183">
        <v>3.19</v>
      </c>
    </row>
    <row r="4271" spans="1:5" ht="14.25">
      <c r="A4271">
        <v>1571</v>
      </c>
      <c r="B4271" t="s">
        <v>11679</v>
      </c>
      <c r="C4271" t="s">
        <v>2102</v>
      </c>
      <c r="D4271" t="s">
        <v>2103</v>
      </c>
      <c r="E4271" s="183">
        <v>1.33</v>
      </c>
    </row>
    <row r="4272" spans="1:5" ht="14.25">
      <c r="A4272">
        <v>1578</v>
      </c>
      <c r="B4272" t="s">
        <v>11680</v>
      </c>
      <c r="C4272" t="s">
        <v>2102</v>
      </c>
      <c r="D4272" t="s">
        <v>2103</v>
      </c>
      <c r="E4272" s="183">
        <v>5.53</v>
      </c>
    </row>
    <row r="4273" spans="1:5" ht="14.25">
      <c r="A4273">
        <v>1573</v>
      </c>
      <c r="B4273" t="s">
        <v>11681</v>
      </c>
      <c r="C4273" t="s">
        <v>2102</v>
      </c>
      <c r="D4273" t="s">
        <v>2103</v>
      </c>
      <c r="E4273" s="183">
        <v>1.59</v>
      </c>
    </row>
    <row r="4274" spans="1:5" ht="14.25">
      <c r="A4274">
        <v>1579</v>
      </c>
      <c r="B4274" t="s">
        <v>11682</v>
      </c>
      <c r="C4274" t="s">
        <v>2102</v>
      </c>
      <c r="D4274" t="s">
        <v>2103</v>
      </c>
      <c r="E4274" s="183">
        <v>6.9</v>
      </c>
    </row>
    <row r="4275" spans="1:5" ht="14.25">
      <c r="A4275">
        <v>1580</v>
      </c>
      <c r="B4275" t="s">
        <v>11683</v>
      </c>
      <c r="C4275" t="s">
        <v>2102</v>
      </c>
      <c r="D4275" t="s">
        <v>2103</v>
      </c>
      <c r="E4275" s="183">
        <v>8.5</v>
      </c>
    </row>
    <row r="4276" spans="1:5" ht="14.25">
      <c r="A4276">
        <v>39321</v>
      </c>
      <c r="B4276" t="s">
        <v>11684</v>
      </c>
      <c r="C4276" t="s">
        <v>2102</v>
      </c>
      <c r="D4276" t="s">
        <v>2103</v>
      </c>
      <c r="E4276" s="183">
        <v>26.99</v>
      </c>
    </row>
    <row r="4277" spans="1:5" ht="14.25">
      <c r="A4277">
        <v>39319</v>
      </c>
      <c r="B4277" t="s">
        <v>11685</v>
      </c>
      <c r="C4277" t="s">
        <v>2102</v>
      </c>
      <c r="D4277" t="s">
        <v>2103</v>
      </c>
      <c r="E4277" s="183">
        <v>11.23</v>
      </c>
    </row>
    <row r="4278" spans="1:5" ht="14.25">
      <c r="A4278">
        <v>39320</v>
      </c>
      <c r="B4278" t="s">
        <v>11686</v>
      </c>
      <c r="C4278" t="s">
        <v>2102</v>
      </c>
      <c r="D4278" t="s">
        <v>2103</v>
      </c>
      <c r="E4278" s="183">
        <v>21.59</v>
      </c>
    </row>
    <row r="4279" spans="1:5" ht="14.25">
      <c r="A4279">
        <v>1591</v>
      </c>
      <c r="B4279" t="s">
        <v>11687</v>
      </c>
      <c r="C4279" t="s">
        <v>2102</v>
      </c>
      <c r="D4279" t="s">
        <v>2103</v>
      </c>
      <c r="E4279" s="183">
        <v>26.35</v>
      </c>
    </row>
    <row r="4280" spans="1:5" ht="14.25">
      <c r="A4280">
        <v>1547</v>
      </c>
      <c r="B4280" t="s">
        <v>11688</v>
      </c>
      <c r="C4280" t="s">
        <v>2102</v>
      </c>
      <c r="D4280" t="s">
        <v>2103</v>
      </c>
      <c r="E4280" s="183">
        <v>138.09</v>
      </c>
    </row>
    <row r="4281" spans="1:5" ht="14.25">
      <c r="A4281">
        <v>38196</v>
      </c>
      <c r="B4281" t="s">
        <v>11689</v>
      </c>
      <c r="C4281" t="s">
        <v>2102</v>
      </c>
      <c r="D4281" t="s">
        <v>2103</v>
      </c>
      <c r="E4281" s="183">
        <v>26.89</v>
      </c>
    </row>
    <row r="4282" spans="1:5" ht="14.25">
      <c r="A4282">
        <v>1543</v>
      </c>
      <c r="B4282" t="s">
        <v>11690</v>
      </c>
      <c r="C4282" t="s">
        <v>2102</v>
      </c>
      <c r="D4282" t="s">
        <v>2103</v>
      </c>
      <c r="E4282" s="183">
        <v>28.58</v>
      </c>
    </row>
    <row r="4283" spans="1:5" ht="14.25">
      <c r="A4283">
        <v>1585</v>
      </c>
      <c r="B4283" t="s">
        <v>11691</v>
      </c>
      <c r="C4283" t="s">
        <v>2102</v>
      </c>
      <c r="D4283" t="s">
        <v>2103</v>
      </c>
      <c r="E4283" s="183">
        <v>5.53</v>
      </c>
    </row>
    <row r="4284" spans="1:5" ht="14.25">
      <c r="A4284">
        <v>1593</v>
      </c>
      <c r="B4284" t="s">
        <v>11692</v>
      </c>
      <c r="C4284" t="s">
        <v>2102</v>
      </c>
      <c r="D4284" t="s">
        <v>2103</v>
      </c>
      <c r="E4284" s="183">
        <v>29.39</v>
      </c>
    </row>
    <row r="4285" spans="1:5" ht="14.25">
      <c r="A4285">
        <v>11838</v>
      </c>
      <c r="B4285" t="s">
        <v>11693</v>
      </c>
      <c r="C4285" t="s">
        <v>2102</v>
      </c>
      <c r="D4285" t="s">
        <v>2103</v>
      </c>
      <c r="E4285" s="183">
        <v>38.78</v>
      </c>
    </row>
    <row r="4286" spans="1:5" ht="14.25">
      <c r="A4286">
        <v>1594</v>
      </c>
      <c r="B4286" t="s">
        <v>11694</v>
      </c>
      <c r="C4286" t="s">
        <v>2102</v>
      </c>
      <c r="D4286" t="s">
        <v>2103</v>
      </c>
      <c r="E4286" s="183">
        <v>39.21</v>
      </c>
    </row>
    <row r="4287" spans="1:5" ht="14.25">
      <c r="A4287">
        <v>1586</v>
      </c>
      <c r="B4287" t="s">
        <v>11695</v>
      </c>
      <c r="C4287" t="s">
        <v>2102</v>
      </c>
      <c r="D4287" t="s">
        <v>2103</v>
      </c>
      <c r="E4287" s="183">
        <v>7</v>
      </c>
    </row>
    <row r="4288" spans="1:5" ht="14.25">
      <c r="A4288">
        <v>11839</v>
      </c>
      <c r="B4288" t="s">
        <v>11696</v>
      </c>
      <c r="C4288" t="s">
        <v>2102</v>
      </c>
      <c r="D4288" t="s">
        <v>2103</v>
      </c>
      <c r="E4288" s="183">
        <v>56.43</v>
      </c>
    </row>
    <row r="4289" spans="1:5" ht="14.25">
      <c r="A4289">
        <v>1587</v>
      </c>
      <c r="B4289" t="s">
        <v>11697</v>
      </c>
      <c r="C4289" t="s">
        <v>2102</v>
      </c>
      <c r="D4289" t="s">
        <v>2103</v>
      </c>
      <c r="E4289" s="183">
        <v>7.13</v>
      </c>
    </row>
    <row r="4290" spans="1:5" ht="14.25">
      <c r="A4290">
        <v>1545</v>
      </c>
      <c r="B4290" t="s">
        <v>11698</v>
      </c>
      <c r="C4290" t="s">
        <v>2102</v>
      </c>
      <c r="D4290" t="s">
        <v>2103</v>
      </c>
      <c r="E4290" s="183">
        <v>67.709999999999994</v>
      </c>
    </row>
    <row r="4291" spans="1:5" ht="14.25">
      <c r="A4291">
        <v>1588</v>
      </c>
      <c r="B4291" t="s">
        <v>11699</v>
      </c>
      <c r="C4291" t="s">
        <v>2102</v>
      </c>
      <c r="D4291" t="s">
        <v>2103</v>
      </c>
      <c r="E4291" s="183">
        <v>9.7899999999999991</v>
      </c>
    </row>
    <row r="4292" spans="1:5" ht="14.25">
      <c r="A4292">
        <v>1535</v>
      </c>
      <c r="B4292" t="s">
        <v>11700</v>
      </c>
      <c r="C4292" t="s">
        <v>2102</v>
      </c>
      <c r="D4292" t="s">
        <v>2103</v>
      </c>
      <c r="E4292" s="183">
        <v>5.64</v>
      </c>
    </row>
    <row r="4293" spans="1:5" ht="14.25">
      <c r="A4293">
        <v>1589</v>
      </c>
      <c r="B4293" t="s">
        <v>11701</v>
      </c>
      <c r="C4293" t="s">
        <v>2102</v>
      </c>
      <c r="D4293" t="s">
        <v>2103</v>
      </c>
      <c r="E4293" s="183">
        <v>10.09</v>
      </c>
    </row>
    <row r="4294" spans="1:5" ht="14.25">
      <c r="A4294">
        <v>1546</v>
      </c>
      <c r="B4294" t="s">
        <v>11702</v>
      </c>
      <c r="C4294" t="s">
        <v>2102</v>
      </c>
      <c r="D4294" t="s">
        <v>2103</v>
      </c>
      <c r="E4294" s="183">
        <v>114.27</v>
      </c>
    </row>
    <row r="4295" spans="1:5" ht="14.25">
      <c r="A4295">
        <v>1590</v>
      </c>
      <c r="B4295" t="s">
        <v>11703</v>
      </c>
      <c r="C4295" t="s">
        <v>2102</v>
      </c>
      <c r="D4295" t="s">
        <v>2103</v>
      </c>
      <c r="E4295" s="183">
        <v>17.77</v>
      </c>
    </row>
    <row r="4296" spans="1:5" ht="14.25">
      <c r="A4296">
        <v>1542</v>
      </c>
      <c r="B4296" t="s">
        <v>11704</v>
      </c>
      <c r="C4296" t="s">
        <v>2102</v>
      </c>
      <c r="D4296" t="s">
        <v>2103</v>
      </c>
      <c r="E4296" s="183">
        <v>23.54</v>
      </c>
    </row>
    <row r="4297" spans="1:5" ht="14.25">
      <c r="A4297">
        <v>38415</v>
      </c>
      <c r="B4297" t="s">
        <v>11705</v>
      </c>
      <c r="C4297" t="s">
        <v>2102</v>
      </c>
      <c r="D4297" t="s">
        <v>2105</v>
      </c>
      <c r="E4297" s="183">
        <v>998.1</v>
      </c>
    </row>
    <row r="4298" spans="1:5" ht="14.25">
      <c r="A4298">
        <v>38414</v>
      </c>
      <c r="B4298" t="s">
        <v>11706</v>
      </c>
      <c r="C4298" t="s">
        <v>2102</v>
      </c>
      <c r="D4298" t="s">
        <v>2105</v>
      </c>
      <c r="E4298" s="184">
        <v>1400.84</v>
      </c>
    </row>
    <row r="4299" spans="1:5" ht="14.25">
      <c r="A4299">
        <v>38128</v>
      </c>
      <c r="B4299" t="s">
        <v>11707</v>
      </c>
      <c r="C4299" t="s">
        <v>2110</v>
      </c>
      <c r="D4299" t="s">
        <v>2107</v>
      </c>
      <c r="E4299" s="183">
        <v>0.82</v>
      </c>
    </row>
    <row r="4300" spans="1:5" ht="14.25">
      <c r="A4300">
        <v>7253</v>
      </c>
      <c r="B4300" t="s">
        <v>11708</v>
      </c>
      <c r="C4300" t="s">
        <v>2122</v>
      </c>
      <c r="D4300" t="s">
        <v>2103</v>
      </c>
      <c r="E4300" s="183">
        <v>175.71</v>
      </c>
    </row>
    <row r="4301" spans="1:5" ht="14.25">
      <c r="A4301">
        <v>4806</v>
      </c>
      <c r="B4301" t="s">
        <v>11709</v>
      </c>
      <c r="C4301" t="s">
        <v>2109</v>
      </c>
      <c r="D4301" t="s">
        <v>2103</v>
      </c>
      <c r="E4301" s="183">
        <v>18.59</v>
      </c>
    </row>
    <row r="4302" spans="1:5" ht="14.25">
      <c r="A4302">
        <v>34401</v>
      </c>
      <c r="B4302" t="s">
        <v>11710</v>
      </c>
      <c r="C4302" t="s">
        <v>2102</v>
      </c>
      <c r="D4302" t="s">
        <v>2103</v>
      </c>
      <c r="E4302" s="183">
        <v>1.26</v>
      </c>
    </row>
    <row r="4303" spans="1:5" ht="14.25">
      <c r="A4303">
        <v>7260</v>
      </c>
      <c r="B4303" t="s">
        <v>11711</v>
      </c>
      <c r="C4303" t="s">
        <v>2102</v>
      </c>
      <c r="D4303" t="s">
        <v>2103</v>
      </c>
      <c r="E4303" s="183">
        <v>1.1200000000000001</v>
      </c>
    </row>
    <row r="4304" spans="1:5" ht="14.25">
      <c r="A4304">
        <v>7256</v>
      </c>
      <c r="B4304" t="s">
        <v>11712</v>
      </c>
      <c r="C4304" t="s">
        <v>2102</v>
      </c>
      <c r="D4304" t="s">
        <v>2103</v>
      </c>
      <c r="E4304" s="183">
        <v>1.1100000000000001</v>
      </c>
    </row>
    <row r="4305" spans="1:5" ht="14.25">
      <c r="A4305">
        <v>7258</v>
      </c>
      <c r="B4305" t="s">
        <v>11713</v>
      </c>
      <c r="C4305" t="s">
        <v>2102</v>
      </c>
      <c r="D4305" t="s">
        <v>2103</v>
      </c>
      <c r="E4305" s="183">
        <v>0.45</v>
      </c>
    </row>
    <row r="4306" spans="1:5" ht="14.25">
      <c r="A4306">
        <v>34400</v>
      </c>
      <c r="B4306" t="s">
        <v>11714</v>
      </c>
      <c r="C4306" t="s">
        <v>2102</v>
      </c>
      <c r="D4306" t="s">
        <v>2103</v>
      </c>
      <c r="E4306" s="183">
        <v>1.95</v>
      </c>
    </row>
    <row r="4307" spans="1:5" ht="14.25">
      <c r="A4307">
        <v>10617</v>
      </c>
      <c r="B4307" t="s">
        <v>11715</v>
      </c>
      <c r="C4307" t="s">
        <v>2102</v>
      </c>
      <c r="D4307" t="s">
        <v>2103</v>
      </c>
      <c r="E4307" s="183">
        <v>3.72</v>
      </c>
    </row>
    <row r="4308" spans="1:5" ht="14.25">
      <c r="A4308">
        <v>44261</v>
      </c>
      <c r="B4308" t="s">
        <v>18663</v>
      </c>
      <c r="C4308" t="s">
        <v>2102</v>
      </c>
      <c r="D4308" t="s">
        <v>2103</v>
      </c>
      <c r="E4308" s="183">
        <v>179.3</v>
      </c>
    </row>
    <row r="4309" spans="1:5" ht="14.25">
      <c r="A4309">
        <v>7274</v>
      </c>
      <c r="B4309" t="s">
        <v>18664</v>
      </c>
      <c r="C4309" t="s">
        <v>2102</v>
      </c>
      <c r="D4309" t="s">
        <v>2103</v>
      </c>
      <c r="E4309" s="183">
        <v>86.8</v>
      </c>
    </row>
    <row r="4310" spans="1:5" ht="14.25">
      <c r="A4310">
        <v>44326</v>
      </c>
      <c r="B4310" t="s">
        <v>18665</v>
      </c>
      <c r="C4310" t="s">
        <v>2102</v>
      </c>
      <c r="D4310" t="s">
        <v>2103</v>
      </c>
      <c r="E4310" s="184">
        <v>1874.79</v>
      </c>
    </row>
    <row r="4311" spans="1:5" ht="14.25">
      <c r="A4311">
        <v>154</v>
      </c>
      <c r="B4311" t="s">
        <v>11716</v>
      </c>
      <c r="C4311" t="s">
        <v>2117</v>
      </c>
      <c r="D4311" t="s">
        <v>2103</v>
      </c>
      <c r="E4311" s="183">
        <v>65.5</v>
      </c>
    </row>
    <row r="4312" spans="1:5" ht="14.25">
      <c r="A4312">
        <v>38121</v>
      </c>
      <c r="B4312" t="s">
        <v>11717</v>
      </c>
      <c r="C4312" t="s">
        <v>2117</v>
      </c>
      <c r="D4312" t="s">
        <v>2103</v>
      </c>
      <c r="E4312" s="183">
        <v>23.08</v>
      </c>
    </row>
    <row r="4313" spans="1:5" ht="14.25">
      <c r="A4313">
        <v>43776</v>
      </c>
      <c r="B4313" t="s">
        <v>11718</v>
      </c>
      <c r="C4313" t="s">
        <v>2117</v>
      </c>
      <c r="D4313" t="s">
        <v>2103</v>
      </c>
      <c r="E4313" s="183">
        <v>27.19</v>
      </c>
    </row>
    <row r="4314" spans="1:5" ht="14.25">
      <c r="A4314">
        <v>7343</v>
      </c>
      <c r="B4314" t="s">
        <v>11719</v>
      </c>
      <c r="C4314" t="s">
        <v>2117</v>
      </c>
      <c r="D4314" t="s">
        <v>2103</v>
      </c>
      <c r="E4314" s="183">
        <v>20.420000000000002</v>
      </c>
    </row>
    <row r="4315" spans="1:5" ht="14.25">
      <c r="A4315">
        <v>7348</v>
      </c>
      <c r="B4315" t="s">
        <v>11720</v>
      </c>
      <c r="C4315" t="s">
        <v>2117</v>
      </c>
      <c r="D4315" t="s">
        <v>2103</v>
      </c>
      <c r="E4315" s="183">
        <v>18.8</v>
      </c>
    </row>
    <row r="4316" spans="1:5" ht="14.25">
      <c r="A4316">
        <v>7313</v>
      </c>
      <c r="B4316" t="s">
        <v>11721</v>
      </c>
      <c r="C4316" t="s">
        <v>2117</v>
      </c>
      <c r="D4316" t="s">
        <v>2103</v>
      </c>
      <c r="E4316" s="183">
        <v>18.37</v>
      </c>
    </row>
    <row r="4317" spans="1:5" ht="14.25">
      <c r="A4317">
        <v>7319</v>
      </c>
      <c r="B4317" t="s">
        <v>11722</v>
      </c>
      <c r="C4317" t="s">
        <v>2117</v>
      </c>
      <c r="D4317" t="s">
        <v>2103</v>
      </c>
      <c r="E4317" s="183">
        <v>10.51</v>
      </c>
    </row>
    <row r="4318" spans="1:5" ht="14.25">
      <c r="A4318">
        <v>7314</v>
      </c>
      <c r="B4318" t="s">
        <v>11723</v>
      </c>
      <c r="C4318" t="s">
        <v>2117</v>
      </c>
      <c r="D4318" t="s">
        <v>2103</v>
      </c>
      <c r="E4318" s="183">
        <v>91.4</v>
      </c>
    </row>
    <row r="4319" spans="1:5" ht="14.25">
      <c r="A4319">
        <v>7304</v>
      </c>
      <c r="B4319" t="s">
        <v>11724</v>
      </c>
      <c r="C4319" t="s">
        <v>2117</v>
      </c>
      <c r="D4319" t="s">
        <v>2103</v>
      </c>
      <c r="E4319" s="183">
        <v>80.58</v>
      </c>
    </row>
    <row r="4320" spans="1:5" ht="14.25">
      <c r="A4320">
        <v>43649</v>
      </c>
      <c r="B4320" t="s">
        <v>11725</v>
      </c>
      <c r="C4320" t="s">
        <v>2117</v>
      </c>
      <c r="D4320" t="s">
        <v>2103</v>
      </c>
      <c r="E4320" s="183">
        <v>41.67</v>
      </c>
    </row>
    <row r="4321" spans="1:5" ht="14.25">
      <c r="A4321">
        <v>43650</v>
      </c>
      <c r="B4321" t="s">
        <v>11726</v>
      </c>
      <c r="C4321" t="s">
        <v>2117</v>
      </c>
      <c r="D4321" t="s">
        <v>2103</v>
      </c>
      <c r="E4321" s="183">
        <v>39.380000000000003</v>
      </c>
    </row>
    <row r="4322" spans="1:5" ht="14.25">
      <c r="A4322">
        <v>7311</v>
      </c>
      <c r="B4322" t="s">
        <v>11727</v>
      </c>
      <c r="C4322" t="s">
        <v>2117</v>
      </c>
      <c r="D4322" t="s">
        <v>2103</v>
      </c>
      <c r="E4322" s="183">
        <v>40.340000000000003</v>
      </c>
    </row>
    <row r="4323" spans="1:5" ht="14.25">
      <c r="A4323">
        <v>7292</v>
      </c>
      <c r="B4323" t="s">
        <v>11728</v>
      </c>
      <c r="C4323" t="s">
        <v>2117</v>
      </c>
      <c r="D4323" t="s">
        <v>2107</v>
      </c>
      <c r="E4323" s="183">
        <v>39.06</v>
      </c>
    </row>
    <row r="4324" spans="1:5" ht="14.25">
      <c r="A4324">
        <v>7293</v>
      </c>
      <c r="B4324" t="s">
        <v>11729</v>
      </c>
      <c r="C4324" t="s">
        <v>2117</v>
      </c>
      <c r="D4324" t="s">
        <v>2103</v>
      </c>
      <c r="E4324" s="183">
        <v>43.21</v>
      </c>
    </row>
    <row r="4325" spans="1:5" ht="14.25">
      <c r="A4325">
        <v>7306</v>
      </c>
      <c r="B4325" t="s">
        <v>11730</v>
      </c>
      <c r="C4325" t="s">
        <v>2117</v>
      </c>
      <c r="D4325" t="s">
        <v>2103</v>
      </c>
      <c r="E4325" s="183">
        <v>47.69</v>
      </c>
    </row>
    <row r="4326" spans="1:5" ht="14.25">
      <c r="A4326">
        <v>7288</v>
      </c>
      <c r="B4326" t="s">
        <v>11731</v>
      </c>
      <c r="C4326" t="s">
        <v>2117</v>
      </c>
      <c r="D4326" t="s">
        <v>2103</v>
      </c>
      <c r="E4326" s="183">
        <v>39.6</v>
      </c>
    </row>
    <row r="4327" spans="1:5" ht="14.25">
      <c r="A4327">
        <v>43625</v>
      </c>
      <c r="B4327" t="s">
        <v>11732</v>
      </c>
      <c r="C4327" t="s">
        <v>2117</v>
      </c>
      <c r="D4327" t="s">
        <v>2103</v>
      </c>
      <c r="E4327" s="183">
        <v>31.97</v>
      </c>
    </row>
    <row r="4328" spans="1:5" ht="14.25">
      <c r="A4328">
        <v>43647</v>
      </c>
      <c r="B4328" t="s">
        <v>11733</v>
      </c>
      <c r="C4328" t="s">
        <v>2117</v>
      </c>
      <c r="D4328" t="s">
        <v>2103</v>
      </c>
      <c r="E4328" s="183">
        <v>29.04</v>
      </c>
    </row>
    <row r="4329" spans="1:5" ht="14.25">
      <c r="A4329">
        <v>43648</v>
      </c>
      <c r="B4329" t="s">
        <v>11734</v>
      </c>
      <c r="C4329" t="s">
        <v>2117</v>
      </c>
      <c r="D4329" t="s">
        <v>2103</v>
      </c>
      <c r="E4329" s="183">
        <v>28.02</v>
      </c>
    </row>
    <row r="4330" spans="1:5" ht="14.25">
      <c r="A4330">
        <v>35693</v>
      </c>
      <c r="B4330" t="s">
        <v>11735</v>
      </c>
      <c r="C4330" t="s">
        <v>2117</v>
      </c>
      <c r="D4330" t="s">
        <v>2103</v>
      </c>
      <c r="E4330" s="183">
        <v>11.69</v>
      </c>
    </row>
    <row r="4331" spans="1:5" ht="14.25">
      <c r="A4331">
        <v>7356</v>
      </c>
      <c r="B4331" t="s">
        <v>13687</v>
      </c>
      <c r="C4331" t="s">
        <v>2117</v>
      </c>
      <c r="D4331" t="s">
        <v>2107</v>
      </c>
      <c r="E4331" s="183">
        <v>28.03</v>
      </c>
    </row>
    <row r="4332" spans="1:5" ht="14.25">
      <c r="A4332">
        <v>35692</v>
      </c>
      <c r="B4332" t="s">
        <v>11736</v>
      </c>
      <c r="C4332" t="s">
        <v>2117</v>
      </c>
      <c r="D4332" t="s">
        <v>2103</v>
      </c>
      <c r="E4332" s="183">
        <v>18.34</v>
      </c>
    </row>
    <row r="4333" spans="1:5" ht="14.25">
      <c r="A4333">
        <v>43624</v>
      </c>
      <c r="B4333" t="s">
        <v>13688</v>
      </c>
      <c r="C4333" t="s">
        <v>2117</v>
      </c>
      <c r="D4333" t="s">
        <v>2103</v>
      </c>
      <c r="E4333" s="183">
        <v>34.159999999999997</v>
      </c>
    </row>
    <row r="4334" spans="1:5" ht="14.25">
      <c r="A4334">
        <v>7342</v>
      </c>
      <c r="B4334" t="s">
        <v>11737</v>
      </c>
      <c r="C4334" t="s">
        <v>2110</v>
      </c>
      <c r="D4334" t="s">
        <v>2103</v>
      </c>
      <c r="E4334" s="183">
        <v>2.0099999999999998</v>
      </c>
    </row>
    <row r="4335" spans="1:5" ht="14.25">
      <c r="A4335">
        <v>7350</v>
      </c>
      <c r="B4335" t="s">
        <v>18666</v>
      </c>
      <c r="C4335" t="s">
        <v>2117</v>
      </c>
      <c r="D4335" t="s">
        <v>2103</v>
      </c>
      <c r="E4335" s="183">
        <v>40.46</v>
      </c>
    </row>
    <row r="4336" spans="1:5" ht="14.25">
      <c r="A4336">
        <v>39574</v>
      </c>
      <c r="B4336" t="s">
        <v>11738</v>
      </c>
      <c r="C4336" t="s">
        <v>2102</v>
      </c>
      <c r="D4336" t="s">
        <v>2103</v>
      </c>
      <c r="E4336" s="183">
        <v>3.93</v>
      </c>
    </row>
    <row r="4337" spans="1:5" ht="14.25">
      <c r="A4337">
        <v>11060</v>
      </c>
      <c r="B4337" t="s">
        <v>11739</v>
      </c>
      <c r="C4337" t="s">
        <v>2102</v>
      </c>
      <c r="D4337" t="s">
        <v>2103</v>
      </c>
      <c r="E4337" s="183">
        <v>53.06</v>
      </c>
    </row>
    <row r="4338" spans="1:5" ht="14.25">
      <c r="A4338">
        <v>37401</v>
      </c>
      <c r="B4338" t="s">
        <v>11740</v>
      </c>
      <c r="C4338" t="s">
        <v>2102</v>
      </c>
      <c r="D4338" t="s">
        <v>2103</v>
      </c>
      <c r="E4338" s="183">
        <v>71.819999999999993</v>
      </c>
    </row>
    <row r="4339" spans="1:5" ht="14.25">
      <c r="A4339">
        <v>7525</v>
      </c>
      <c r="B4339" t="s">
        <v>11741</v>
      </c>
      <c r="C4339" t="s">
        <v>2102</v>
      </c>
      <c r="D4339" t="s">
        <v>2103</v>
      </c>
      <c r="E4339" s="183">
        <v>52.29</v>
      </c>
    </row>
    <row r="4340" spans="1:5" ht="14.25">
      <c r="A4340">
        <v>7524</v>
      </c>
      <c r="B4340" t="s">
        <v>11742</v>
      </c>
      <c r="C4340" t="s">
        <v>2102</v>
      </c>
      <c r="D4340" t="s">
        <v>2103</v>
      </c>
      <c r="E4340" s="183">
        <v>49.27</v>
      </c>
    </row>
    <row r="4341" spans="1:5" ht="14.25">
      <c r="A4341">
        <v>38105</v>
      </c>
      <c r="B4341" t="s">
        <v>11743</v>
      </c>
      <c r="C4341" t="s">
        <v>2102</v>
      </c>
      <c r="D4341" t="s">
        <v>2103</v>
      </c>
      <c r="E4341" s="183">
        <v>12.66</v>
      </c>
    </row>
    <row r="4342" spans="1:5" ht="14.25">
      <c r="A4342">
        <v>38084</v>
      </c>
      <c r="B4342" t="s">
        <v>11744</v>
      </c>
      <c r="C4342" t="s">
        <v>2102</v>
      </c>
      <c r="D4342" t="s">
        <v>2103</v>
      </c>
      <c r="E4342" s="183">
        <v>17.98</v>
      </c>
    </row>
    <row r="4343" spans="1:5" ht="14.25">
      <c r="A4343">
        <v>38103</v>
      </c>
      <c r="B4343" t="s">
        <v>11745</v>
      </c>
      <c r="C4343" t="s">
        <v>2102</v>
      </c>
      <c r="D4343" t="s">
        <v>2103</v>
      </c>
      <c r="E4343" s="183">
        <v>19</v>
      </c>
    </row>
    <row r="4344" spans="1:5" ht="14.25">
      <c r="A4344">
        <v>38082</v>
      </c>
      <c r="B4344" t="s">
        <v>11746</v>
      </c>
      <c r="C4344" t="s">
        <v>2102</v>
      </c>
      <c r="D4344" t="s">
        <v>2103</v>
      </c>
      <c r="E4344" s="183">
        <v>23.41</v>
      </c>
    </row>
    <row r="4345" spans="1:5" ht="14.25">
      <c r="A4345">
        <v>38104</v>
      </c>
      <c r="B4345" t="s">
        <v>11747</v>
      </c>
      <c r="C4345" t="s">
        <v>2102</v>
      </c>
      <c r="D4345" t="s">
        <v>2103</v>
      </c>
      <c r="E4345" s="183">
        <v>37.21</v>
      </c>
    </row>
    <row r="4346" spans="1:5" ht="14.25">
      <c r="A4346">
        <v>38083</v>
      </c>
      <c r="B4346" t="s">
        <v>11748</v>
      </c>
      <c r="C4346" t="s">
        <v>2102</v>
      </c>
      <c r="D4346" t="s">
        <v>2103</v>
      </c>
      <c r="E4346" s="183">
        <v>41.31</v>
      </c>
    </row>
    <row r="4347" spans="1:5" ht="14.25">
      <c r="A4347">
        <v>38101</v>
      </c>
      <c r="B4347" t="s">
        <v>11749</v>
      </c>
      <c r="C4347" t="s">
        <v>2102</v>
      </c>
      <c r="D4347" t="s">
        <v>2103</v>
      </c>
      <c r="E4347" s="183">
        <v>9.0399999999999991</v>
      </c>
    </row>
    <row r="4348" spans="1:5" ht="14.25">
      <c r="A4348">
        <v>7528</v>
      </c>
      <c r="B4348" t="s">
        <v>11750</v>
      </c>
      <c r="C4348" t="s">
        <v>2102</v>
      </c>
      <c r="D4348" t="s">
        <v>2107</v>
      </c>
      <c r="E4348" s="183">
        <v>10.62</v>
      </c>
    </row>
    <row r="4349" spans="1:5" ht="14.25">
      <c r="A4349">
        <v>12147</v>
      </c>
      <c r="B4349" t="s">
        <v>11751</v>
      </c>
      <c r="C4349" t="s">
        <v>2102</v>
      </c>
      <c r="D4349" t="s">
        <v>2103</v>
      </c>
      <c r="E4349" s="183">
        <v>16.190000000000001</v>
      </c>
    </row>
    <row r="4350" spans="1:5" ht="14.25">
      <c r="A4350">
        <v>38075</v>
      </c>
      <c r="B4350" t="s">
        <v>11752</v>
      </c>
      <c r="C4350" t="s">
        <v>2102</v>
      </c>
      <c r="D4350" t="s">
        <v>2103</v>
      </c>
      <c r="E4350" s="183">
        <v>18.39</v>
      </c>
    </row>
    <row r="4351" spans="1:5" ht="14.25">
      <c r="A4351">
        <v>38102</v>
      </c>
      <c r="B4351" t="s">
        <v>11753</v>
      </c>
      <c r="C4351" t="s">
        <v>2102</v>
      </c>
      <c r="D4351" t="s">
        <v>2103</v>
      </c>
      <c r="E4351" s="183">
        <v>11.56</v>
      </c>
    </row>
    <row r="4352" spans="1:5" ht="14.25">
      <c r="A4352">
        <v>38076</v>
      </c>
      <c r="B4352" t="s">
        <v>11754</v>
      </c>
      <c r="C4352" t="s">
        <v>2102</v>
      </c>
      <c r="D4352" t="s">
        <v>2103</v>
      </c>
      <c r="E4352" s="183">
        <v>20.62</v>
      </c>
    </row>
    <row r="4353" spans="1:5" ht="14.25">
      <c r="A4353">
        <v>7592</v>
      </c>
      <c r="B4353" t="s">
        <v>15302</v>
      </c>
      <c r="C4353" t="s">
        <v>2106</v>
      </c>
      <c r="D4353" t="s">
        <v>2107</v>
      </c>
      <c r="E4353" s="183">
        <v>28.89</v>
      </c>
    </row>
    <row r="4354" spans="1:5" ht="14.25">
      <c r="A4354">
        <v>40820</v>
      </c>
      <c r="B4354" t="s">
        <v>11755</v>
      </c>
      <c r="C4354" t="s">
        <v>2123</v>
      </c>
      <c r="D4354" t="s">
        <v>2103</v>
      </c>
      <c r="E4354" s="184">
        <v>5063.7299999999996</v>
      </c>
    </row>
    <row r="4355" spans="1:5" ht="14.25">
      <c r="A4355">
        <v>11826</v>
      </c>
      <c r="B4355" t="s">
        <v>11756</v>
      </c>
      <c r="C4355" t="s">
        <v>2102</v>
      </c>
      <c r="D4355" t="s">
        <v>2103</v>
      </c>
      <c r="E4355" s="183">
        <v>58.16</v>
      </c>
    </row>
    <row r="4356" spans="1:5" ht="14.25">
      <c r="A4356">
        <v>7606</v>
      </c>
      <c r="B4356" t="s">
        <v>11757</v>
      </c>
      <c r="C4356" t="s">
        <v>2102</v>
      </c>
      <c r="D4356" t="s">
        <v>2103</v>
      </c>
      <c r="E4356" s="183">
        <v>69.94</v>
      </c>
    </row>
    <row r="4357" spans="1:5" ht="14.25">
      <c r="A4357">
        <v>11763</v>
      </c>
      <c r="B4357" t="s">
        <v>11758</v>
      </c>
      <c r="C4357" t="s">
        <v>2102</v>
      </c>
      <c r="D4357" t="s">
        <v>2103</v>
      </c>
      <c r="E4357" s="183">
        <v>152.74</v>
      </c>
    </row>
    <row r="4358" spans="1:5" ht="14.25">
      <c r="A4358">
        <v>11764</v>
      </c>
      <c r="B4358" t="s">
        <v>11759</v>
      </c>
      <c r="C4358" t="s">
        <v>2102</v>
      </c>
      <c r="D4358" t="s">
        <v>2103</v>
      </c>
      <c r="E4358" s="183">
        <v>125.32</v>
      </c>
    </row>
    <row r="4359" spans="1:5" ht="14.25">
      <c r="A4359">
        <v>11829</v>
      </c>
      <c r="B4359" t="s">
        <v>11760</v>
      </c>
      <c r="C4359" t="s">
        <v>2102</v>
      </c>
      <c r="D4359" t="s">
        <v>2103</v>
      </c>
      <c r="E4359" s="183">
        <v>30.29</v>
      </c>
    </row>
    <row r="4360" spans="1:5" ht="14.25">
      <c r="A4360">
        <v>11830</v>
      </c>
      <c r="B4360" t="s">
        <v>11761</v>
      </c>
      <c r="C4360" t="s">
        <v>2102</v>
      </c>
      <c r="D4360" t="s">
        <v>2103</v>
      </c>
      <c r="E4360" s="183">
        <v>32.700000000000003</v>
      </c>
    </row>
    <row r="4361" spans="1:5" ht="14.25">
      <c r="A4361">
        <v>11825</v>
      </c>
      <c r="B4361" t="s">
        <v>11762</v>
      </c>
      <c r="C4361" t="s">
        <v>2102</v>
      </c>
      <c r="D4361" t="s">
        <v>2103</v>
      </c>
      <c r="E4361" s="183">
        <v>73.58</v>
      </c>
    </row>
    <row r="4362" spans="1:5" ht="14.25">
      <c r="A4362">
        <v>11767</v>
      </c>
      <c r="B4362" t="s">
        <v>11763</v>
      </c>
      <c r="C4362" t="s">
        <v>2102</v>
      </c>
      <c r="D4362" t="s">
        <v>2103</v>
      </c>
      <c r="E4362" s="183">
        <v>195.98</v>
      </c>
    </row>
    <row r="4363" spans="1:5" ht="14.25">
      <c r="A4363">
        <v>11766</v>
      </c>
      <c r="B4363" t="s">
        <v>11764</v>
      </c>
      <c r="C4363" t="s">
        <v>2102</v>
      </c>
      <c r="D4363" t="s">
        <v>2103</v>
      </c>
      <c r="E4363" s="183">
        <v>45.68</v>
      </c>
    </row>
    <row r="4364" spans="1:5" ht="14.25">
      <c r="A4364">
        <v>11765</v>
      </c>
      <c r="B4364" t="s">
        <v>11765</v>
      </c>
      <c r="C4364" t="s">
        <v>2102</v>
      </c>
      <c r="D4364" t="s">
        <v>2103</v>
      </c>
      <c r="E4364" s="183">
        <v>83.52</v>
      </c>
    </row>
    <row r="4365" spans="1:5" ht="14.25">
      <c r="A4365">
        <v>11824</v>
      </c>
      <c r="B4365" t="s">
        <v>11766</v>
      </c>
      <c r="C4365" t="s">
        <v>2102</v>
      </c>
      <c r="D4365" t="s">
        <v>2103</v>
      </c>
      <c r="E4365" s="183">
        <v>53.73</v>
      </c>
    </row>
    <row r="4366" spans="1:5" ht="14.25">
      <c r="A4366">
        <v>44045</v>
      </c>
      <c r="B4366" t="s">
        <v>15303</v>
      </c>
      <c r="C4366" t="s">
        <v>2102</v>
      </c>
      <c r="D4366" t="s">
        <v>2103</v>
      </c>
      <c r="E4366" s="183">
        <v>257.47000000000003</v>
      </c>
    </row>
    <row r="4367" spans="1:5" ht="14.25">
      <c r="A4367">
        <v>39702</v>
      </c>
      <c r="B4367" t="s">
        <v>15304</v>
      </c>
      <c r="C4367" t="s">
        <v>2102</v>
      </c>
      <c r="D4367" t="s">
        <v>2103</v>
      </c>
      <c r="E4367" s="184">
        <v>1709.98</v>
      </c>
    </row>
    <row r="4368" spans="1:5" ht="14.25">
      <c r="A4368">
        <v>13415</v>
      </c>
      <c r="B4368" t="s">
        <v>15305</v>
      </c>
      <c r="C4368" t="s">
        <v>2102</v>
      </c>
      <c r="D4368" t="s">
        <v>2107</v>
      </c>
      <c r="E4368" s="183">
        <v>56.14</v>
      </c>
    </row>
    <row r="4369" spans="1:5" ht="14.25">
      <c r="A4369">
        <v>7602</v>
      </c>
      <c r="B4369" t="s">
        <v>13689</v>
      </c>
      <c r="C4369" t="s">
        <v>2102</v>
      </c>
      <c r="D4369" t="s">
        <v>2103</v>
      </c>
      <c r="E4369" s="183">
        <v>35.82</v>
      </c>
    </row>
    <row r="4370" spans="1:5" ht="14.25">
      <c r="A4370">
        <v>7603</v>
      </c>
      <c r="B4370" t="s">
        <v>13690</v>
      </c>
      <c r="C4370" t="s">
        <v>2102</v>
      </c>
      <c r="D4370" t="s">
        <v>2103</v>
      </c>
      <c r="E4370" s="183">
        <v>30.39</v>
      </c>
    </row>
    <row r="4371" spans="1:5" ht="14.25">
      <c r="A4371">
        <v>11777</v>
      </c>
      <c r="B4371" t="s">
        <v>11767</v>
      </c>
      <c r="C4371" t="s">
        <v>2102</v>
      </c>
      <c r="D4371" t="s">
        <v>2103</v>
      </c>
      <c r="E4371" s="183">
        <v>165.88</v>
      </c>
    </row>
    <row r="4372" spans="1:5" ht="14.25">
      <c r="A4372">
        <v>13417</v>
      </c>
      <c r="B4372" t="s">
        <v>15306</v>
      </c>
      <c r="C4372" t="s">
        <v>2102</v>
      </c>
      <c r="D4372" t="s">
        <v>2103</v>
      </c>
      <c r="E4372" s="183">
        <v>73.11</v>
      </c>
    </row>
    <row r="4373" spans="1:5" ht="14.25">
      <c r="A4373">
        <v>36791</v>
      </c>
      <c r="B4373" t="s">
        <v>15307</v>
      </c>
      <c r="C4373" t="s">
        <v>2102</v>
      </c>
      <c r="D4373" t="s">
        <v>2103</v>
      </c>
      <c r="E4373" s="183">
        <v>109.74</v>
      </c>
    </row>
    <row r="4374" spans="1:5" ht="14.25">
      <c r="A4374">
        <v>36795</v>
      </c>
      <c r="B4374" t="s">
        <v>15308</v>
      </c>
      <c r="C4374" t="s">
        <v>2102</v>
      </c>
      <c r="D4374" t="s">
        <v>2103</v>
      </c>
      <c r="E4374" s="184">
        <v>1387.49</v>
      </c>
    </row>
    <row r="4375" spans="1:5" ht="14.25">
      <c r="A4375">
        <v>36796</v>
      </c>
      <c r="B4375" t="s">
        <v>15309</v>
      </c>
      <c r="C4375" t="s">
        <v>2102</v>
      </c>
      <c r="D4375" t="s">
        <v>2103</v>
      </c>
      <c r="E4375" s="183">
        <v>115.3</v>
      </c>
    </row>
    <row r="4376" spans="1:5" ht="14.25">
      <c r="A4376">
        <v>36792</v>
      </c>
      <c r="B4376" t="s">
        <v>15310</v>
      </c>
      <c r="C4376" t="s">
        <v>2102</v>
      </c>
      <c r="D4376" t="s">
        <v>2103</v>
      </c>
      <c r="E4376" s="183">
        <v>146.05000000000001</v>
      </c>
    </row>
    <row r="4377" spans="1:5" ht="14.25">
      <c r="A4377">
        <v>11773</v>
      </c>
      <c r="B4377" t="s">
        <v>15311</v>
      </c>
      <c r="C4377" t="s">
        <v>2102</v>
      </c>
      <c r="D4377" t="s">
        <v>2103</v>
      </c>
      <c r="E4377" s="183">
        <v>97.22</v>
      </c>
    </row>
    <row r="4378" spans="1:5" ht="14.25">
      <c r="A4378">
        <v>11762</v>
      </c>
      <c r="B4378" t="s">
        <v>15312</v>
      </c>
      <c r="C4378" t="s">
        <v>2102</v>
      </c>
      <c r="D4378" t="s">
        <v>2103</v>
      </c>
      <c r="E4378" s="183">
        <v>46.11</v>
      </c>
    </row>
    <row r="4379" spans="1:5" ht="14.25">
      <c r="A4379">
        <v>7604</v>
      </c>
      <c r="B4379" t="s">
        <v>15313</v>
      </c>
      <c r="C4379" t="s">
        <v>2102</v>
      </c>
      <c r="D4379" t="s">
        <v>2103</v>
      </c>
      <c r="E4379" s="183">
        <v>39.049999999999997</v>
      </c>
    </row>
    <row r="4380" spans="1:5" ht="14.25">
      <c r="A4380">
        <v>13984</v>
      </c>
      <c r="B4380" t="s">
        <v>15314</v>
      </c>
      <c r="C4380" t="s">
        <v>2102</v>
      </c>
      <c r="D4380" t="s">
        <v>2103</v>
      </c>
      <c r="E4380" s="183">
        <v>56.75</v>
      </c>
    </row>
    <row r="4381" spans="1:5" ht="14.25">
      <c r="A4381">
        <v>11772</v>
      </c>
      <c r="B4381" t="s">
        <v>15315</v>
      </c>
      <c r="C4381" t="s">
        <v>2102</v>
      </c>
      <c r="D4381" t="s">
        <v>2103</v>
      </c>
      <c r="E4381" s="183">
        <v>97.53</v>
      </c>
    </row>
    <row r="4382" spans="1:5" ht="14.25">
      <c r="A4382">
        <v>13983</v>
      </c>
      <c r="B4382" t="s">
        <v>15316</v>
      </c>
      <c r="C4382" t="s">
        <v>2102</v>
      </c>
      <c r="D4382" t="s">
        <v>2103</v>
      </c>
      <c r="E4382" s="183">
        <v>73.86</v>
      </c>
    </row>
    <row r="4383" spans="1:5" ht="14.25">
      <c r="A4383">
        <v>13416</v>
      </c>
      <c r="B4383" t="s">
        <v>15317</v>
      </c>
      <c r="C4383" t="s">
        <v>2102</v>
      </c>
      <c r="D4383" t="s">
        <v>2103</v>
      </c>
      <c r="E4383" s="183">
        <v>65.599999999999994</v>
      </c>
    </row>
    <row r="4384" spans="1:5" ht="14.25">
      <c r="A4384">
        <v>40329</v>
      </c>
      <c r="B4384" t="s">
        <v>11768</v>
      </c>
      <c r="C4384" t="s">
        <v>2102</v>
      </c>
      <c r="D4384" t="s">
        <v>2107</v>
      </c>
      <c r="E4384" s="183">
        <v>18.98</v>
      </c>
    </row>
    <row r="4385" spans="1:5" ht="14.25">
      <c r="A4385">
        <v>11823</v>
      </c>
      <c r="B4385" t="s">
        <v>11769</v>
      </c>
      <c r="C4385" t="s">
        <v>2102</v>
      </c>
      <c r="D4385" t="s">
        <v>2103</v>
      </c>
      <c r="E4385" s="183">
        <v>7.99</v>
      </c>
    </row>
    <row r="4386" spans="1:5" ht="14.25">
      <c r="A4386">
        <v>11822</v>
      </c>
      <c r="B4386" t="s">
        <v>11770</v>
      </c>
      <c r="C4386" t="s">
        <v>2102</v>
      </c>
      <c r="D4386" t="s">
        <v>2103</v>
      </c>
      <c r="E4386" s="183">
        <v>25.43</v>
      </c>
    </row>
    <row r="4387" spans="1:5" ht="14.25">
      <c r="A4387">
        <v>11831</v>
      </c>
      <c r="B4387" t="s">
        <v>11771</v>
      </c>
      <c r="C4387" t="s">
        <v>2102</v>
      </c>
      <c r="D4387" t="s">
        <v>2103</v>
      </c>
      <c r="E4387" s="183">
        <v>15.3</v>
      </c>
    </row>
    <row r="4388" spans="1:5" ht="14.25">
      <c r="A4388">
        <v>7613</v>
      </c>
      <c r="B4388" t="s">
        <v>11772</v>
      </c>
      <c r="C4388" t="s">
        <v>2102</v>
      </c>
      <c r="D4388" t="s">
        <v>2105</v>
      </c>
      <c r="E4388" s="184">
        <v>119503.15</v>
      </c>
    </row>
    <row r="4389" spans="1:5" ht="14.25">
      <c r="A4389">
        <v>7619</v>
      </c>
      <c r="B4389" t="s">
        <v>11773</v>
      </c>
      <c r="C4389" t="s">
        <v>2102</v>
      </c>
      <c r="D4389" t="s">
        <v>2105</v>
      </c>
      <c r="E4389" s="184">
        <v>18472.63</v>
      </c>
    </row>
    <row r="4390" spans="1:5" ht="14.25">
      <c r="A4390">
        <v>12076</v>
      </c>
      <c r="B4390" t="s">
        <v>11774</v>
      </c>
      <c r="C4390" t="s">
        <v>2102</v>
      </c>
      <c r="D4390" t="s">
        <v>2105</v>
      </c>
      <c r="E4390" s="184">
        <v>8473.68</v>
      </c>
    </row>
    <row r="4391" spans="1:5" ht="14.25">
      <c r="A4391">
        <v>7614</v>
      </c>
      <c r="B4391" t="s">
        <v>11775</v>
      </c>
      <c r="C4391" t="s">
        <v>2102</v>
      </c>
      <c r="D4391" t="s">
        <v>2105</v>
      </c>
      <c r="E4391" s="184">
        <v>23298.39</v>
      </c>
    </row>
    <row r="4392" spans="1:5" ht="14.25">
      <c r="A4392">
        <v>7618</v>
      </c>
      <c r="B4392" t="s">
        <v>11776</v>
      </c>
      <c r="C4392" t="s">
        <v>2102</v>
      </c>
      <c r="D4392" t="s">
        <v>2105</v>
      </c>
      <c r="E4392" s="184">
        <v>151107.57</v>
      </c>
    </row>
    <row r="4393" spans="1:5" ht="14.25">
      <c r="A4393">
        <v>7620</v>
      </c>
      <c r="B4393" t="s">
        <v>11777</v>
      </c>
      <c r="C4393" t="s">
        <v>2102</v>
      </c>
      <c r="D4393" t="s">
        <v>2105</v>
      </c>
      <c r="E4393" s="184">
        <v>32684.21</v>
      </c>
    </row>
    <row r="4394" spans="1:5" ht="14.25">
      <c r="A4394">
        <v>7610</v>
      </c>
      <c r="B4394" t="s">
        <v>11778</v>
      </c>
      <c r="C4394" t="s">
        <v>2102</v>
      </c>
      <c r="D4394" t="s">
        <v>2105</v>
      </c>
      <c r="E4394" s="184">
        <v>10349.99</v>
      </c>
    </row>
    <row r="4395" spans="1:5" ht="14.25">
      <c r="A4395">
        <v>7615</v>
      </c>
      <c r="B4395" t="s">
        <v>11779</v>
      </c>
      <c r="C4395" t="s">
        <v>2102</v>
      </c>
      <c r="D4395" t="s">
        <v>2105</v>
      </c>
      <c r="E4395" s="184">
        <v>38131.57</v>
      </c>
    </row>
    <row r="4396" spans="1:5" ht="14.25">
      <c r="A4396">
        <v>7617</v>
      </c>
      <c r="B4396" t="s">
        <v>11780</v>
      </c>
      <c r="C4396" t="s">
        <v>2102</v>
      </c>
      <c r="D4396" t="s">
        <v>2105</v>
      </c>
      <c r="E4396" s="184">
        <v>11560.52</v>
      </c>
    </row>
    <row r="4397" spans="1:5" ht="14.25">
      <c r="A4397">
        <v>7616</v>
      </c>
      <c r="B4397" t="s">
        <v>11781</v>
      </c>
      <c r="C4397" t="s">
        <v>2102</v>
      </c>
      <c r="D4397" t="s">
        <v>2105</v>
      </c>
      <c r="E4397" s="184">
        <v>62224.68</v>
      </c>
    </row>
    <row r="4398" spans="1:5" ht="14.25">
      <c r="A4398">
        <v>7611</v>
      </c>
      <c r="B4398" t="s">
        <v>11782</v>
      </c>
      <c r="C4398" t="s">
        <v>2102</v>
      </c>
      <c r="D4398" t="s">
        <v>2105</v>
      </c>
      <c r="E4398" s="184">
        <v>14950</v>
      </c>
    </row>
    <row r="4399" spans="1:5" ht="14.25">
      <c r="A4399">
        <v>7612</v>
      </c>
      <c r="B4399" t="s">
        <v>11783</v>
      </c>
      <c r="C4399" t="s">
        <v>2102</v>
      </c>
      <c r="D4399" t="s">
        <v>2105</v>
      </c>
      <c r="E4399" s="184">
        <v>85351.78</v>
      </c>
    </row>
    <row r="4400" spans="1:5" ht="14.25">
      <c r="A4400">
        <v>37371</v>
      </c>
      <c r="B4400" t="s">
        <v>18667</v>
      </c>
      <c r="C4400" t="s">
        <v>2106</v>
      </c>
      <c r="D4400" t="s">
        <v>2107</v>
      </c>
      <c r="E4400" s="183">
        <v>0.69</v>
      </c>
    </row>
    <row r="4401" spans="1:5" ht="14.25">
      <c r="A4401">
        <v>40861</v>
      </c>
      <c r="B4401" t="s">
        <v>18668</v>
      </c>
      <c r="C4401" t="s">
        <v>2123</v>
      </c>
      <c r="D4401" t="s">
        <v>2107</v>
      </c>
      <c r="E4401" s="183">
        <v>129.91</v>
      </c>
    </row>
    <row r="4402" spans="1:5" ht="14.25">
      <c r="A4402">
        <v>36510</v>
      </c>
      <c r="B4402" t="s">
        <v>11784</v>
      </c>
      <c r="C4402" t="s">
        <v>2102</v>
      </c>
      <c r="D4402" t="s">
        <v>2105</v>
      </c>
      <c r="E4402" s="184">
        <v>985932.68</v>
      </c>
    </row>
    <row r="4403" spans="1:5" ht="14.25">
      <c r="A4403">
        <v>25020</v>
      </c>
      <c r="B4403" t="s">
        <v>11785</v>
      </c>
      <c r="C4403" t="s">
        <v>2102</v>
      </c>
      <c r="D4403" t="s">
        <v>2105</v>
      </c>
      <c r="E4403" s="184">
        <v>4061695.76</v>
      </c>
    </row>
    <row r="4404" spans="1:5" ht="14.25">
      <c r="A4404">
        <v>7622</v>
      </c>
      <c r="B4404" t="s">
        <v>11786</v>
      </c>
      <c r="C4404" t="s">
        <v>2102</v>
      </c>
      <c r="D4404" t="s">
        <v>2105</v>
      </c>
      <c r="E4404" s="184">
        <v>956498.8</v>
      </c>
    </row>
    <row r="4405" spans="1:5" ht="14.25">
      <c r="A4405">
        <v>7624</v>
      </c>
      <c r="B4405" t="s">
        <v>11787</v>
      </c>
      <c r="C4405" t="s">
        <v>2102</v>
      </c>
      <c r="D4405" t="s">
        <v>2105</v>
      </c>
      <c r="E4405" s="184">
        <v>1240000</v>
      </c>
    </row>
    <row r="4406" spans="1:5" ht="14.25">
      <c r="A4406">
        <v>7625</v>
      </c>
      <c r="B4406" t="s">
        <v>11788</v>
      </c>
      <c r="C4406" t="s">
        <v>2102</v>
      </c>
      <c r="D4406" t="s">
        <v>2105</v>
      </c>
      <c r="E4406" s="184">
        <v>1232415.78</v>
      </c>
    </row>
    <row r="4407" spans="1:5" ht="14.25">
      <c r="A4407">
        <v>7623</v>
      </c>
      <c r="B4407" t="s">
        <v>11789</v>
      </c>
      <c r="C4407" t="s">
        <v>2102</v>
      </c>
      <c r="D4407" t="s">
        <v>2105</v>
      </c>
      <c r="E4407" s="184">
        <v>4061695.76</v>
      </c>
    </row>
    <row r="4408" spans="1:5" ht="14.25">
      <c r="A4408">
        <v>36508</v>
      </c>
      <c r="B4408" t="s">
        <v>11790</v>
      </c>
      <c r="C4408" t="s">
        <v>2102</v>
      </c>
      <c r="D4408" t="s">
        <v>2105</v>
      </c>
      <c r="E4408" s="184">
        <v>1826705.75</v>
      </c>
    </row>
    <row r="4409" spans="1:5" ht="14.25">
      <c r="A4409">
        <v>36509</v>
      </c>
      <c r="B4409" t="s">
        <v>11791</v>
      </c>
      <c r="C4409" t="s">
        <v>2102</v>
      </c>
      <c r="D4409" t="s">
        <v>2105</v>
      </c>
      <c r="E4409" s="184">
        <v>1001100.85</v>
      </c>
    </row>
    <row r="4410" spans="1:5" ht="14.25">
      <c r="A4410">
        <v>13238</v>
      </c>
      <c r="B4410" t="s">
        <v>11792</v>
      </c>
      <c r="C4410" t="s">
        <v>2102</v>
      </c>
      <c r="D4410" t="s">
        <v>2105</v>
      </c>
      <c r="E4410" s="184">
        <v>302158.57</v>
      </c>
    </row>
    <row r="4411" spans="1:5" ht="14.25">
      <c r="A4411">
        <v>36511</v>
      </c>
      <c r="B4411" t="s">
        <v>11793</v>
      </c>
      <c r="C4411" t="s">
        <v>2102</v>
      </c>
      <c r="D4411" t="s">
        <v>2105</v>
      </c>
      <c r="E4411" s="184">
        <v>350120.25</v>
      </c>
    </row>
    <row r="4412" spans="1:5" ht="14.25">
      <c r="A4412">
        <v>36515</v>
      </c>
      <c r="B4412" t="s">
        <v>11794</v>
      </c>
      <c r="C4412" t="s">
        <v>2102</v>
      </c>
      <c r="D4412" t="s">
        <v>2105</v>
      </c>
      <c r="E4412" s="184">
        <v>103117.6</v>
      </c>
    </row>
    <row r="4413" spans="1:5" ht="14.25">
      <c r="A4413">
        <v>10598</v>
      </c>
      <c r="B4413" t="s">
        <v>11795</v>
      </c>
      <c r="C4413" t="s">
        <v>2102</v>
      </c>
      <c r="D4413" t="s">
        <v>2105</v>
      </c>
      <c r="E4413" s="184">
        <v>167220.78</v>
      </c>
    </row>
    <row r="4414" spans="1:5" ht="14.25">
      <c r="A4414">
        <v>7640</v>
      </c>
      <c r="B4414" t="s">
        <v>11796</v>
      </c>
      <c r="C4414" t="s">
        <v>2102</v>
      </c>
      <c r="D4414" t="s">
        <v>2105</v>
      </c>
      <c r="E4414" s="184">
        <v>256595</v>
      </c>
    </row>
    <row r="4415" spans="1:5" ht="14.25">
      <c r="A4415">
        <v>36513</v>
      </c>
      <c r="B4415" t="s">
        <v>11797</v>
      </c>
      <c r="C4415" t="s">
        <v>2102</v>
      </c>
      <c r="D4415" t="s">
        <v>2105</v>
      </c>
      <c r="E4415" s="184">
        <v>247182.5</v>
      </c>
    </row>
    <row r="4416" spans="1:5" ht="14.25">
      <c r="A4416">
        <v>36514</v>
      </c>
      <c r="B4416" t="s">
        <v>11798</v>
      </c>
      <c r="C4416" t="s">
        <v>2102</v>
      </c>
      <c r="D4416" t="s">
        <v>2105</v>
      </c>
      <c r="E4416" s="184">
        <v>275779.65000000002</v>
      </c>
    </row>
    <row r="4417" spans="1:5" ht="14.25">
      <c r="A4417">
        <v>11572</v>
      </c>
      <c r="B4417" t="s">
        <v>11799</v>
      </c>
      <c r="C4417" t="s">
        <v>2102</v>
      </c>
      <c r="D4417" t="s">
        <v>2103</v>
      </c>
      <c r="E4417" s="183">
        <v>30.32</v>
      </c>
    </row>
    <row r="4418" spans="1:5" ht="14.25">
      <c r="A4418">
        <v>36149</v>
      </c>
      <c r="B4418" t="s">
        <v>11800</v>
      </c>
      <c r="C4418" t="s">
        <v>2102</v>
      </c>
      <c r="D4418" t="s">
        <v>2103</v>
      </c>
      <c r="E4418" s="183">
        <v>177.89</v>
      </c>
    </row>
    <row r="4419" spans="1:5" ht="14.25">
      <c r="A4419">
        <v>42407</v>
      </c>
      <c r="B4419" t="s">
        <v>11801</v>
      </c>
      <c r="C4419" t="s">
        <v>2109</v>
      </c>
      <c r="D4419" t="s">
        <v>2103</v>
      </c>
      <c r="E4419" s="183">
        <v>7.55</v>
      </c>
    </row>
    <row r="4420" spans="1:5" ht="14.25">
      <c r="A4420">
        <v>11581</v>
      </c>
      <c r="B4420" t="s">
        <v>11802</v>
      </c>
      <c r="C4420" t="s">
        <v>2109</v>
      </c>
      <c r="D4420" t="s">
        <v>2103</v>
      </c>
      <c r="E4420" s="183">
        <v>20.010000000000002</v>
      </c>
    </row>
    <row r="4421" spans="1:5" ht="14.25">
      <c r="A4421">
        <v>43605</v>
      </c>
      <c r="B4421" t="s">
        <v>11803</v>
      </c>
      <c r="C4421" t="s">
        <v>2109</v>
      </c>
      <c r="D4421" t="s">
        <v>2103</v>
      </c>
      <c r="E4421" s="183">
        <v>40.94</v>
      </c>
    </row>
    <row r="4422" spans="1:5" ht="14.25">
      <c r="A4422">
        <v>11580</v>
      </c>
      <c r="B4422" t="s">
        <v>11804</v>
      </c>
      <c r="C4422" t="s">
        <v>2109</v>
      </c>
      <c r="D4422" t="s">
        <v>2103</v>
      </c>
      <c r="E4422" s="183">
        <v>8.0299999999999994</v>
      </c>
    </row>
    <row r="4423" spans="1:5" ht="14.25">
      <c r="A4423">
        <v>10743</v>
      </c>
      <c r="B4423" t="s">
        <v>11805</v>
      </c>
      <c r="C4423" t="s">
        <v>2102</v>
      </c>
      <c r="D4423" t="s">
        <v>2105</v>
      </c>
      <c r="E4423" s="183">
        <v>611.15</v>
      </c>
    </row>
    <row r="4424" spans="1:5" ht="14.25">
      <c r="A4424">
        <v>39848</v>
      </c>
      <c r="B4424" t="s">
        <v>11806</v>
      </c>
      <c r="C4424" t="s">
        <v>2109</v>
      </c>
      <c r="D4424" t="s">
        <v>2105</v>
      </c>
      <c r="E4424" s="183">
        <v>1.82</v>
      </c>
    </row>
    <row r="4425" spans="1:5" ht="14.25">
      <c r="A4425">
        <v>20999</v>
      </c>
      <c r="B4425" t="s">
        <v>11807</v>
      </c>
      <c r="C4425" t="s">
        <v>2109</v>
      </c>
      <c r="D4425" t="s">
        <v>2105</v>
      </c>
      <c r="E4425" s="183">
        <v>13.4</v>
      </c>
    </row>
    <row r="4426" spans="1:5" ht="14.25">
      <c r="A4426">
        <v>21001</v>
      </c>
      <c r="B4426" t="s">
        <v>11808</v>
      </c>
      <c r="C4426" t="s">
        <v>2109</v>
      </c>
      <c r="D4426" t="s">
        <v>2105</v>
      </c>
      <c r="E4426" s="183">
        <v>25.01</v>
      </c>
    </row>
    <row r="4427" spans="1:5" ht="14.25">
      <c r="A4427">
        <v>21003</v>
      </c>
      <c r="B4427" t="s">
        <v>11809</v>
      </c>
      <c r="C4427" t="s">
        <v>2109</v>
      </c>
      <c r="D4427" t="s">
        <v>2105</v>
      </c>
      <c r="E4427" s="183">
        <v>41.1</v>
      </c>
    </row>
    <row r="4428" spans="1:5" ht="14.25">
      <c r="A4428">
        <v>21006</v>
      </c>
      <c r="B4428" t="s">
        <v>11810</v>
      </c>
      <c r="C4428" t="s">
        <v>2109</v>
      </c>
      <c r="D4428" t="s">
        <v>2105</v>
      </c>
      <c r="E4428" s="183">
        <v>87.22</v>
      </c>
    </row>
    <row r="4429" spans="1:5" ht="14.25">
      <c r="A4429">
        <v>21019</v>
      </c>
      <c r="B4429" t="s">
        <v>11811</v>
      </c>
      <c r="C4429" t="s">
        <v>2109</v>
      </c>
      <c r="D4429" t="s">
        <v>2105</v>
      </c>
      <c r="E4429" s="183">
        <v>30.32</v>
      </c>
    </row>
    <row r="4430" spans="1:5" ht="14.25">
      <c r="A4430">
        <v>21021</v>
      </c>
      <c r="B4430" t="s">
        <v>11812</v>
      </c>
      <c r="C4430" t="s">
        <v>2109</v>
      </c>
      <c r="D4430" t="s">
        <v>2105</v>
      </c>
      <c r="E4430" s="183">
        <v>47.93</v>
      </c>
    </row>
    <row r="4431" spans="1:5" ht="14.25">
      <c r="A4431">
        <v>21024</v>
      </c>
      <c r="B4431" t="s">
        <v>11813</v>
      </c>
      <c r="C4431" t="s">
        <v>2109</v>
      </c>
      <c r="D4431" t="s">
        <v>2105</v>
      </c>
      <c r="E4431" s="183">
        <v>102.69</v>
      </c>
    </row>
    <row r="4432" spans="1:5" ht="14.25">
      <c r="A4432">
        <v>40624</v>
      </c>
      <c r="B4432" t="s">
        <v>11814</v>
      </c>
      <c r="C4432" t="s">
        <v>2109</v>
      </c>
      <c r="D4432" t="s">
        <v>2105</v>
      </c>
      <c r="E4432" s="183">
        <v>101.02</v>
      </c>
    </row>
    <row r="4433" spans="1:5" ht="14.25">
      <c r="A4433">
        <v>42575</v>
      </c>
      <c r="B4433" t="s">
        <v>11815</v>
      </c>
      <c r="C4433" t="s">
        <v>2109</v>
      </c>
      <c r="D4433" t="s">
        <v>2105</v>
      </c>
      <c r="E4433" s="183">
        <v>92.7</v>
      </c>
    </row>
    <row r="4434" spans="1:5" ht="14.25">
      <c r="A4434">
        <v>13127</v>
      </c>
      <c r="B4434" t="s">
        <v>11816</v>
      </c>
      <c r="C4434" t="s">
        <v>2109</v>
      </c>
      <c r="D4434" t="s">
        <v>2105</v>
      </c>
      <c r="E4434" s="183">
        <v>45.06</v>
      </c>
    </row>
    <row r="4435" spans="1:5" ht="14.25">
      <c r="A4435">
        <v>13137</v>
      </c>
      <c r="B4435" t="s">
        <v>11817</v>
      </c>
      <c r="C4435" t="s">
        <v>2109</v>
      </c>
      <c r="D4435" t="s">
        <v>2105</v>
      </c>
      <c r="E4435" s="183">
        <v>59.79</v>
      </c>
    </row>
    <row r="4436" spans="1:5" ht="14.25">
      <c r="A4436">
        <v>42574</v>
      </c>
      <c r="B4436" t="s">
        <v>11818</v>
      </c>
      <c r="C4436" t="s">
        <v>2109</v>
      </c>
      <c r="D4436" t="s">
        <v>2105</v>
      </c>
      <c r="E4436" s="183">
        <v>69.180000000000007</v>
      </c>
    </row>
    <row r="4437" spans="1:5" ht="14.25">
      <c r="A4437">
        <v>20989</v>
      </c>
      <c r="B4437" t="s">
        <v>11819</v>
      </c>
      <c r="C4437" t="s">
        <v>2109</v>
      </c>
      <c r="D4437" t="s">
        <v>2105</v>
      </c>
      <c r="E4437" s="184">
        <v>2142.23</v>
      </c>
    </row>
    <row r="4438" spans="1:5" ht="14.25">
      <c r="A4438">
        <v>21147</v>
      </c>
      <c r="B4438" t="s">
        <v>11820</v>
      </c>
      <c r="C4438" t="s">
        <v>2109</v>
      </c>
      <c r="D4438" t="s">
        <v>2105</v>
      </c>
      <c r="E4438" s="183">
        <v>200.86</v>
      </c>
    </row>
    <row r="4439" spans="1:5" ht="14.25">
      <c r="A4439">
        <v>21148</v>
      </c>
      <c r="B4439" t="s">
        <v>11821</v>
      </c>
      <c r="C4439" t="s">
        <v>2109</v>
      </c>
      <c r="D4439" t="s">
        <v>2105</v>
      </c>
      <c r="E4439" s="183">
        <v>123.97</v>
      </c>
    </row>
    <row r="4440" spans="1:5" ht="14.25">
      <c r="A4440">
        <v>20984</v>
      </c>
      <c r="B4440" t="s">
        <v>11822</v>
      </c>
      <c r="C4440" t="s">
        <v>2109</v>
      </c>
      <c r="D4440" t="s">
        <v>2105</v>
      </c>
      <c r="E4440" s="184">
        <v>4110.5200000000004</v>
      </c>
    </row>
    <row r="4441" spans="1:5" ht="14.25">
      <c r="A4441">
        <v>13042</v>
      </c>
      <c r="B4441" t="s">
        <v>11823</v>
      </c>
      <c r="C4441" t="s">
        <v>2109</v>
      </c>
      <c r="D4441" t="s">
        <v>2105</v>
      </c>
      <c r="E4441" s="184">
        <v>2277.84</v>
      </c>
    </row>
    <row r="4442" spans="1:5" ht="14.25">
      <c r="A4442">
        <v>21150</v>
      </c>
      <c r="B4442" t="s">
        <v>11824</v>
      </c>
      <c r="C4442" t="s">
        <v>2109</v>
      </c>
      <c r="D4442" t="s">
        <v>2105</v>
      </c>
      <c r="E4442" s="183">
        <v>61.47</v>
      </c>
    </row>
    <row r="4443" spans="1:5" ht="14.25">
      <c r="A4443">
        <v>13141</v>
      </c>
      <c r="B4443" t="s">
        <v>11825</v>
      </c>
      <c r="C4443" t="s">
        <v>2109</v>
      </c>
      <c r="D4443" t="s">
        <v>2105</v>
      </c>
      <c r="E4443" s="183">
        <v>77.45</v>
      </c>
    </row>
    <row r="4444" spans="1:5" ht="14.25">
      <c r="A4444">
        <v>42576</v>
      </c>
      <c r="B4444" t="s">
        <v>11826</v>
      </c>
      <c r="C4444" t="s">
        <v>2109</v>
      </c>
      <c r="D4444" t="s">
        <v>2105</v>
      </c>
      <c r="E4444" s="183">
        <v>252.88</v>
      </c>
    </row>
    <row r="4445" spans="1:5" ht="14.25">
      <c r="A4445">
        <v>21151</v>
      </c>
      <c r="B4445" t="s">
        <v>11827</v>
      </c>
      <c r="C4445" t="s">
        <v>2109</v>
      </c>
      <c r="D4445" t="s">
        <v>2105</v>
      </c>
      <c r="E4445" s="183">
        <v>367.94</v>
      </c>
    </row>
    <row r="4446" spans="1:5" ht="14.25">
      <c r="A4446">
        <v>13142</v>
      </c>
      <c r="B4446" t="s">
        <v>11828</v>
      </c>
      <c r="C4446" t="s">
        <v>2109</v>
      </c>
      <c r="D4446" t="s">
        <v>2105</v>
      </c>
      <c r="E4446" s="183">
        <v>526</v>
      </c>
    </row>
    <row r="4447" spans="1:5" ht="14.25">
      <c r="A4447">
        <v>42577</v>
      </c>
      <c r="B4447" t="s">
        <v>11829</v>
      </c>
      <c r="C4447" t="s">
        <v>2109</v>
      </c>
      <c r="D4447" t="s">
        <v>2105</v>
      </c>
      <c r="E4447" s="183">
        <v>577.16999999999996</v>
      </c>
    </row>
    <row r="4448" spans="1:5" ht="14.25">
      <c r="A4448">
        <v>20994</v>
      </c>
      <c r="B4448" t="s">
        <v>11830</v>
      </c>
      <c r="C4448" t="s">
        <v>2109</v>
      </c>
      <c r="D4448" t="s">
        <v>2105</v>
      </c>
      <c r="E4448" s="183">
        <v>991.74</v>
      </c>
    </row>
    <row r="4449" spans="1:5" ht="14.25">
      <c r="A4449">
        <v>7672</v>
      </c>
      <c r="B4449" t="s">
        <v>11831</v>
      </c>
      <c r="C4449" t="s">
        <v>2109</v>
      </c>
      <c r="D4449" t="s">
        <v>2105</v>
      </c>
      <c r="E4449" s="183">
        <v>649.70000000000005</v>
      </c>
    </row>
    <row r="4450" spans="1:5" ht="14.25">
      <c r="A4450">
        <v>20995</v>
      </c>
      <c r="B4450" t="s">
        <v>11832</v>
      </c>
      <c r="C4450" t="s">
        <v>2109</v>
      </c>
      <c r="D4450" t="s">
        <v>2105</v>
      </c>
      <c r="E4450" s="184">
        <v>1303.33</v>
      </c>
    </row>
    <row r="4451" spans="1:5" ht="14.25">
      <c r="A4451">
        <v>7690</v>
      </c>
      <c r="B4451" t="s">
        <v>11833</v>
      </c>
      <c r="C4451" t="s">
        <v>2109</v>
      </c>
      <c r="D4451" t="s">
        <v>2105</v>
      </c>
      <c r="E4451" s="183">
        <v>753.81</v>
      </c>
    </row>
    <row r="4452" spans="1:5" ht="14.25">
      <c r="A4452">
        <v>20980</v>
      </c>
      <c r="B4452" t="s">
        <v>11834</v>
      </c>
      <c r="C4452" t="s">
        <v>2109</v>
      </c>
      <c r="D4452" t="s">
        <v>2105</v>
      </c>
      <c r="E4452" s="183">
        <v>822.33</v>
      </c>
    </row>
    <row r="4453" spans="1:5" ht="14.25">
      <c r="A4453">
        <v>7661</v>
      </c>
      <c r="B4453" t="s">
        <v>11835</v>
      </c>
      <c r="C4453" t="s">
        <v>2109</v>
      </c>
      <c r="D4453" t="s">
        <v>2105</v>
      </c>
      <c r="E4453" s="183">
        <v>978.23</v>
      </c>
    </row>
    <row r="4454" spans="1:5" ht="14.25">
      <c r="A4454">
        <v>21016</v>
      </c>
      <c r="B4454" t="s">
        <v>11836</v>
      </c>
      <c r="C4454" t="s">
        <v>2109</v>
      </c>
      <c r="D4454" t="s">
        <v>2103</v>
      </c>
      <c r="E4454" s="183">
        <v>269.36</v>
      </c>
    </row>
    <row r="4455" spans="1:5" ht="14.25">
      <c r="A4455">
        <v>21008</v>
      </c>
      <c r="B4455" t="s">
        <v>11837</v>
      </c>
      <c r="C4455" t="s">
        <v>2109</v>
      </c>
      <c r="D4455" t="s">
        <v>2103</v>
      </c>
      <c r="E4455" s="183">
        <v>31.47</v>
      </c>
    </row>
    <row r="4456" spans="1:5" ht="14.25">
      <c r="A4456">
        <v>21009</v>
      </c>
      <c r="B4456" t="s">
        <v>11838</v>
      </c>
      <c r="C4456" t="s">
        <v>2109</v>
      </c>
      <c r="D4456" t="s">
        <v>2103</v>
      </c>
      <c r="E4456" s="183">
        <v>40.97</v>
      </c>
    </row>
    <row r="4457" spans="1:5" ht="14.25">
      <c r="A4457">
        <v>21010</v>
      </c>
      <c r="B4457" t="s">
        <v>11839</v>
      </c>
      <c r="C4457" t="s">
        <v>2109</v>
      </c>
      <c r="D4457" t="s">
        <v>2107</v>
      </c>
      <c r="E4457" s="183">
        <v>55.01</v>
      </c>
    </row>
    <row r="4458" spans="1:5" ht="14.25">
      <c r="A4458">
        <v>21011</v>
      </c>
      <c r="B4458" t="s">
        <v>11840</v>
      </c>
      <c r="C4458" t="s">
        <v>2109</v>
      </c>
      <c r="D4458" t="s">
        <v>2103</v>
      </c>
      <c r="E4458" s="183">
        <v>80.180000000000007</v>
      </c>
    </row>
    <row r="4459" spans="1:5" ht="14.25">
      <c r="A4459">
        <v>21012</v>
      </c>
      <c r="B4459" t="s">
        <v>11841</v>
      </c>
      <c r="C4459" t="s">
        <v>2109</v>
      </c>
      <c r="D4459" t="s">
        <v>2103</v>
      </c>
      <c r="E4459" s="183">
        <v>88.6</v>
      </c>
    </row>
    <row r="4460" spans="1:5" ht="14.25">
      <c r="A4460">
        <v>21013</v>
      </c>
      <c r="B4460" t="s">
        <v>11842</v>
      </c>
      <c r="C4460" t="s">
        <v>2109</v>
      </c>
      <c r="D4460" t="s">
        <v>2103</v>
      </c>
      <c r="E4460" s="183">
        <v>115.62</v>
      </c>
    </row>
    <row r="4461" spans="1:5" ht="14.25">
      <c r="A4461">
        <v>21014</v>
      </c>
      <c r="B4461" t="s">
        <v>11843</v>
      </c>
      <c r="C4461" t="s">
        <v>2109</v>
      </c>
      <c r="D4461" t="s">
        <v>2103</v>
      </c>
      <c r="E4461" s="183">
        <v>161.78</v>
      </c>
    </row>
    <row r="4462" spans="1:5" ht="14.25">
      <c r="A4462">
        <v>21015</v>
      </c>
      <c r="B4462" t="s">
        <v>11844</v>
      </c>
      <c r="C4462" t="s">
        <v>2109</v>
      </c>
      <c r="D4462" t="s">
        <v>2103</v>
      </c>
      <c r="E4462" s="183">
        <v>185.86</v>
      </c>
    </row>
    <row r="4463" spans="1:5" ht="14.25">
      <c r="A4463">
        <v>7697</v>
      </c>
      <c r="B4463" t="s">
        <v>11845</v>
      </c>
      <c r="C4463" t="s">
        <v>2109</v>
      </c>
      <c r="D4463" t="s">
        <v>2103</v>
      </c>
      <c r="E4463" s="183">
        <v>88.69</v>
      </c>
    </row>
    <row r="4464" spans="1:5" ht="14.25">
      <c r="A4464">
        <v>7698</v>
      </c>
      <c r="B4464" t="s">
        <v>11846</v>
      </c>
      <c r="C4464" t="s">
        <v>2109</v>
      </c>
      <c r="D4464" t="s">
        <v>2103</v>
      </c>
      <c r="E4464" s="183">
        <v>76.34</v>
      </c>
    </row>
    <row r="4465" spans="1:5" ht="14.25">
      <c r="A4465">
        <v>7691</v>
      </c>
      <c r="B4465" t="s">
        <v>11847</v>
      </c>
      <c r="C4465" t="s">
        <v>2109</v>
      </c>
      <c r="D4465" t="s">
        <v>2103</v>
      </c>
      <c r="E4465" s="183">
        <v>32.26</v>
      </c>
    </row>
    <row r="4466" spans="1:5" ht="14.25">
      <c r="A4466">
        <v>40626</v>
      </c>
      <c r="B4466" t="s">
        <v>11848</v>
      </c>
      <c r="C4466" t="s">
        <v>2109</v>
      </c>
      <c r="D4466" t="s">
        <v>2103</v>
      </c>
      <c r="E4466" s="183">
        <v>60.54</v>
      </c>
    </row>
    <row r="4467" spans="1:5" ht="14.25">
      <c r="A4467">
        <v>7701</v>
      </c>
      <c r="B4467" t="s">
        <v>11849</v>
      </c>
      <c r="C4467" t="s">
        <v>2109</v>
      </c>
      <c r="D4467" t="s">
        <v>2103</v>
      </c>
      <c r="E4467" s="183">
        <v>158.71</v>
      </c>
    </row>
    <row r="4468" spans="1:5" ht="14.25">
      <c r="A4468">
        <v>7696</v>
      </c>
      <c r="B4468" t="s">
        <v>11850</v>
      </c>
      <c r="C4468" t="s">
        <v>2109</v>
      </c>
      <c r="D4468" t="s">
        <v>2103</v>
      </c>
      <c r="E4468" s="183">
        <v>127.89</v>
      </c>
    </row>
    <row r="4469" spans="1:5" ht="14.25">
      <c r="A4469">
        <v>7700</v>
      </c>
      <c r="B4469" t="s">
        <v>11851</v>
      </c>
      <c r="C4469" t="s">
        <v>2109</v>
      </c>
      <c r="D4469" t="s">
        <v>2103</v>
      </c>
      <c r="E4469" s="183">
        <v>40.799999999999997</v>
      </c>
    </row>
    <row r="4470" spans="1:5" ht="14.25">
      <c r="A4470">
        <v>7694</v>
      </c>
      <c r="B4470" t="s">
        <v>11852</v>
      </c>
      <c r="C4470" t="s">
        <v>2109</v>
      </c>
      <c r="D4470" t="s">
        <v>2103</v>
      </c>
      <c r="E4470" s="183">
        <v>213.58</v>
      </c>
    </row>
    <row r="4471" spans="1:5" ht="14.25">
      <c r="A4471">
        <v>7693</v>
      </c>
      <c r="B4471" t="s">
        <v>11853</v>
      </c>
      <c r="C4471" t="s">
        <v>2109</v>
      </c>
      <c r="D4471" t="s">
        <v>2103</v>
      </c>
      <c r="E4471" s="183">
        <v>294.14</v>
      </c>
    </row>
    <row r="4472" spans="1:5" ht="14.25">
      <c r="A4472">
        <v>7692</v>
      </c>
      <c r="B4472" t="s">
        <v>11854</v>
      </c>
      <c r="C4472" t="s">
        <v>2109</v>
      </c>
      <c r="D4472" t="s">
        <v>2103</v>
      </c>
      <c r="E4472" s="183">
        <v>440.38</v>
      </c>
    </row>
    <row r="4473" spans="1:5" ht="14.25">
      <c r="A4473">
        <v>7695</v>
      </c>
      <c r="B4473" t="s">
        <v>11855</v>
      </c>
      <c r="C4473" t="s">
        <v>2109</v>
      </c>
      <c r="D4473" t="s">
        <v>2103</v>
      </c>
      <c r="E4473" s="183">
        <v>477.61</v>
      </c>
    </row>
    <row r="4474" spans="1:5" ht="14.25">
      <c r="A4474">
        <v>13356</v>
      </c>
      <c r="B4474" t="s">
        <v>11856</v>
      </c>
      <c r="C4474" t="s">
        <v>2109</v>
      </c>
      <c r="D4474" t="s">
        <v>2103</v>
      </c>
      <c r="E4474" s="183">
        <v>34.630000000000003</v>
      </c>
    </row>
    <row r="4475" spans="1:5" ht="14.25">
      <c r="A4475">
        <v>36365</v>
      </c>
      <c r="B4475" t="s">
        <v>11857</v>
      </c>
      <c r="C4475" t="s">
        <v>2109</v>
      </c>
      <c r="D4475" t="s">
        <v>2103</v>
      </c>
      <c r="E4475" s="183">
        <v>49.39</v>
      </c>
    </row>
    <row r="4476" spans="1:5" ht="14.25">
      <c r="A4476">
        <v>41930</v>
      </c>
      <c r="B4476" t="s">
        <v>11858</v>
      </c>
      <c r="C4476" t="s">
        <v>2109</v>
      </c>
      <c r="D4476" t="s">
        <v>2103</v>
      </c>
      <c r="E4476" s="183">
        <v>164.51</v>
      </c>
    </row>
    <row r="4477" spans="1:5" ht="14.25">
      <c r="A4477">
        <v>41931</v>
      </c>
      <c r="B4477" t="s">
        <v>11859</v>
      </c>
      <c r="C4477" t="s">
        <v>2109</v>
      </c>
      <c r="D4477" t="s">
        <v>2103</v>
      </c>
      <c r="E4477" s="183">
        <v>257.67</v>
      </c>
    </row>
    <row r="4478" spans="1:5" ht="14.25">
      <c r="A4478">
        <v>41932</v>
      </c>
      <c r="B4478" t="s">
        <v>11860</v>
      </c>
      <c r="C4478" t="s">
        <v>2109</v>
      </c>
      <c r="D4478" t="s">
        <v>2103</v>
      </c>
      <c r="E4478" s="183">
        <v>396.59</v>
      </c>
    </row>
    <row r="4479" spans="1:5" ht="14.25">
      <c r="A4479">
        <v>41933</v>
      </c>
      <c r="B4479" t="s">
        <v>11861</v>
      </c>
      <c r="C4479" t="s">
        <v>2109</v>
      </c>
      <c r="D4479" t="s">
        <v>2103</v>
      </c>
      <c r="E4479" s="183">
        <v>560.48</v>
      </c>
    </row>
    <row r="4480" spans="1:5" ht="14.25">
      <c r="A4480">
        <v>41934</v>
      </c>
      <c r="B4480" t="s">
        <v>11862</v>
      </c>
      <c r="C4480" t="s">
        <v>2109</v>
      </c>
      <c r="D4480" t="s">
        <v>2103</v>
      </c>
      <c r="E4480" s="183">
        <v>652.75</v>
      </c>
    </row>
    <row r="4481" spans="1:5" ht="14.25">
      <c r="A4481">
        <v>41936</v>
      </c>
      <c r="B4481" t="s">
        <v>11863</v>
      </c>
      <c r="C4481" t="s">
        <v>2109</v>
      </c>
      <c r="D4481" t="s">
        <v>2103</v>
      </c>
      <c r="E4481" s="183">
        <v>96.87</v>
      </c>
    </row>
    <row r="4482" spans="1:5" ht="14.25">
      <c r="A4482">
        <v>44812</v>
      </c>
      <c r="B4482" t="s">
        <v>15318</v>
      </c>
      <c r="C4482" t="s">
        <v>2109</v>
      </c>
      <c r="D4482" t="s">
        <v>2103</v>
      </c>
      <c r="E4482" s="183">
        <v>538.96</v>
      </c>
    </row>
    <row r="4483" spans="1:5" ht="14.25">
      <c r="A4483">
        <v>41785</v>
      </c>
      <c r="B4483" t="s">
        <v>13691</v>
      </c>
      <c r="C4483" t="s">
        <v>2109</v>
      </c>
      <c r="D4483" t="s">
        <v>2103</v>
      </c>
      <c r="E4483" s="184">
        <v>1997.34</v>
      </c>
    </row>
    <row r="4484" spans="1:5" ht="14.25">
      <c r="A4484">
        <v>41781</v>
      </c>
      <c r="B4484" t="s">
        <v>13692</v>
      </c>
      <c r="C4484" t="s">
        <v>2109</v>
      </c>
      <c r="D4484" t="s">
        <v>2103</v>
      </c>
      <c r="E4484" s="183">
        <v>360.65</v>
      </c>
    </row>
    <row r="4485" spans="1:5" ht="14.25">
      <c r="A4485">
        <v>41783</v>
      </c>
      <c r="B4485" t="s">
        <v>13693</v>
      </c>
      <c r="C4485" t="s">
        <v>2109</v>
      </c>
      <c r="D4485" t="s">
        <v>2103</v>
      </c>
      <c r="E4485" s="184">
        <v>1296.57</v>
      </c>
    </row>
    <row r="4486" spans="1:5" ht="14.25">
      <c r="A4486">
        <v>41786</v>
      </c>
      <c r="B4486" t="s">
        <v>13694</v>
      </c>
      <c r="C4486" t="s">
        <v>2109</v>
      </c>
      <c r="D4486" t="s">
        <v>2103</v>
      </c>
      <c r="E4486" s="184">
        <v>2760.45</v>
      </c>
    </row>
    <row r="4487" spans="1:5" ht="14.25">
      <c r="A4487">
        <v>41779</v>
      </c>
      <c r="B4487" t="s">
        <v>13695</v>
      </c>
      <c r="C4487" t="s">
        <v>2109</v>
      </c>
      <c r="D4487" t="s">
        <v>2103</v>
      </c>
      <c r="E4487" s="183">
        <v>142.04</v>
      </c>
    </row>
    <row r="4488" spans="1:5" ht="14.25">
      <c r="A4488">
        <v>41780</v>
      </c>
      <c r="B4488" t="s">
        <v>13696</v>
      </c>
      <c r="C4488" t="s">
        <v>2109</v>
      </c>
      <c r="D4488" t="s">
        <v>2103</v>
      </c>
      <c r="E4488" s="183">
        <v>222.53</v>
      </c>
    </row>
    <row r="4489" spans="1:5" ht="14.25">
      <c r="A4489">
        <v>41782</v>
      </c>
      <c r="B4489" t="s">
        <v>13697</v>
      </c>
      <c r="C4489" t="s">
        <v>2109</v>
      </c>
      <c r="D4489" t="s">
        <v>2103</v>
      </c>
      <c r="E4489" s="183">
        <v>797.14</v>
      </c>
    </row>
    <row r="4490" spans="1:5" ht="14.25">
      <c r="A4490">
        <v>38130</v>
      </c>
      <c r="B4490" t="s">
        <v>11864</v>
      </c>
      <c r="C4490" t="s">
        <v>2109</v>
      </c>
      <c r="D4490" t="s">
        <v>2103</v>
      </c>
      <c r="E4490" s="183">
        <v>46.32</v>
      </c>
    </row>
    <row r="4491" spans="1:5" ht="14.25">
      <c r="A4491">
        <v>44260</v>
      </c>
      <c r="B4491" t="s">
        <v>18669</v>
      </c>
      <c r="C4491" t="s">
        <v>2109</v>
      </c>
      <c r="D4491" t="s">
        <v>2103</v>
      </c>
      <c r="E4491" s="183">
        <v>438.39</v>
      </c>
    </row>
    <row r="4492" spans="1:5" ht="14.25">
      <c r="A4492">
        <v>21123</v>
      </c>
      <c r="B4492" t="s">
        <v>11865</v>
      </c>
      <c r="C4492" t="s">
        <v>2109</v>
      </c>
      <c r="D4492" t="s">
        <v>2107</v>
      </c>
      <c r="E4492" s="183">
        <v>12.89</v>
      </c>
    </row>
    <row r="4493" spans="1:5" ht="14.25">
      <c r="A4493">
        <v>21124</v>
      </c>
      <c r="B4493" t="s">
        <v>11866</v>
      </c>
      <c r="C4493" t="s">
        <v>2109</v>
      </c>
      <c r="D4493" t="s">
        <v>2103</v>
      </c>
      <c r="E4493" s="183">
        <v>20.59</v>
      </c>
    </row>
    <row r="4494" spans="1:5" ht="14.25">
      <c r="A4494">
        <v>21125</v>
      </c>
      <c r="B4494" t="s">
        <v>11867</v>
      </c>
      <c r="C4494" t="s">
        <v>2109</v>
      </c>
      <c r="D4494" t="s">
        <v>2103</v>
      </c>
      <c r="E4494" s="183">
        <v>35.46</v>
      </c>
    </row>
    <row r="4495" spans="1:5" ht="14.25">
      <c r="A4495">
        <v>38028</v>
      </c>
      <c r="B4495" t="s">
        <v>11868</v>
      </c>
      <c r="C4495" t="s">
        <v>2109</v>
      </c>
      <c r="D4495" t="s">
        <v>2103</v>
      </c>
      <c r="E4495" s="183">
        <v>62.01</v>
      </c>
    </row>
    <row r="4496" spans="1:5" ht="14.25">
      <c r="A4496">
        <v>38029</v>
      </c>
      <c r="B4496" t="s">
        <v>11869</v>
      </c>
      <c r="C4496" t="s">
        <v>2109</v>
      </c>
      <c r="D4496" t="s">
        <v>2103</v>
      </c>
      <c r="E4496" s="183">
        <v>90.76</v>
      </c>
    </row>
    <row r="4497" spans="1:5" ht="14.25">
      <c r="A4497">
        <v>38030</v>
      </c>
      <c r="B4497" t="s">
        <v>11870</v>
      </c>
      <c r="C4497" t="s">
        <v>2109</v>
      </c>
      <c r="D4497" t="s">
        <v>2103</v>
      </c>
      <c r="E4497" s="183">
        <v>146.76</v>
      </c>
    </row>
    <row r="4498" spans="1:5" ht="14.25">
      <c r="A4498">
        <v>38031</v>
      </c>
      <c r="B4498" t="s">
        <v>11871</v>
      </c>
      <c r="C4498" t="s">
        <v>2109</v>
      </c>
      <c r="D4498" t="s">
        <v>2103</v>
      </c>
      <c r="E4498" s="183">
        <v>230.35</v>
      </c>
    </row>
    <row r="4499" spans="1:5" ht="14.25">
      <c r="A4499">
        <v>39735</v>
      </c>
      <c r="B4499" t="s">
        <v>11872</v>
      </c>
      <c r="C4499" t="s">
        <v>2109</v>
      </c>
      <c r="D4499" t="s">
        <v>2103</v>
      </c>
      <c r="E4499" s="183">
        <v>56.79</v>
      </c>
    </row>
    <row r="4500" spans="1:5" ht="14.25">
      <c r="A4500">
        <v>39734</v>
      </c>
      <c r="B4500" t="s">
        <v>11873</v>
      </c>
      <c r="C4500" t="s">
        <v>2109</v>
      </c>
      <c r="D4500" t="s">
        <v>2103</v>
      </c>
      <c r="E4500" s="183">
        <v>67.36</v>
      </c>
    </row>
    <row r="4501" spans="1:5" ht="14.25">
      <c r="A4501">
        <v>39736</v>
      </c>
      <c r="B4501" t="s">
        <v>11874</v>
      </c>
      <c r="C4501" t="s">
        <v>2109</v>
      </c>
      <c r="D4501" t="s">
        <v>2103</v>
      </c>
      <c r="E4501" s="183">
        <v>76.87</v>
      </c>
    </row>
    <row r="4502" spans="1:5" ht="14.25">
      <c r="A4502">
        <v>39737</v>
      </c>
      <c r="B4502" t="s">
        <v>11875</v>
      </c>
      <c r="C4502" t="s">
        <v>2109</v>
      </c>
      <c r="D4502" t="s">
        <v>2103</v>
      </c>
      <c r="E4502" s="183">
        <v>10.34</v>
      </c>
    </row>
    <row r="4503" spans="1:5" ht="14.25">
      <c r="A4503">
        <v>39738</v>
      </c>
      <c r="B4503" t="s">
        <v>11876</v>
      </c>
      <c r="C4503" t="s">
        <v>2109</v>
      </c>
      <c r="D4503" t="s">
        <v>2103</v>
      </c>
      <c r="E4503" s="183">
        <v>3.74</v>
      </c>
    </row>
    <row r="4504" spans="1:5" ht="14.25">
      <c r="A4504">
        <v>39739</v>
      </c>
      <c r="B4504" t="s">
        <v>11877</v>
      </c>
      <c r="C4504" t="s">
        <v>2109</v>
      </c>
      <c r="D4504" t="s">
        <v>2103</v>
      </c>
      <c r="E4504" s="183">
        <v>53.16</v>
      </c>
    </row>
    <row r="4505" spans="1:5" ht="14.25">
      <c r="A4505">
        <v>39733</v>
      </c>
      <c r="B4505" t="s">
        <v>11878</v>
      </c>
      <c r="C4505" t="s">
        <v>2109</v>
      </c>
      <c r="D4505" t="s">
        <v>2103</v>
      </c>
      <c r="E4505" s="183">
        <v>91.99</v>
      </c>
    </row>
    <row r="4506" spans="1:5" ht="14.25">
      <c r="A4506">
        <v>39854</v>
      </c>
      <c r="B4506" t="s">
        <v>11879</v>
      </c>
      <c r="C4506" t="s">
        <v>2109</v>
      </c>
      <c r="D4506" t="s">
        <v>2103</v>
      </c>
      <c r="E4506" s="183">
        <v>93.3</v>
      </c>
    </row>
    <row r="4507" spans="1:5" ht="14.25">
      <c r="A4507">
        <v>39740</v>
      </c>
      <c r="B4507" t="s">
        <v>11880</v>
      </c>
      <c r="C4507" t="s">
        <v>2109</v>
      </c>
      <c r="D4507" t="s">
        <v>2103</v>
      </c>
      <c r="E4507" s="183">
        <v>51.05</v>
      </c>
    </row>
    <row r="4508" spans="1:5" ht="14.25">
      <c r="A4508">
        <v>39741</v>
      </c>
      <c r="B4508" t="s">
        <v>11881</v>
      </c>
      <c r="C4508" t="s">
        <v>2109</v>
      </c>
      <c r="D4508" t="s">
        <v>2103</v>
      </c>
      <c r="E4508" s="183">
        <v>9.4</v>
      </c>
    </row>
    <row r="4509" spans="1:5" ht="14.25">
      <c r="A4509">
        <v>39853</v>
      </c>
      <c r="B4509" t="s">
        <v>11882</v>
      </c>
      <c r="C4509" t="s">
        <v>2109</v>
      </c>
      <c r="D4509" t="s">
        <v>2103</v>
      </c>
      <c r="E4509" s="183">
        <v>12.35</v>
      </c>
    </row>
    <row r="4510" spans="1:5" ht="14.25">
      <c r="A4510">
        <v>39742</v>
      </c>
      <c r="B4510" t="s">
        <v>11883</v>
      </c>
      <c r="C4510" t="s">
        <v>2109</v>
      </c>
      <c r="D4510" t="s">
        <v>2103</v>
      </c>
      <c r="E4510" s="183">
        <v>41.03</v>
      </c>
    </row>
    <row r="4511" spans="1:5" ht="14.25">
      <c r="A4511">
        <v>39749</v>
      </c>
      <c r="B4511" t="s">
        <v>11884</v>
      </c>
      <c r="C4511" t="s">
        <v>2109</v>
      </c>
      <c r="D4511" t="s">
        <v>2105</v>
      </c>
      <c r="E4511" s="183">
        <v>92.35</v>
      </c>
    </row>
    <row r="4512" spans="1:5" ht="14.25">
      <c r="A4512">
        <v>39751</v>
      </c>
      <c r="B4512" t="s">
        <v>11885</v>
      </c>
      <c r="C4512" t="s">
        <v>2109</v>
      </c>
      <c r="D4512" t="s">
        <v>2105</v>
      </c>
      <c r="E4512" s="183">
        <v>167.82</v>
      </c>
    </row>
    <row r="4513" spans="1:5" ht="14.25">
      <c r="A4513">
        <v>39750</v>
      </c>
      <c r="B4513" t="s">
        <v>11886</v>
      </c>
      <c r="C4513" t="s">
        <v>2109</v>
      </c>
      <c r="D4513" t="s">
        <v>2105</v>
      </c>
      <c r="E4513" s="183">
        <v>139.49</v>
      </c>
    </row>
    <row r="4514" spans="1:5" ht="14.25">
      <c r="A4514">
        <v>39747</v>
      </c>
      <c r="B4514" t="s">
        <v>11887</v>
      </c>
      <c r="C4514" t="s">
        <v>2109</v>
      </c>
      <c r="D4514" t="s">
        <v>2105</v>
      </c>
      <c r="E4514" s="183">
        <v>44.87</v>
      </c>
    </row>
    <row r="4515" spans="1:5" ht="14.25">
      <c r="A4515">
        <v>39753</v>
      </c>
      <c r="B4515" t="s">
        <v>11888</v>
      </c>
      <c r="C4515" t="s">
        <v>2109</v>
      </c>
      <c r="D4515" t="s">
        <v>2105</v>
      </c>
      <c r="E4515" s="183">
        <v>308.92</v>
      </c>
    </row>
    <row r="4516" spans="1:5" ht="14.25">
      <c r="A4516">
        <v>39754</v>
      </c>
      <c r="B4516" t="s">
        <v>11889</v>
      </c>
      <c r="C4516" t="s">
        <v>2109</v>
      </c>
      <c r="D4516" t="s">
        <v>2105</v>
      </c>
      <c r="E4516" s="183">
        <v>455.12</v>
      </c>
    </row>
    <row r="4517" spans="1:5" ht="14.25">
      <c r="A4517">
        <v>39748</v>
      </c>
      <c r="B4517" t="s">
        <v>11890</v>
      </c>
      <c r="C4517" t="s">
        <v>2109</v>
      </c>
      <c r="D4517" t="s">
        <v>2105</v>
      </c>
      <c r="E4517" s="183">
        <v>72.599999999999994</v>
      </c>
    </row>
    <row r="4518" spans="1:5" ht="14.25">
      <c r="A4518">
        <v>39755</v>
      </c>
      <c r="B4518" t="s">
        <v>11891</v>
      </c>
      <c r="C4518" t="s">
        <v>2109</v>
      </c>
      <c r="D4518" t="s">
        <v>2105</v>
      </c>
      <c r="E4518" s="183">
        <v>690.07</v>
      </c>
    </row>
    <row r="4519" spans="1:5" ht="14.25">
      <c r="A4519">
        <v>12742</v>
      </c>
      <c r="B4519" t="s">
        <v>11892</v>
      </c>
      <c r="C4519" t="s">
        <v>2109</v>
      </c>
      <c r="D4519" t="s">
        <v>2105</v>
      </c>
      <c r="E4519" s="183">
        <v>546.41999999999996</v>
      </c>
    </row>
    <row r="4520" spans="1:5" ht="14.25">
      <c r="A4520">
        <v>12713</v>
      </c>
      <c r="B4520" t="s">
        <v>11893</v>
      </c>
      <c r="C4520" t="s">
        <v>2109</v>
      </c>
      <c r="D4520" t="s">
        <v>2105</v>
      </c>
      <c r="E4520" s="183">
        <v>28.98</v>
      </c>
    </row>
    <row r="4521" spans="1:5" ht="14.25">
      <c r="A4521">
        <v>12743</v>
      </c>
      <c r="B4521" t="s">
        <v>11894</v>
      </c>
      <c r="C4521" t="s">
        <v>2109</v>
      </c>
      <c r="D4521" t="s">
        <v>2105</v>
      </c>
      <c r="E4521" s="183">
        <v>49.85</v>
      </c>
    </row>
    <row r="4522" spans="1:5" ht="14.25">
      <c r="A4522">
        <v>12744</v>
      </c>
      <c r="B4522" t="s">
        <v>11895</v>
      </c>
      <c r="C4522" t="s">
        <v>2109</v>
      </c>
      <c r="D4522" t="s">
        <v>2105</v>
      </c>
      <c r="E4522" s="183">
        <v>63.27</v>
      </c>
    </row>
    <row r="4523" spans="1:5" ht="14.25">
      <c r="A4523">
        <v>12745</v>
      </c>
      <c r="B4523" t="s">
        <v>11896</v>
      </c>
      <c r="C4523" t="s">
        <v>2109</v>
      </c>
      <c r="D4523" t="s">
        <v>2105</v>
      </c>
      <c r="E4523" s="183">
        <v>91.88</v>
      </c>
    </row>
    <row r="4524" spans="1:5" ht="14.25">
      <c r="A4524">
        <v>12746</v>
      </c>
      <c r="B4524" t="s">
        <v>11897</v>
      </c>
      <c r="C4524" t="s">
        <v>2109</v>
      </c>
      <c r="D4524" t="s">
        <v>2105</v>
      </c>
      <c r="E4524" s="183">
        <v>124.07</v>
      </c>
    </row>
    <row r="4525" spans="1:5" ht="14.25">
      <c r="A4525">
        <v>12747</v>
      </c>
      <c r="B4525" t="s">
        <v>11898</v>
      </c>
      <c r="C4525" t="s">
        <v>2109</v>
      </c>
      <c r="D4525" t="s">
        <v>2105</v>
      </c>
      <c r="E4525" s="183">
        <v>179.93</v>
      </c>
    </row>
    <row r="4526" spans="1:5" ht="14.25">
      <c r="A4526">
        <v>12748</v>
      </c>
      <c r="B4526" t="s">
        <v>11899</v>
      </c>
      <c r="C4526" t="s">
        <v>2109</v>
      </c>
      <c r="D4526" t="s">
        <v>2105</v>
      </c>
      <c r="E4526" s="183">
        <v>253.49</v>
      </c>
    </row>
    <row r="4527" spans="1:5" ht="14.25">
      <c r="A4527">
        <v>12749</v>
      </c>
      <c r="B4527" t="s">
        <v>11900</v>
      </c>
      <c r="C4527" t="s">
        <v>2109</v>
      </c>
      <c r="D4527" t="s">
        <v>2105</v>
      </c>
      <c r="E4527" s="183">
        <v>370.56</v>
      </c>
    </row>
    <row r="4528" spans="1:5" ht="14.25">
      <c r="A4528">
        <v>39726</v>
      </c>
      <c r="B4528" t="s">
        <v>11901</v>
      </c>
      <c r="C4528" t="s">
        <v>2109</v>
      </c>
      <c r="D4528" t="s">
        <v>2105</v>
      </c>
      <c r="E4528" s="183">
        <v>121.71</v>
      </c>
    </row>
    <row r="4529" spans="1:5" ht="14.25">
      <c r="A4529">
        <v>39728</v>
      </c>
      <c r="B4529" t="s">
        <v>11902</v>
      </c>
      <c r="C4529" t="s">
        <v>2109</v>
      </c>
      <c r="D4529" t="s">
        <v>2105</v>
      </c>
      <c r="E4529" s="183">
        <v>213.92</v>
      </c>
    </row>
    <row r="4530" spans="1:5" ht="14.25">
      <c r="A4530">
        <v>39727</v>
      </c>
      <c r="B4530" t="s">
        <v>11903</v>
      </c>
      <c r="C4530" t="s">
        <v>2109</v>
      </c>
      <c r="D4530" t="s">
        <v>2105</v>
      </c>
      <c r="E4530" s="183">
        <v>176.04</v>
      </c>
    </row>
    <row r="4531" spans="1:5" ht="14.25">
      <c r="A4531">
        <v>39724</v>
      </c>
      <c r="B4531" t="s">
        <v>11904</v>
      </c>
      <c r="C4531" t="s">
        <v>2109</v>
      </c>
      <c r="D4531" t="s">
        <v>2105</v>
      </c>
      <c r="E4531" s="183">
        <v>53.9</v>
      </c>
    </row>
    <row r="4532" spans="1:5" ht="14.25">
      <c r="A4532">
        <v>39729</v>
      </c>
      <c r="B4532" t="s">
        <v>11905</v>
      </c>
      <c r="C4532" t="s">
        <v>2109</v>
      </c>
      <c r="D4532" t="s">
        <v>2105</v>
      </c>
      <c r="E4532" s="183">
        <v>296.23</v>
      </c>
    </row>
    <row r="4533" spans="1:5" ht="14.25">
      <c r="A4533">
        <v>39730</v>
      </c>
      <c r="B4533" t="s">
        <v>11906</v>
      </c>
      <c r="C4533" t="s">
        <v>2109</v>
      </c>
      <c r="D4533" t="s">
        <v>2105</v>
      </c>
      <c r="E4533" s="183">
        <v>384.35</v>
      </c>
    </row>
    <row r="4534" spans="1:5" ht="14.25">
      <c r="A4534">
        <v>39731</v>
      </c>
      <c r="B4534" t="s">
        <v>11907</v>
      </c>
      <c r="C4534" t="s">
        <v>2109</v>
      </c>
      <c r="D4534" t="s">
        <v>2105</v>
      </c>
      <c r="E4534" s="183">
        <v>569.25</v>
      </c>
    </row>
    <row r="4535" spans="1:5" ht="14.25">
      <c r="A4535">
        <v>39725</v>
      </c>
      <c r="B4535" t="s">
        <v>11908</v>
      </c>
      <c r="C4535" t="s">
        <v>2109</v>
      </c>
      <c r="D4535" t="s">
        <v>2105</v>
      </c>
      <c r="E4535" s="183">
        <v>87.85</v>
      </c>
    </row>
    <row r="4536" spans="1:5" ht="14.25">
      <c r="A4536">
        <v>39732</v>
      </c>
      <c r="B4536" t="s">
        <v>11909</v>
      </c>
      <c r="C4536" t="s">
        <v>2109</v>
      </c>
      <c r="D4536" t="s">
        <v>2105</v>
      </c>
      <c r="E4536" s="183">
        <v>837.91</v>
      </c>
    </row>
    <row r="4537" spans="1:5" ht="14.25">
      <c r="A4537">
        <v>39660</v>
      </c>
      <c r="B4537" t="s">
        <v>11910</v>
      </c>
      <c r="C4537" t="s">
        <v>2109</v>
      </c>
      <c r="D4537" t="s">
        <v>2105</v>
      </c>
      <c r="E4537" s="183">
        <v>38.18</v>
      </c>
    </row>
    <row r="4538" spans="1:5" ht="14.25">
      <c r="A4538">
        <v>39662</v>
      </c>
      <c r="B4538" t="s">
        <v>11911</v>
      </c>
      <c r="C4538" t="s">
        <v>2109</v>
      </c>
      <c r="D4538" t="s">
        <v>2105</v>
      </c>
      <c r="E4538" s="183">
        <v>18.3</v>
      </c>
    </row>
    <row r="4539" spans="1:5" ht="14.25">
      <c r="A4539">
        <v>39661</v>
      </c>
      <c r="B4539" t="s">
        <v>11912</v>
      </c>
      <c r="C4539" t="s">
        <v>2109</v>
      </c>
      <c r="D4539" t="s">
        <v>2105</v>
      </c>
      <c r="E4539" s="183">
        <v>12.48</v>
      </c>
    </row>
    <row r="4540" spans="1:5" ht="14.25">
      <c r="A4540">
        <v>39666</v>
      </c>
      <c r="B4540" t="s">
        <v>11913</v>
      </c>
      <c r="C4540" t="s">
        <v>2109</v>
      </c>
      <c r="D4540" t="s">
        <v>2105</v>
      </c>
      <c r="E4540" s="183">
        <v>57.44</v>
      </c>
    </row>
    <row r="4541" spans="1:5" ht="14.25">
      <c r="A4541">
        <v>39664</v>
      </c>
      <c r="B4541" t="s">
        <v>11914</v>
      </c>
      <c r="C4541" t="s">
        <v>2109</v>
      </c>
      <c r="D4541" t="s">
        <v>2105</v>
      </c>
      <c r="E4541" s="183">
        <v>28.15</v>
      </c>
    </row>
    <row r="4542" spans="1:5" ht="14.25">
      <c r="A4542">
        <v>39663</v>
      </c>
      <c r="B4542" t="s">
        <v>11915</v>
      </c>
      <c r="C4542" t="s">
        <v>2109</v>
      </c>
      <c r="D4542" t="s">
        <v>2105</v>
      </c>
      <c r="E4542" s="183">
        <v>22.5</v>
      </c>
    </row>
    <row r="4543" spans="1:5" ht="14.25">
      <c r="A4543">
        <v>39665</v>
      </c>
      <c r="B4543" t="s">
        <v>11916</v>
      </c>
      <c r="C4543" t="s">
        <v>2109</v>
      </c>
      <c r="D4543" t="s">
        <v>2105</v>
      </c>
      <c r="E4543" s="183">
        <v>47.49</v>
      </c>
    </row>
    <row r="4544" spans="1:5" ht="14.25">
      <c r="A4544">
        <v>39752</v>
      </c>
      <c r="B4544" t="s">
        <v>11917</v>
      </c>
      <c r="C4544" t="s">
        <v>2109</v>
      </c>
      <c r="D4544" t="s">
        <v>2105</v>
      </c>
      <c r="E4544" s="183">
        <v>238.79</v>
      </c>
    </row>
    <row r="4545" spans="1:5" ht="14.25">
      <c r="A4545">
        <v>7725</v>
      </c>
      <c r="B4545" t="s">
        <v>11918</v>
      </c>
      <c r="C4545" t="s">
        <v>2109</v>
      </c>
      <c r="D4545" t="s">
        <v>2107</v>
      </c>
      <c r="E4545" s="183">
        <v>200.79</v>
      </c>
    </row>
    <row r="4546" spans="1:5" ht="14.25">
      <c r="A4546">
        <v>7753</v>
      </c>
      <c r="B4546" t="s">
        <v>11919</v>
      </c>
      <c r="C4546" t="s">
        <v>2109</v>
      </c>
      <c r="D4546" t="s">
        <v>2103</v>
      </c>
      <c r="E4546" s="183">
        <v>391.45</v>
      </c>
    </row>
    <row r="4547" spans="1:5" ht="14.25">
      <c r="A4547">
        <v>13256</v>
      </c>
      <c r="B4547" t="s">
        <v>11920</v>
      </c>
      <c r="C4547" t="s">
        <v>2109</v>
      </c>
      <c r="D4547" t="s">
        <v>2103</v>
      </c>
      <c r="E4547" s="183">
        <v>548.37</v>
      </c>
    </row>
    <row r="4548" spans="1:5" ht="14.25">
      <c r="A4548">
        <v>7757</v>
      </c>
      <c r="B4548" t="s">
        <v>11921</v>
      </c>
      <c r="C4548" t="s">
        <v>2109</v>
      </c>
      <c r="D4548" t="s">
        <v>2103</v>
      </c>
      <c r="E4548" s="183">
        <v>584.65</v>
      </c>
    </row>
    <row r="4549" spans="1:5" ht="14.25">
      <c r="A4549">
        <v>7758</v>
      </c>
      <c r="B4549" t="s">
        <v>11922</v>
      </c>
      <c r="C4549" t="s">
        <v>2109</v>
      </c>
      <c r="D4549" t="s">
        <v>2103</v>
      </c>
      <c r="E4549" s="183">
        <v>847.03</v>
      </c>
    </row>
    <row r="4550" spans="1:5" ht="14.25">
      <c r="A4550">
        <v>7759</v>
      </c>
      <c r="B4550" t="s">
        <v>11923</v>
      </c>
      <c r="C4550" t="s">
        <v>2109</v>
      </c>
      <c r="D4550" t="s">
        <v>2103</v>
      </c>
      <c r="E4550" s="184">
        <v>2347.11</v>
      </c>
    </row>
    <row r="4551" spans="1:5" ht="14.25">
      <c r="A4551">
        <v>40334</v>
      </c>
      <c r="B4551" t="s">
        <v>11924</v>
      </c>
      <c r="C4551" t="s">
        <v>2109</v>
      </c>
      <c r="D4551" t="s">
        <v>2103</v>
      </c>
      <c r="E4551" s="183">
        <v>91.95</v>
      </c>
    </row>
    <row r="4552" spans="1:5" ht="14.25">
      <c r="A4552">
        <v>7745</v>
      </c>
      <c r="B4552" t="s">
        <v>11925</v>
      </c>
      <c r="C4552" t="s">
        <v>2109</v>
      </c>
      <c r="D4552" t="s">
        <v>2103</v>
      </c>
      <c r="E4552" s="183">
        <v>103.76</v>
      </c>
    </row>
    <row r="4553" spans="1:5" ht="14.25">
      <c r="A4553">
        <v>7714</v>
      </c>
      <c r="B4553" t="s">
        <v>11926</v>
      </c>
      <c r="C4553" t="s">
        <v>2109</v>
      </c>
      <c r="D4553" t="s">
        <v>2103</v>
      </c>
      <c r="E4553" s="183">
        <v>124.01</v>
      </c>
    </row>
    <row r="4554" spans="1:5" ht="14.25">
      <c r="A4554">
        <v>7742</v>
      </c>
      <c r="B4554" t="s">
        <v>11927</v>
      </c>
      <c r="C4554" t="s">
        <v>2109</v>
      </c>
      <c r="D4554" t="s">
        <v>2103</v>
      </c>
      <c r="E4554" s="183">
        <v>273.68</v>
      </c>
    </row>
    <row r="4555" spans="1:5" ht="14.25">
      <c r="A4555">
        <v>7750</v>
      </c>
      <c r="B4555" t="s">
        <v>11928</v>
      </c>
      <c r="C4555" t="s">
        <v>2109</v>
      </c>
      <c r="D4555" t="s">
        <v>2103</v>
      </c>
      <c r="E4555" s="183">
        <v>334.08</v>
      </c>
    </row>
    <row r="4556" spans="1:5" ht="14.25">
      <c r="A4556">
        <v>7756</v>
      </c>
      <c r="B4556" t="s">
        <v>11929</v>
      </c>
      <c r="C4556" t="s">
        <v>2109</v>
      </c>
      <c r="D4556" t="s">
        <v>2103</v>
      </c>
      <c r="E4556" s="183">
        <v>383.86</v>
      </c>
    </row>
    <row r="4557" spans="1:5" ht="14.25">
      <c r="A4557">
        <v>7765</v>
      </c>
      <c r="B4557" t="s">
        <v>11930</v>
      </c>
      <c r="C4557" t="s">
        <v>2109</v>
      </c>
      <c r="D4557" t="s">
        <v>2103</v>
      </c>
      <c r="E4557" s="183">
        <v>430.26</v>
      </c>
    </row>
    <row r="4558" spans="1:5" ht="14.25">
      <c r="A4558">
        <v>12569</v>
      </c>
      <c r="B4558" t="s">
        <v>11931</v>
      </c>
      <c r="C4558" t="s">
        <v>2109</v>
      </c>
      <c r="D4558" t="s">
        <v>2103</v>
      </c>
      <c r="E4558" s="183">
        <v>593.92999999999995</v>
      </c>
    </row>
    <row r="4559" spans="1:5" ht="14.25">
      <c r="A4559">
        <v>7766</v>
      </c>
      <c r="B4559" t="s">
        <v>11932</v>
      </c>
      <c r="C4559" t="s">
        <v>2109</v>
      </c>
      <c r="D4559" t="s">
        <v>2103</v>
      </c>
      <c r="E4559" s="183">
        <v>631.04999999999995</v>
      </c>
    </row>
    <row r="4560" spans="1:5" ht="14.25">
      <c r="A4560">
        <v>7767</v>
      </c>
      <c r="B4560" t="s">
        <v>11933</v>
      </c>
      <c r="C4560" t="s">
        <v>2109</v>
      </c>
      <c r="D4560" t="s">
        <v>2103</v>
      </c>
      <c r="E4560" s="183">
        <v>906.08</v>
      </c>
    </row>
    <row r="4561" spans="1:5" ht="14.25">
      <c r="A4561">
        <v>7727</v>
      </c>
      <c r="B4561" t="s">
        <v>11934</v>
      </c>
      <c r="C4561" t="s">
        <v>2109</v>
      </c>
      <c r="D4561" t="s">
        <v>2103</v>
      </c>
      <c r="E4561" s="184">
        <v>2632.2</v>
      </c>
    </row>
    <row r="4562" spans="1:5" ht="14.25">
      <c r="A4562">
        <v>7760</v>
      </c>
      <c r="B4562" t="s">
        <v>11935</v>
      </c>
      <c r="C4562" t="s">
        <v>2109</v>
      </c>
      <c r="D4562" t="s">
        <v>2103</v>
      </c>
      <c r="E4562" s="183">
        <v>104.61</v>
      </c>
    </row>
    <row r="4563" spans="1:5" ht="14.25">
      <c r="A4563">
        <v>7761</v>
      </c>
      <c r="B4563" t="s">
        <v>11936</v>
      </c>
      <c r="C4563" t="s">
        <v>2109</v>
      </c>
      <c r="D4563" t="s">
        <v>2103</v>
      </c>
      <c r="E4563" s="183">
        <v>109.67</v>
      </c>
    </row>
    <row r="4564" spans="1:5" ht="14.25">
      <c r="A4564">
        <v>7752</v>
      </c>
      <c r="B4564" t="s">
        <v>11937</v>
      </c>
      <c r="C4564" t="s">
        <v>2109</v>
      </c>
      <c r="D4564" t="s">
        <v>2103</v>
      </c>
      <c r="E4564" s="183">
        <v>133.29</v>
      </c>
    </row>
    <row r="4565" spans="1:5" ht="14.25">
      <c r="A4565">
        <v>7762</v>
      </c>
      <c r="B4565" t="s">
        <v>11938</v>
      </c>
      <c r="C4565" t="s">
        <v>2109</v>
      </c>
      <c r="D4565" t="s">
        <v>2103</v>
      </c>
      <c r="E4565" s="183">
        <v>174.21</v>
      </c>
    </row>
    <row r="4566" spans="1:5" ht="14.25">
      <c r="A4566">
        <v>7722</v>
      </c>
      <c r="B4566" t="s">
        <v>11939</v>
      </c>
      <c r="C4566" t="s">
        <v>2109</v>
      </c>
      <c r="D4566" t="s">
        <v>2103</v>
      </c>
      <c r="E4566" s="183">
        <v>266.58999999999997</v>
      </c>
    </row>
    <row r="4567" spans="1:5" ht="14.25">
      <c r="A4567">
        <v>7763</v>
      </c>
      <c r="B4567" t="s">
        <v>11940</v>
      </c>
      <c r="C4567" t="s">
        <v>2109</v>
      </c>
      <c r="D4567" t="s">
        <v>2103</v>
      </c>
      <c r="E4567" s="183">
        <v>324.8</v>
      </c>
    </row>
    <row r="4568" spans="1:5" ht="14.25">
      <c r="A4568">
        <v>7764</v>
      </c>
      <c r="B4568" t="s">
        <v>11941</v>
      </c>
      <c r="C4568" t="s">
        <v>2109</v>
      </c>
      <c r="D4568" t="s">
        <v>2103</v>
      </c>
      <c r="E4568" s="183">
        <v>388.08</v>
      </c>
    </row>
    <row r="4569" spans="1:5" ht="14.25">
      <c r="A4569">
        <v>12572</v>
      </c>
      <c r="B4569" t="s">
        <v>11942</v>
      </c>
      <c r="C4569" t="s">
        <v>2109</v>
      </c>
      <c r="D4569" t="s">
        <v>2103</v>
      </c>
      <c r="E4569" s="183">
        <v>548.37</v>
      </c>
    </row>
    <row r="4570" spans="1:5" ht="14.25">
      <c r="A4570">
        <v>12573</v>
      </c>
      <c r="B4570" t="s">
        <v>11943</v>
      </c>
      <c r="C4570" t="s">
        <v>2109</v>
      </c>
      <c r="D4570" t="s">
        <v>2103</v>
      </c>
      <c r="E4570" s="183">
        <v>721.32</v>
      </c>
    </row>
    <row r="4571" spans="1:5" ht="14.25">
      <c r="A4571">
        <v>12574</v>
      </c>
      <c r="B4571" t="s">
        <v>11944</v>
      </c>
      <c r="C4571" t="s">
        <v>2109</v>
      </c>
      <c r="D4571" t="s">
        <v>2103</v>
      </c>
      <c r="E4571" s="183">
        <v>872.17</v>
      </c>
    </row>
    <row r="4572" spans="1:5" ht="14.25">
      <c r="A4572">
        <v>12575</v>
      </c>
      <c r="B4572" t="s">
        <v>11945</v>
      </c>
      <c r="C4572" t="s">
        <v>2109</v>
      </c>
      <c r="D4572" t="s">
        <v>2103</v>
      </c>
      <c r="E4572" s="184">
        <v>1324.53</v>
      </c>
    </row>
    <row r="4573" spans="1:5" ht="14.25">
      <c r="A4573">
        <v>12576</v>
      </c>
      <c r="B4573" t="s">
        <v>11946</v>
      </c>
      <c r="C4573" t="s">
        <v>2109</v>
      </c>
      <c r="D4573" t="s">
        <v>2103</v>
      </c>
      <c r="E4573" s="183">
        <v>160.29</v>
      </c>
    </row>
    <row r="4574" spans="1:5" ht="14.25">
      <c r="A4574">
        <v>12577</v>
      </c>
      <c r="B4574" t="s">
        <v>11947</v>
      </c>
      <c r="C4574" t="s">
        <v>2109</v>
      </c>
      <c r="D4574" t="s">
        <v>2103</v>
      </c>
      <c r="E4574" s="183">
        <v>215.97</v>
      </c>
    </row>
    <row r="4575" spans="1:5" ht="14.25">
      <c r="A4575">
        <v>12578</v>
      </c>
      <c r="B4575" t="s">
        <v>11948</v>
      </c>
      <c r="C4575" t="s">
        <v>2109</v>
      </c>
      <c r="D4575" t="s">
        <v>2103</v>
      </c>
      <c r="E4575" s="183">
        <v>261.52999999999997</v>
      </c>
    </row>
    <row r="4576" spans="1:5" ht="14.25">
      <c r="A4576">
        <v>12579</v>
      </c>
      <c r="B4576" t="s">
        <v>11949</v>
      </c>
      <c r="C4576" t="s">
        <v>2109</v>
      </c>
      <c r="D4576" t="s">
        <v>2103</v>
      </c>
      <c r="E4576" s="183">
        <v>450.51</v>
      </c>
    </row>
    <row r="4577" spans="1:5" ht="14.25">
      <c r="A4577">
        <v>12580</v>
      </c>
      <c r="B4577" t="s">
        <v>11950</v>
      </c>
      <c r="C4577" t="s">
        <v>2109</v>
      </c>
      <c r="D4577" t="s">
        <v>2103</v>
      </c>
      <c r="E4577" s="183">
        <v>469.4</v>
      </c>
    </row>
    <row r="4578" spans="1:5" ht="14.25">
      <c r="A4578">
        <v>12581</v>
      </c>
      <c r="B4578" t="s">
        <v>11951</v>
      </c>
      <c r="C4578" t="s">
        <v>2109</v>
      </c>
      <c r="D4578" t="s">
        <v>2103</v>
      </c>
      <c r="E4578" s="183">
        <v>502.81</v>
      </c>
    </row>
    <row r="4579" spans="1:5" ht="14.25">
      <c r="A4579">
        <v>7720</v>
      </c>
      <c r="B4579" t="s">
        <v>11952</v>
      </c>
      <c r="C4579" t="s">
        <v>2109</v>
      </c>
      <c r="D4579" t="s">
        <v>2103</v>
      </c>
      <c r="E4579" s="183">
        <v>786.28</v>
      </c>
    </row>
    <row r="4580" spans="1:5" ht="14.25">
      <c r="A4580">
        <v>40335</v>
      </c>
      <c r="B4580" t="s">
        <v>11953</v>
      </c>
      <c r="C4580" t="s">
        <v>2109</v>
      </c>
      <c r="D4580" t="s">
        <v>2103</v>
      </c>
      <c r="E4580" s="183">
        <v>164.51</v>
      </c>
    </row>
    <row r="4581" spans="1:5" ht="14.25">
      <c r="A4581">
        <v>7740</v>
      </c>
      <c r="B4581" t="s">
        <v>11954</v>
      </c>
      <c r="C4581" t="s">
        <v>2109</v>
      </c>
      <c r="D4581" t="s">
        <v>2103</v>
      </c>
      <c r="E4581" s="183">
        <v>168.73</v>
      </c>
    </row>
    <row r="4582" spans="1:5" ht="14.25">
      <c r="A4582">
        <v>7741</v>
      </c>
      <c r="B4582" t="s">
        <v>11955</v>
      </c>
      <c r="C4582" t="s">
        <v>2109</v>
      </c>
      <c r="D4582" t="s">
        <v>2103</v>
      </c>
      <c r="E4582" s="183">
        <v>312.14999999999998</v>
      </c>
    </row>
    <row r="4583" spans="1:5" ht="14.25">
      <c r="A4583">
        <v>7774</v>
      </c>
      <c r="B4583" t="s">
        <v>11956</v>
      </c>
      <c r="C4583" t="s">
        <v>2109</v>
      </c>
      <c r="D4583" t="s">
        <v>2103</v>
      </c>
      <c r="E4583" s="183">
        <v>383.01</v>
      </c>
    </row>
    <row r="4584" spans="1:5" ht="14.25">
      <c r="A4584">
        <v>7744</v>
      </c>
      <c r="B4584" t="s">
        <v>11957</v>
      </c>
      <c r="C4584" t="s">
        <v>2109</v>
      </c>
      <c r="D4584" t="s">
        <v>2103</v>
      </c>
      <c r="E4584" s="183">
        <v>500.28</v>
      </c>
    </row>
    <row r="4585" spans="1:5" ht="14.25">
      <c r="A4585">
        <v>7773</v>
      </c>
      <c r="B4585" t="s">
        <v>11958</v>
      </c>
      <c r="C4585" t="s">
        <v>2109</v>
      </c>
      <c r="D4585" t="s">
        <v>2103</v>
      </c>
      <c r="E4585" s="183">
        <v>511.33</v>
      </c>
    </row>
    <row r="4586" spans="1:5" ht="14.25">
      <c r="A4586">
        <v>7754</v>
      </c>
      <c r="B4586" t="s">
        <v>11959</v>
      </c>
      <c r="C4586" t="s">
        <v>2109</v>
      </c>
      <c r="D4586" t="s">
        <v>2103</v>
      </c>
      <c r="E4586" s="183">
        <v>775.31</v>
      </c>
    </row>
    <row r="4587" spans="1:5" ht="14.25">
      <c r="A4587">
        <v>7735</v>
      </c>
      <c r="B4587" t="s">
        <v>11960</v>
      </c>
      <c r="C4587" t="s">
        <v>2109</v>
      </c>
      <c r="D4587" t="s">
        <v>2103</v>
      </c>
      <c r="E4587" s="184">
        <v>1003.95</v>
      </c>
    </row>
    <row r="4588" spans="1:5" ht="14.25">
      <c r="A4588">
        <v>7755</v>
      </c>
      <c r="B4588" t="s">
        <v>11961</v>
      </c>
      <c r="C4588" t="s">
        <v>2109</v>
      </c>
      <c r="D4588" t="s">
        <v>2103</v>
      </c>
      <c r="E4588" s="183">
        <v>199.1</v>
      </c>
    </row>
    <row r="4589" spans="1:5" ht="14.25">
      <c r="A4589">
        <v>7776</v>
      </c>
      <c r="B4589" t="s">
        <v>11962</v>
      </c>
      <c r="C4589" t="s">
        <v>2109</v>
      </c>
      <c r="D4589" t="s">
        <v>2103</v>
      </c>
      <c r="E4589" s="183">
        <v>415.07</v>
      </c>
    </row>
    <row r="4590" spans="1:5" ht="14.25">
      <c r="A4590">
        <v>7743</v>
      </c>
      <c r="B4590" t="s">
        <v>11963</v>
      </c>
      <c r="C4590" t="s">
        <v>2109</v>
      </c>
      <c r="D4590" t="s">
        <v>2103</v>
      </c>
      <c r="E4590" s="183">
        <v>439.54</v>
      </c>
    </row>
    <row r="4591" spans="1:5" ht="14.25">
      <c r="A4591">
        <v>7733</v>
      </c>
      <c r="B4591" t="s">
        <v>11964</v>
      </c>
      <c r="C4591" t="s">
        <v>2109</v>
      </c>
      <c r="D4591" t="s">
        <v>2103</v>
      </c>
      <c r="E4591" s="183">
        <v>573.67999999999995</v>
      </c>
    </row>
    <row r="4592" spans="1:5" ht="14.25">
      <c r="A4592">
        <v>7775</v>
      </c>
      <c r="B4592" t="s">
        <v>11965</v>
      </c>
      <c r="C4592" t="s">
        <v>2109</v>
      </c>
      <c r="D4592" t="s">
        <v>2103</v>
      </c>
      <c r="E4592" s="183">
        <v>628.52</v>
      </c>
    </row>
    <row r="4593" spans="1:5" ht="14.25">
      <c r="A4593">
        <v>7734</v>
      </c>
      <c r="B4593" t="s">
        <v>11966</v>
      </c>
      <c r="C4593" t="s">
        <v>2109</v>
      </c>
      <c r="D4593" t="s">
        <v>2103</v>
      </c>
      <c r="E4593" s="183">
        <v>890.05</v>
      </c>
    </row>
    <row r="4594" spans="1:5" ht="14.25">
      <c r="A4594">
        <v>37449</v>
      </c>
      <c r="B4594" t="s">
        <v>11967</v>
      </c>
      <c r="C4594" t="s">
        <v>2109</v>
      </c>
      <c r="D4594" t="s">
        <v>2105</v>
      </c>
      <c r="E4594" s="183">
        <v>36.86</v>
      </c>
    </row>
    <row r="4595" spans="1:5" ht="14.25">
      <c r="A4595">
        <v>37450</v>
      </c>
      <c r="B4595" t="s">
        <v>11968</v>
      </c>
      <c r="C4595" t="s">
        <v>2109</v>
      </c>
      <c r="D4595" t="s">
        <v>2105</v>
      </c>
      <c r="E4595" s="183">
        <v>51.61</v>
      </c>
    </row>
    <row r="4596" spans="1:5" ht="14.25">
      <c r="A4596">
        <v>37451</v>
      </c>
      <c r="B4596" t="s">
        <v>11969</v>
      </c>
      <c r="C4596" t="s">
        <v>2109</v>
      </c>
      <c r="D4596" t="s">
        <v>2105</v>
      </c>
      <c r="E4596" s="183">
        <v>72.05</v>
      </c>
    </row>
    <row r="4597" spans="1:5" ht="14.25">
      <c r="A4597">
        <v>37452</v>
      </c>
      <c r="B4597" t="s">
        <v>11970</v>
      </c>
      <c r="C4597" t="s">
        <v>2109</v>
      </c>
      <c r="D4597" t="s">
        <v>2105</v>
      </c>
      <c r="E4597" s="183">
        <v>104.72</v>
      </c>
    </row>
    <row r="4598" spans="1:5" ht="14.25">
      <c r="A4598">
        <v>37453</v>
      </c>
      <c r="B4598" t="s">
        <v>11971</v>
      </c>
      <c r="C4598" t="s">
        <v>2109</v>
      </c>
      <c r="D4598" t="s">
        <v>2105</v>
      </c>
      <c r="E4598" s="183">
        <v>120.6</v>
      </c>
    </row>
    <row r="4599" spans="1:5" ht="14.25">
      <c r="A4599">
        <v>7778</v>
      </c>
      <c r="B4599" t="s">
        <v>11972</v>
      </c>
      <c r="C4599" t="s">
        <v>2109</v>
      </c>
      <c r="D4599" t="s">
        <v>2105</v>
      </c>
      <c r="E4599" s="183">
        <v>45.24</v>
      </c>
    </row>
    <row r="4600" spans="1:5" ht="14.25">
      <c r="A4600">
        <v>7796</v>
      </c>
      <c r="B4600" t="s">
        <v>11973</v>
      </c>
      <c r="C4600" t="s">
        <v>2109</v>
      </c>
      <c r="D4600" t="s">
        <v>2105</v>
      </c>
      <c r="E4600" s="183">
        <v>62</v>
      </c>
    </row>
    <row r="4601" spans="1:5" ht="14.25">
      <c r="A4601">
        <v>7781</v>
      </c>
      <c r="B4601" t="s">
        <v>11974</v>
      </c>
      <c r="C4601" t="s">
        <v>2109</v>
      </c>
      <c r="D4601" t="s">
        <v>2105</v>
      </c>
      <c r="E4601" s="183">
        <v>73.260000000000005</v>
      </c>
    </row>
    <row r="4602" spans="1:5" ht="14.25">
      <c r="A4602">
        <v>7795</v>
      </c>
      <c r="B4602" t="s">
        <v>11975</v>
      </c>
      <c r="C4602" t="s">
        <v>2109</v>
      </c>
      <c r="D4602" t="s">
        <v>2105</v>
      </c>
      <c r="E4602" s="183">
        <v>109.04</v>
      </c>
    </row>
    <row r="4603" spans="1:5" ht="14.25">
      <c r="A4603">
        <v>7791</v>
      </c>
      <c r="B4603" t="s">
        <v>11976</v>
      </c>
      <c r="C4603" t="s">
        <v>2109</v>
      </c>
      <c r="D4603" t="s">
        <v>2105</v>
      </c>
      <c r="E4603" s="183">
        <v>130.53</v>
      </c>
    </row>
    <row r="4604" spans="1:5" ht="14.25">
      <c r="A4604">
        <v>7783</v>
      </c>
      <c r="B4604" t="s">
        <v>11977</v>
      </c>
      <c r="C4604" t="s">
        <v>2109</v>
      </c>
      <c r="D4604" t="s">
        <v>2105</v>
      </c>
      <c r="E4604" s="183">
        <v>46.25</v>
      </c>
    </row>
    <row r="4605" spans="1:5" ht="14.25">
      <c r="A4605">
        <v>7790</v>
      </c>
      <c r="B4605" t="s">
        <v>11978</v>
      </c>
      <c r="C4605" t="s">
        <v>2109</v>
      </c>
      <c r="D4605" t="s">
        <v>2105</v>
      </c>
      <c r="E4605" s="183">
        <v>72.89</v>
      </c>
    </row>
    <row r="4606" spans="1:5" ht="14.25">
      <c r="A4606">
        <v>7785</v>
      </c>
      <c r="B4606" t="s">
        <v>11979</v>
      </c>
      <c r="C4606" t="s">
        <v>2109</v>
      </c>
      <c r="D4606" t="s">
        <v>2105</v>
      </c>
      <c r="E4606" s="183">
        <v>80.430000000000007</v>
      </c>
    </row>
    <row r="4607" spans="1:5" ht="14.25">
      <c r="A4607">
        <v>7792</v>
      </c>
      <c r="B4607" t="s">
        <v>11980</v>
      </c>
      <c r="C4607" t="s">
        <v>2109</v>
      </c>
      <c r="D4607" t="s">
        <v>2105</v>
      </c>
      <c r="E4607" s="183">
        <v>114.07</v>
      </c>
    </row>
    <row r="4608" spans="1:5" ht="14.25">
      <c r="A4608">
        <v>7793</v>
      </c>
      <c r="B4608" t="s">
        <v>11981</v>
      </c>
      <c r="C4608" t="s">
        <v>2109</v>
      </c>
      <c r="D4608" t="s">
        <v>2105</v>
      </c>
      <c r="E4608" s="183">
        <v>134.72</v>
      </c>
    </row>
    <row r="4609" spans="1:5" ht="14.25">
      <c r="A4609">
        <v>13159</v>
      </c>
      <c r="B4609" t="s">
        <v>11982</v>
      </c>
      <c r="C4609" t="s">
        <v>2109</v>
      </c>
      <c r="D4609" t="s">
        <v>2105</v>
      </c>
      <c r="E4609" s="183">
        <v>117.29</v>
      </c>
    </row>
    <row r="4610" spans="1:5" ht="14.25">
      <c r="A4610">
        <v>13168</v>
      </c>
      <c r="B4610" t="s">
        <v>11983</v>
      </c>
      <c r="C4610" t="s">
        <v>2109</v>
      </c>
      <c r="D4610" t="s">
        <v>2105</v>
      </c>
      <c r="E4610" s="183">
        <v>142.43</v>
      </c>
    </row>
    <row r="4611" spans="1:5" ht="14.25">
      <c r="A4611">
        <v>13173</v>
      </c>
      <c r="B4611" t="s">
        <v>11984</v>
      </c>
      <c r="C4611" t="s">
        <v>2109</v>
      </c>
      <c r="D4611" t="s">
        <v>2105</v>
      </c>
      <c r="E4611" s="183">
        <v>192.7</v>
      </c>
    </row>
    <row r="4612" spans="1:5" ht="14.25">
      <c r="A4612">
        <v>12583</v>
      </c>
      <c r="B4612" t="s">
        <v>11985</v>
      </c>
      <c r="C4612" t="s">
        <v>2109</v>
      </c>
      <c r="D4612" t="s">
        <v>2105</v>
      </c>
      <c r="E4612" s="183">
        <v>38.54</v>
      </c>
    </row>
    <row r="4613" spans="1:5" ht="14.25">
      <c r="A4613">
        <v>12584</v>
      </c>
      <c r="B4613" t="s">
        <v>11986</v>
      </c>
      <c r="C4613" t="s">
        <v>2109</v>
      </c>
      <c r="D4613" t="s">
        <v>2105</v>
      </c>
      <c r="E4613" s="183">
        <v>50.27</v>
      </c>
    </row>
    <row r="4614" spans="1:5" ht="14.25">
      <c r="A4614">
        <v>12613</v>
      </c>
      <c r="B4614" t="s">
        <v>11987</v>
      </c>
      <c r="C4614" t="s">
        <v>2102</v>
      </c>
      <c r="D4614" t="s">
        <v>2103</v>
      </c>
      <c r="E4614" s="183">
        <v>20.87</v>
      </c>
    </row>
    <row r="4615" spans="1:5" ht="14.25">
      <c r="A4615">
        <v>1031</v>
      </c>
      <c r="B4615" t="s">
        <v>18670</v>
      </c>
      <c r="C4615" t="s">
        <v>2102</v>
      </c>
      <c r="D4615" t="s">
        <v>2103</v>
      </c>
      <c r="E4615" s="183">
        <v>13.71</v>
      </c>
    </row>
    <row r="4616" spans="1:5" ht="14.25">
      <c r="A4616">
        <v>39707</v>
      </c>
      <c r="B4616" t="s">
        <v>11988</v>
      </c>
      <c r="C4616" t="s">
        <v>2109</v>
      </c>
      <c r="D4616" t="s">
        <v>2103</v>
      </c>
      <c r="E4616" s="183">
        <v>4.54</v>
      </c>
    </row>
    <row r="4617" spans="1:5" ht="14.25">
      <c r="A4617">
        <v>39708</v>
      </c>
      <c r="B4617" t="s">
        <v>11989</v>
      </c>
      <c r="C4617" t="s">
        <v>2109</v>
      </c>
      <c r="D4617" t="s">
        <v>2103</v>
      </c>
      <c r="E4617" s="183">
        <v>4.4000000000000004</v>
      </c>
    </row>
    <row r="4618" spans="1:5" ht="14.25">
      <c r="A4618">
        <v>39710</v>
      </c>
      <c r="B4618" t="s">
        <v>11990</v>
      </c>
      <c r="C4618" t="s">
        <v>2109</v>
      </c>
      <c r="D4618" t="s">
        <v>2103</v>
      </c>
      <c r="E4618" s="183">
        <v>3.09</v>
      </c>
    </row>
    <row r="4619" spans="1:5" ht="14.25">
      <c r="A4619">
        <v>39709</v>
      </c>
      <c r="B4619" t="s">
        <v>11991</v>
      </c>
      <c r="C4619" t="s">
        <v>2109</v>
      </c>
      <c r="D4619" t="s">
        <v>2103</v>
      </c>
      <c r="E4619" s="183">
        <v>4.29</v>
      </c>
    </row>
    <row r="4620" spans="1:5" ht="14.25">
      <c r="A4620">
        <v>39711</v>
      </c>
      <c r="B4620" t="s">
        <v>11992</v>
      </c>
      <c r="C4620" t="s">
        <v>2109</v>
      </c>
      <c r="D4620" t="s">
        <v>2103</v>
      </c>
      <c r="E4620" s="183">
        <v>4.82</v>
      </c>
    </row>
    <row r="4621" spans="1:5" ht="14.25">
      <c r="A4621">
        <v>39712</v>
      </c>
      <c r="B4621" t="s">
        <v>11993</v>
      </c>
      <c r="C4621" t="s">
        <v>2109</v>
      </c>
      <c r="D4621" t="s">
        <v>2107</v>
      </c>
      <c r="E4621" s="183">
        <v>1.69</v>
      </c>
    </row>
    <row r="4622" spans="1:5" ht="14.25">
      <c r="A4622">
        <v>39713</v>
      </c>
      <c r="B4622" t="s">
        <v>11994</v>
      </c>
      <c r="C4622" t="s">
        <v>2109</v>
      </c>
      <c r="D4622" t="s">
        <v>2103</v>
      </c>
      <c r="E4622" s="183">
        <v>1.33</v>
      </c>
    </row>
    <row r="4623" spans="1:5" ht="14.25">
      <c r="A4623">
        <v>39714</v>
      </c>
      <c r="B4623" t="s">
        <v>11995</v>
      </c>
      <c r="C4623" t="s">
        <v>2109</v>
      </c>
      <c r="D4623" t="s">
        <v>2103</v>
      </c>
      <c r="E4623" s="183">
        <v>3.06</v>
      </c>
    </row>
    <row r="4624" spans="1:5" ht="14.25">
      <c r="A4624">
        <v>39715</v>
      </c>
      <c r="B4624" t="s">
        <v>11996</v>
      </c>
      <c r="C4624" t="s">
        <v>2109</v>
      </c>
      <c r="D4624" t="s">
        <v>2103</v>
      </c>
      <c r="E4624" s="183">
        <v>2.1800000000000002</v>
      </c>
    </row>
    <row r="4625" spans="1:5" ht="14.25">
      <c r="A4625">
        <v>39716</v>
      </c>
      <c r="B4625" t="s">
        <v>11997</v>
      </c>
      <c r="C4625" t="s">
        <v>2109</v>
      </c>
      <c r="D4625" t="s">
        <v>2103</v>
      </c>
      <c r="E4625" s="183">
        <v>1.65</v>
      </c>
    </row>
    <row r="4626" spans="1:5" ht="14.25">
      <c r="A4626">
        <v>39718</v>
      </c>
      <c r="B4626" t="s">
        <v>11998</v>
      </c>
      <c r="C4626" t="s">
        <v>2109</v>
      </c>
      <c r="D4626" t="s">
        <v>2103</v>
      </c>
      <c r="E4626" s="183">
        <v>2.81</v>
      </c>
    </row>
    <row r="4627" spans="1:5" ht="14.25">
      <c r="A4627">
        <v>9813</v>
      </c>
      <c r="B4627" t="s">
        <v>11999</v>
      </c>
      <c r="C4627" t="s">
        <v>2109</v>
      </c>
      <c r="D4627" t="s">
        <v>2105</v>
      </c>
      <c r="E4627" s="183">
        <v>5.2</v>
      </c>
    </row>
    <row r="4628" spans="1:5" ht="14.25">
      <c r="A4628">
        <v>9815</v>
      </c>
      <c r="B4628" t="s">
        <v>12000</v>
      </c>
      <c r="C4628" t="s">
        <v>2109</v>
      </c>
      <c r="D4628" t="s">
        <v>2105</v>
      </c>
      <c r="E4628" s="183">
        <v>10.27</v>
      </c>
    </row>
    <row r="4629" spans="1:5" ht="14.25">
      <c r="A4629">
        <v>44543</v>
      </c>
      <c r="B4629" t="s">
        <v>13698</v>
      </c>
      <c r="C4629" t="s">
        <v>2109</v>
      </c>
      <c r="D4629" t="s">
        <v>2105</v>
      </c>
      <c r="E4629" s="184">
        <v>5109.8599999999997</v>
      </c>
    </row>
    <row r="4630" spans="1:5" ht="14.25">
      <c r="A4630">
        <v>44526</v>
      </c>
      <c r="B4630" t="s">
        <v>13699</v>
      </c>
      <c r="C4630" t="s">
        <v>2109</v>
      </c>
      <c r="D4630" t="s">
        <v>2105</v>
      </c>
      <c r="E4630" s="183">
        <v>125.23</v>
      </c>
    </row>
    <row r="4631" spans="1:5" ht="14.25">
      <c r="A4631">
        <v>44545</v>
      </c>
      <c r="B4631" t="s">
        <v>13700</v>
      </c>
      <c r="C4631" t="s">
        <v>2109</v>
      </c>
      <c r="D4631" t="s">
        <v>2105</v>
      </c>
      <c r="E4631" s="183">
        <v>268.82</v>
      </c>
    </row>
    <row r="4632" spans="1:5" ht="14.25">
      <c r="A4632">
        <v>44525</v>
      </c>
      <c r="B4632" t="s">
        <v>13701</v>
      </c>
      <c r="C4632" t="s">
        <v>2109</v>
      </c>
      <c r="D4632" t="s">
        <v>2105</v>
      </c>
      <c r="E4632" s="184">
        <v>4634.6099999999997</v>
      </c>
    </row>
    <row r="4633" spans="1:5" ht="14.25">
      <c r="A4633">
        <v>44547</v>
      </c>
      <c r="B4633" t="s">
        <v>13702</v>
      </c>
      <c r="C4633" t="s">
        <v>2109</v>
      </c>
      <c r="D4633" t="s">
        <v>2105</v>
      </c>
      <c r="E4633" s="183">
        <v>419.05</v>
      </c>
    </row>
    <row r="4634" spans="1:5" ht="14.25">
      <c r="A4634">
        <v>44519</v>
      </c>
      <c r="B4634" t="s">
        <v>13703</v>
      </c>
      <c r="C4634" t="s">
        <v>2109</v>
      </c>
      <c r="D4634" t="s">
        <v>2105</v>
      </c>
      <c r="E4634" s="184">
        <v>1026.8</v>
      </c>
    </row>
    <row r="4635" spans="1:5" ht="14.25">
      <c r="A4635">
        <v>44520</v>
      </c>
      <c r="B4635" t="s">
        <v>13704</v>
      </c>
      <c r="C4635" t="s">
        <v>2109</v>
      </c>
      <c r="D4635" t="s">
        <v>2105</v>
      </c>
      <c r="E4635" s="184">
        <v>1653.8</v>
      </c>
    </row>
    <row r="4636" spans="1:5" ht="14.25">
      <c r="A4636">
        <v>44521</v>
      </c>
      <c r="B4636" t="s">
        <v>13705</v>
      </c>
      <c r="C4636" t="s">
        <v>2109</v>
      </c>
      <c r="D4636" t="s">
        <v>2105</v>
      </c>
      <c r="E4636" s="183">
        <v>26.68</v>
      </c>
    </row>
    <row r="4637" spans="1:5" ht="14.25">
      <c r="A4637">
        <v>44522</v>
      </c>
      <c r="B4637" t="s">
        <v>13706</v>
      </c>
      <c r="C4637" t="s">
        <v>2109</v>
      </c>
      <c r="D4637" t="s">
        <v>2105</v>
      </c>
      <c r="E4637" s="184">
        <v>2903.46</v>
      </c>
    </row>
    <row r="4638" spans="1:5" ht="14.25">
      <c r="A4638">
        <v>44523</v>
      </c>
      <c r="B4638" t="s">
        <v>13707</v>
      </c>
      <c r="C4638" t="s">
        <v>2109</v>
      </c>
      <c r="D4638" t="s">
        <v>2105</v>
      </c>
      <c r="E4638" s="184">
        <v>4318.26</v>
      </c>
    </row>
    <row r="4639" spans="1:5" ht="14.25">
      <c r="A4639">
        <v>44527</v>
      </c>
      <c r="B4639" t="s">
        <v>13708</v>
      </c>
      <c r="C4639" t="s">
        <v>2109</v>
      </c>
      <c r="D4639" t="s">
        <v>2105</v>
      </c>
      <c r="E4639" s="184">
        <v>2165.5</v>
      </c>
    </row>
    <row r="4640" spans="1:5" ht="14.25">
      <c r="A4640">
        <v>44524</v>
      </c>
      <c r="B4640" t="s">
        <v>13709</v>
      </c>
      <c r="C4640" t="s">
        <v>2109</v>
      </c>
      <c r="D4640" t="s">
        <v>2105</v>
      </c>
      <c r="E4640" s="183">
        <v>59.67</v>
      </c>
    </row>
    <row r="4641" spans="1:5" ht="14.25">
      <c r="A4641">
        <v>44542</v>
      </c>
      <c r="B4641" t="s">
        <v>13710</v>
      </c>
      <c r="C4641" t="s">
        <v>2109</v>
      </c>
      <c r="D4641" t="s">
        <v>2105</v>
      </c>
      <c r="E4641" s="184">
        <v>2825.25</v>
      </c>
    </row>
    <row r="4642" spans="1:5" ht="14.25">
      <c r="A4642">
        <v>9877</v>
      </c>
      <c r="B4642" t="s">
        <v>12001</v>
      </c>
      <c r="C4642" t="s">
        <v>2109</v>
      </c>
      <c r="D4642" t="s">
        <v>2103</v>
      </c>
      <c r="E4642" s="183">
        <v>152.18</v>
      </c>
    </row>
    <row r="4643" spans="1:5" ht="14.25">
      <c r="A4643">
        <v>9878</v>
      </c>
      <c r="B4643" t="s">
        <v>12002</v>
      </c>
      <c r="C4643" t="s">
        <v>2109</v>
      </c>
      <c r="D4643" t="s">
        <v>2103</v>
      </c>
      <c r="E4643" s="183">
        <v>187.34</v>
      </c>
    </row>
    <row r="4644" spans="1:5" ht="14.25">
      <c r="A4644">
        <v>41986</v>
      </c>
      <c r="B4644" t="s">
        <v>12003</v>
      </c>
      <c r="C4644" t="s">
        <v>2109</v>
      </c>
      <c r="D4644" t="s">
        <v>2105</v>
      </c>
      <c r="E4644" s="184">
        <v>3877.13</v>
      </c>
    </row>
    <row r="4645" spans="1:5" ht="14.25">
      <c r="A4645">
        <v>43422</v>
      </c>
      <c r="B4645" t="s">
        <v>12004</v>
      </c>
      <c r="C4645" t="s">
        <v>2109</v>
      </c>
      <c r="D4645" t="s">
        <v>2105</v>
      </c>
      <c r="E4645" s="184">
        <v>4754.91</v>
      </c>
    </row>
    <row r="4646" spans="1:5" ht="14.25">
      <c r="A4646">
        <v>41987</v>
      </c>
      <c r="B4646" t="s">
        <v>12005</v>
      </c>
      <c r="C4646" t="s">
        <v>2109</v>
      </c>
      <c r="D4646" t="s">
        <v>2105</v>
      </c>
      <c r="E4646" s="184">
        <v>5511.34</v>
      </c>
    </row>
    <row r="4647" spans="1:5" ht="14.25">
      <c r="A4647">
        <v>41988</v>
      </c>
      <c r="B4647" t="s">
        <v>12006</v>
      </c>
      <c r="C4647" t="s">
        <v>2109</v>
      </c>
      <c r="D4647" t="s">
        <v>2105</v>
      </c>
      <c r="E4647" s="184">
        <v>7279.7</v>
      </c>
    </row>
    <row r="4648" spans="1:5" ht="14.25">
      <c r="A4648">
        <v>41697</v>
      </c>
      <c r="B4648" t="s">
        <v>12007</v>
      </c>
      <c r="C4648" t="s">
        <v>2109</v>
      </c>
      <c r="D4648" t="s">
        <v>2105</v>
      </c>
      <c r="E4648" s="184">
        <v>1290.3</v>
      </c>
    </row>
    <row r="4649" spans="1:5" ht="14.25">
      <c r="A4649">
        <v>41985</v>
      </c>
      <c r="B4649" t="s">
        <v>12008</v>
      </c>
      <c r="C4649" t="s">
        <v>2109</v>
      </c>
      <c r="D4649" t="s">
        <v>2105</v>
      </c>
      <c r="E4649" s="184">
        <v>1797.05</v>
      </c>
    </row>
    <row r="4650" spans="1:5" ht="14.25">
      <c r="A4650">
        <v>41699</v>
      </c>
      <c r="B4650" t="s">
        <v>13711</v>
      </c>
      <c r="C4650" t="s">
        <v>2109</v>
      </c>
      <c r="D4650" t="s">
        <v>2105</v>
      </c>
      <c r="E4650" s="184">
        <v>2558.9</v>
      </c>
    </row>
    <row r="4651" spans="1:5" ht="14.25">
      <c r="A4651">
        <v>38053</v>
      </c>
      <c r="B4651" t="s">
        <v>12009</v>
      </c>
      <c r="C4651" t="s">
        <v>2109</v>
      </c>
      <c r="D4651" t="s">
        <v>2105</v>
      </c>
      <c r="E4651" s="183">
        <v>21.79</v>
      </c>
    </row>
    <row r="4652" spans="1:5" ht="14.25">
      <c r="A4652">
        <v>38054</v>
      </c>
      <c r="B4652" t="s">
        <v>12010</v>
      </c>
      <c r="C4652" t="s">
        <v>2109</v>
      </c>
      <c r="D4652" t="s">
        <v>2105</v>
      </c>
      <c r="E4652" s="183">
        <v>37.450000000000003</v>
      </c>
    </row>
    <row r="4653" spans="1:5" ht="14.25">
      <c r="A4653">
        <v>38052</v>
      </c>
      <c r="B4653" t="s">
        <v>12011</v>
      </c>
      <c r="C4653" t="s">
        <v>2109</v>
      </c>
      <c r="D4653" t="s">
        <v>2105</v>
      </c>
      <c r="E4653" s="183">
        <v>10.55</v>
      </c>
    </row>
    <row r="4654" spans="1:5" ht="14.25">
      <c r="A4654">
        <v>38051</v>
      </c>
      <c r="B4654" t="s">
        <v>12012</v>
      </c>
      <c r="C4654" t="s">
        <v>2109</v>
      </c>
      <c r="D4654" t="s">
        <v>2105</v>
      </c>
      <c r="E4654" s="183">
        <v>6.58</v>
      </c>
    </row>
    <row r="4655" spans="1:5" ht="14.25">
      <c r="A4655">
        <v>38787</v>
      </c>
      <c r="B4655" t="s">
        <v>18671</v>
      </c>
      <c r="C4655" t="s">
        <v>2109</v>
      </c>
      <c r="D4655" t="s">
        <v>2105</v>
      </c>
      <c r="E4655" s="183">
        <v>4.97</v>
      </c>
    </row>
    <row r="4656" spans="1:5" ht="14.25">
      <c r="A4656">
        <v>38825</v>
      </c>
      <c r="B4656" t="s">
        <v>18672</v>
      </c>
      <c r="C4656" t="s">
        <v>2109</v>
      </c>
      <c r="D4656" t="s">
        <v>2105</v>
      </c>
      <c r="E4656" s="183">
        <v>6.42</v>
      </c>
    </row>
    <row r="4657" spans="1:5" ht="14.25">
      <c r="A4657">
        <v>38826</v>
      </c>
      <c r="B4657" t="s">
        <v>18673</v>
      </c>
      <c r="C4657" t="s">
        <v>2109</v>
      </c>
      <c r="D4657" t="s">
        <v>2105</v>
      </c>
      <c r="E4657" s="183">
        <v>9.1300000000000008</v>
      </c>
    </row>
    <row r="4658" spans="1:5" ht="14.25">
      <c r="A4658">
        <v>38827</v>
      </c>
      <c r="B4658" t="s">
        <v>18674</v>
      </c>
      <c r="C4658" t="s">
        <v>2109</v>
      </c>
      <c r="D4658" t="s">
        <v>2105</v>
      </c>
      <c r="E4658" s="183">
        <v>14.94</v>
      </c>
    </row>
    <row r="4659" spans="1:5" ht="14.25">
      <c r="A4659">
        <v>38830</v>
      </c>
      <c r="B4659" t="s">
        <v>12013</v>
      </c>
      <c r="C4659" t="s">
        <v>2109</v>
      </c>
      <c r="D4659" t="s">
        <v>2105</v>
      </c>
      <c r="E4659" s="183">
        <v>21.71</v>
      </c>
    </row>
    <row r="4660" spans="1:5" ht="14.25">
      <c r="A4660">
        <v>38828</v>
      </c>
      <c r="B4660" t="s">
        <v>12014</v>
      </c>
      <c r="C4660" t="s">
        <v>2109</v>
      </c>
      <c r="D4660" t="s">
        <v>2105</v>
      </c>
      <c r="E4660" s="183">
        <v>9.57</v>
      </c>
    </row>
    <row r="4661" spans="1:5" ht="14.25">
      <c r="A4661">
        <v>38829</v>
      </c>
      <c r="B4661" t="s">
        <v>12015</v>
      </c>
      <c r="C4661" t="s">
        <v>2109</v>
      </c>
      <c r="D4661" t="s">
        <v>2105</v>
      </c>
      <c r="E4661" s="183">
        <v>15.68</v>
      </c>
    </row>
    <row r="4662" spans="1:5" ht="14.25">
      <c r="A4662">
        <v>38831</v>
      </c>
      <c r="B4662" t="s">
        <v>12016</v>
      </c>
      <c r="C4662" t="s">
        <v>2109</v>
      </c>
      <c r="D4662" t="s">
        <v>2105</v>
      </c>
      <c r="E4662" s="183">
        <v>30.27</v>
      </c>
    </row>
    <row r="4663" spans="1:5" ht="14.25">
      <c r="A4663">
        <v>36274</v>
      </c>
      <c r="B4663" t="s">
        <v>12017</v>
      </c>
      <c r="C4663" t="s">
        <v>2109</v>
      </c>
      <c r="D4663" t="s">
        <v>2105</v>
      </c>
      <c r="E4663" s="183">
        <v>8.94</v>
      </c>
    </row>
    <row r="4664" spans="1:5" ht="14.25">
      <c r="A4664">
        <v>36278</v>
      </c>
      <c r="B4664" t="s">
        <v>12018</v>
      </c>
      <c r="C4664" t="s">
        <v>2109</v>
      </c>
      <c r="D4664" t="s">
        <v>2105</v>
      </c>
      <c r="E4664" s="183">
        <v>12.12</v>
      </c>
    </row>
    <row r="4665" spans="1:5" ht="14.25">
      <c r="A4665">
        <v>38977</v>
      </c>
      <c r="B4665" t="s">
        <v>12019</v>
      </c>
      <c r="C4665" t="s">
        <v>2109</v>
      </c>
      <c r="D4665" t="s">
        <v>2105</v>
      </c>
      <c r="E4665" s="183">
        <v>118.6</v>
      </c>
    </row>
    <row r="4666" spans="1:5" ht="14.25">
      <c r="A4666">
        <v>38971</v>
      </c>
      <c r="B4666" t="s">
        <v>12020</v>
      </c>
      <c r="C4666" t="s">
        <v>2109</v>
      </c>
      <c r="D4666" t="s">
        <v>2105</v>
      </c>
      <c r="E4666" s="183">
        <v>9.9499999999999993</v>
      </c>
    </row>
    <row r="4667" spans="1:5" ht="14.25">
      <c r="A4667">
        <v>38972</v>
      </c>
      <c r="B4667" t="s">
        <v>12021</v>
      </c>
      <c r="C4667" t="s">
        <v>2109</v>
      </c>
      <c r="D4667" t="s">
        <v>2105</v>
      </c>
      <c r="E4667" s="183">
        <v>13.42</v>
      </c>
    </row>
    <row r="4668" spans="1:5" ht="14.25">
      <c r="A4668">
        <v>38973</v>
      </c>
      <c r="B4668" t="s">
        <v>12022</v>
      </c>
      <c r="C4668" t="s">
        <v>2109</v>
      </c>
      <c r="D4668" t="s">
        <v>2105</v>
      </c>
      <c r="E4668" s="183">
        <v>22.17</v>
      </c>
    </row>
    <row r="4669" spans="1:5" ht="14.25">
      <c r="A4669">
        <v>38974</v>
      </c>
      <c r="B4669" t="s">
        <v>12023</v>
      </c>
      <c r="C4669" t="s">
        <v>2109</v>
      </c>
      <c r="D4669" t="s">
        <v>2105</v>
      </c>
      <c r="E4669" s="183">
        <v>36.01</v>
      </c>
    </row>
    <row r="4670" spans="1:5" ht="14.25">
      <c r="A4670">
        <v>38975</v>
      </c>
      <c r="B4670" t="s">
        <v>12024</v>
      </c>
      <c r="C4670" t="s">
        <v>2109</v>
      </c>
      <c r="D4670" t="s">
        <v>2105</v>
      </c>
      <c r="E4670" s="183">
        <v>46.17</v>
      </c>
    </row>
    <row r="4671" spans="1:5" ht="14.25">
      <c r="A4671">
        <v>38976</v>
      </c>
      <c r="B4671" t="s">
        <v>12025</v>
      </c>
      <c r="C4671" t="s">
        <v>2109</v>
      </c>
      <c r="D4671" t="s">
        <v>2105</v>
      </c>
      <c r="E4671" s="183">
        <v>79.38</v>
      </c>
    </row>
    <row r="4672" spans="1:5" ht="14.25">
      <c r="A4672">
        <v>44176</v>
      </c>
      <c r="B4672" t="s">
        <v>18675</v>
      </c>
      <c r="C4672" t="s">
        <v>2109</v>
      </c>
      <c r="D4672" t="s">
        <v>2105</v>
      </c>
      <c r="E4672" s="183">
        <v>18.239999999999998</v>
      </c>
    </row>
    <row r="4673" spans="1:5" ht="14.25">
      <c r="A4673">
        <v>38986</v>
      </c>
      <c r="B4673" t="s">
        <v>12026</v>
      </c>
      <c r="C4673" t="s">
        <v>2109</v>
      </c>
      <c r="D4673" t="s">
        <v>2105</v>
      </c>
      <c r="E4673" s="183">
        <v>239.62</v>
      </c>
    </row>
    <row r="4674" spans="1:5" ht="14.25">
      <c r="A4674">
        <v>38978</v>
      </c>
      <c r="B4674" t="s">
        <v>12027</v>
      </c>
      <c r="C4674" t="s">
        <v>2109</v>
      </c>
      <c r="D4674" t="s">
        <v>2105</v>
      </c>
      <c r="E4674" s="183">
        <v>9.83</v>
      </c>
    </row>
    <row r="4675" spans="1:5" ht="14.25">
      <c r="A4675">
        <v>38979</v>
      </c>
      <c r="B4675" t="s">
        <v>12028</v>
      </c>
      <c r="C4675" t="s">
        <v>2109</v>
      </c>
      <c r="D4675" t="s">
        <v>2105</v>
      </c>
      <c r="E4675" s="183">
        <v>13.59</v>
      </c>
    </row>
    <row r="4676" spans="1:5" ht="14.25">
      <c r="A4676">
        <v>38980</v>
      </c>
      <c r="B4676" t="s">
        <v>12029</v>
      </c>
      <c r="C4676" t="s">
        <v>2109</v>
      </c>
      <c r="D4676" t="s">
        <v>2105</v>
      </c>
      <c r="E4676" s="183">
        <v>18.190000000000001</v>
      </c>
    </row>
    <row r="4677" spans="1:5" ht="14.25">
      <c r="A4677">
        <v>38981</v>
      </c>
      <c r="B4677" t="s">
        <v>12030</v>
      </c>
      <c r="C4677" t="s">
        <v>2109</v>
      </c>
      <c r="D4677" t="s">
        <v>2105</v>
      </c>
      <c r="E4677" s="183">
        <v>26.24</v>
      </c>
    </row>
    <row r="4678" spans="1:5" ht="14.25">
      <c r="A4678">
        <v>38982</v>
      </c>
      <c r="B4678" t="s">
        <v>12031</v>
      </c>
      <c r="C4678" t="s">
        <v>2109</v>
      </c>
      <c r="D4678" t="s">
        <v>2105</v>
      </c>
      <c r="E4678" s="183">
        <v>41.46</v>
      </c>
    </row>
    <row r="4679" spans="1:5" ht="14.25">
      <c r="A4679">
        <v>38983</v>
      </c>
      <c r="B4679" t="s">
        <v>12032</v>
      </c>
      <c r="C4679" t="s">
        <v>2109</v>
      </c>
      <c r="D4679" t="s">
        <v>2105</v>
      </c>
      <c r="E4679" s="183">
        <v>72.959999999999994</v>
      </c>
    </row>
    <row r="4680" spans="1:5" ht="14.25">
      <c r="A4680">
        <v>38984</v>
      </c>
      <c r="B4680" t="s">
        <v>12033</v>
      </c>
      <c r="C4680" t="s">
        <v>2109</v>
      </c>
      <c r="D4680" t="s">
        <v>2105</v>
      </c>
      <c r="E4680" s="183">
        <v>100.3</v>
      </c>
    </row>
    <row r="4681" spans="1:5" ht="14.25">
      <c r="A4681">
        <v>38985</v>
      </c>
      <c r="B4681" t="s">
        <v>12034</v>
      </c>
      <c r="C4681" t="s">
        <v>2109</v>
      </c>
      <c r="D4681" t="s">
        <v>2105</v>
      </c>
      <c r="E4681" s="183">
        <v>172.44</v>
      </c>
    </row>
    <row r="4682" spans="1:5" ht="14.25">
      <c r="A4682">
        <v>9836</v>
      </c>
      <c r="B4682" t="s">
        <v>12035</v>
      </c>
      <c r="C4682" t="s">
        <v>2109</v>
      </c>
      <c r="D4682" t="s">
        <v>2107</v>
      </c>
      <c r="E4682" s="183">
        <v>18.34</v>
      </c>
    </row>
    <row r="4683" spans="1:5" ht="14.25">
      <c r="A4683">
        <v>20065</v>
      </c>
      <c r="B4683" t="s">
        <v>12036</v>
      </c>
      <c r="C4683" t="s">
        <v>2109</v>
      </c>
      <c r="D4683" t="s">
        <v>2103</v>
      </c>
      <c r="E4683" s="183">
        <v>47.94</v>
      </c>
    </row>
    <row r="4684" spans="1:5" ht="14.25">
      <c r="A4684">
        <v>9835</v>
      </c>
      <c r="B4684" t="s">
        <v>12037</v>
      </c>
      <c r="C4684" t="s">
        <v>2109</v>
      </c>
      <c r="D4684" t="s">
        <v>2103</v>
      </c>
      <c r="E4684" s="183">
        <v>8.01</v>
      </c>
    </row>
    <row r="4685" spans="1:5" ht="14.25">
      <c r="A4685">
        <v>38032</v>
      </c>
      <c r="B4685" t="s">
        <v>18676</v>
      </c>
      <c r="C4685" t="s">
        <v>2109</v>
      </c>
      <c r="D4685" t="s">
        <v>2103</v>
      </c>
      <c r="E4685" s="183">
        <v>72.47</v>
      </c>
    </row>
    <row r="4686" spans="1:5" ht="14.25">
      <c r="A4686">
        <v>38033</v>
      </c>
      <c r="B4686" t="s">
        <v>18677</v>
      </c>
      <c r="C4686" t="s">
        <v>2109</v>
      </c>
      <c r="D4686" t="s">
        <v>2103</v>
      </c>
      <c r="E4686" s="183">
        <v>123.19</v>
      </c>
    </row>
    <row r="4687" spans="1:5" ht="14.25">
      <c r="A4687">
        <v>38034</v>
      </c>
      <c r="B4687" t="s">
        <v>18678</v>
      </c>
      <c r="C4687" t="s">
        <v>2109</v>
      </c>
      <c r="D4687" t="s">
        <v>2103</v>
      </c>
      <c r="E4687" s="183">
        <v>192.97</v>
      </c>
    </row>
    <row r="4688" spans="1:5" ht="14.25">
      <c r="A4688">
        <v>38035</v>
      </c>
      <c r="B4688" t="s">
        <v>18679</v>
      </c>
      <c r="C4688" t="s">
        <v>2109</v>
      </c>
      <c r="D4688" t="s">
        <v>2103</v>
      </c>
      <c r="E4688" s="183">
        <v>283.89</v>
      </c>
    </row>
    <row r="4689" spans="1:5" ht="14.25">
      <c r="A4689">
        <v>38036</v>
      </c>
      <c r="B4689" t="s">
        <v>18680</v>
      </c>
      <c r="C4689" t="s">
        <v>2109</v>
      </c>
      <c r="D4689" t="s">
        <v>2103</v>
      </c>
      <c r="E4689" s="183">
        <v>382.44</v>
      </c>
    </row>
    <row r="4690" spans="1:5" ht="14.25">
      <c r="A4690">
        <v>38037</v>
      </c>
      <c r="B4690" t="s">
        <v>18681</v>
      </c>
      <c r="C4690" t="s">
        <v>2109</v>
      </c>
      <c r="D4690" t="s">
        <v>2103</v>
      </c>
      <c r="E4690" s="183">
        <v>505.15</v>
      </c>
    </row>
    <row r="4691" spans="1:5" ht="14.25">
      <c r="A4691">
        <v>9850</v>
      </c>
      <c r="B4691" t="s">
        <v>12038</v>
      </c>
      <c r="C4691" t="s">
        <v>2109</v>
      </c>
      <c r="D4691" t="s">
        <v>2105</v>
      </c>
      <c r="E4691" s="183">
        <v>147.75</v>
      </c>
    </row>
    <row r="4692" spans="1:5" ht="14.25">
      <c r="A4692">
        <v>9853</v>
      </c>
      <c r="B4692" t="s">
        <v>12039</v>
      </c>
      <c r="C4692" t="s">
        <v>2109</v>
      </c>
      <c r="D4692" t="s">
        <v>2105</v>
      </c>
      <c r="E4692" s="183">
        <v>262.74</v>
      </c>
    </row>
    <row r="4693" spans="1:5" ht="14.25">
      <c r="A4693">
        <v>9854</v>
      </c>
      <c r="B4693" t="s">
        <v>12040</v>
      </c>
      <c r="C4693" t="s">
        <v>2109</v>
      </c>
      <c r="D4693" t="s">
        <v>2105</v>
      </c>
      <c r="E4693" s="183">
        <v>115.12</v>
      </c>
    </row>
    <row r="4694" spans="1:5" ht="14.25">
      <c r="A4694">
        <v>9851</v>
      </c>
      <c r="B4694" t="s">
        <v>12041</v>
      </c>
      <c r="C4694" t="s">
        <v>2109</v>
      </c>
      <c r="D4694" t="s">
        <v>2105</v>
      </c>
      <c r="E4694" s="183">
        <v>199.62</v>
      </c>
    </row>
    <row r="4695" spans="1:5" ht="14.25">
      <c r="A4695">
        <v>9825</v>
      </c>
      <c r="B4695" t="s">
        <v>12042</v>
      </c>
      <c r="C4695" t="s">
        <v>2109</v>
      </c>
      <c r="D4695" t="s">
        <v>2105</v>
      </c>
      <c r="E4695" s="183">
        <v>39.46</v>
      </c>
    </row>
    <row r="4696" spans="1:5" ht="14.25">
      <c r="A4696">
        <v>9828</v>
      </c>
      <c r="B4696" t="s">
        <v>12043</v>
      </c>
      <c r="C4696" t="s">
        <v>2109</v>
      </c>
      <c r="D4696" t="s">
        <v>2105</v>
      </c>
      <c r="E4696" s="183">
        <v>106.18</v>
      </c>
    </row>
    <row r="4697" spans="1:5" ht="14.25">
      <c r="A4697">
        <v>9829</v>
      </c>
      <c r="B4697" t="s">
        <v>12044</v>
      </c>
      <c r="C4697" t="s">
        <v>2109</v>
      </c>
      <c r="D4697" t="s">
        <v>2105</v>
      </c>
      <c r="E4697" s="183">
        <v>179.96</v>
      </c>
    </row>
    <row r="4698" spans="1:5" ht="14.25">
      <c r="A4698">
        <v>9826</v>
      </c>
      <c r="B4698" t="s">
        <v>12045</v>
      </c>
      <c r="C4698" t="s">
        <v>2109</v>
      </c>
      <c r="D4698" t="s">
        <v>2105</v>
      </c>
      <c r="E4698" s="183">
        <v>273.95999999999998</v>
      </c>
    </row>
    <row r="4699" spans="1:5" ht="14.25">
      <c r="A4699">
        <v>9827</v>
      </c>
      <c r="B4699" t="s">
        <v>12046</v>
      </c>
      <c r="C4699" t="s">
        <v>2109</v>
      </c>
      <c r="D4699" t="s">
        <v>2105</v>
      </c>
      <c r="E4699" s="183">
        <v>389.02</v>
      </c>
    </row>
    <row r="4700" spans="1:5" ht="14.25">
      <c r="A4700">
        <v>36374</v>
      </c>
      <c r="B4700" t="s">
        <v>12047</v>
      </c>
      <c r="C4700" t="s">
        <v>2109</v>
      </c>
      <c r="D4700" t="s">
        <v>2105</v>
      </c>
      <c r="E4700" s="183">
        <v>47.29</v>
      </c>
    </row>
    <row r="4701" spans="1:5" ht="14.25">
      <c r="A4701">
        <v>36084</v>
      </c>
      <c r="B4701" t="s">
        <v>12048</v>
      </c>
      <c r="C4701" t="s">
        <v>2109</v>
      </c>
      <c r="D4701" t="s">
        <v>2105</v>
      </c>
      <c r="E4701" s="183">
        <v>14.01</v>
      </c>
    </row>
    <row r="4702" spans="1:5" ht="14.25">
      <c r="A4702">
        <v>36373</v>
      </c>
      <c r="B4702" t="s">
        <v>12049</v>
      </c>
      <c r="C4702" t="s">
        <v>2109</v>
      </c>
      <c r="D4702" t="s">
        <v>2105</v>
      </c>
      <c r="E4702" s="183">
        <v>29.09</v>
      </c>
    </row>
    <row r="4703" spans="1:5" ht="14.25">
      <c r="A4703">
        <v>36377</v>
      </c>
      <c r="B4703" t="s">
        <v>12050</v>
      </c>
      <c r="C4703" t="s">
        <v>2109</v>
      </c>
      <c r="D4703" t="s">
        <v>2105</v>
      </c>
      <c r="E4703" s="183">
        <v>56.73</v>
      </c>
    </row>
    <row r="4704" spans="1:5" ht="14.25">
      <c r="A4704">
        <v>36375</v>
      </c>
      <c r="B4704" t="s">
        <v>12051</v>
      </c>
      <c r="C4704" t="s">
        <v>2109</v>
      </c>
      <c r="D4704" t="s">
        <v>2105</v>
      </c>
      <c r="E4704" s="183">
        <v>17.29</v>
      </c>
    </row>
    <row r="4705" spans="1:5" ht="14.25">
      <c r="A4705">
        <v>36376</v>
      </c>
      <c r="B4705" t="s">
        <v>12052</v>
      </c>
      <c r="C4705" t="s">
        <v>2109</v>
      </c>
      <c r="D4705" t="s">
        <v>2105</v>
      </c>
      <c r="E4705" s="183">
        <v>33.950000000000003</v>
      </c>
    </row>
    <row r="4706" spans="1:5" ht="14.25">
      <c r="A4706">
        <v>36380</v>
      </c>
      <c r="B4706" t="s">
        <v>12053</v>
      </c>
      <c r="C4706" t="s">
        <v>2109</v>
      </c>
      <c r="D4706" t="s">
        <v>2105</v>
      </c>
      <c r="E4706" s="183">
        <v>70.930000000000007</v>
      </c>
    </row>
    <row r="4707" spans="1:5" ht="14.25">
      <c r="A4707">
        <v>36378</v>
      </c>
      <c r="B4707" t="s">
        <v>12054</v>
      </c>
      <c r="C4707" t="s">
        <v>2109</v>
      </c>
      <c r="D4707" t="s">
        <v>2105</v>
      </c>
      <c r="E4707" s="183">
        <v>21.25</v>
      </c>
    </row>
    <row r="4708" spans="1:5" ht="14.25">
      <c r="A4708">
        <v>36379</v>
      </c>
      <c r="B4708" t="s">
        <v>12055</v>
      </c>
      <c r="C4708" t="s">
        <v>2109</v>
      </c>
      <c r="D4708" t="s">
        <v>2105</v>
      </c>
      <c r="E4708" s="183">
        <v>42.84</v>
      </c>
    </row>
    <row r="4709" spans="1:5" ht="14.25">
      <c r="A4709">
        <v>9859</v>
      </c>
      <c r="B4709" t="s">
        <v>12056</v>
      </c>
      <c r="C4709" t="s">
        <v>2109</v>
      </c>
      <c r="D4709" t="s">
        <v>2103</v>
      </c>
      <c r="E4709" s="183">
        <v>13.56</v>
      </c>
    </row>
    <row r="4710" spans="1:5" ht="14.25">
      <c r="A4710">
        <v>9838</v>
      </c>
      <c r="B4710" t="s">
        <v>12057</v>
      </c>
      <c r="C4710" t="s">
        <v>2109</v>
      </c>
      <c r="D4710" t="s">
        <v>2103</v>
      </c>
      <c r="E4710" s="183">
        <v>13.23</v>
      </c>
    </row>
    <row r="4711" spans="1:5" ht="14.25">
      <c r="A4711">
        <v>9837</v>
      </c>
      <c r="B4711" t="s">
        <v>12058</v>
      </c>
      <c r="C4711" t="s">
        <v>2109</v>
      </c>
      <c r="D4711" t="s">
        <v>2103</v>
      </c>
      <c r="E4711" s="183">
        <v>17.36</v>
      </c>
    </row>
    <row r="4712" spans="1:5" ht="14.25">
      <c r="A4712">
        <v>44315</v>
      </c>
      <c r="B4712" t="s">
        <v>18682</v>
      </c>
      <c r="C4712" t="s">
        <v>2109</v>
      </c>
      <c r="D4712" t="s">
        <v>2103</v>
      </c>
      <c r="E4712" s="183">
        <v>71.8</v>
      </c>
    </row>
    <row r="4713" spans="1:5" ht="14.25">
      <c r="A4713">
        <v>9863</v>
      </c>
      <c r="B4713" t="s">
        <v>12059</v>
      </c>
      <c r="C4713" t="s">
        <v>2109</v>
      </c>
      <c r="D4713" t="s">
        <v>2103</v>
      </c>
      <c r="E4713" s="183">
        <v>81.95</v>
      </c>
    </row>
    <row r="4714" spans="1:5" ht="14.25">
      <c r="A4714">
        <v>9860</v>
      </c>
      <c r="B4714" t="s">
        <v>12060</v>
      </c>
      <c r="C4714" t="s">
        <v>2109</v>
      </c>
      <c r="D4714" t="s">
        <v>2103</v>
      </c>
      <c r="E4714" s="183">
        <v>59.82</v>
      </c>
    </row>
    <row r="4715" spans="1:5" ht="14.25">
      <c r="A4715">
        <v>9862</v>
      </c>
      <c r="B4715" t="s">
        <v>12061</v>
      </c>
      <c r="C4715" t="s">
        <v>2109</v>
      </c>
      <c r="D4715" t="s">
        <v>2103</v>
      </c>
      <c r="E4715" s="183">
        <v>41.8</v>
      </c>
    </row>
    <row r="4716" spans="1:5" ht="14.25">
      <c r="A4716">
        <v>9861</v>
      </c>
      <c r="B4716" t="s">
        <v>12062</v>
      </c>
      <c r="C4716" t="s">
        <v>2109</v>
      </c>
      <c r="D4716" t="s">
        <v>2103</v>
      </c>
      <c r="E4716" s="183">
        <v>32.83</v>
      </c>
    </row>
    <row r="4717" spans="1:5" ht="14.25">
      <c r="A4717">
        <v>9856</v>
      </c>
      <c r="B4717" t="s">
        <v>12063</v>
      </c>
      <c r="C4717" t="s">
        <v>2109</v>
      </c>
      <c r="D4717" t="s">
        <v>2103</v>
      </c>
      <c r="E4717" s="183">
        <v>10.59</v>
      </c>
    </row>
    <row r="4718" spans="1:5" ht="14.25">
      <c r="A4718">
        <v>9866</v>
      </c>
      <c r="B4718" t="s">
        <v>12064</v>
      </c>
      <c r="C4718" t="s">
        <v>2109</v>
      </c>
      <c r="D4718" t="s">
        <v>2103</v>
      </c>
      <c r="E4718" s="183">
        <v>28.33</v>
      </c>
    </row>
    <row r="4719" spans="1:5" ht="14.25">
      <c r="A4719">
        <v>9841</v>
      </c>
      <c r="B4719" t="s">
        <v>18683</v>
      </c>
      <c r="C4719" t="s">
        <v>2109</v>
      </c>
      <c r="D4719" t="s">
        <v>2103</v>
      </c>
      <c r="E4719" s="183">
        <v>34.54</v>
      </c>
    </row>
    <row r="4720" spans="1:5" ht="14.25">
      <c r="A4720">
        <v>9840</v>
      </c>
      <c r="B4720" t="s">
        <v>18684</v>
      </c>
      <c r="C4720" t="s">
        <v>2109</v>
      </c>
      <c r="D4720" t="s">
        <v>2103</v>
      </c>
      <c r="E4720" s="183">
        <v>72.959999999999994</v>
      </c>
    </row>
    <row r="4721" spans="1:5" ht="14.25">
      <c r="A4721">
        <v>20067</v>
      </c>
      <c r="B4721" t="s">
        <v>18685</v>
      </c>
      <c r="C4721" t="s">
        <v>2109</v>
      </c>
      <c r="D4721" t="s">
        <v>2103</v>
      </c>
      <c r="E4721" s="183">
        <v>11.2</v>
      </c>
    </row>
    <row r="4722" spans="1:5" ht="14.25">
      <c r="A4722">
        <v>20068</v>
      </c>
      <c r="B4722" t="s">
        <v>18686</v>
      </c>
      <c r="C4722" t="s">
        <v>2109</v>
      </c>
      <c r="D4722" t="s">
        <v>2103</v>
      </c>
      <c r="E4722" s="183">
        <v>15.77</v>
      </c>
    </row>
    <row r="4723" spans="1:5" ht="14.25">
      <c r="A4723">
        <v>9839</v>
      </c>
      <c r="B4723" t="s">
        <v>18687</v>
      </c>
      <c r="C4723" t="s">
        <v>2109</v>
      </c>
      <c r="D4723" t="s">
        <v>2103</v>
      </c>
      <c r="E4723" s="183">
        <v>28.61</v>
      </c>
    </row>
    <row r="4724" spans="1:5" ht="14.25">
      <c r="A4724">
        <v>9870</v>
      </c>
      <c r="B4724" t="s">
        <v>18688</v>
      </c>
      <c r="C4724" t="s">
        <v>2109</v>
      </c>
      <c r="D4724" t="s">
        <v>2103</v>
      </c>
      <c r="E4724" s="183">
        <v>122.22</v>
      </c>
    </row>
    <row r="4725" spans="1:5" ht="14.25">
      <c r="A4725">
        <v>9867</v>
      </c>
      <c r="B4725" t="s">
        <v>18689</v>
      </c>
      <c r="C4725" t="s">
        <v>2109</v>
      </c>
      <c r="D4725" t="s">
        <v>2103</v>
      </c>
      <c r="E4725" s="183">
        <v>4.91</v>
      </c>
    </row>
    <row r="4726" spans="1:5" ht="14.25">
      <c r="A4726">
        <v>9868</v>
      </c>
      <c r="B4726" t="s">
        <v>18690</v>
      </c>
      <c r="C4726" t="s">
        <v>2109</v>
      </c>
      <c r="D4726" t="s">
        <v>2107</v>
      </c>
      <c r="E4726" s="183">
        <v>5.54</v>
      </c>
    </row>
    <row r="4727" spans="1:5" ht="14.25">
      <c r="A4727">
        <v>9869</v>
      </c>
      <c r="B4727" t="s">
        <v>18691</v>
      </c>
      <c r="C4727" t="s">
        <v>2109</v>
      </c>
      <c r="D4727" t="s">
        <v>2103</v>
      </c>
      <c r="E4727" s="183">
        <v>11.96</v>
      </c>
    </row>
    <row r="4728" spans="1:5" ht="14.25">
      <c r="A4728">
        <v>9874</v>
      </c>
      <c r="B4728" t="s">
        <v>18692</v>
      </c>
      <c r="C4728" t="s">
        <v>2109</v>
      </c>
      <c r="D4728" t="s">
        <v>2103</v>
      </c>
      <c r="E4728" s="183">
        <v>18.77</v>
      </c>
    </row>
    <row r="4729" spans="1:5" ht="14.25">
      <c r="A4729">
        <v>9875</v>
      </c>
      <c r="B4729" t="s">
        <v>18693</v>
      </c>
      <c r="C4729" t="s">
        <v>2109</v>
      </c>
      <c r="D4729" t="s">
        <v>2103</v>
      </c>
      <c r="E4729" s="183">
        <v>20.59</v>
      </c>
    </row>
    <row r="4730" spans="1:5" ht="14.25">
      <c r="A4730">
        <v>9873</v>
      </c>
      <c r="B4730" t="s">
        <v>18694</v>
      </c>
      <c r="C4730" t="s">
        <v>2109</v>
      </c>
      <c r="D4730" t="s">
        <v>2103</v>
      </c>
      <c r="E4730" s="183">
        <v>33.880000000000003</v>
      </c>
    </row>
    <row r="4731" spans="1:5" ht="14.25">
      <c r="A4731">
        <v>9871</v>
      </c>
      <c r="B4731" t="s">
        <v>18695</v>
      </c>
      <c r="C4731" t="s">
        <v>2109</v>
      </c>
      <c r="D4731" t="s">
        <v>2103</v>
      </c>
      <c r="E4731" s="183">
        <v>56.14</v>
      </c>
    </row>
    <row r="4732" spans="1:5" ht="14.25">
      <c r="A4732">
        <v>9872</v>
      </c>
      <c r="B4732" t="s">
        <v>18696</v>
      </c>
      <c r="C4732" t="s">
        <v>2109</v>
      </c>
      <c r="D4732" t="s">
        <v>2103</v>
      </c>
      <c r="E4732" s="183">
        <v>78.099999999999994</v>
      </c>
    </row>
    <row r="4733" spans="1:5" ht="14.25">
      <c r="A4733">
        <v>7667</v>
      </c>
      <c r="B4733" t="s">
        <v>12065</v>
      </c>
      <c r="C4733" t="s">
        <v>2109</v>
      </c>
      <c r="D4733" t="s">
        <v>2105</v>
      </c>
      <c r="E4733" s="184">
        <v>3659.27</v>
      </c>
    </row>
    <row r="4734" spans="1:5" ht="14.25">
      <c r="A4734">
        <v>7660</v>
      </c>
      <c r="B4734" t="s">
        <v>12066</v>
      </c>
      <c r="C4734" t="s">
        <v>2109</v>
      </c>
      <c r="D4734" t="s">
        <v>2105</v>
      </c>
      <c r="E4734" s="184">
        <v>4664.7</v>
      </c>
    </row>
    <row r="4735" spans="1:5" ht="14.25">
      <c r="A4735">
        <v>7676</v>
      </c>
      <c r="B4735" t="s">
        <v>12067</v>
      </c>
      <c r="C4735" t="s">
        <v>2109</v>
      </c>
      <c r="D4735" t="s">
        <v>2105</v>
      </c>
      <c r="E4735" s="184">
        <v>4718.01</v>
      </c>
    </row>
    <row r="4736" spans="1:5" ht="14.25">
      <c r="A4736">
        <v>12426</v>
      </c>
      <c r="B4736" t="s">
        <v>12068</v>
      </c>
      <c r="C4736" t="s">
        <v>2102</v>
      </c>
      <c r="D4736" t="s">
        <v>2105</v>
      </c>
      <c r="E4736" s="183">
        <v>50.7</v>
      </c>
    </row>
    <row r="4737" spans="1:5" ht="14.25">
      <c r="A4737">
        <v>12425</v>
      </c>
      <c r="B4737" t="s">
        <v>12069</v>
      </c>
      <c r="C4737" t="s">
        <v>2102</v>
      </c>
      <c r="D4737" t="s">
        <v>2105</v>
      </c>
      <c r="E4737" s="183">
        <v>69.650000000000006</v>
      </c>
    </row>
    <row r="4738" spans="1:5" ht="14.25">
      <c r="A4738">
        <v>12427</v>
      </c>
      <c r="B4738" t="s">
        <v>12070</v>
      </c>
      <c r="C4738" t="s">
        <v>2102</v>
      </c>
      <c r="D4738" t="s">
        <v>2105</v>
      </c>
      <c r="E4738" s="183">
        <v>289.11</v>
      </c>
    </row>
    <row r="4739" spans="1:5" ht="14.25">
      <c r="A4739">
        <v>12428</v>
      </c>
      <c r="B4739" t="s">
        <v>12071</v>
      </c>
      <c r="C4739" t="s">
        <v>2102</v>
      </c>
      <c r="D4739" t="s">
        <v>2105</v>
      </c>
      <c r="E4739" s="183">
        <v>185.57</v>
      </c>
    </row>
    <row r="4740" spans="1:5" ht="14.25">
      <c r="A4740">
        <v>12430</v>
      </c>
      <c r="B4740" t="s">
        <v>12072</v>
      </c>
      <c r="C4740" t="s">
        <v>2102</v>
      </c>
      <c r="D4740" t="s">
        <v>2105</v>
      </c>
      <c r="E4740" s="183">
        <v>62.15</v>
      </c>
    </row>
    <row r="4741" spans="1:5" ht="14.25">
      <c r="A4741">
        <v>12429</v>
      </c>
      <c r="B4741" t="s">
        <v>12073</v>
      </c>
      <c r="C4741" t="s">
        <v>2102</v>
      </c>
      <c r="D4741" t="s">
        <v>2105</v>
      </c>
      <c r="E4741" s="183">
        <v>467.5</v>
      </c>
    </row>
    <row r="4742" spans="1:5" ht="14.25">
      <c r="A4742">
        <v>12431</v>
      </c>
      <c r="B4742" t="s">
        <v>12074</v>
      </c>
      <c r="C4742" t="s">
        <v>2102</v>
      </c>
      <c r="D4742" t="s">
        <v>2105</v>
      </c>
      <c r="E4742" s="183">
        <v>795.6</v>
      </c>
    </row>
    <row r="4743" spans="1:5" ht="14.25">
      <c r="A4743">
        <v>12432</v>
      </c>
      <c r="B4743" t="s">
        <v>12075</v>
      </c>
      <c r="C4743" t="s">
        <v>2102</v>
      </c>
      <c r="D4743" t="s">
        <v>2105</v>
      </c>
      <c r="E4743" s="183">
        <v>163.63</v>
      </c>
    </row>
    <row r="4744" spans="1:5" ht="14.25">
      <c r="A4744">
        <v>12434</v>
      </c>
      <c r="B4744" t="s">
        <v>12076</v>
      </c>
      <c r="C4744" t="s">
        <v>2102</v>
      </c>
      <c r="D4744" t="s">
        <v>2105</v>
      </c>
      <c r="E4744" s="183">
        <v>53.32</v>
      </c>
    </row>
    <row r="4745" spans="1:5" ht="14.25">
      <c r="A4745">
        <v>12433</v>
      </c>
      <c r="B4745" t="s">
        <v>12077</v>
      </c>
      <c r="C4745" t="s">
        <v>2102</v>
      </c>
      <c r="D4745" t="s">
        <v>2105</v>
      </c>
      <c r="E4745" s="183">
        <v>104.17</v>
      </c>
    </row>
    <row r="4746" spans="1:5" ht="14.25">
      <c r="A4746">
        <v>12435</v>
      </c>
      <c r="B4746" t="s">
        <v>12078</v>
      </c>
      <c r="C4746" t="s">
        <v>2102</v>
      </c>
      <c r="D4746" t="s">
        <v>2105</v>
      </c>
      <c r="E4746" s="183">
        <v>322.38</v>
      </c>
    </row>
    <row r="4747" spans="1:5" ht="14.25">
      <c r="A4747">
        <v>12437</v>
      </c>
      <c r="B4747" t="s">
        <v>12079</v>
      </c>
      <c r="C4747" t="s">
        <v>2102</v>
      </c>
      <c r="D4747" t="s">
        <v>2105</v>
      </c>
      <c r="E4747" s="183">
        <v>260.36</v>
      </c>
    </row>
    <row r="4748" spans="1:5" ht="14.25">
      <c r="A4748">
        <v>12439</v>
      </c>
      <c r="B4748" t="s">
        <v>12080</v>
      </c>
      <c r="C4748" t="s">
        <v>2102</v>
      </c>
      <c r="D4748" t="s">
        <v>2105</v>
      </c>
      <c r="E4748" s="183">
        <v>83.56</v>
      </c>
    </row>
    <row r="4749" spans="1:5" ht="14.25">
      <c r="A4749">
        <v>12438</v>
      </c>
      <c r="B4749" t="s">
        <v>12081</v>
      </c>
      <c r="C4749" t="s">
        <v>2102</v>
      </c>
      <c r="D4749" t="s">
        <v>2105</v>
      </c>
      <c r="E4749" s="183">
        <v>471.17</v>
      </c>
    </row>
    <row r="4750" spans="1:5" ht="14.25">
      <c r="A4750">
        <v>12436</v>
      </c>
      <c r="B4750" t="s">
        <v>12082</v>
      </c>
      <c r="C4750" t="s">
        <v>2102</v>
      </c>
      <c r="D4750" t="s">
        <v>2105</v>
      </c>
      <c r="E4750" s="183">
        <v>595.19000000000005</v>
      </c>
    </row>
    <row r="4751" spans="1:5" ht="14.25">
      <c r="A4751">
        <v>36357</v>
      </c>
      <c r="B4751" t="s">
        <v>18697</v>
      </c>
      <c r="C4751" t="s">
        <v>2102</v>
      </c>
      <c r="D4751" t="s">
        <v>2105</v>
      </c>
      <c r="E4751" s="183">
        <v>132.33000000000001</v>
      </c>
    </row>
    <row r="4752" spans="1:5" ht="14.25">
      <c r="A4752">
        <v>12424</v>
      </c>
      <c r="B4752" t="s">
        <v>12083</v>
      </c>
      <c r="C4752" t="s">
        <v>2102</v>
      </c>
      <c r="D4752" t="s">
        <v>2105</v>
      </c>
      <c r="E4752" s="183">
        <v>107.25</v>
      </c>
    </row>
    <row r="4753" spans="1:5" ht="14.25">
      <c r="A4753">
        <v>12440</v>
      </c>
      <c r="B4753" t="s">
        <v>12084</v>
      </c>
      <c r="C4753" t="s">
        <v>2102</v>
      </c>
      <c r="D4753" t="s">
        <v>2105</v>
      </c>
      <c r="E4753" s="183">
        <v>103.67</v>
      </c>
    </row>
    <row r="4754" spans="1:5" ht="14.25">
      <c r="A4754">
        <v>9884</v>
      </c>
      <c r="B4754" t="s">
        <v>12085</v>
      </c>
      <c r="C4754" t="s">
        <v>2102</v>
      </c>
      <c r="D4754" t="s">
        <v>2105</v>
      </c>
      <c r="E4754" s="183">
        <v>77.319999999999993</v>
      </c>
    </row>
    <row r="4755" spans="1:5" ht="14.25">
      <c r="A4755">
        <v>9888</v>
      </c>
      <c r="B4755" t="s">
        <v>12086</v>
      </c>
      <c r="C4755" t="s">
        <v>2102</v>
      </c>
      <c r="D4755" t="s">
        <v>2105</v>
      </c>
      <c r="E4755" s="183">
        <v>62.13</v>
      </c>
    </row>
    <row r="4756" spans="1:5" ht="14.25">
      <c r="A4756">
        <v>9883</v>
      </c>
      <c r="B4756" t="s">
        <v>12087</v>
      </c>
      <c r="C4756" t="s">
        <v>2102</v>
      </c>
      <c r="D4756" t="s">
        <v>2105</v>
      </c>
      <c r="E4756" s="183">
        <v>27.11</v>
      </c>
    </row>
    <row r="4757" spans="1:5" ht="14.25">
      <c r="A4757">
        <v>9886</v>
      </c>
      <c r="B4757" t="s">
        <v>12088</v>
      </c>
      <c r="C4757" t="s">
        <v>2102</v>
      </c>
      <c r="D4757" t="s">
        <v>2105</v>
      </c>
      <c r="E4757" s="183">
        <v>37.130000000000003</v>
      </c>
    </row>
    <row r="4758" spans="1:5" ht="14.25">
      <c r="A4758">
        <v>9889</v>
      </c>
      <c r="B4758" t="s">
        <v>12089</v>
      </c>
      <c r="C4758" t="s">
        <v>2102</v>
      </c>
      <c r="D4758" t="s">
        <v>2105</v>
      </c>
      <c r="E4758" s="183">
        <v>188.12</v>
      </c>
    </row>
    <row r="4759" spans="1:5" ht="14.25">
      <c r="A4759">
        <v>9887</v>
      </c>
      <c r="B4759" t="s">
        <v>12090</v>
      </c>
      <c r="C4759" t="s">
        <v>2102</v>
      </c>
      <c r="D4759" t="s">
        <v>2105</v>
      </c>
      <c r="E4759" s="183">
        <v>113.7</v>
      </c>
    </row>
    <row r="4760" spans="1:5" ht="14.25">
      <c r="A4760">
        <v>9885</v>
      </c>
      <c r="B4760" t="s">
        <v>12091</v>
      </c>
      <c r="C4760" t="s">
        <v>2102</v>
      </c>
      <c r="D4760" t="s">
        <v>2105</v>
      </c>
      <c r="E4760" s="183">
        <v>35.9</v>
      </c>
    </row>
    <row r="4761" spans="1:5" ht="14.25">
      <c r="A4761">
        <v>9890</v>
      </c>
      <c r="B4761" t="s">
        <v>12092</v>
      </c>
      <c r="C4761" t="s">
        <v>2102</v>
      </c>
      <c r="D4761" t="s">
        <v>2105</v>
      </c>
      <c r="E4761" s="183">
        <v>291.45</v>
      </c>
    </row>
    <row r="4762" spans="1:5" ht="14.25">
      <c r="A4762">
        <v>9891</v>
      </c>
      <c r="B4762" t="s">
        <v>12093</v>
      </c>
      <c r="C4762" t="s">
        <v>2102</v>
      </c>
      <c r="D4762" t="s">
        <v>2105</v>
      </c>
      <c r="E4762" s="183">
        <v>409.14</v>
      </c>
    </row>
    <row r="4763" spans="1:5" ht="14.25">
      <c r="A4763">
        <v>36313</v>
      </c>
      <c r="B4763" t="s">
        <v>18698</v>
      </c>
      <c r="C4763" t="s">
        <v>2102</v>
      </c>
      <c r="D4763" t="s">
        <v>2105</v>
      </c>
      <c r="E4763" s="183">
        <v>13.85</v>
      </c>
    </row>
    <row r="4764" spans="1:5" ht="14.25">
      <c r="A4764">
        <v>36316</v>
      </c>
      <c r="B4764" t="s">
        <v>18699</v>
      </c>
      <c r="C4764" t="s">
        <v>2102</v>
      </c>
      <c r="D4764" t="s">
        <v>2105</v>
      </c>
      <c r="E4764" s="183">
        <v>21.57</v>
      </c>
    </row>
    <row r="4765" spans="1:5" ht="14.25">
      <c r="A4765">
        <v>64</v>
      </c>
      <c r="B4765" t="s">
        <v>12094</v>
      </c>
      <c r="C4765" t="s">
        <v>2102</v>
      </c>
      <c r="D4765" t="s">
        <v>2105</v>
      </c>
      <c r="E4765" s="183">
        <v>4.79</v>
      </c>
    </row>
    <row r="4766" spans="1:5" ht="14.25">
      <c r="A4766">
        <v>37423</v>
      </c>
      <c r="B4766" t="s">
        <v>12095</v>
      </c>
      <c r="C4766" t="s">
        <v>2102</v>
      </c>
      <c r="D4766" t="s">
        <v>2105</v>
      </c>
      <c r="E4766" s="183">
        <v>11.84</v>
      </c>
    </row>
    <row r="4767" spans="1:5" ht="14.25">
      <c r="A4767">
        <v>9892</v>
      </c>
      <c r="B4767" t="s">
        <v>12096</v>
      </c>
      <c r="C4767" t="s">
        <v>2102</v>
      </c>
      <c r="D4767" t="s">
        <v>2103</v>
      </c>
      <c r="E4767" s="183">
        <v>8.99</v>
      </c>
    </row>
    <row r="4768" spans="1:5" ht="14.25">
      <c r="A4768">
        <v>9901</v>
      </c>
      <c r="B4768" t="s">
        <v>12097</v>
      </c>
      <c r="C4768" t="s">
        <v>2102</v>
      </c>
      <c r="D4768" t="s">
        <v>2103</v>
      </c>
      <c r="E4768" s="183">
        <v>43.5</v>
      </c>
    </row>
    <row r="4769" spans="1:5" ht="14.25">
      <c r="A4769">
        <v>9900</v>
      </c>
      <c r="B4769" t="s">
        <v>12098</v>
      </c>
      <c r="C4769" t="s">
        <v>2102</v>
      </c>
      <c r="D4769" t="s">
        <v>2103</v>
      </c>
      <c r="E4769" s="183">
        <v>25.2</v>
      </c>
    </row>
    <row r="4770" spans="1:5" ht="14.25">
      <c r="A4770">
        <v>9899</v>
      </c>
      <c r="B4770" t="s">
        <v>12099</v>
      </c>
      <c r="C4770" t="s">
        <v>2102</v>
      </c>
      <c r="D4770" t="s">
        <v>2103</v>
      </c>
      <c r="E4770" s="183">
        <v>11.3</v>
      </c>
    </row>
    <row r="4771" spans="1:5" ht="14.25">
      <c r="A4771">
        <v>9908</v>
      </c>
      <c r="B4771" t="s">
        <v>12100</v>
      </c>
      <c r="C4771" t="s">
        <v>2102</v>
      </c>
      <c r="D4771" t="s">
        <v>2103</v>
      </c>
      <c r="E4771" s="183">
        <v>508.1</v>
      </c>
    </row>
    <row r="4772" spans="1:5" ht="14.25">
      <c r="A4772">
        <v>9905</v>
      </c>
      <c r="B4772" t="s">
        <v>12101</v>
      </c>
      <c r="C4772" t="s">
        <v>2102</v>
      </c>
      <c r="D4772" t="s">
        <v>2103</v>
      </c>
      <c r="E4772" s="183">
        <v>8.84</v>
      </c>
    </row>
    <row r="4773" spans="1:5" ht="14.25">
      <c r="A4773">
        <v>9906</v>
      </c>
      <c r="B4773" t="s">
        <v>12102</v>
      </c>
      <c r="C4773" t="s">
        <v>2102</v>
      </c>
      <c r="D4773" t="s">
        <v>2103</v>
      </c>
      <c r="E4773" s="183">
        <v>10.66</v>
      </c>
    </row>
    <row r="4774" spans="1:5" ht="14.25">
      <c r="A4774">
        <v>9895</v>
      </c>
      <c r="B4774" t="s">
        <v>12103</v>
      </c>
      <c r="C4774" t="s">
        <v>2102</v>
      </c>
      <c r="D4774" t="s">
        <v>2103</v>
      </c>
      <c r="E4774" s="183">
        <v>17.95</v>
      </c>
    </row>
    <row r="4775" spans="1:5" ht="14.25">
      <c r="A4775">
        <v>9894</v>
      </c>
      <c r="B4775" t="s">
        <v>12104</v>
      </c>
      <c r="C4775" t="s">
        <v>2102</v>
      </c>
      <c r="D4775" t="s">
        <v>2103</v>
      </c>
      <c r="E4775" s="183">
        <v>34.520000000000003</v>
      </c>
    </row>
    <row r="4776" spans="1:5" ht="14.25">
      <c r="A4776">
        <v>9897</v>
      </c>
      <c r="B4776" t="s">
        <v>12105</v>
      </c>
      <c r="C4776" t="s">
        <v>2102</v>
      </c>
      <c r="D4776" t="s">
        <v>2103</v>
      </c>
      <c r="E4776" s="183">
        <v>36.86</v>
      </c>
    </row>
    <row r="4777" spans="1:5" ht="14.25">
      <c r="A4777">
        <v>9910</v>
      </c>
      <c r="B4777" t="s">
        <v>12106</v>
      </c>
      <c r="C4777" t="s">
        <v>2102</v>
      </c>
      <c r="D4777" t="s">
        <v>2103</v>
      </c>
      <c r="E4777" s="183">
        <v>95.91</v>
      </c>
    </row>
    <row r="4778" spans="1:5" ht="14.25">
      <c r="A4778">
        <v>9909</v>
      </c>
      <c r="B4778" t="s">
        <v>12107</v>
      </c>
      <c r="C4778" t="s">
        <v>2102</v>
      </c>
      <c r="D4778" t="s">
        <v>2103</v>
      </c>
      <c r="E4778" s="183">
        <v>195.32</v>
      </c>
    </row>
    <row r="4779" spans="1:5" ht="14.25">
      <c r="A4779">
        <v>9907</v>
      </c>
      <c r="B4779" t="s">
        <v>12108</v>
      </c>
      <c r="C4779" t="s">
        <v>2102</v>
      </c>
      <c r="D4779" t="s">
        <v>2103</v>
      </c>
      <c r="E4779" s="183">
        <v>230.62</v>
      </c>
    </row>
    <row r="4780" spans="1:5" ht="14.25">
      <c r="A4780">
        <v>20973</v>
      </c>
      <c r="B4780" t="s">
        <v>12109</v>
      </c>
      <c r="C4780" t="s">
        <v>2102</v>
      </c>
      <c r="D4780" t="s">
        <v>2103</v>
      </c>
      <c r="E4780" s="183">
        <v>116.36</v>
      </c>
    </row>
    <row r="4781" spans="1:5" ht="14.25">
      <c r="A4781">
        <v>20974</v>
      </c>
      <c r="B4781" t="s">
        <v>12110</v>
      </c>
      <c r="C4781" t="s">
        <v>2102</v>
      </c>
      <c r="D4781" t="s">
        <v>2103</v>
      </c>
      <c r="E4781" s="183">
        <v>166.47</v>
      </c>
    </row>
    <row r="4782" spans="1:5" ht="14.25">
      <c r="A4782">
        <v>37989</v>
      </c>
      <c r="B4782" t="s">
        <v>12111</v>
      </c>
      <c r="C4782" t="s">
        <v>2102</v>
      </c>
      <c r="D4782" t="s">
        <v>2103</v>
      </c>
      <c r="E4782" s="183">
        <v>16.14</v>
      </c>
    </row>
    <row r="4783" spans="1:5" ht="14.25">
      <c r="A4783">
        <v>37990</v>
      </c>
      <c r="B4783" t="s">
        <v>12112</v>
      </c>
      <c r="C4783" t="s">
        <v>2102</v>
      </c>
      <c r="D4783" t="s">
        <v>2103</v>
      </c>
      <c r="E4783" s="183">
        <v>17.8</v>
      </c>
    </row>
    <row r="4784" spans="1:5" ht="14.25">
      <c r="A4784">
        <v>37991</v>
      </c>
      <c r="B4784" t="s">
        <v>12113</v>
      </c>
      <c r="C4784" t="s">
        <v>2102</v>
      </c>
      <c r="D4784" t="s">
        <v>2103</v>
      </c>
      <c r="E4784" s="183">
        <v>23.7</v>
      </c>
    </row>
    <row r="4785" spans="1:5" ht="14.25">
      <c r="A4785">
        <v>37992</v>
      </c>
      <c r="B4785" t="s">
        <v>12114</v>
      </c>
      <c r="C4785" t="s">
        <v>2102</v>
      </c>
      <c r="D4785" t="s">
        <v>2103</v>
      </c>
      <c r="E4785" s="183">
        <v>36.770000000000003</v>
      </c>
    </row>
    <row r="4786" spans="1:5" ht="14.25">
      <c r="A4786">
        <v>37993</v>
      </c>
      <c r="B4786" t="s">
        <v>12115</v>
      </c>
      <c r="C4786" t="s">
        <v>2102</v>
      </c>
      <c r="D4786" t="s">
        <v>2103</v>
      </c>
      <c r="E4786" s="183">
        <v>55.79</v>
      </c>
    </row>
    <row r="4787" spans="1:5" ht="14.25">
      <c r="A4787">
        <v>37994</v>
      </c>
      <c r="B4787" t="s">
        <v>12116</v>
      </c>
      <c r="C4787" t="s">
        <v>2102</v>
      </c>
      <c r="D4787" t="s">
        <v>2103</v>
      </c>
      <c r="E4787" s="183">
        <v>132.86000000000001</v>
      </c>
    </row>
    <row r="4788" spans="1:5" ht="14.25">
      <c r="A4788">
        <v>37995</v>
      </c>
      <c r="B4788" t="s">
        <v>12117</v>
      </c>
      <c r="C4788" t="s">
        <v>2102</v>
      </c>
      <c r="D4788" t="s">
        <v>2103</v>
      </c>
      <c r="E4788" s="183">
        <v>173.17</v>
      </c>
    </row>
    <row r="4789" spans="1:5" ht="14.25">
      <c r="A4789">
        <v>37996</v>
      </c>
      <c r="B4789" t="s">
        <v>12118</v>
      </c>
      <c r="C4789" t="s">
        <v>2102</v>
      </c>
      <c r="D4789" t="s">
        <v>2103</v>
      </c>
      <c r="E4789" s="183">
        <v>263.69</v>
      </c>
    </row>
    <row r="4790" spans="1:5" ht="14.25">
      <c r="A4790">
        <v>13883</v>
      </c>
      <c r="B4790" t="s">
        <v>12119</v>
      </c>
      <c r="C4790" t="s">
        <v>2102</v>
      </c>
      <c r="D4790" t="s">
        <v>2105</v>
      </c>
      <c r="E4790" s="184">
        <v>116611.15</v>
      </c>
    </row>
    <row r="4791" spans="1:5" ht="14.25">
      <c r="A4791">
        <v>38604</v>
      </c>
      <c r="B4791" t="s">
        <v>12120</v>
      </c>
      <c r="C4791" t="s">
        <v>2102</v>
      </c>
      <c r="D4791" t="s">
        <v>2105</v>
      </c>
      <c r="E4791" s="184">
        <v>145237.64000000001</v>
      </c>
    </row>
    <row r="4792" spans="1:5" ht="14.25">
      <c r="A4792">
        <v>10601</v>
      </c>
      <c r="B4792" t="s">
        <v>12121</v>
      </c>
      <c r="C4792" t="s">
        <v>2102</v>
      </c>
      <c r="D4792" t="s">
        <v>2105</v>
      </c>
      <c r="E4792" s="184">
        <v>2825161.76</v>
      </c>
    </row>
    <row r="4793" spans="1:5" ht="14.25">
      <c r="A4793">
        <v>44469</v>
      </c>
      <c r="B4793" t="s">
        <v>13712</v>
      </c>
      <c r="C4793" t="s">
        <v>2102</v>
      </c>
      <c r="D4793" t="s">
        <v>2105</v>
      </c>
      <c r="E4793" s="184">
        <v>7438551.21</v>
      </c>
    </row>
    <row r="4794" spans="1:5" ht="14.25">
      <c r="A4794">
        <v>13894</v>
      </c>
      <c r="B4794" t="s">
        <v>12122</v>
      </c>
      <c r="C4794" t="s">
        <v>2102</v>
      </c>
      <c r="D4794" t="s">
        <v>2105</v>
      </c>
      <c r="E4794" s="184">
        <v>399604.75</v>
      </c>
    </row>
    <row r="4795" spans="1:5" ht="14.25">
      <c r="A4795">
        <v>13895</v>
      </c>
      <c r="B4795" t="s">
        <v>12123</v>
      </c>
      <c r="C4795" t="s">
        <v>2102</v>
      </c>
      <c r="D4795" t="s">
        <v>2105</v>
      </c>
      <c r="E4795" s="184">
        <v>537335.18000000005</v>
      </c>
    </row>
    <row r="4796" spans="1:5" ht="14.25">
      <c r="A4796">
        <v>13892</v>
      </c>
      <c r="B4796" t="s">
        <v>12124</v>
      </c>
      <c r="C4796" t="s">
        <v>2102</v>
      </c>
      <c r="D4796" t="s">
        <v>2105</v>
      </c>
      <c r="E4796" s="184">
        <v>658491.12</v>
      </c>
    </row>
    <row r="4797" spans="1:5" ht="14.25">
      <c r="A4797">
        <v>9914</v>
      </c>
      <c r="B4797" t="s">
        <v>12125</v>
      </c>
      <c r="C4797" t="s">
        <v>2102</v>
      </c>
      <c r="D4797" t="s">
        <v>2105</v>
      </c>
      <c r="E4797" s="184">
        <v>712400</v>
      </c>
    </row>
    <row r="4798" spans="1:5" ht="14.25">
      <c r="A4798">
        <v>36485</v>
      </c>
      <c r="B4798" t="s">
        <v>12126</v>
      </c>
      <c r="C4798" t="s">
        <v>2102</v>
      </c>
      <c r="D4798" t="s">
        <v>2105</v>
      </c>
      <c r="E4798" s="184">
        <v>665336.65</v>
      </c>
    </row>
    <row r="4799" spans="1:5" ht="14.25">
      <c r="A4799">
        <v>9912</v>
      </c>
      <c r="B4799" t="s">
        <v>12127</v>
      </c>
      <c r="C4799" t="s">
        <v>2102</v>
      </c>
      <c r="D4799" t="s">
        <v>2105</v>
      </c>
      <c r="E4799" s="184">
        <v>2300000</v>
      </c>
    </row>
    <row r="4800" spans="1:5" ht="14.25">
      <c r="A4800">
        <v>9921</v>
      </c>
      <c r="B4800" t="s">
        <v>12128</v>
      </c>
      <c r="C4800" t="s">
        <v>2102</v>
      </c>
      <c r="D4800" t="s">
        <v>2105</v>
      </c>
      <c r="E4800" s="184">
        <v>1186448.79</v>
      </c>
    </row>
    <row r="4801" spans="1:5" ht="14.25">
      <c r="A4801">
        <v>21112</v>
      </c>
      <c r="B4801" t="s">
        <v>12129</v>
      </c>
      <c r="C4801" t="s">
        <v>2102</v>
      </c>
      <c r="D4801" t="s">
        <v>2103</v>
      </c>
      <c r="E4801" s="183">
        <v>240.27</v>
      </c>
    </row>
    <row r="4802" spans="1:5" ht="14.25">
      <c r="A4802">
        <v>10228</v>
      </c>
      <c r="B4802" t="s">
        <v>12130</v>
      </c>
      <c r="C4802" t="s">
        <v>2102</v>
      </c>
      <c r="D4802" t="s">
        <v>2107</v>
      </c>
      <c r="E4802" s="183">
        <v>279.13</v>
      </c>
    </row>
    <row r="4803" spans="1:5" ht="14.25">
      <c r="A4803">
        <v>11781</v>
      </c>
      <c r="B4803" t="s">
        <v>12131</v>
      </c>
      <c r="C4803" t="s">
        <v>2102</v>
      </c>
      <c r="D4803" t="s">
        <v>2103</v>
      </c>
      <c r="E4803" s="183">
        <v>226.13</v>
      </c>
    </row>
    <row r="4804" spans="1:5" ht="14.25">
      <c r="A4804">
        <v>37588</v>
      </c>
      <c r="B4804" t="s">
        <v>13713</v>
      </c>
      <c r="C4804" t="s">
        <v>2102</v>
      </c>
      <c r="D4804" t="s">
        <v>2103</v>
      </c>
      <c r="E4804" s="183">
        <v>56.06</v>
      </c>
    </row>
    <row r="4805" spans="1:5" ht="14.25">
      <c r="A4805">
        <v>11746</v>
      </c>
      <c r="B4805" t="s">
        <v>12132</v>
      </c>
      <c r="C4805" t="s">
        <v>2102</v>
      </c>
      <c r="D4805" t="s">
        <v>2103</v>
      </c>
      <c r="E4805" s="183">
        <v>87.5</v>
      </c>
    </row>
    <row r="4806" spans="1:5" ht="14.25">
      <c r="A4806">
        <v>11751</v>
      </c>
      <c r="B4806" t="s">
        <v>12133</v>
      </c>
      <c r="C4806" t="s">
        <v>2102</v>
      </c>
      <c r="D4806" t="s">
        <v>2103</v>
      </c>
      <c r="E4806" s="183">
        <v>157.15</v>
      </c>
    </row>
    <row r="4807" spans="1:5" ht="14.25">
      <c r="A4807">
        <v>11750</v>
      </c>
      <c r="B4807" t="s">
        <v>12134</v>
      </c>
      <c r="C4807" t="s">
        <v>2102</v>
      </c>
      <c r="D4807" t="s">
        <v>2103</v>
      </c>
      <c r="E4807" s="183">
        <v>130.41</v>
      </c>
    </row>
    <row r="4808" spans="1:5" ht="14.25">
      <c r="A4808">
        <v>11748</v>
      </c>
      <c r="B4808" t="s">
        <v>12135</v>
      </c>
      <c r="C4808" t="s">
        <v>2102</v>
      </c>
      <c r="D4808" t="s">
        <v>2103</v>
      </c>
      <c r="E4808" s="183">
        <v>56.15</v>
      </c>
    </row>
    <row r="4809" spans="1:5" ht="14.25">
      <c r="A4809">
        <v>11747</v>
      </c>
      <c r="B4809" t="s">
        <v>12136</v>
      </c>
      <c r="C4809" t="s">
        <v>2102</v>
      </c>
      <c r="D4809" t="s">
        <v>2103</v>
      </c>
      <c r="E4809" s="183">
        <v>242.33</v>
      </c>
    </row>
    <row r="4810" spans="1:5" ht="14.25">
      <c r="A4810">
        <v>11749</v>
      </c>
      <c r="B4810" t="s">
        <v>12137</v>
      </c>
      <c r="C4810" t="s">
        <v>2102</v>
      </c>
      <c r="D4810" t="s">
        <v>2103</v>
      </c>
      <c r="E4810" s="183">
        <v>64.81</v>
      </c>
    </row>
    <row r="4811" spans="1:5" ht="14.25">
      <c r="A4811">
        <v>10236</v>
      </c>
      <c r="B4811" t="s">
        <v>12138</v>
      </c>
      <c r="C4811" t="s">
        <v>2102</v>
      </c>
      <c r="D4811" t="s">
        <v>2103</v>
      </c>
      <c r="E4811" s="183">
        <v>101.82</v>
      </c>
    </row>
    <row r="4812" spans="1:5" ht="14.25">
      <c r="A4812">
        <v>10233</v>
      </c>
      <c r="B4812" t="s">
        <v>12139</v>
      </c>
      <c r="C4812" t="s">
        <v>2102</v>
      </c>
      <c r="D4812" t="s">
        <v>2103</v>
      </c>
      <c r="E4812" s="183">
        <v>95.42</v>
      </c>
    </row>
    <row r="4813" spans="1:5" ht="14.25">
      <c r="A4813">
        <v>10234</v>
      </c>
      <c r="B4813" t="s">
        <v>12140</v>
      </c>
      <c r="C4813" t="s">
        <v>2102</v>
      </c>
      <c r="D4813" t="s">
        <v>2103</v>
      </c>
      <c r="E4813" s="183">
        <v>60.11</v>
      </c>
    </row>
    <row r="4814" spans="1:5" ht="14.25">
      <c r="A4814">
        <v>10231</v>
      </c>
      <c r="B4814" t="s">
        <v>12141</v>
      </c>
      <c r="C4814" t="s">
        <v>2102</v>
      </c>
      <c r="D4814" t="s">
        <v>2103</v>
      </c>
      <c r="E4814" s="183">
        <v>275.63</v>
      </c>
    </row>
    <row r="4815" spans="1:5" ht="14.25">
      <c r="A4815">
        <v>10232</v>
      </c>
      <c r="B4815" t="s">
        <v>12142</v>
      </c>
      <c r="C4815" t="s">
        <v>2102</v>
      </c>
      <c r="D4815" t="s">
        <v>2103</v>
      </c>
      <c r="E4815" s="183">
        <v>154.24</v>
      </c>
    </row>
    <row r="4816" spans="1:5" ht="14.25">
      <c r="A4816">
        <v>10229</v>
      </c>
      <c r="B4816" t="s">
        <v>12143</v>
      </c>
      <c r="C4816" t="s">
        <v>2102</v>
      </c>
      <c r="D4816" t="s">
        <v>2107</v>
      </c>
      <c r="E4816" s="183">
        <v>54.36</v>
      </c>
    </row>
    <row r="4817" spans="1:5" ht="14.25">
      <c r="A4817">
        <v>10235</v>
      </c>
      <c r="B4817" t="s">
        <v>12144</v>
      </c>
      <c r="C4817" t="s">
        <v>2102</v>
      </c>
      <c r="D4817" t="s">
        <v>2103</v>
      </c>
      <c r="E4817" s="183">
        <v>377.87</v>
      </c>
    </row>
    <row r="4818" spans="1:5" ht="14.25">
      <c r="A4818">
        <v>10230</v>
      </c>
      <c r="B4818" t="s">
        <v>12145</v>
      </c>
      <c r="C4818" t="s">
        <v>2102</v>
      </c>
      <c r="D4818" t="s">
        <v>2103</v>
      </c>
      <c r="E4818" s="183">
        <v>665.01</v>
      </c>
    </row>
    <row r="4819" spans="1:5" ht="14.25">
      <c r="A4819">
        <v>10409</v>
      </c>
      <c r="B4819" t="s">
        <v>12146</v>
      </c>
      <c r="C4819" t="s">
        <v>2102</v>
      </c>
      <c r="D4819" t="s">
        <v>2103</v>
      </c>
      <c r="E4819" s="183">
        <v>197.57</v>
      </c>
    </row>
    <row r="4820" spans="1:5" ht="14.25">
      <c r="A4820">
        <v>10411</v>
      </c>
      <c r="B4820" t="s">
        <v>12147</v>
      </c>
      <c r="C4820" t="s">
        <v>2102</v>
      </c>
      <c r="D4820" t="s">
        <v>2103</v>
      </c>
      <c r="E4820" s="183">
        <v>176.78</v>
      </c>
    </row>
    <row r="4821" spans="1:5" ht="14.25">
      <c r="A4821">
        <v>10404</v>
      </c>
      <c r="B4821" t="s">
        <v>12148</v>
      </c>
      <c r="C4821" t="s">
        <v>2102</v>
      </c>
      <c r="D4821" t="s">
        <v>2103</v>
      </c>
      <c r="E4821" s="183">
        <v>71.69</v>
      </c>
    </row>
    <row r="4822" spans="1:5" ht="14.25">
      <c r="A4822">
        <v>10410</v>
      </c>
      <c r="B4822" t="s">
        <v>12149</v>
      </c>
      <c r="C4822" t="s">
        <v>2102</v>
      </c>
      <c r="D4822" t="s">
        <v>2103</v>
      </c>
      <c r="E4822" s="183">
        <v>118.09</v>
      </c>
    </row>
    <row r="4823" spans="1:5" ht="14.25">
      <c r="A4823">
        <v>10405</v>
      </c>
      <c r="B4823" t="s">
        <v>12150</v>
      </c>
      <c r="C4823" t="s">
        <v>2102</v>
      </c>
      <c r="D4823" t="s">
        <v>2103</v>
      </c>
      <c r="E4823" s="183">
        <v>395.82</v>
      </c>
    </row>
    <row r="4824" spans="1:5" ht="14.25">
      <c r="A4824">
        <v>10408</v>
      </c>
      <c r="B4824" t="s">
        <v>12151</v>
      </c>
      <c r="C4824" t="s">
        <v>2102</v>
      </c>
      <c r="D4824" t="s">
        <v>2103</v>
      </c>
      <c r="E4824" s="183">
        <v>276.79000000000002</v>
      </c>
    </row>
    <row r="4825" spans="1:5" ht="14.25">
      <c r="A4825">
        <v>10412</v>
      </c>
      <c r="B4825" t="s">
        <v>12152</v>
      </c>
      <c r="C4825" t="s">
        <v>2102</v>
      </c>
      <c r="D4825" t="s">
        <v>2103</v>
      </c>
      <c r="E4825" s="183">
        <v>86.88</v>
      </c>
    </row>
    <row r="4826" spans="1:5" ht="14.25">
      <c r="A4826">
        <v>10406</v>
      </c>
      <c r="B4826" t="s">
        <v>12153</v>
      </c>
      <c r="C4826" t="s">
        <v>2102</v>
      </c>
      <c r="D4826" t="s">
        <v>2103</v>
      </c>
      <c r="E4826" s="183">
        <v>546.71</v>
      </c>
    </row>
    <row r="4827" spans="1:5" ht="14.25">
      <c r="A4827">
        <v>10407</v>
      </c>
      <c r="B4827" t="s">
        <v>12154</v>
      </c>
      <c r="C4827" t="s">
        <v>2102</v>
      </c>
      <c r="D4827" t="s">
        <v>2103</v>
      </c>
      <c r="E4827" s="183">
        <v>847.96</v>
      </c>
    </row>
    <row r="4828" spans="1:5" ht="14.25">
      <c r="A4828">
        <v>10416</v>
      </c>
      <c r="B4828" t="s">
        <v>12155</v>
      </c>
      <c r="C4828" t="s">
        <v>2102</v>
      </c>
      <c r="D4828" t="s">
        <v>2103</v>
      </c>
      <c r="E4828" s="183">
        <v>105.18</v>
      </c>
    </row>
    <row r="4829" spans="1:5" ht="14.25">
      <c r="A4829">
        <v>10419</v>
      </c>
      <c r="B4829" t="s">
        <v>12156</v>
      </c>
      <c r="C4829" t="s">
        <v>2102</v>
      </c>
      <c r="D4829" t="s">
        <v>2103</v>
      </c>
      <c r="E4829" s="183">
        <v>91.29</v>
      </c>
    </row>
    <row r="4830" spans="1:5" ht="14.25">
      <c r="A4830">
        <v>21092</v>
      </c>
      <c r="B4830" t="s">
        <v>12157</v>
      </c>
      <c r="C4830" t="s">
        <v>2102</v>
      </c>
      <c r="D4830" t="s">
        <v>2103</v>
      </c>
      <c r="E4830" s="183">
        <v>52.19</v>
      </c>
    </row>
    <row r="4831" spans="1:5" ht="14.25">
      <c r="A4831">
        <v>10418</v>
      </c>
      <c r="B4831" t="s">
        <v>12158</v>
      </c>
      <c r="C4831" t="s">
        <v>2102</v>
      </c>
      <c r="D4831" t="s">
        <v>2103</v>
      </c>
      <c r="E4831" s="183">
        <v>60.85</v>
      </c>
    </row>
    <row r="4832" spans="1:5" ht="14.25">
      <c r="A4832">
        <v>12657</v>
      </c>
      <c r="B4832" t="s">
        <v>12159</v>
      </c>
      <c r="C4832" t="s">
        <v>2102</v>
      </c>
      <c r="D4832" t="s">
        <v>2103</v>
      </c>
      <c r="E4832" s="183">
        <v>245.57</v>
      </c>
    </row>
    <row r="4833" spans="1:5" ht="14.25">
      <c r="A4833">
        <v>10417</v>
      </c>
      <c r="B4833" t="s">
        <v>12160</v>
      </c>
      <c r="C4833" t="s">
        <v>2102</v>
      </c>
      <c r="D4833" t="s">
        <v>2103</v>
      </c>
      <c r="E4833" s="183">
        <v>153.25</v>
      </c>
    </row>
    <row r="4834" spans="1:5" ht="14.25">
      <c r="A4834">
        <v>10413</v>
      </c>
      <c r="B4834" t="s">
        <v>12161</v>
      </c>
      <c r="C4834" t="s">
        <v>2102</v>
      </c>
      <c r="D4834" t="s">
        <v>2103</v>
      </c>
      <c r="E4834" s="183">
        <v>55.7</v>
      </c>
    </row>
    <row r="4835" spans="1:5" ht="14.25">
      <c r="A4835">
        <v>10414</v>
      </c>
      <c r="B4835" t="s">
        <v>12162</v>
      </c>
      <c r="C4835" t="s">
        <v>2102</v>
      </c>
      <c r="D4835" t="s">
        <v>2103</v>
      </c>
      <c r="E4835" s="183">
        <v>335.34</v>
      </c>
    </row>
    <row r="4836" spans="1:5" ht="14.25">
      <c r="A4836">
        <v>10415</v>
      </c>
      <c r="B4836" t="s">
        <v>12163</v>
      </c>
      <c r="C4836" t="s">
        <v>2102</v>
      </c>
      <c r="D4836" t="s">
        <v>2103</v>
      </c>
      <c r="E4836" s="183">
        <v>582.01</v>
      </c>
    </row>
    <row r="4837" spans="1:5" ht="14.25">
      <c r="A4837">
        <v>38643</v>
      </c>
      <c r="B4837" t="s">
        <v>12164</v>
      </c>
      <c r="C4837" t="s">
        <v>2102</v>
      </c>
      <c r="D4837" t="s">
        <v>2103</v>
      </c>
      <c r="E4837" s="183">
        <v>44.55</v>
      </c>
    </row>
    <row r="4838" spans="1:5" ht="14.25">
      <c r="A4838">
        <v>6157</v>
      </c>
      <c r="B4838" t="s">
        <v>12165</v>
      </c>
      <c r="C4838" t="s">
        <v>2102</v>
      </c>
      <c r="D4838" t="s">
        <v>2103</v>
      </c>
      <c r="E4838" s="183">
        <v>60.86</v>
      </c>
    </row>
    <row r="4839" spans="1:5" ht="14.25">
      <c r="A4839">
        <v>6158</v>
      </c>
      <c r="B4839" t="s">
        <v>12166</v>
      </c>
      <c r="C4839" t="s">
        <v>2102</v>
      </c>
      <c r="D4839" t="s">
        <v>2103</v>
      </c>
      <c r="E4839" s="183">
        <v>6.83</v>
      </c>
    </row>
    <row r="4840" spans="1:5" ht="14.25">
      <c r="A4840">
        <v>6153</v>
      </c>
      <c r="B4840" t="s">
        <v>12167</v>
      </c>
      <c r="C4840" t="s">
        <v>2102</v>
      </c>
      <c r="D4840" t="s">
        <v>2103</v>
      </c>
      <c r="E4840" s="183">
        <v>4.7</v>
      </c>
    </row>
    <row r="4841" spans="1:5" ht="14.25">
      <c r="A4841">
        <v>6156</v>
      </c>
      <c r="B4841" t="s">
        <v>12168</v>
      </c>
      <c r="C4841" t="s">
        <v>2102</v>
      </c>
      <c r="D4841" t="s">
        <v>2103</v>
      </c>
      <c r="E4841" s="183">
        <v>5.86</v>
      </c>
    </row>
    <row r="4842" spans="1:5" ht="14.25">
      <c r="A4842">
        <v>6154</v>
      </c>
      <c r="B4842" t="s">
        <v>12169</v>
      </c>
      <c r="C4842" t="s">
        <v>2102</v>
      </c>
      <c r="D4842" t="s">
        <v>2103</v>
      </c>
      <c r="E4842" s="183">
        <v>8.36</v>
      </c>
    </row>
    <row r="4843" spans="1:5" ht="14.25">
      <c r="A4843">
        <v>6155</v>
      </c>
      <c r="B4843" t="s">
        <v>12170</v>
      </c>
      <c r="C4843" t="s">
        <v>2102</v>
      </c>
      <c r="D4843" t="s">
        <v>2103</v>
      </c>
      <c r="E4843" s="183">
        <v>19.239999999999998</v>
      </c>
    </row>
    <row r="4844" spans="1:5" ht="14.25">
      <c r="A4844">
        <v>43595</v>
      </c>
      <c r="B4844" t="s">
        <v>12171</v>
      </c>
      <c r="C4844" t="s">
        <v>2102</v>
      </c>
      <c r="D4844" t="s">
        <v>2103</v>
      </c>
      <c r="E4844" s="183">
        <v>18.13</v>
      </c>
    </row>
    <row r="4845" spans="1:5" ht="14.25">
      <c r="A4845">
        <v>43596</v>
      </c>
      <c r="B4845" t="s">
        <v>12172</v>
      </c>
      <c r="C4845" t="s">
        <v>2102</v>
      </c>
      <c r="D4845" t="s">
        <v>2103</v>
      </c>
      <c r="E4845" s="183">
        <v>20.95</v>
      </c>
    </row>
    <row r="4846" spans="1:5" ht="14.25">
      <c r="A4846">
        <v>38108</v>
      </c>
      <c r="B4846" t="s">
        <v>12173</v>
      </c>
      <c r="C4846" t="s">
        <v>2102</v>
      </c>
      <c r="D4846" t="s">
        <v>2103</v>
      </c>
      <c r="E4846" s="183">
        <v>55.31</v>
      </c>
    </row>
    <row r="4847" spans="1:5" ht="14.25">
      <c r="A4847">
        <v>38087</v>
      </c>
      <c r="B4847" t="s">
        <v>12174</v>
      </c>
      <c r="C4847" t="s">
        <v>2102</v>
      </c>
      <c r="D4847" t="s">
        <v>2103</v>
      </c>
      <c r="E4847" s="183">
        <v>71.14</v>
      </c>
    </row>
    <row r="4848" spans="1:5" ht="14.25">
      <c r="A4848">
        <v>38109</v>
      </c>
      <c r="B4848" t="s">
        <v>12175</v>
      </c>
      <c r="C4848" t="s">
        <v>2102</v>
      </c>
      <c r="D4848" t="s">
        <v>2103</v>
      </c>
      <c r="E4848" s="183">
        <v>88.39</v>
      </c>
    </row>
    <row r="4849" spans="1:5" ht="14.25">
      <c r="A4849">
        <v>38088</v>
      </c>
      <c r="B4849" t="s">
        <v>12176</v>
      </c>
      <c r="C4849" t="s">
        <v>2102</v>
      </c>
      <c r="D4849" t="s">
        <v>2103</v>
      </c>
      <c r="E4849" s="183">
        <v>92.95</v>
      </c>
    </row>
    <row r="4850" spans="1:5" ht="14.25">
      <c r="A4850">
        <v>38110</v>
      </c>
      <c r="B4850" t="s">
        <v>12177</v>
      </c>
      <c r="C4850" t="s">
        <v>2102</v>
      </c>
      <c r="D4850" t="s">
        <v>2103</v>
      </c>
      <c r="E4850" s="183">
        <v>34</v>
      </c>
    </row>
    <row r="4851" spans="1:5" ht="14.25">
      <c r="A4851">
        <v>38089</v>
      </c>
      <c r="B4851" t="s">
        <v>12178</v>
      </c>
      <c r="C4851" t="s">
        <v>2102</v>
      </c>
      <c r="D4851" t="s">
        <v>2103</v>
      </c>
      <c r="E4851" s="183">
        <v>59.25</v>
      </c>
    </row>
    <row r="4852" spans="1:5" ht="14.25">
      <c r="A4852">
        <v>38111</v>
      </c>
      <c r="B4852" t="s">
        <v>12179</v>
      </c>
      <c r="C4852" t="s">
        <v>2102</v>
      </c>
      <c r="D4852" t="s">
        <v>2103</v>
      </c>
      <c r="E4852" s="183">
        <v>38.020000000000003</v>
      </c>
    </row>
    <row r="4853" spans="1:5" ht="14.25">
      <c r="A4853">
        <v>38090</v>
      </c>
      <c r="B4853" t="s">
        <v>12180</v>
      </c>
      <c r="C4853" t="s">
        <v>2102</v>
      </c>
      <c r="D4853" t="s">
        <v>2103</v>
      </c>
      <c r="E4853" s="183">
        <v>61.24</v>
      </c>
    </row>
    <row r="4854" spans="1:5" ht="14.25">
      <c r="A4854">
        <v>13726</v>
      </c>
      <c r="B4854" t="s">
        <v>12181</v>
      </c>
      <c r="C4854" t="s">
        <v>2102</v>
      </c>
      <c r="D4854" t="s">
        <v>2105</v>
      </c>
      <c r="E4854" s="184">
        <v>70306.12</v>
      </c>
    </row>
    <row r="4855" spans="1:5" ht="14.25">
      <c r="A4855">
        <v>38400</v>
      </c>
      <c r="B4855" t="s">
        <v>12182</v>
      </c>
      <c r="C4855" t="s">
        <v>2102</v>
      </c>
      <c r="D4855" t="s">
        <v>2103</v>
      </c>
      <c r="E4855" s="183">
        <v>19.91</v>
      </c>
    </row>
    <row r="4856" spans="1:5" ht="14.25">
      <c r="A4856">
        <v>12627</v>
      </c>
      <c r="B4856" t="s">
        <v>12183</v>
      </c>
      <c r="C4856" t="s">
        <v>2102</v>
      </c>
      <c r="D4856" t="s">
        <v>2103</v>
      </c>
      <c r="E4856" s="183">
        <v>1.58</v>
      </c>
    </row>
    <row r="4857" spans="1:5" ht="14.25">
      <c r="A4857">
        <v>39996</v>
      </c>
      <c r="B4857" t="s">
        <v>12184</v>
      </c>
      <c r="C4857" t="s">
        <v>2109</v>
      </c>
      <c r="D4857" t="s">
        <v>2103</v>
      </c>
      <c r="E4857" s="183">
        <v>2.95</v>
      </c>
    </row>
    <row r="4858" spans="1:5" ht="14.25">
      <c r="A4858">
        <v>10478</v>
      </c>
      <c r="B4858" t="s">
        <v>13714</v>
      </c>
      <c r="C4858" t="s">
        <v>2117</v>
      </c>
      <c r="D4858" t="s">
        <v>2107</v>
      </c>
      <c r="E4858" s="183">
        <v>37.090000000000003</v>
      </c>
    </row>
    <row r="4859" spans="1:5" ht="14.25">
      <c r="A4859">
        <v>10481</v>
      </c>
      <c r="B4859" t="s">
        <v>13715</v>
      </c>
      <c r="C4859" t="s">
        <v>2117</v>
      </c>
      <c r="D4859" t="s">
        <v>2103</v>
      </c>
      <c r="E4859" s="183">
        <v>32.979999999999997</v>
      </c>
    </row>
    <row r="4860" spans="1:5" ht="14.25">
      <c r="A4860">
        <v>10475</v>
      </c>
      <c r="B4860" t="s">
        <v>13716</v>
      </c>
      <c r="C4860" t="s">
        <v>2117</v>
      </c>
      <c r="D4860" t="s">
        <v>2103</v>
      </c>
      <c r="E4860" s="183">
        <v>31.92</v>
      </c>
    </row>
    <row r="4861" spans="1:5" ht="14.25">
      <c r="A4861">
        <v>4030</v>
      </c>
      <c r="B4861" t="s">
        <v>18700</v>
      </c>
      <c r="C4861" t="s">
        <v>2104</v>
      </c>
      <c r="D4861" t="s">
        <v>2103</v>
      </c>
      <c r="E4861" s="183">
        <v>8.09</v>
      </c>
    </row>
    <row r="4862" spans="1:5" ht="14.25">
      <c r="A4862">
        <v>4031</v>
      </c>
      <c r="B4862" t="s">
        <v>12185</v>
      </c>
      <c r="C4862" t="s">
        <v>2104</v>
      </c>
      <c r="D4862" t="s">
        <v>2103</v>
      </c>
      <c r="E4862" s="183">
        <v>38.03</v>
      </c>
    </row>
    <row r="4863" spans="1:5" ht="14.25">
      <c r="A4863">
        <v>39399</v>
      </c>
      <c r="B4863" t="s">
        <v>12186</v>
      </c>
      <c r="C4863" t="s">
        <v>2102</v>
      </c>
      <c r="D4863" t="s">
        <v>2105</v>
      </c>
      <c r="E4863" s="184">
        <v>1193.2</v>
      </c>
    </row>
    <row r="4864" spans="1:5" ht="14.25">
      <c r="A4864">
        <v>39400</v>
      </c>
      <c r="B4864" t="s">
        <v>12187</v>
      </c>
      <c r="C4864" t="s">
        <v>2102</v>
      </c>
      <c r="D4864" t="s">
        <v>2105</v>
      </c>
      <c r="E4864" s="184">
        <v>1296.96</v>
      </c>
    </row>
    <row r="4865" spans="1:5" ht="14.25">
      <c r="A4865">
        <v>39401</v>
      </c>
      <c r="B4865" t="s">
        <v>12188</v>
      </c>
      <c r="C4865" t="s">
        <v>2102</v>
      </c>
      <c r="D4865" t="s">
        <v>2105</v>
      </c>
      <c r="E4865" s="184">
        <v>1454.87</v>
      </c>
    </row>
    <row r="4866" spans="1:5" ht="14.25">
      <c r="A4866">
        <v>11652</v>
      </c>
      <c r="B4866" t="s">
        <v>12189</v>
      </c>
      <c r="C4866" t="s">
        <v>2102</v>
      </c>
      <c r="D4866" t="s">
        <v>2105</v>
      </c>
      <c r="E4866" s="184">
        <v>3130</v>
      </c>
    </row>
    <row r="4867" spans="1:5" ht="14.25">
      <c r="A4867">
        <v>13896</v>
      </c>
      <c r="B4867" t="s">
        <v>12190</v>
      </c>
      <c r="C4867" t="s">
        <v>2102</v>
      </c>
      <c r="D4867" t="s">
        <v>2105</v>
      </c>
      <c r="E4867" s="184">
        <v>2807.88</v>
      </c>
    </row>
    <row r="4868" spans="1:5" ht="14.25">
      <c r="A4868">
        <v>13475</v>
      </c>
      <c r="B4868" t="s">
        <v>12191</v>
      </c>
      <c r="C4868" t="s">
        <v>2102</v>
      </c>
      <c r="D4868" t="s">
        <v>2105</v>
      </c>
      <c r="E4868" s="184">
        <v>3420.34</v>
      </c>
    </row>
    <row r="4869" spans="1:5" ht="14.25">
      <c r="A4869">
        <v>44491</v>
      </c>
      <c r="B4869" t="s">
        <v>13717</v>
      </c>
      <c r="C4869" t="s">
        <v>2102</v>
      </c>
      <c r="D4869" t="s">
        <v>2105</v>
      </c>
      <c r="E4869" s="184">
        <v>3712276.56</v>
      </c>
    </row>
    <row r="4870" spans="1:5" ht="14.25">
      <c r="A4870">
        <v>44470</v>
      </c>
      <c r="B4870" t="s">
        <v>13718</v>
      </c>
      <c r="C4870" t="s">
        <v>2102</v>
      </c>
      <c r="D4870" t="s">
        <v>2105</v>
      </c>
      <c r="E4870" s="184">
        <v>1562825.34</v>
      </c>
    </row>
    <row r="4871" spans="1:5" ht="14.25">
      <c r="A4871">
        <v>13476</v>
      </c>
      <c r="B4871" t="s">
        <v>12192</v>
      </c>
      <c r="C4871" t="s">
        <v>2102</v>
      </c>
      <c r="D4871" t="s">
        <v>2105</v>
      </c>
      <c r="E4871" s="184">
        <v>1574150.28</v>
      </c>
    </row>
    <row r="4872" spans="1:5" ht="14.25">
      <c r="A4872">
        <v>10488</v>
      </c>
      <c r="B4872" t="s">
        <v>12193</v>
      </c>
      <c r="C4872" t="s">
        <v>2102</v>
      </c>
      <c r="D4872" t="s">
        <v>2105</v>
      </c>
      <c r="E4872" s="184">
        <v>1907100</v>
      </c>
    </row>
    <row r="4873" spans="1:5" ht="14.25">
      <c r="A4873">
        <v>13606</v>
      </c>
      <c r="B4873" t="s">
        <v>12194</v>
      </c>
      <c r="C4873" t="s">
        <v>2102</v>
      </c>
      <c r="D4873" t="s">
        <v>2105</v>
      </c>
      <c r="E4873" s="184">
        <v>1689663.32</v>
      </c>
    </row>
    <row r="4874" spans="1:5" ht="14.25">
      <c r="A4874">
        <v>10489</v>
      </c>
      <c r="B4874" t="s">
        <v>15319</v>
      </c>
      <c r="C4874" t="s">
        <v>2106</v>
      </c>
      <c r="D4874" t="s">
        <v>2103</v>
      </c>
      <c r="E4874" s="183">
        <v>16.77</v>
      </c>
    </row>
    <row r="4875" spans="1:5" ht="14.25">
      <c r="A4875">
        <v>41073</v>
      </c>
      <c r="B4875" t="s">
        <v>12195</v>
      </c>
      <c r="C4875" t="s">
        <v>2123</v>
      </c>
      <c r="D4875" t="s">
        <v>2103</v>
      </c>
      <c r="E4875" s="184">
        <v>2942.95</v>
      </c>
    </row>
    <row r="4876" spans="1:5" ht="14.25">
      <c r="A4876">
        <v>34391</v>
      </c>
      <c r="B4876" t="s">
        <v>12196</v>
      </c>
      <c r="C4876" t="s">
        <v>2104</v>
      </c>
      <c r="D4876" t="s">
        <v>2103</v>
      </c>
      <c r="E4876" s="183">
        <v>739.66</v>
      </c>
    </row>
    <row r="4877" spans="1:5" ht="14.25">
      <c r="A4877">
        <v>10496</v>
      </c>
      <c r="B4877" t="s">
        <v>12197</v>
      </c>
      <c r="C4877" t="s">
        <v>2104</v>
      </c>
      <c r="D4877" t="s">
        <v>2103</v>
      </c>
      <c r="E4877" s="183">
        <v>643.75</v>
      </c>
    </row>
    <row r="4878" spans="1:5" ht="14.25">
      <c r="A4878">
        <v>10497</v>
      </c>
      <c r="B4878" t="s">
        <v>12198</v>
      </c>
      <c r="C4878" t="s">
        <v>2104</v>
      </c>
      <c r="D4878" t="s">
        <v>2103</v>
      </c>
      <c r="E4878" s="184">
        <v>1673.74</v>
      </c>
    </row>
    <row r="4879" spans="1:5" ht="14.25">
      <c r="A4879">
        <v>10504</v>
      </c>
      <c r="B4879" t="s">
        <v>12199</v>
      </c>
      <c r="C4879" t="s">
        <v>2104</v>
      </c>
      <c r="D4879" t="s">
        <v>2103</v>
      </c>
      <c r="E4879" s="184">
        <v>1957</v>
      </c>
    </row>
    <row r="4880" spans="1:5" ht="14.25">
      <c r="A4880">
        <v>34390</v>
      </c>
      <c r="B4880" t="s">
        <v>12200</v>
      </c>
      <c r="C4880" t="s">
        <v>2104</v>
      </c>
      <c r="D4880" t="s">
        <v>2103</v>
      </c>
      <c r="E4880" s="183">
        <v>576.79</v>
      </c>
    </row>
    <row r="4881" spans="1:5" ht="14.25">
      <c r="A4881">
        <v>34389</v>
      </c>
      <c r="B4881" t="s">
        <v>12201</v>
      </c>
      <c r="C4881" t="s">
        <v>2104</v>
      </c>
      <c r="D4881" t="s">
        <v>2103</v>
      </c>
      <c r="E4881" s="183">
        <v>180.25</v>
      </c>
    </row>
    <row r="4882" spans="1:5" ht="14.25">
      <c r="A4882">
        <v>34388</v>
      </c>
      <c r="B4882" t="s">
        <v>12202</v>
      </c>
      <c r="C4882" t="s">
        <v>2104</v>
      </c>
      <c r="D4882" t="s">
        <v>2103</v>
      </c>
      <c r="E4882" s="183">
        <v>256.18</v>
      </c>
    </row>
    <row r="4883" spans="1:5" ht="14.25">
      <c r="A4883">
        <v>34387</v>
      </c>
      <c r="B4883" t="s">
        <v>12203</v>
      </c>
      <c r="C4883" t="s">
        <v>2104</v>
      </c>
      <c r="D4883" t="s">
        <v>2103</v>
      </c>
      <c r="E4883" s="183">
        <v>415.86</v>
      </c>
    </row>
    <row r="4884" spans="1:5" ht="14.25">
      <c r="A4884">
        <v>11188</v>
      </c>
      <c r="B4884" t="s">
        <v>12204</v>
      </c>
      <c r="C4884" t="s">
        <v>2104</v>
      </c>
      <c r="D4884" t="s">
        <v>2103</v>
      </c>
      <c r="E4884" s="183">
        <v>205.99</v>
      </c>
    </row>
    <row r="4885" spans="1:5" ht="14.25">
      <c r="A4885">
        <v>11189</v>
      </c>
      <c r="B4885" t="s">
        <v>12205</v>
      </c>
      <c r="C4885" t="s">
        <v>2104</v>
      </c>
      <c r="D4885" t="s">
        <v>2103</v>
      </c>
      <c r="E4885" s="183">
        <v>309</v>
      </c>
    </row>
    <row r="4886" spans="1:5" ht="14.25">
      <c r="A4886">
        <v>21107</v>
      </c>
      <c r="B4886" t="s">
        <v>12206</v>
      </c>
      <c r="C4886" t="s">
        <v>2104</v>
      </c>
      <c r="D4886" t="s">
        <v>2103</v>
      </c>
      <c r="E4886" s="183">
        <v>222.37</v>
      </c>
    </row>
    <row r="4887" spans="1:5" ht="14.25">
      <c r="A4887">
        <v>34386</v>
      </c>
      <c r="B4887" t="s">
        <v>12207</v>
      </c>
      <c r="C4887" t="s">
        <v>2104</v>
      </c>
      <c r="D4887" t="s">
        <v>2103</v>
      </c>
      <c r="E4887" s="183">
        <v>386.25</v>
      </c>
    </row>
    <row r="4888" spans="1:5" ht="14.25">
      <c r="A4888">
        <v>10490</v>
      </c>
      <c r="B4888" t="s">
        <v>12208</v>
      </c>
      <c r="C4888" t="s">
        <v>2104</v>
      </c>
      <c r="D4888" t="s">
        <v>2103</v>
      </c>
      <c r="E4888" s="183">
        <v>135.18</v>
      </c>
    </row>
    <row r="4889" spans="1:5" ht="14.25">
      <c r="A4889">
        <v>10492</v>
      </c>
      <c r="B4889" t="s">
        <v>12209</v>
      </c>
      <c r="C4889" t="s">
        <v>2104</v>
      </c>
      <c r="D4889" t="s">
        <v>2107</v>
      </c>
      <c r="E4889" s="183">
        <v>154.5</v>
      </c>
    </row>
    <row r="4890" spans="1:5" ht="14.25">
      <c r="A4890">
        <v>10493</v>
      </c>
      <c r="B4890" t="s">
        <v>12210</v>
      </c>
      <c r="C4890" t="s">
        <v>2104</v>
      </c>
      <c r="D4890" t="s">
        <v>2103</v>
      </c>
      <c r="E4890" s="183">
        <v>180.25</v>
      </c>
    </row>
    <row r="4891" spans="1:5" ht="14.25">
      <c r="A4891">
        <v>10491</v>
      </c>
      <c r="B4891" t="s">
        <v>12211</v>
      </c>
      <c r="C4891" t="s">
        <v>2104</v>
      </c>
      <c r="D4891" t="s">
        <v>2103</v>
      </c>
      <c r="E4891" s="183">
        <v>218.87</v>
      </c>
    </row>
    <row r="4892" spans="1:5" ht="14.25">
      <c r="A4892">
        <v>34385</v>
      </c>
      <c r="B4892" t="s">
        <v>12212</v>
      </c>
      <c r="C4892" t="s">
        <v>2104</v>
      </c>
      <c r="D4892" t="s">
        <v>2103</v>
      </c>
      <c r="E4892" s="183">
        <v>319.3</v>
      </c>
    </row>
    <row r="4893" spans="1:5" ht="14.25">
      <c r="A4893">
        <v>10499</v>
      </c>
      <c r="B4893" t="s">
        <v>12213</v>
      </c>
      <c r="C4893" t="s">
        <v>2104</v>
      </c>
      <c r="D4893" t="s">
        <v>2103</v>
      </c>
      <c r="E4893" s="183">
        <v>128.74</v>
      </c>
    </row>
    <row r="4894" spans="1:5" ht="14.25">
      <c r="A4894">
        <v>34384</v>
      </c>
      <c r="B4894" t="s">
        <v>12214</v>
      </c>
      <c r="C4894" t="s">
        <v>2104</v>
      </c>
      <c r="D4894" t="s">
        <v>2103</v>
      </c>
      <c r="E4894" s="183">
        <v>386.25</v>
      </c>
    </row>
    <row r="4895" spans="1:5" ht="14.25">
      <c r="A4895">
        <v>11185</v>
      </c>
      <c r="B4895" t="s">
        <v>18701</v>
      </c>
      <c r="C4895" t="s">
        <v>2104</v>
      </c>
      <c r="D4895" t="s">
        <v>2103</v>
      </c>
      <c r="E4895" s="183">
        <v>399.12</v>
      </c>
    </row>
    <row r="4896" spans="1:5" ht="14.25">
      <c r="A4896">
        <v>10507</v>
      </c>
      <c r="B4896" t="s">
        <v>12215</v>
      </c>
      <c r="C4896" t="s">
        <v>2104</v>
      </c>
      <c r="D4896" t="s">
        <v>2103</v>
      </c>
      <c r="E4896" s="183">
        <v>397.55</v>
      </c>
    </row>
    <row r="4897" spans="1:5" ht="14.25">
      <c r="A4897">
        <v>10505</v>
      </c>
      <c r="B4897" t="s">
        <v>12216</v>
      </c>
      <c r="C4897" t="s">
        <v>2104</v>
      </c>
      <c r="D4897" t="s">
        <v>2103</v>
      </c>
      <c r="E4897" s="183">
        <v>234.58</v>
      </c>
    </row>
    <row r="4898" spans="1:5" ht="14.25">
      <c r="A4898">
        <v>10506</v>
      </c>
      <c r="B4898" t="s">
        <v>12217</v>
      </c>
      <c r="C4898" t="s">
        <v>2104</v>
      </c>
      <c r="D4898" t="s">
        <v>2103</v>
      </c>
      <c r="E4898" s="183">
        <v>306.23</v>
      </c>
    </row>
    <row r="4899" spans="1:5" ht="14.25">
      <c r="A4899">
        <v>5031</v>
      </c>
      <c r="B4899" t="s">
        <v>12218</v>
      </c>
      <c r="C4899" t="s">
        <v>2104</v>
      </c>
      <c r="D4899" t="s">
        <v>2107</v>
      </c>
      <c r="E4899" s="183">
        <v>430</v>
      </c>
    </row>
    <row r="4900" spans="1:5" ht="14.25">
      <c r="A4900">
        <v>10502</v>
      </c>
      <c r="B4900" t="s">
        <v>12219</v>
      </c>
      <c r="C4900" t="s">
        <v>2104</v>
      </c>
      <c r="D4900" t="s">
        <v>2103</v>
      </c>
      <c r="E4900" s="183">
        <v>501.05</v>
      </c>
    </row>
    <row r="4901" spans="1:5" ht="14.25">
      <c r="A4901">
        <v>10501</v>
      </c>
      <c r="B4901" t="s">
        <v>12220</v>
      </c>
      <c r="C4901" t="s">
        <v>2104</v>
      </c>
      <c r="D4901" t="s">
        <v>2103</v>
      </c>
      <c r="E4901" s="183">
        <v>283.08</v>
      </c>
    </row>
    <row r="4902" spans="1:5" ht="14.25">
      <c r="A4902">
        <v>10503</v>
      </c>
      <c r="B4902" t="s">
        <v>12221</v>
      </c>
      <c r="C4902" t="s">
        <v>2104</v>
      </c>
      <c r="D4902" t="s">
        <v>2103</v>
      </c>
      <c r="E4902" s="183">
        <v>382.44</v>
      </c>
    </row>
    <row r="4903" spans="1:5" ht="14.25">
      <c r="A4903">
        <v>4500</v>
      </c>
      <c r="B4903" t="s">
        <v>12222</v>
      </c>
      <c r="C4903" t="s">
        <v>2109</v>
      </c>
      <c r="D4903" t="s">
        <v>2103</v>
      </c>
      <c r="E4903" s="183">
        <v>15.46</v>
      </c>
    </row>
    <row r="4904" spans="1:5" ht="14.25">
      <c r="A4904">
        <v>4448</v>
      </c>
      <c r="B4904" t="s">
        <v>12223</v>
      </c>
      <c r="C4904" t="s">
        <v>2109</v>
      </c>
      <c r="D4904" t="s">
        <v>2103</v>
      </c>
      <c r="E4904" s="183">
        <v>21.24</v>
      </c>
    </row>
    <row r="4905" spans="1:5" ht="14.25">
      <c r="A4905">
        <v>20213</v>
      </c>
      <c r="B4905" t="s">
        <v>18702</v>
      </c>
      <c r="C4905" t="s">
        <v>2109</v>
      </c>
      <c r="D4905" t="s">
        <v>2103</v>
      </c>
      <c r="E4905" s="183">
        <v>25.41</v>
      </c>
    </row>
    <row r="4906" spans="1:5" ht="14.25">
      <c r="A4906">
        <v>20211</v>
      </c>
      <c r="B4906" t="s">
        <v>18703</v>
      </c>
      <c r="C4906" t="s">
        <v>2109</v>
      </c>
      <c r="D4906" t="s">
        <v>2103</v>
      </c>
      <c r="E4906" s="183">
        <v>33.65</v>
      </c>
    </row>
    <row r="4907" spans="1:5" ht="14.25">
      <c r="A4907">
        <v>40270</v>
      </c>
      <c r="B4907" t="s">
        <v>12224</v>
      </c>
      <c r="C4907" t="s">
        <v>2109</v>
      </c>
      <c r="D4907" t="s">
        <v>2105</v>
      </c>
      <c r="E4907" s="183">
        <v>126.05</v>
      </c>
    </row>
    <row r="4908" spans="1:5" ht="14.25">
      <c r="A4908">
        <v>4425</v>
      </c>
      <c r="B4908" t="s">
        <v>18704</v>
      </c>
      <c r="C4908" t="s">
        <v>2109</v>
      </c>
      <c r="D4908" t="s">
        <v>2103</v>
      </c>
      <c r="E4908" s="183">
        <v>27.81</v>
      </c>
    </row>
    <row r="4909" spans="1:5" ht="14.25">
      <c r="A4909">
        <v>4472</v>
      </c>
      <c r="B4909" t="s">
        <v>18705</v>
      </c>
      <c r="C4909" t="s">
        <v>2109</v>
      </c>
      <c r="D4909" t="s">
        <v>2103</v>
      </c>
      <c r="E4909" s="183">
        <v>34.74</v>
      </c>
    </row>
    <row r="4910" spans="1:5" ht="14.25">
      <c r="A4910">
        <v>35272</v>
      </c>
      <c r="B4910" t="s">
        <v>18706</v>
      </c>
      <c r="C4910" t="s">
        <v>2109</v>
      </c>
      <c r="D4910" t="s">
        <v>2103</v>
      </c>
      <c r="E4910" s="183">
        <v>50.22</v>
      </c>
    </row>
    <row r="4911" spans="1:5" ht="14.25">
      <c r="A4911">
        <v>4481</v>
      </c>
      <c r="B4911" t="s">
        <v>18707</v>
      </c>
      <c r="C4911" t="s">
        <v>2109</v>
      </c>
      <c r="D4911" t="s">
        <v>2103</v>
      </c>
      <c r="E4911" s="183">
        <v>53.76</v>
      </c>
    </row>
    <row r="4912" spans="1:5" ht="14.25">
      <c r="A4912">
        <v>34345</v>
      </c>
      <c r="B4912" t="s">
        <v>18708</v>
      </c>
      <c r="C4912" t="s">
        <v>2106</v>
      </c>
      <c r="D4912" t="s">
        <v>2103</v>
      </c>
      <c r="E4912" s="183">
        <v>14.21</v>
      </c>
    </row>
    <row r="4913" spans="1:5" ht="14.25">
      <c r="A4913">
        <v>41096</v>
      </c>
      <c r="B4913" t="s">
        <v>12225</v>
      </c>
      <c r="C4913" t="s">
        <v>2123</v>
      </c>
      <c r="D4913" t="s">
        <v>2103</v>
      </c>
      <c r="E4913" s="184">
        <v>2493.21</v>
      </c>
    </row>
    <row r="4914" spans="1:5" ht="14.25">
      <c r="A4914">
        <v>41776</v>
      </c>
      <c r="B4914" t="s">
        <v>12226</v>
      </c>
      <c r="C4914" t="s">
        <v>2106</v>
      </c>
      <c r="D4914" t="s">
        <v>2103</v>
      </c>
      <c r="E4914" s="183">
        <v>19.489999999999998</v>
      </c>
    </row>
    <row r="4915" spans="1:5" ht="14.25">
      <c r="A4915"/>
      <c r="B4915"/>
      <c r="C4915"/>
      <c r="D4915"/>
      <c r="E4915" s="184"/>
    </row>
    <row r="4916" spans="1:5" ht="14.25">
      <c r="A4916"/>
      <c r="B4916"/>
      <c r="C4916"/>
      <c r="D4916"/>
      <c r="E4916" s="184"/>
    </row>
    <row r="4917" spans="1:5" ht="14.25">
      <c r="A4917"/>
      <c r="B4917"/>
      <c r="C4917"/>
      <c r="D4917"/>
      <c r="E4917" s="184"/>
    </row>
    <row r="4918" spans="1:5" ht="14.25">
      <c r="A4918"/>
      <c r="B4918"/>
      <c r="C4918"/>
      <c r="D4918"/>
      <c r="E4918" s="184"/>
    </row>
    <row r="4919" spans="1:5" ht="14.25">
      <c r="A4919"/>
      <c r="B4919"/>
      <c r="C4919"/>
      <c r="D4919"/>
      <c r="E4919" s="184"/>
    </row>
    <row r="4920" spans="1:5" ht="14.25">
      <c r="A4920"/>
      <c r="B4920"/>
      <c r="C4920"/>
      <c r="D4920"/>
      <c r="E4920" s="184"/>
    </row>
    <row r="4921" spans="1:5" ht="14.25">
      <c r="A4921"/>
      <c r="B4921"/>
      <c r="C4921"/>
      <c r="D4921"/>
      <c r="E4921" s="183"/>
    </row>
    <row r="4922" spans="1:5" ht="14.25">
      <c r="A4922"/>
      <c r="B4922"/>
      <c r="C4922"/>
      <c r="D4922"/>
      <c r="E4922" s="183"/>
    </row>
    <row r="4923" spans="1:5" ht="14.25">
      <c r="A4923"/>
      <c r="B4923"/>
      <c r="C4923"/>
      <c r="D4923"/>
      <c r="E4923" s="183"/>
    </row>
    <row r="4924" spans="1:5" ht="14.25">
      <c r="A4924"/>
      <c r="B4924"/>
      <c r="C4924"/>
      <c r="D4924"/>
      <c r="E4924" s="183"/>
    </row>
    <row r="4925" spans="1:5" ht="14.25">
      <c r="A4925"/>
      <c r="B4925"/>
      <c r="C4925"/>
      <c r="D4925"/>
      <c r="E4925" s="183"/>
    </row>
    <row r="4926" spans="1:5" ht="14.25">
      <c r="A4926"/>
      <c r="B4926"/>
      <c r="C4926"/>
      <c r="D4926"/>
      <c r="E4926" s="183"/>
    </row>
    <row r="4927" spans="1:5" ht="14.25">
      <c r="A4927"/>
      <c r="B4927"/>
      <c r="C4927"/>
      <c r="D4927"/>
      <c r="E4927" s="183"/>
    </row>
    <row r="4928" spans="1:5" ht="14.25">
      <c r="A4928"/>
      <c r="B4928"/>
      <c r="C4928"/>
      <c r="D4928"/>
      <c r="E4928" s="183"/>
    </row>
    <row r="4929" spans="1:5" ht="14.25">
      <c r="A4929"/>
      <c r="B4929"/>
      <c r="C4929"/>
      <c r="D4929"/>
      <c r="E4929" s="183"/>
    </row>
    <row r="4930" spans="1:5" ht="14.25">
      <c r="A4930"/>
      <c r="B4930"/>
      <c r="C4930"/>
      <c r="D4930"/>
      <c r="E4930" s="183"/>
    </row>
    <row r="4931" spans="1:5" ht="14.25">
      <c r="A4931"/>
      <c r="B4931"/>
      <c r="C4931"/>
      <c r="D4931"/>
      <c r="E4931" s="183"/>
    </row>
    <row r="4932" spans="1:5" ht="14.25">
      <c r="A4932"/>
      <c r="B4932"/>
      <c r="C4932"/>
      <c r="D4932"/>
      <c r="E4932" s="183"/>
    </row>
    <row r="4933" spans="1:5" ht="14.25">
      <c r="A4933"/>
      <c r="B4933"/>
      <c r="C4933"/>
      <c r="D4933"/>
      <c r="E4933" s="183"/>
    </row>
    <row r="4934" spans="1:5" ht="14.25">
      <c r="A4934"/>
      <c r="B4934"/>
      <c r="C4934"/>
      <c r="D4934"/>
      <c r="E4934" s="183"/>
    </row>
    <row r="4935" spans="1:5" ht="14.25">
      <c r="A4935"/>
      <c r="B4935"/>
      <c r="C4935"/>
      <c r="D4935"/>
      <c r="E4935" s="183"/>
    </row>
    <row r="4936" spans="1:5" ht="14.25">
      <c r="A4936"/>
      <c r="B4936"/>
      <c r="C4936"/>
      <c r="D4936"/>
      <c r="E4936" s="183"/>
    </row>
    <row r="4937" spans="1:5" ht="14.25">
      <c r="A4937"/>
      <c r="B4937"/>
      <c r="C4937"/>
      <c r="D4937"/>
      <c r="E4937" s="183"/>
    </row>
    <row r="4938" spans="1:5" ht="14.25">
      <c r="A4938"/>
      <c r="B4938"/>
      <c r="C4938"/>
      <c r="D4938"/>
      <c r="E4938" s="183"/>
    </row>
    <row r="4939" spans="1:5" ht="14.25">
      <c r="A4939"/>
      <c r="B4939"/>
      <c r="C4939"/>
      <c r="D4939"/>
      <c r="E4939" s="183"/>
    </row>
    <row r="4940" spans="1:5" ht="14.25">
      <c r="A4940"/>
      <c r="B4940"/>
      <c r="C4940"/>
      <c r="D4940"/>
      <c r="E4940" s="183"/>
    </row>
    <row r="4941" spans="1:5" ht="14.25">
      <c r="A4941"/>
      <c r="B4941"/>
      <c r="C4941"/>
      <c r="D4941"/>
      <c r="E4941" s="183"/>
    </row>
    <row r="4942" spans="1:5" ht="14.25">
      <c r="A4942"/>
      <c r="B4942"/>
      <c r="C4942"/>
      <c r="D4942"/>
      <c r="E4942" s="183"/>
    </row>
    <row r="4943" spans="1:5" ht="14.25">
      <c r="A4943"/>
      <c r="B4943"/>
      <c r="C4943"/>
      <c r="D4943"/>
      <c r="E4943" s="183"/>
    </row>
    <row r="4944" spans="1:5" ht="14.25">
      <c r="A4944"/>
      <c r="B4944"/>
      <c r="C4944"/>
      <c r="D4944"/>
      <c r="E4944" s="183"/>
    </row>
    <row r="4945" spans="1:5" ht="14.25">
      <c r="A4945"/>
      <c r="B4945"/>
      <c r="C4945"/>
      <c r="D4945"/>
      <c r="E4945" s="183"/>
    </row>
    <row r="4946" spans="1:5" ht="14.25">
      <c r="A4946"/>
      <c r="B4946"/>
      <c r="C4946"/>
      <c r="D4946"/>
      <c r="E4946" s="183"/>
    </row>
    <row r="4947" spans="1:5" ht="14.25">
      <c r="A4947"/>
      <c r="B4947"/>
      <c r="C4947"/>
      <c r="D4947"/>
      <c r="E4947" s="183"/>
    </row>
    <row r="4948" spans="1:5" ht="14.25">
      <c r="A4948"/>
      <c r="B4948"/>
      <c r="C4948"/>
      <c r="D4948"/>
      <c r="E4948" s="183"/>
    </row>
    <row r="4949" spans="1:5" ht="14.25">
      <c r="A4949"/>
      <c r="B4949"/>
      <c r="C4949"/>
      <c r="D4949"/>
      <c r="E4949" s="183"/>
    </row>
    <row r="4950" spans="1:5" ht="14.25">
      <c r="A4950"/>
      <c r="B4950"/>
      <c r="C4950"/>
      <c r="D4950"/>
      <c r="E4950" s="183"/>
    </row>
    <row r="4951" spans="1:5" ht="14.25">
      <c r="A4951"/>
      <c r="B4951"/>
      <c r="C4951"/>
      <c r="D4951"/>
      <c r="E4951" s="183"/>
    </row>
    <row r="4952" spans="1:5" ht="14.25">
      <c r="A4952"/>
      <c r="B4952"/>
      <c r="C4952"/>
      <c r="D4952"/>
      <c r="E4952" s="183"/>
    </row>
    <row r="4953" spans="1:5" ht="14.25">
      <c r="A4953"/>
      <c r="B4953"/>
      <c r="C4953"/>
      <c r="D4953"/>
      <c r="E4953" s="183"/>
    </row>
    <row r="4954" spans="1:5" ht="14.25">
      <c r="A4954"/>
      <c r="B4954"/>
      <c r="C4954"/>
      <c r="D4954"/>
      <c r="E4954" s="183"/>
    </row>
    <row r="4955" spans="1:5" ht="14.25">
      <c r="A4955"/>
      <c r="B4955"/>
      <c r="C4955"/>
      <c r="D4955"/>
      <c r="E4955" s="183"/>
    </row>
    <row r="4956" spans="1:5" ht="14.25">
      <c r="A4956"/>
      <c r="B4956"/>
      <c r="C4956"/>
      <c r="D4956"/>
      <c r="E4956" s="183"/>
    </row>
    <row r="4957" spans="1:5" ht="14.25">
      <c r="A4957"/>
      <c r="B4957"/>
      <c r="C4957"/>
      <c r="D4957"/>
      <c r="E4957" s="183"/>
    </row>
    <row r="4958" spans="1:5" ht="14.25">
      <c r="A4958"/>
      <c r="B4958"/>
      <c r="C4958"/>
      <c r="D4958"/>
      <c r="E4958" s="183"/>
    </row>
    <row r="4959" spans="1:5" ht="14.25">
      <c r="A4959"/>
      <c r="B4959"/>
      <c r="C4959"/>
      <c r="D4959"/>
      <c r="E4959" s="183"/>
    </row>
    <row r="4960" spans="1:5" ht="14.25">
      <c r="A4960"/>
      <c r="B4960"/>
      <c r="C4960"/>
      <c r="D4960"/>
      <c r="E4960" s="183"/>
    </row>
    <row r="4961" spans="1:5" ht="14.25">
      <c r="A4961"/>
      <c r="B4961"/>
      <c r="C4961"/>
      <c r="D4961"/>
      <c r="E4961" s="183"/>
    </row>
    <row r="4962" spans="1:5" ht="14.25">
      <c r="A4962"/>
      <c r="B4962"/>
      <c r="C4962"/>
      <c r="D4962"/>
      <c r="E4962" s="183"/>
    </row>
    <row r="4963" spans="1:5" ht="14.25">
      <c r="A4963"/>
      <c r="B4963"/>
      <c r="C4963"/>
      <c r="D4963"/>
      <c r="E4963" s="183"/>
    </row>
    <row r="4964" spans="1:5" ht="14.25">
      <c r="A4964"/>
      <c r="B4964"/>
      <c r="C4964"/>
      <c r="D4964"/>
      <c r="E4964" s="183"/>
    </row>
    <row r="4965" spans="1:5" ht="14.25">
      <c r="A4965"/>
      <c r="B4965"/>
      <c r="C4965"/>
      <c r="D4965"/>
      <c r="E4965" s="183"/>
    </row>
    <row r="4966" spans="1:5" ht="14.25">
      <c r="A4966"/>
      <c r="B4966"/>
      <c r="C4966"/>
      <c r="D4966"/>
      <c r="E4966" s="183"/>
    </row>
    <row r="4967" spans="1:5" ht="14.25">
      <c r="A4967"/>
      <c r="B4967"/>
      <c r="C4967"/>
      <c r="D4967"/>
      <c r="E4967" s="183"/>
    </row>
    <row r="4968" spans="1:5" ht="14.25">
      <c r="A4968"/>
      <c r="B4968"/>
      <c r="C4968"/>
      <c r="D4968"/>
      <c r="E4968" s="183"/>
    </row>
    <row r="4969" spans="1:5" ht="14.25">
      <c r="A4969"/>
      <c r="B4969"/>
      <c r="C4969"/>
      <c r="D4969"/>
      <c r="E4969" s="183"/>
    </row>
    <row r="4970" spans="1:5" ht="14.25">
      <c r="A4970"/>
      <c r="B4970"/>
      <c r="C4970"/>
      <c r="D4970"/>
      <c r="E4970" s="183"/>
    </row>
    <row r="4971" spans="1:5" ht="14.25">
      <c r="A4971"/>
      <c r="B4971"/>
      <c r="C4971"/>
      <c r="D4971"/>
      <c r="E4971" s="183"/>
    </row>
    <row r="4972" spans="1:5" ht="14.25">
      <c r="A4972"/>
      <c r="B4972"/>
      <c r="C4972"/>
      <c r="D4972"/>
      <c r="E4972" s="183"/>
    </row>
    <row r="4973" spans="1:5" ht="14.25">
      <c r="A4973"/>
      <c r="B4973"/>
      <c r="C4973"/>
      <c r="D4973"/>
      <c r="E4973" s="183"/>
    </row>
    <row r="4974" spans="1:5" ht="14.25">
      <c r="A4974"/>
      <c r="B4974"/>
      <c r="C4974"/>
      <c r="D4974"/>
      <c r="E4974" s="183"/>
    </row>
    <row r="4975" spans="1:5" ht="14.25">
      <c r="A4975"/>
      <c r="B4975"/>
      <c r="C4975"/>
      <c r="D4975"/>
      <c r="E4975" s="183"/>
    </row>
    <row r="4976" spans="1:5" ht="14.25">
      <c r="A4976"/>
      <c r="B4976"/>
      <c r="C4976"/>
      <c r="D4976"/>
      <c r="E4976" s="183"/>
    </row>
    <row r="4977" spans="1:5" ht="14.25">
      <c r="A4977"/>
      <c r="B4977"/>
      <c r="C4977"/>
      <c r="D4977"/>
      <c r="E4977" s="183"/>
    </row>
    <row r="4978" spans="1:5" ht="14.25">
      <c r="A4978"/>
      <c r="B4978"/>
      <c r="C4978"/>
      <c r="D4978"/>
      <c r="E4978" s="183"/>
    </row>
    <row r="4979" spans="1:5" ht="14.25">
      <c r="A4979"/>
      <c r="B4979"/>
      <c r="C4979"/>
      <c r="D4979"/>
      <c r="E4979" s="183"/>
    </row>
    <row r="4980" spans="1:5" ht="14.25">
      <c r="A4980"/>
      <c r="B4980"/>
      <c r="C4980"/>
      <c r="D4980"/>
      <c r="E4980" s="183"/>
    </row>
    <row r="4981" spans="1:5" ht="14.25">
      <c r="A4981"/>
      <c r="B4981"/>
      <c r="C4981"/>
      <c r="D4981"/>
      <c r="E4981" s="183"/>
    </row>
    <row r="4982" spans="1:5" ht="14.25">
      <c r="A4982"/>
      <c r="B4982"/>
      <c r="C4982"/>
      <c r="D4982"/>
      <c r="E4982" s="183"/>
    </row>
    <row r="4983" spans="1:5" ht="14.25">
      <c r="A4983"/>
      <c r="B4983"/>
      <c r="C4983"/>
      <c r="D4983"/>
      <c r="E4983" s="183"/>
    </row>
    <row r="4984" spans="1:5" ht="14.25">
      <c r="A4984"/>
      <c r="B4984"/>
      <c r="C4984"/>
      <c r="D4984"/>
      <c r="E4984" s="183"/>
    </row>
    <row r="4985" spans="1:5" ht="14.25">
      <c r="A4985"/>
      <c r="B4985"/>
      <c r="C4985"/>
      <c r="D4985"/>
      <c r="E4985" s="183"/>
    </row>
    <row r="4986" spans="1:5" ht="14.25">
      <c r="A4986"/>
      <c r="B4986"/>
      <c r="C4986"/>
      <c r="D4986"/>
      <c r="E4986" s="183"/>
    </row>
    <row r="4987" spans="1:5" ht="14.25">
      <c r="A4987"/>
      <c r="B4987"/>
      <c r="C4987"/>
      <c r="D4987"/>
      <c r="E4987" s="183"/>
    </row>
    <row r="4988" spans="1:5" ht="14.25">
      <c r="A4988"/>
      <c r="B4988"/>
      <c r="C4988"/>
      <c r="D4988"/>
      <c r="E4988" s="183"/>
    </row>
    <row r="4989" spans="1:5" ht="14.25">
      <c r="A4989"/>
      <c r="B4989"/>
      <c r="C4989"/>
      <c r="D4989"/>
      <c r="E4989" s="183"/>
    </row>
    <row r="4990" spans="1:5" ht="14.25">
      <c r="A4990"/>
      <c r="B4990"/>
      <c r="C4990"/>
      <c r="D4990"/>
      <c r="E4990" s="183"/>
    </row>
    <row r="4991" spans="1:5" ht="14.25">
      <c r="A4991"/>
      <c r="B4991"/>
      <c r="C4991"/>
      <c r="D4991"/>
      <c r="E4991" s="183"/>
    </row>
    <row r="4992" spans="1:5" ht="14.25">
      <c r="A4992"/>
      <c r="B4992"/>
      <c r="C4992"/>
      <c r="D4992"/>
      <c r="E4992" s="183"/>
    </row>
    <row r="4993" spans="1:5" ht="14.25">
      <c r="A4993"/>
      <c r="B4993"/>
      <c r="C4993"/>
      <c r="D4993"/>
      <c r="E4993" s="183"/>
    </row>
    <row r="4994" spans="1:5" ht="14.25">
      <c r="A4994"/>
      <c r="B4994"/>
      <c r="C4994"/>
      <c r="D4994"/>
      <c r="E4994" s="183"/>
    </row>
    <row r="4995" spans="1:5" ht="14.25">
      <c r="A4995"/>
      <c r="B4995"/>
      <c r="C4995"/>
      <c r="D4995"/>
      <c r="E4995" s="183"/>
    </row>
    <row r="4996" spans="1:5" ht="14.25">
      <c r="A4996"/>
      <c r="B4996"/>
      <c r="C4996"/>
      <c r="D4996"/>
      <c r="E4996" s="183"/>
    </row>
    <row r="4997" spans="1:5" ht="14.25">
      <c r="A4997"/>
      <c r="B4997"/>
      <c r="C4997"/>
      <c r="D4997"/>
      <c r="E4997" s="183"/>
    </row>
    <row r="4998" spans="1:5" ht="14.25">
      <c r="A4998"/>
      <c r="B4998"/>
      <c r="C4998"/>
      <c r="D4998"/>
      <c r="E4998" s="183"/>
    </row>
    <row r="4999" spans="1:5" ht="14.25">
      <c r="A4999"/>
      <c r="B4999"/>
      <c r="C4999"/>
      <c r="D4999"/>
      <c r="E4999" s="183"/>
    </row>
    <row r="5000" spans="1:5" ht="14.25">
      <c r="A5000"/>
      <c r="B5000"/>
      <c r="C5000"/>
      <c r="D5000"/>
      <c r="E5000" s="183"/>
    </row>
    <row r="5001" spans="1:5" ht="14.25">
      <c r="A5001"/>
      <c r="B5001"/>
      <c r="C5001"/>
      <c r="D5001"/>
      <c r="E5001" s="183"/>
    </row>
    <row r="5002" spans="1:5" ht="14.25">
      <c r="A5002"/>
      <c r="B5002"/>
      <c r="C5002"/>
      <c r="D5002"/>
      <c r="E5002" s="183"/>
    </row>
    <row r="5003" spans="1:5" ht="14.25">
      <c r="A5003"/>
      <c r="B5003"/>
      <c r="C5003"/>
      <c r="D5003"/>
      <c r="E5003" s="183"/>
    </row>
    <row r="5004" spans="1:5" ht="14.25">
      <c r="A5004"/>
      <c r="B5004"/>
      <c r="C5004"/>
      <c r="D5004"/>
      <c r="E5004" s="183"/>
    </row>
    <row r="5005" spans="1:5" ht="14.25">
      <c r="A5005"/>
      <c r="B5005"/>
      <c r="C5005"/>
      <c r="D5005"/>
      <c r="E5005" s="183"/>
    </row>
    <row r="5006" spans="1:5" ht="14.25">
      <c r="A5006"/>
      <c r="B5006"/>
      <c r="C5006"/>
      <c r="D5006"/>
      <c r="E5006" s="183"/>
    </row>
    <row r="5007" spans="1:5" ht="14.25">
      <c r="A5007"/>
      <c r="B5007"/>
      <c r="C5007"/>
      <c r="D5007"/>
      <c r="E5007" s="183"/>
    </row>
    <row r="5008" spans="1:5" ht="14.25">
      <c r="A5008"/>
      <c r="B5008"/>
      <c r="C5008"/>
      <c r="D5008"/>
      <c r="E5008" s="183"/>
    </row>
    <row r="5009" spans="1:5" ht="14.25">
      <c r="A5009"/>
      <c r="B5009"/>
      <c r="C5009"/>
      <c r="D5009"/>
      <c r="E5009" s="184"/>
    </row>
    <row r="5010" spans="1:5" ht="14.25">
      <c r="A5010"/>
      <c r="B5010"/>
      <c r="C5010"/>
      <c r="D5010"/>
      <c r="E5010" s="184"/>
    </row>
    <row r="5011" spans="1:5" ht="14.25">
      <c r="A5011"/>
      <c r="B5011"/>
      <c r="C5011"/>
      <c r="D5011"/>
      <c r="E5011" s="184"/>
    </row>
    <row r="5012" spans="1:5" ht="14.25">
      <c r="A5012"/>
      <c r="B5012"/>
      <c r="C5012"/>
      <c r="D5012"/>
      <c r="E5012" s="183"/>
    </row>
    <row r="5013" spans="1:5" ht="14.25">
      <c r="A5013"/>
      <c r="B5013"/>
      <c r="C5013"/>
      <c r="D5013"/>
      <c r="E5013" s="183"/>
    </row>
    <row r="5014" spans="1:5" ht="14.25">
      <c r="A5014"/>
      <c r="B5014"/>
      <c r="C5014"/>
      <c r="D5014"/>
      <c r="E5014" s="183"/>
    </row>
    <row r="5015" spans="1:5" ht="14.25">
      <c r="A5015"/>
      <c r="B5015"/>
      <c r="C5015"/>
      <c r="D5015"/>
      <c r="E5015" s="183"/>
    </row>
    <row r="5016" spans="1:5" ht="14.25">
      <c r="A5016"/>
      <c r="B5016"/>
      <c r="C5016"/>
      <c r="D5016"/>
      <c r="E5016" s="183"/>
    </row>
    <row r="5017" spans="1:5" ht="14.25">
      <c r="A5017"/>
      <c r="B5017"/>
      <c r="C5017"/>
      <c r="D5017"/>
      <c r="E5017" s="183"/>
    </row>
    <row r="5018" spans="1:5" ht="14.25">
      <c r="A5018"/>
      <c r="B5018"/>
      <c r="C5018"/>
      <c r="D5018"/>
      <c r="E5018" s="183"/>
    </row>
    <row r="5019" spans="1:5" ht="14.25">
      <c r="A5019"/>
      <c r="B5019"/>
      <c r="C5019"/>
      <c r="D5019"/>
      <c r="E5019" s="183"/>
    </row>
    <row r="5020" spans="1:5" ht="14.25">
      <c r="A5020"/>
      <c r="B5020"/>
      <c r="C5020"/>
      <c r="D5020"/>
      <c r="E5020" s="183"/>
    </row>
    <row r="5021" spans="1:5" ht="14.25">
      <c r="A5021"/>
      <c r="B5021"/>
      <c r="C5021"/>
      <c r="D5021"/>
      <c r="E5021" s="183"/>
    </row>
    <row r="5022" spans="1:5" ht="14.25">
      <c r="A5022"/>
      <c r="B5022"/>
      <c r="C5022"/>
      <c r="D5022"/>
      <c r="E5022" s="183"/>
    </row>
    <row r="5023" spans="1:5" ht="14.25">
      <c r="A5023"/>
      <c r="B5023"/>
      <c r="C5023"/>
      <c r="D5023"/>
      <c r="E5023" s="183"/>
    </row>
    <row r="5024" spans="1:5" ht="14.25">
      <c r="A5024"/>
      <c r="B5024"/>
      <c r="C5024"/>
      <c r="D5024"/>
      <c r="E5024" s="183"/>
    </row>
    <row r="5025" spans="1:5" ht="14.25">
      <c r="A5025"/>
      <c r="B5025"/>
      <c r="C5025"/>
      <c r="D5025"/>
      <c r="E5025" s="183"/>
    </row>
    <row r="5026" spans="1:5" ht="14.25">
      <c r="A5026"/>
      <c r="B5026"/>
      <c r="C5026"/>
      <c r="D5026"/>
      <c r="E5026" s="183"/>
    </row>
    <row r="5027" spans="1:5" ht="14.25">
      <c r="A5027"/>
      <c r="B5027"/>
      <c r="C5027"/>
      <c r="D5027"/>
      <c r="E5027" s="183"/>
    </row>
    <row r="5028" spans="1:5" ht="14.25">
      <c r="A5028"/>
      <c r="B5028"/>
      <c r="C5028"/>
      <c r="D5028"/>
      <c r="E5028" s="183"/>
    </row>
    <row r="5029" spans="1:5" ht="14.25">
      <c r="A5029"/>
      <c r="B5029"/>
      <c r="C5029"/>
      <c r="D5029"/>
      <c r="E5029" s="183"/>
    </row>
    <row r="5030" spans="1:5" ht="14.25">
      <c r="A5030"/>
      <c r="B5030"/>
      <c r="C5030"/>
      <c r="D5030"/>
      <c r="E5030" s="183"/>
    </row>
    <row r="5031" spans="1:5" ht="14.25">
      <c r="A5031"/>
      <c r="B5031"/>
      <c r="C5031"/>
      <c r="D5031"/>
      <c r="E5031" s="183"/>
    </row>
    <row r="5032" spans="1:5" ht="14.25">
      <c r="A5032"/>
      <c r="B5032"/>
      <c r="C5032"/>
      <c r="D5032"/>
      <c r="E5032" s="183"/>
    </row>
    <row r="5033" spans="1:5" ht="14.25">
      <c r="A5033"/>
      <c r="B5033"/>
      <c r="C5033"/>
      <c r="D5033"/>
      <c r="E5033" s="183"/>
    </row>
    <row r="5034" spans="1:5" ht="14.25">
      <c r="A5034"/>
      <c r="B5034"/>
      <c r="C5034"/>
      <c r="D5034"/>
      <c r="E5034" s="183"/>
    </row>
    <row r="5035" spans="1:5" ht="14.25">
      <c r="A5035"/>
      <c r="B5035"/>
      <c r="C5035"/>
      <c r="D5035"/>
      <c r="E5035" s="183"/>
    </row>
    <row r="5036" spans="1:5" ht="14.25">
      <c r="A5036"/>
      <c r="B5036"/>
      <c r="C5036"/>
      <c r="D5036"/>
      <c r="E5036" s="183"/>
    </row>
    <row r="5037" spans="1:5" ht="14.25">
      <c r="A5037"/>
      <c r="B5037"/>
      <c r="C5037"/>
      <c r="D5037"/>
      <c r="E5037" s="183"/>
    </row>
    <row r="5038" spans="1:5" ht="14.25">
      <c r="A5038"/>
      <c r="B5038"/>
      <c r="C5038"/>
      <c r="D5038"/>
      <c r="E5038" s="183"/>
    </row>
    <row r="5039" spans="1:5" ht="14.25">
      <c r="A5039"/>
      <c r="B5039"/>
      <c r="C5039"/>
      <c r="D5039"/>
      <c r="E5039" s="183"/>
    </row>
    <row r="5040" spans="1:5" ht="14.25">
      <c r="A5040"/>
      <c r="B5040"/>
      <c r="C5040"/>
      <c r="D5040"/>
      <c r="E5040" s="183"/>
    </row>
    <row r="5041" spans="1:5" ht="14.25">
      <c r="A5041"/>
      <c r="B5041"/>
      <c r="C5041"/>
      <c r="D5041"/>
      <c r="E5041" s="183"/>
    </row>
    <row r="5042" spans="1:5" ht="14.25">
      <c r="A5042"/>
      <c r="B5042"/>
      <c r="C5042"/>
      <c r="D5042"/>
      <c r="E5042" s="183"/>
    </row>
    <row r="5043" spans="1:5" ht="14.25">
      <c r="A5043"/>
      <c r="B5043"/>
      <c r="C5043"/>
      <c r="D5043"/>
      <c r="E5043" s="183"/>
    </row>
    <row r="5044" spans="1:5" ht="14.25">
      <c r="A5044"/>
      <c r="B5044"/>
      <c r="C5044"/>
      <c r="D5044"/>
      <c r="E5044" s="183"/>
    </row>
    <row r="5045" spans="1:5" ht="14.25">
      <c r="A5045"/>
      <c r="B5045"/>
      <c r="C5045"/>
      <c r="D5045"/>
      <c r="E5045" s="183"/>
    </row>
    <row r="5046" spans="1:5" ht="14.25">
      <c r="A5046"/>
      <c r="B5046"/>
      <c r="C5046"/>
      <c r="D5046"/>
      <c r="E5046" s="183"/>
    </row>
    <row r="5047" spans="1:5" ht="14.25">
      <c r="A5047"/>
      <c r="B5047"/>
      <c r="C5047"/>
      <c r="D5047"/>
      <c r="E5047" s="183"/>
    </row>
    <row r="5048" spans="1:5" ht="14.25">
      <c r="A5048"/>
      <c r="B5048"/>
      <c r="C5048"/>
      <c r="D5048"/>
      <c r="E5048" s="183"/>
    </row>
    <row r="5049" spans="1:5" ht="14.25">
      <c r="A5049"/>
      <c r="B5049"/>
      <c r="C5049"/>
      <c r="D5049"/>
      <c r="E5049" s="183"/>
    </row>
    <row r="5050" spans="1:5" ht="14.25">
      <c r="A5050"/>
      <c r="B5050"/>
      <c r="C5050"/>
      <c r="D5050"/>
      <c r="E5050" s="183"/>
    </row>
    <row r="5051" spans="1:5" ht="14.25">
      <c r="A5051"/>
      <c r="B5051"/>
      <c r="C5051"/>
      <c r="D5051"/>
      <c r="E5051" s="183"/>
    </row>
    <row r="5052" spans="1:5" ht="14.25">
      <c r="A5052"/>
      <c r="B5052"/>
      <c r="C5052"/>
      <c r="D5052"/>
      <c r="E5052" s="183"/>
    </row>
    <row r="5053" spans="1:5" ht="14.25">
      <c r="A5053"/>
      <c r="B5053"/>
      <c r="C5053"/>
      <c r="D5053"/>
      <c r="E5053" s="183"/>
    </row>
    <row r="5054" spans="1:5" ht="14.25">
      <c r="A5054"/>
      <c r="B5054"/>
      <c r="C5054"/>
      <c r="D5054"/>
      <c r="E5054" s="183"/>
    </row>
    <row r="5055" spans="1:5" ht="14.25">
      <c r="A5055"/>
      <c r="B5055"/>
      <c r="C5055"/>
      <c r="D5055"/>
      <c r="E5055" s="183"/>
    </row>
    <row r="5056" spans="1:5" ht="14.25">
      <c r="A5056"/>
      <c r="B5056"/>
      <c r="C5056"/>
      <c r="D5056"/>
      <c r="E5056" s="183"/>
    </row>
    <row r="5057" spans="1:5" ht="14.25">
      <c r="A5057"/>
      <c r="B5057"/>
      <c r="C5057"/>
      <c r="D5057"/>
      <c r="E5057" s="183"/>
    </row>
    <row r="5058" spans="1:5" ht="14.25">
      <c r="A5058"/>
      <c r="B5058"/>
      <c r="C5058"/>
      <c r="D5058"/>
      <c r="E5058" s="183"/>
    </row>
    <row r="5059" spans="1:5" ht="14.25">
      <c r="A5059"/>
      <c r="B5059"/>
      <c r="C5059"/>
      <c r="D5059"/>
      <c r="E5059" s="183"/>
    </row>
    <row r="5060" spans="1:5" ht="14.25">
      <c r="A5060"/>
      <c r="B5060"/>
      <c r="C5060"/>
      <c r="D5060"/>
      <c r="E5060" s="183"/>
    </row>
    <row r="5061" spans="1:5" ht="14.25">
      <c r="A5061"/>
      <c r="B5061"/>
      <c r="C5061"/>
      <c r="D5061"/>
      <c r="E5061" s="183"/>
    </row>
    <row r="5062" spans="1:5" ht="14.25">
      <c r="A5062"/>
      <c r="B5062"/>
      <c r="C5062"/>
      <c r="D5062"/>
      <c r="E5062" s="183"/>
    </row>
    <row r="5063" spans="1:5" ht="14.25">
      <c r="A5063"/>
      <c r="B5063"/>
      <c r="C5063"/>
      <c r="D5063"/>
      <c r="E5063" s="183"/>
    </row>
    <row r="5064" spans="1:5" ht="14.25">
      <c r="A5064"/>
      <c r="B5064"/>
      <c r="C5064"/>
      <c r="D5064"/>
      <c r="E5064" s="183"/>
    </row>
    <row r="5065" spans="1:5" ht="14.25">
      <c r="A5065"/>
      <c r="B5065"/>
      <c r="C5065"/>
      <c r="D5065"/>
      <c r="E5065" s="183"/>
    </row>
    <row r="5066" spans="1:5" ht="14.25">
      <c r="A5066"/>
      <c r="B5066"/>
      <c r="C5066"/>
      <c r="D5066"/>
      <c r="E5066" s="183"/>
    </row>
    <row r="5067" spans="1:5" ht="14.25">
      <c r="A5067"/>
      <c r="B5067"/>
      <c r="C5067"/>
      <c r="D5067"/>
      <c r="E5067" s="183"/>
    </row>
    <row r="5068" spans="1:5" ht="14.25">
      <c r="A5068"/>
      <c r="B5068"/>
      <c r="C5068"/>
      <c r="D5068"/>
      <c r="E5068" s="183"/>
    </row>
    <row r="5069" spans="1:5" ht="14.25">
      <c r="A5069"/>
      <c r="B5069"/>
      <c r="C5069"/>
      <c r="D5069"/>
      <c r="E5069" s="183"/>
    </row>
    <row r="5070" spans="1:5" ht="14.25">
      <c r="A5070"/>
      <c r="B5070"/>
      <c r="C5070"/>
      <c r="D5070"/>
      <c r="E5070" s="183"/>
    </row>
    <row r="5071" spans="1:5" ht="14.25">
      <c r="A5071"/>
      <c r="B5071"/>
      <c r="C5071"/>
      <c r="D5071"/>
      <c r="E5071" s="183"/>
    </row>
    <row r="5072" spans="1:5" ht="14.25">
      <c r="A5072"/>
      <c r="B5072"/>
      <c r="C5072"/>
      <c r="D5072"/>
      <c r="E5072" s="183"/>
    </row>
    <row r="5073" spans="1:5" ht="14.25">
      <c r="A5073"/>
      <c r="B5073"/>
      <c r="C5073"/>
      <c r="D5073"/>
      <c r="E5073" s="183"/>
    </row>
    <row r="5074" spans="1:5" ht="14.25">
      <c r="A5074"/>
      <c r="B5074"/>
      <c r="C5074"/>
      <c r="D5074"/>
      <c r="E5074" s="183"/>
    </row>
    <row r="5075" spans="1:5" ht="14.25">
      <c r="A5075"/>
      <c r="B5075"/>
      <c r="C5075"/>
      <c r="D5075"/>
      <c r="E5075" s="183"/>
    </row>
    <row r="5076" spans="1:5" ht="14.25">
      <c r="A5076"/>
      <c r="B5076"/>
      <c r="C5076"/>
      <c r="D5076"/>
      <c r="E5076" s="183"/>
    </row>
    <row r="5077" spans="1:5" ht="14.25">
      <c r="A5077"/>
      <c r="B5077"/>
      <c r="C5077"/>
      <c r="D5077"/>
      <c r="E5077" s="183"/>
    </row>
    <row r="5078" spans="1:5" ht="14.25">
      <c r="A5078"/>
      <c r="B5078"/>
      <c r="C5078"/>
      <c r="D5078"/>
      <c r="E5078" s="184"/>
    </row>
    <row r="5079" spans="1:5" ht="14.25">
      <c r="A5079"/>
      <c r="B5079"/>
      <c r="C5079"/>
      <c r="D5079"/>
      <c r="E5079" s="184"/>
    </row>
    <row r="5080" spans="1:5" ht="14.25">
      <c r="A5080"/>
      <c r="B5080"/>
      <c r="C5080"/>
      <c r="D5080"/>
      <c r="E5080" s="184"/>
    </row>
    <row r="5081" spans="1:5" ht="14.25">
      <c r="A5081"/>
      <c r="B5081"/>
      <c r="C5081"/>
      <c r="D5081"/>
      <c r="E5081" s="184"/>
    </row>
    <row r="5082" spans="1:5" ht="14.25">
      <c r="A5082"/>
      <c r="B5082"/>
      <c r="C5082"/>
      <c r="D5082"/>
      <c r="E5082" s="184"/>
    </row>
    <row r="5083" spans="1:5" ht="14.25">
      <c r="A5083"/>
      <c r="B5083"/>
      <c r="C5083"/>
      <c r="D5083"/>
      <c r="E5083" s="184"/>
    </row>
    <row r="5084" spans="1:5" ht="14.25">
      <c r="A5084"/>
      <c r="B5084"/>
      <c r="C5084"/>
      <c r="D5084"/>
      <c r="E5084" s="184"/>
    </row>
    <row r="5085" spans="1:5" ht="14.25">
      <c r="A5085"/>
      <c r="B5085"/>
      <c r="C5085"/>
      <c r="D5085"/>
      <c r="E5085" s="184"/>
    </row>
    <row r="5086" spans="1:5" ht="14.25">
      <c r="A5086"/>
      <c r="B5086"/>
      <c r="C5086"/>
      <c r="D5086"/>
      <c r="E5086" s="184"/>
    </row>
    <row r="5087" spans="1:5" ht="14.25">
      <c r="A5087"/>
      <c r="B5087"/>
      <c r="C5087"/>
      <c r="D5087"/>
      <c r="E5087" s="184"/>
    </row>
    <row r="5088" spans="1:5" ht="14.25">
      <c r="A5088"/>
      <c r="B5088"/>
      <c r="C5088"/>
      <c r="D5088"/>
      <c r="E5088" s="184"/>
    </row>
    <row r="5089" spans="1:5" ht="14.25">
      <c r="A5089"/>
      <c r="B5089"/>
      <c r="C5089"/>
      <c r="D5089"/>
      <c r="E5089" s="183"/>
    </row>
    <row r="5090" spans="1:5" ht="14.25">
      <c r="A5090"/>
      <c r="B5090"/>
      <c r="C5090"/>
      <c r="D5090"/>
      <c r="E5090" s="183"/>
    </row>
    <row r="5091" spans="1:5" ht="14.25">
      <c r="A5091"/>
      <c r="B5091"/>
      <c r="C5091"/>
      <c r="D5091"/>
      <c r="E5091" s="183"/>
    </row>
    <row r="5092" spans="1:5" ht="14.25">
      <c r="A5092"/>
      <c r="B5092"/>
      <c r="C5092"/>
      <c r="D5092"/>
      <c r="E5092" s="183"/>
    </row>
    <row r="5093" spans="1:5" ht="14.25">
      <c r="A5093"/>
      <c r="B5093"/>
      <c r="C5093"/>
      <c r="D5093"/>
      <c r="E5093" s="183"/>
    </row>
    <row r="5094" spans="1:5" ht="14.25">
      <c r="A5094"/>
      <c r="B5094"/>
      <c r="C5094"/>
      <c r="D5094"/>
      <c r="E5094" s="183"/>
    </row>
    <row r="5095" spans="1:5" ht="14.25">
      <c r="A5095"/>
      <c r="B5095"/>
      <c r="C5095"/>
      <c r="D5095"/>
      <c r="E5095" s="183"/>
    </row>
    <row r="5096" spans="1:5" ht="14.25">
      <c r="A5096"/>
      <c r="B5096"/>
      <c r="C5096"/>
      <c r="D5096"/>
      <c r="E5096" s="183"/>
    </row>
    <row r="5097" spans="1:5" ht="14.25">
      <c r="A5097"/>
      <c r="B5097"/>
      <c r="C5097"/>
      <c r="D5097"/>
      <c r="E5097" s="183"/>
    </row>
    <row r="5098" spans="1:5" ht="14.25">
      <c r="A5098"/>
      <c r="B5098"/>
      <c r="C5098"/>
      <c r="D5098"/>
      <c r="E5098" s="183"/>
    </row>
    <row r="5099" spans="1:5" ht="14.25">
      <c r="A5099"/>
      <c r="B5099"/>
      <c r="C5099"/>
      <c r="D5099"/>
      <c r="E5099" s="183"/>
    </row>
    <row r="5100" spans="1:5" ht="14.25">
      <c r="A5100"/>
      <c r="B5100"/>
      <c r="C5100"/>
      <c r="D5100"/>
      <c r="E5100" s="183"/>
    </row>
    <row r="5101" spans="1:5" ht="14.25">
      <c r="A5101"/>
      <c r="B5101"/>
      <c r="C5101"/>
      <c r="D5101"/>
      <c r="E5101" s="183"/>
    </row>
    <row r="5102" spans="1:5" ht="14.25">
      <c r="A5102"/>
      <c r="B5102"/>
      <c r="C5102"/>
      <c r="D5102"/>
      <c r="E5102" s="183"/>
    </row>
    <row r="5103" spans="1:5" ht="14.25">
      <c r="A5103"/>
      <c r="B5103"/>
      <c r="C5103"/>
      <c r="D5103"/>
      <c r="E5103" s="183"/>
    </row>
    <row r="5104" spans="1:5" ht="14.25">
      <c r="A5104"/>
      <c r="B5104"/>
      <c r="C5104"/>
      <c r="D5104"/>
      <c r="E5104" s="183"/>
    </row>
    <row r="5105" spans="1:5" ht="14.25">
      <c r="A5105"/>
      <c r="B5105"/>
      <c r="C5105"/>
      <c r="D5105"/>
      <c r="E5105" s="183"/>
    </row>
    <row r="5106" spans="1:5" ht="14.25">
      <c r="A5106"/>
      <c r="B5106"/>
      <c r="C5106"/>
      <c r="D5106"/>
      <c r="E5106" s="183"/>
    </row>
    <row r="5107" spans="1:5" ht="14.25">
      <c r="A5107"/>
      <c r="B5107"/>
      <c r="C5107"/>
      <c r="D5107"/>
      <c r="E5107" s="183"/>
    </row>
    <row r="5108" spans="1:5" ht="14.25">
      <c r="A5108"/>
      <c r="B5108"/>
      <c r="C5108"/>
      <c r="D5108"/>
      <c r="E5108" s="183"/>
    </row>
    <row r="5109" spans="1:5" ht="14.25">
      <c r="A5109"/>
      <c r="B5109"/>
      <c r="C5109"/>
      <c r="D5109"/>
      <c r="E5109" s="183"/>
    </row>
    <row r="5110" spans="1:5" ht="14.25">
      <c r="A5110"/>
      <c r="B5110"/>
      <c r="C5110"/>
      <c r="D5110"/>
      <c r="E5110" s="183"/>
    </row>
    <row r="5111" spans="1:5" ht="14.25">
      <c r="A5111"/>
      <c r="B5111"/>
      <c r="C5111"/>
      <c r="D5111"/>
      <c r="E5111" s="183"/>
    </row>
    <row r="5112" spans="1:5" ht="14.25">
      <c r="A5112"/>
      <c r="B5112"/>
      <c r="C5112"/>
      <c r="D5112"/>
      <c r="E5112" s="183"/>
    </row>
    <row r="5113" spans="1:5" ht="14.25">
      <c r="A5113"/>
      <c r="B5113"/>
      <c r="C5113"/>
      <c r="D5113"/>
      <c r="E5113" s="183"/>
    </row>
    <row r="5114" spans="1:5" ht="14.25">
      <c r="A5114"/>
      <c r="B5114"/>
      <c r="C5114"/>
      <c r="D5114"/>
      <c r="E5114" s="183"/>
    </row>
    <row r="5115" spans="1:5" ht="14.25">
      <c r="A5115"/>
      <c r="B5115"/>
      <c r="C5115"/>
      <c r="D5115"/>
      <c r="E5115" s="183"/>
    </row>
    <row r="5116" spans="1:5" ht="14.25">
      <c r="A5116"/>
      <c r="B5116"/>
      <c r="C5116"/>
      <c r="D5116"/>
      <c r="E5116" s="183"/>
    </row>
    <row r="5117" spans="1:5" ht="14.25">
      <c r="A5117"/>
      <c r="B5117"/>
      <c r="C5117"/>
      <c r="D5117"/>
      <c r="E5117" s="183"/>
    </row>
    <row r="5118" spans="1:5" ht="14.25">
      <c r="A5118"/>
      <c r="B5118"/>
      <c r="C5118"/>
      <c r="D5118"/>
      <c r="E5118" s="183"/>
    </row>
    <row r="5119" spans="1:5" ht="14.25">
      <c r="A5119"/>
      <c r="B5119"/>
      <c r="C5119"/>
      <c r="D5119"/>
      <c r="E5119" s="183"/>
    </row>
    <row r="5120" spans="1:5" ht="14.25">
      <c r="A5120"/>
      <c r="B5120"/>
      <c r="C5120"/>
      <c r="D5120"/>
      <c r="E5120" s="183"/>
    </row>
    <row r="5121" spans="1:5" ht="14.25">
      <c r="A5121"/>
      <c r="B5121"/>
      <c r="C5121"/>
      <c r="D5121"/>
      <c r="E5121" s="183"/>
    </row>
    <row r="5122" spans="1:5" ht="14.25">
      <c r="A5122"/>
      <c r="B5122"/>
      <c r="C5122"/>
      <c r="D5122"/>
      <c r="E5122" s="183"/>
    </row>
    <row r="5123" spans="1:5" ht="14.25">
      <c r="A5123"/>
      <c r="B5123"/>
      <c r="C5123"/>
      <c r="D5123"/>
      <c r="E5123" s="183"/>
    </row>
    <row r="5124" spans="1:5" ht="14.25">
      <c r="A5124"/>
      <c r="B5124"/>
      <c r="C5124"/>
      <c r="D5124"/>
      <c r="E5124" s="183"/>
    </row>
    <row r="5125" spans="1:5" ht="14.25">
      <c r="A5125"/>
      <c r="B5125"/>
      <c r="C5125"/>
      <c r="D5125"/>
      <c r="E5125" s="183"/>
    </row>
    <row r="5126" spans="1:5" ht="14.25">
      <c r="A5126"/>
      <c r="B5126"/>
      <c r="C5126"/>
      <c r="D5126"/>
      <c r="E5126" s="183"/>
    </row>
    <row r="5127" spans="1:5" ht="14.25">
      <c r="A5127"/>
      <c r="B5127"/>
      <c r="C5127"/>
      <c r="D5127"/>
      <c r="E5127" s="183"/>
    </row>
    <row r="5128" spans="1:5" ht="14.25">
      <c r="A5128"/>
      <c r="B5128"/>
      <c r="C5128"/>
      <c r="D5128"/>
      <c r="E5128" s="183"/>
    </row>
    <row r="5129" spans="1:5" ht="14.25">
      <c r="A5129"/>
      <c r="B5129"/>
      <c r="C5129"/>
      <c r="D5129"/>
      <c r="E5129" s="183"/>
    </row>
    <row r="5130" spans="1:5" ht="14.25">
      <c r="A5130"/>
      <c r="B5130"/>
      <c r="C5130"/>
      <c r="D5130"/>
      <c r="E5130" s="183"/>
    </row>
    <row r="5131" spans="1:5" ht="14.25">
      <c r="A5131"/>
      <c r="B5131"/>
      <c r="C5131"/>
      <c r="D5131"/>
      <c r="E5131" s="183"/>
    </row>
    <row r="5132" spans="1:5" ht="14.25">
      <c r="A5132"/>
      <c r="B5132"/>
      <c r="C5132"/>
      <c r="D5132"/>
      <c r="E5132" s="183"/>
    </row>
    <row r="5133" spans="1:5" ht="14.25">
      <c r="A5133"/>
      <c r="B5133"/>
      <c r="C5133"/>
      <c r="D5133"/>
      <c r="E5133" s="183"/>
    </row>
    <row r="5134" spans="1:5" ht="14.25">
      <c r="A5134"/>
      <c r="B5134"/>
      <c r="C5134"/>
      <c r="D5134"/>
      <c r="E5134" s="183"/>
    </row>
    <row r="5135" spans="1:5" ht="14.25">
      <c r="A5135"/>
      <c r="B5135"/>
      <c r="C5135"/>
      <c r="D5135"/>
      <c r="E5135" s="183"/>
    </row>
    <row r="5136" spans="1:5" ht="14.25">
      <c r="A5136"/>
      <c r="B5136"/>
      <c r="C5136"/>
      <c r="D5136"/>
      <c r="E5136" s="183"/>
    </row>
    <row r="5137" spans="1:5" ht="14.25">
      <c r="A5137"/>
      <c r="B5137"/>
      <c r="C5137"/>
      <c r="D5137"/>
      <c r="E5137" s="183"/>
    </row>
    <row r="5138" spans="1:5" ht="14.25">
      <c r="A5138"/>
      <c r="B5138"/>
      <c r="C5138"/>
      <c r="D5138"/>
      <c r="E5138" s="183"/>
    </row>
    <row r="5139" spans="1:5" ht="14.25">
      <c r="A5139"/>
      <c r="B5139"/>
      <c r="C5139"/>
      <c r="D5139"/>
      <c r="E5139" s="183"/>
    </row>
    <row r="5140" spans="1:5" ht="14.25">
      <c r="A5140"/>
      <c r="B5140"/>
      <c r="C5140"/>
      <c r="D5140"/>
      <c r="E5140" s="183"/>
    </row>
    <row r="5141" spans="1:5" ht="14.25">
      <c r="A5141"/>
      <c r="B5141"/>
      <c r="C5141"/>
      <c r="D5141"/>
      <c r="E5141" s="183"/>
    </row>
    <row r="5142" spans="1:5" ht="14.25">
      <c r="A5142"/>
      <c r="B5142"/>
      <c r="C5142"/>
      <c r="D5142"/>
      <c r="E5142" s="183"/>
    </row>
    <row r="5143" spans="1:5" ht="14.25">
      <c r="A5143"/>
      <c r="B5143"/>
      <c r="C5143"/>
      <c r="D5143"/>
      <c r="E5143" s="184"/>
    </row>
    <row r="5144" spans="1:5" ht="14.25">
      <c r="A5144"/>
      <c r="B5144"/>
      <c r="C5144"/>
      <c r="D5144"/>
      <c r="E5144" s="183"/>
    </row>
    <row r="5145" spans="1:5" ht="14.25">
      <c r="A5145"/>
      <c r="B5145"/>
      <c r="C5145"/>
      <c r="D5145"/>
      <c r="E5145" s="183"/>
    </row>
    <row r="5146" spans="1:5" ht="14.25">
      <c r="A5146"/>
      <c r="B5146"/>
      <c r="C5146"/>
      <c r="D5146"/>
      <c r="E5146" s="183"/>
    </row>
    <row r="5147" spans="1:5" ht="14.25">
      <c r="A5147"/>
      <c r="B5147"/>
      <c r="C5147"/>
      <c r="D5147"/>
      <c r="E5147" s="183"/>
    </row>
    <row r="5148" spans="1:5" ht="14.25">
      <c r="A5148"/>
      <c r="B5148"/>
      <c r="C5148"/>
      <c r="D5148"/>
      <c r="E5148" s="183"/>
    </row>
    <row r="5149" spans="1:5" ht="14.25">
      <c r="A5149"/>
      <c r="B5149"/>
      <c r="C5149"/>
      <c r="D5149"/>
      <c r="E5149" s="183"/>
    </row>
    <row r="5150" spans="1:5" ht="14.25">
      <c r="A5150"/>
      <c r="B5150"/>
      <c r="C5150"/>
      <c r="D5150"/>
      <c r="E5150" s="183"/>
    </row>
    <row r="5151" spans="1:5" ht="14.25">
      <c r="A5151"/>
      <c r="B5151"/>
      <c r="C5151"/>
      <c r="D5151"/>
      <c r="E5151" s="183"/>
    </row>
    <row r="5152" spans="1:5" ht="14.25">
      <c r="A5152"/>
      <c r="B5152"/>
      <c r="C5152"/>
      <c r="D5152"/>
      <c r="E5152" s="184"/>
    </row>
    <row r="5153" spans="1:5" ht="14.25">
      <c r="A5153"/>
      <c r="B5153"/>
      <c r="C5153"/>
      <c r="D5153"/>
      <c r="E5153" s="184"/>
    </row>
    <row r="5154" spans="1:5" ht="14.25">
      <c r="A5154"/>
      <c r="B5154"/>
      <c r="C5154"/>
      <c r="D5154"/>
      <c r="E5154" s="184"/>
    </row>
    <row r="5155" spans="1:5" ht="14.25">
      <c r="A5155"/>
      <c r="B5155"/>
      <c r="C5155"/>
      <c r="D5155"/>
      <c r="E5155" s="184"/>
    </row>
    <row r="5156" spans="1:5" ht="14.25">
      <c r="A5156"/>
      <c r="B5156"/>
      <c r="C5156"/>
      <c r="D5156"/>
      <c r="E5156" s="184"/>
    </row>
    <row r="5157" spans="1:5" ht="14.25">
      <c r="A5157"/>
      <c r="B5157"/>
      <c r="C5157"/>
      <c r="D5157"/>
      <c r="E5157" s="184"/>
    </row>
    <row r="5158" spans="1:5" ht="14.25">
      <c r="A5158"/>
      <c r="B5158"/>
      <c r="C5158"/>
      <c r="D5158"/>
      <c r="E5158" s="184"/>
    </row>
    <row r="5159" spans="1:5" ht="14.25">
      <c r="A5159"/>
      <c r="B5159"/>
      <c r="C5159"/>
      <c r="D5159"/>
      <c r="E5159" s="184"/>
    </row>
    <row r="5160" spans="1:5" ht="14.25">
      <c r="A5160"/>
      <c r="B5160"/>
      <c r="C5160"/>
      <c r="D5160"/>
      <c r="E5160" s="184"/>
    </row>
    <row r="5161" spans="1:5" ht="14.25">
      <c r="A5161"/>
      <c r="B5161"/>
      <c r="C5161"/>
      <c r="D5161"/>
      <c r="E5161" s="184"/>
    </row>
    <row r="5162" spans="1:5" ht="14.25">
      <c r="A5162"/>
      <c r="B5162"/>
      <c r="C5162"/>
      <c r="D5162"/>
      <c r="E5162" s="184"/>
    </row>
    <row r="5163" spans="1:5" ht="14.25">
      <c r="A5163"/>
      <c r="B5163"/>
      <c r="C5163"/>
      <c r="D5163"/>
      <c r="E5163" s="183"/>
    </row>
    <row r="5164" spans="1:5" ht="14.25">
      <c r="A5164"/>
      <c r="B5164"/>
      <c r="C5164"/>
      <c r="D5164"/>
      <c r="E5164" s="184"/>
    </row>
    <row r="5165" spans="1:5" ht="14.25">
      <c r="A5165"/>
      <c r="B5165"/>
      <c r="C5165"/>
      <c r="D5165"/>
      <c r="E5165" s="183"/>
    </row>
    <row r="5166" spans="1:5" ht="14.25">
      <c r="A5166"/>
      <c r="B5166"/>
      <c r="C5166"/>
      <c r="D5166"/>
      <c r="E5166" s="183"/>
    </row>
    <row r="5167" spans="1:5" ht="14.25">
      <c r="A5167"/>
      <c r="B5167"/>
      <c r="C5167"/>
      <c r="D5167"/>
      <c r="E5167" s="184"/>
    </row>
    <row r="5168" spans="1:5" ht="14.25">
      <c r="A5168"/>
      <c r="B5168"/>
      <c r="C5168"/>
      <c r="D5168"/>
      <c r="E5168" s="184"/>
    </row>
    <row r="5169" spans="1:5" ht="14.25">
      <c r="A5169"/>
      <c r="B5169"/>
      <c r="C5169"/>
      <c r="D5169"/>
      <c r="E5169" s="183"/>
    </row>
    <row r="5170" spans="1:5" ht="14.25">
      <c r="A5170"/>
      <c r="B5170"/>
      <c r="C5170"/>
      <c r="D5170"/>
      <c r="E5170" s="183"/>
    </row>
    <row r="5171" spans="1:5" ht="14.25">
      <c r="A5171"/>
      <c r="B5171"/>
      <c r="C5171"/>
      <c r="D5171"/>
      <c r="E5171" s="183"/>
    </row>
    <row r="5172" spans="1:5" ht="14.25">
      <c r="A5172"/>
      <c r="B5172"/>
      <c r="C5172"/>
      <c r="D5172"/>
      <c r="E5172" s="183"/>
    </row>
    <row r="5173" spans="1:5" ht="14.25">
      <c r="A5173"/>
      <c r="B5173"/>
      <c r="C5173"/>
      <c r="D5173"/>
      <c r="E5173" s="183"/>
    </row>
    <row r="5174" spans="1:5" ht="14.25">
      <c r="A5174"/>
      <c r="B5174"/>
      <c r="C5174"/>
      <c r="D5174"/>
      <c r="E5174" s="183"/>
    </row>
    <row r="5175" spans="1:5" ht="14.25">
      <c r="A5175"/>
      <c r="B5175"/>
      <c r="C5175"/>
      <c r="D5175"/>
      <c r="E5175" s="183"/>
    </row>
    <row r="5176" spans="1:5" ht="14.25">
      <c r="A5176"/>
      <c r="B5176"/>
      <c r="C5176"/>
      <c r="D5176"/>
      <c r="E5176" s="183"/>
    </row>
    <row r="5177" spans="1:5" ht="14.25">
      <c r="A5177"/>
      <c r="B5177"/>
      <c r="C5177"/>
      <c r="D5177"/>
      <c r="E5177" s="183"/>
    </row>
    <row r="5178" spans="1:5" ht="14.25">
      <c r="A5178"/>
      <c r="B5178"/>
      <c r="C5178"/>
      <c r="D5178"/>
      <c r="E5178" s="183"/>
    </row>
    <row r="5179" spans="1:5" ht="14.25">
      <c r="A5179"/>
      <c r="B5179"/>
      <c r="C5179"/>
      <c r="D5179"/>
      <c r="E5179" s="183"/>
    </row>
    <row r="5180" spans="1:5" ht="14.25">
      <c r="A5180"/>
      <c r="B5180"/>
      <c r="C5180"/>
      <c r="D5180"/>
      <c r="E5180" s="183"/>
    </row>
    <row r="5181" spans="1:5" ht="14.25">
      <c r="A5181"/>
      <c r="B5181"/>
      <c r="C5181"/>
      <c r="D5181"/>
      <c r="E5181" s="183"/>
    </row>
    <row r="5182" spans="1:5" ht="14.25">
      <c r="A5182"/>
      <c r="B5182"/>
      <c r="C5182"/>
      <c r="D5182"/>
      <c r="E5182" s="183"/>
    </row>
    <row r="5183" spans="1:5" ht="14.25">
      <c r="A5183"/>
      <c r="B5183"/>
      <c r="C5183"/>
      <c r="D5183"/>
      <c r="E5183" s="183"/>
    </row>
    <row r="5184" spans="1:5" ht="14.25">
      <c r="A5184"/>
      <c r="B5184"/>
      <c r="C5184"/>
      <c r="D5184"/>
      <c r="E5184" s="183"/>
    </row>
    <row r="5185" spans="1:5" ht="14.25">
      <c r="A5185"/>
      <c r="B5185"/>
      <c r="C5185"/>
      <c r="D5185"/>
      <c r="E5185" s="183"/>
    </row>
    <row r="5186" spans="1:5" ht="14.25">
      <c r="A5186"/>
      <c r="B5186"/>
      <c r="C5186"/>
      <c r="D5186"/>
      <c r="E5186" s="183"/>
    </row>
    <row r="5187" spans="1:5" ht="14.25">
      <c r="A5187"/>
      <c r="B5187"/>
      <c r="C5187"/>
      <c r="D5187"/>
      <c r="E5187" s="183"/>
    </row>
    <row r="5188" spans="1:5" ht="14.25">
      <c r="A5188"/>
      <c r="B5188"/>
      <c r="C5188"/>
      <c r="D5188"/>
      <c r="E5188" s="183"/>
    </row>
    <row r="5189" spans="1:5" ht="14.25">
      <c r="A5189"/>
      <c r="B5189"/>
      <c r="C5189"/>
      <c r="D5189"/>
      <c r="E5189" s="183"/>
    </row>
    <row r="5190" spans="1:5" ht="14.25">
      <c r="A5190"/>
      <c r="B5190"/>
      <c r="C5190"/>
      <c r="D5190"/>
      <c r="E5190" s="183"/>
    </row>
    <row r="5191" spans="1:5" ht="14.25">
      <c r="A5191"/>
      <c r="B5191"/>
      <c r="C5191"/>
      <c r="D5191"/>
      <c r="E5191" s="183"/>
    </row>
    <row r="5192" spans="1:5" ht="14.25">
      <c r="A5192"/>
      <c r="B5192"/>
      <c r="C5192"/>
      <c r="D5192"/>
      <c r="E5192" s="183"/>
    </row>
    <row r="5193" spans="1:5" ht="14.25">
      <c r="A5193"/>
      <c r="B5193"/>
      <c r="C5193"/>
      <c r="D5193"/>
      <c r="E5193" s="183"/>
    </row>
    <row r="5194" spans="1:5" ht="14.25">
      <c r="A5194"/>
      <c r="B5194"/>
      <c r="C5194"/>
      <c r="D5194"/>
      <c r="E5194" s="183"/>
    </row>
    <row r="5195" spans="1:5" ht="14.25">
      <c r="A5195"/>
      <c r="B5195"/>
      <c r="C5195"/>
      <c r="D5195"/>
      <c r="E5195" s="183"/>
    </row>
    <row r="5196" spans="1:5" ht="14.25">
      <c r="A5196"/>
      <c r="B5196"/>
      <c r="C5196"/>
      <c r="D5196"/>
      <c r="E5196" s="183"/>
    </row>
    <row r="5197" spans="1:5" ht="14.25">
      <c r="A5197"/>
      <c r="B5197"/>
      <c r="C5197"/>
      <c r="D5197"/>
      <c r="E5197" s="183"/>
    </row>
    <row r="5198" spans="1:5" ht="14.25">
      <c r="A5198"/>
      <c r="B5198"/>
      <c r="C5198"/>
      <c r="D5198"/>
      <c r="E5198" s="183"/>
    </row>
    <row r="5199" spans="1:5" ht="14.25">
      <c r="A5199"/>
      <c r="B5199"/>
      <c r="C5199"/>
      <c r="D5199"/>
      <c r="E5199" s="183"/>
    </row>
    <row r="5200" spans="1:5" ht="14.25">
      <c r="A5200"/>
      <c r="B5200"/>
      <c r="C5200"/>
      <c r="D5200"/>
      <c r="E5200" s="183"/>
    </row>
    <row r="5201" spans="1:5" ht="14.25">
      <c r="A5201"/>
      <c r="B5201"/>
      <c r="C5201"/>
      <c r="D5201"/>
      <c r="E5201" s="183"/>
    </row>
    <row r="5202" spans="1:5" ht="14.25">
      <c r="A5202"/>
      <c r="B5202"/>
      <c r="C5202"/>
      <c r="D5202"/>
      <c r="E5202" s="184"/>
    </row>
    <row r="5203" spans="1:5" ht="14.25">
      <c r="A5203"/>
      <c r="B5203"/>
      <c r="C5203"/>
      <c r="D5203"/>
      <c r="E5203" s="183"/>
    </row>
    <row r="5204" spans="1:5" ht="14.25">
      <c r="A5204"/>
      <c r="B5204"/>
      <c r="C5204"/>
      <c r="D5204"/>
      <c r="E5204"/>
    </row>
    <row r="5205" spans="1:5" ht="14.25">
      <c r="A5205"/>
      <c r="B5205"/>
      <c r="C5205"/>
      <c r="D5205"/>
      <c r="E5205"/>
    </row>
    <row r="5206" spans="1:5" ht="14.25">
      <c r="A5206"/>
      <c r="B5206"/>
      <c r="C5206"/>
      <c r="D5206"/>
      <c r="E5206" s="183"/>
    </row>
    <row r="5207" spans="1:5" ht="14.25">
      <c r="A5207"/>
      <c r="B5207"/>
      <c r="C5207"/>
      <c r="D5207"/>
      <c r="E5207" s="183"/>
    </row>
    <row r="5208" spans="1:5" ht="14.25">
      <c r="A5208"/>
      <c r="B5208"/>
      <c r="C5208"/>
      <c r="D5208"/>
      <c r="E5208" s="183"/>
    </row>
    <row r="5209" spans="1:5" ht="14.25">
      <c r="A5209"/>
      <c r="B5209"/>
      <c r="C5209"/>
      <c r="D5209"/>
      <c r="E5209" s="183"/>
    </row>
    <row r="5210" spans="1:5" ht="14.25">
      <c r="A5210"/>
      <c r="B5210"/>
      <c r="C5210"/>
      <c r="D5210"/>
      <c r="E5210" s="183"/>
    </row>
    <row r="5211" spans="1:5" ht="14.25">
      <c r="A5211"/>
      <c r="B5211"/>
      <c r="C5211"/>
      <c r="D5211"/>
      <c r="E5211" s="183"/>
    </row>
    <row r="5212" spans="1:5" ht="14.25">
      <c r="A5212"/>
      <c r="B5212"/>
      <c r="C5212"/>
      <c r="D5212"/>
      <c r="E5212" s="183"/>
    </row>
    <row r="5213" spans="1:5" ht="14.25">
      <c r="A5213"/>
      <c r="B5213"/>
      <c r="C5213"/>
      <c r="D5213"/>
      <c r="E5213" s="183"/>
    </row>
    <row r="5214" spans="1:5" ht="14.25">
      <c r="A5214"/>
      <c r="B5214"/>
      <c r="C5214"/>
      <c r="D5214"/>
      <c r="E5214" s="183"/>
    </row>
    <row r="5215" spans="1:5" ht="14.25">
      <c r="A5215"/>
      <c r="B5215"/>
      <c r="C5215"/>
      <c r="D5215"/>
      <c r="E5215" s="183"/>
    </row>
    <row r="5216" spans="1:5" ht="14.25">
      <c r="A5216"/>
      <c r="B5216"/>
      <c r="C5216"/>
      <c r="D5216"/>
      <c r="E5216" s="183"/>
    </row>
    <row r="5217" spans="1:5" ht="14.25">
      <c r="A5217"/>
      <c r="B5217"/>
      <c r="C5217"/>
      <c r="D5217"/>
      <c r="E5217" s="184"/>
    </row>
    <row r="5218" spans="1:5" ht="14.25">
      <c r="A5218"/>
      <c r="B5218"/>
      <c r="C5218"/>
      <c r="D5218"/>
      <c r="E5218" s="183"/>
    </row>
    <row r="5219" spans="1:5" ht="14.25">
      <c r="A5219"/>
      <c r="B5219"/>
      <c r="C5219"/>
      <c r="D5219"/>
      <c r="E5219" s="183"/>
    </row>
    <row r="5220" spans="1:5" ht="14.25">
      <c r="A5220"/>
      <c r="B5220"/>
      <c r="C5220"/>
      <c r="D5220"/>
      <c r="E5220" s="183"/>
    </row>
    <row r="5221" spans="1:5" ht="14.25">
      <c r="A5221"/>
      <c r="B5221"/>
      <c r="C5221"/>
      <c r="D5221"/>
      <c r="E5221" s="184"/>
    </row>
    <row r="5222" spans="1:5" ht="14.25">
      <c r="A5222"/>
      <c r="B5222"/>
      <c r="C5222"/>
      <c r="D5222"/>
      <c r="E5222" s="183"/>
    </row>
    <row r="5223" spans="1:5" ht="14.25">
      <c r="A5223"/>
      <c r="B5223"/>
      <c r="C5223"/>
      <c r="D5223"/>
      <c r="E5223" s="184"/>
    </row>
    <row r="5224" spans="1:5" ht="14.25">
      <c r="A5224"/>
      <c r="B5224"/>
      <c r="C5224"/>
      <c r="D5224"/>
      <c r="E5224" s="183"/>
    </row>
    <row r="5225" spans="1:5" ht="14.25">
      <c r="A5225"/>
      <c r="B5225"/>
      <c r="C5225"/>
      <c r="D5225"/>
      <c r="E5225" s="184"/>
    </row>
    <row r="5226" spans="1:5" ht="14.25">
      <c r="A5226"/>
      <c r="B5226"/>
      <c r="C5226"/>
      <c r="D5226"/>
      <c r="E5226" s="184"/>
    </row>
    <row r="5227" spans="1:5" ht="14.25">
      <c r="A5227"/>
      <c r="B5227"/>
      <c r="C5227"/>
      <c r="D5227"/>
      <c r="E5227" s="184"/>
    </row>
    <row r="5228" spans="1:5" ht="14.25">
      <c r="A5228"/>
      <c r="B5228"/>
      <c r="C5228"/>
      <c r="D5228"/>
      <c r="E5228" s="184"/>
    </row>
    <row r="5229" spans="1:5" ht="14.25">
      <c r="A5229"/>
      <c r="B5229"/>
      <c r="C5229"/>
      <c r="D5229"/>
      <c r="E5229" s="183"/>
    </row>
    <row r="5230" spans="1:5" ht="14.25">
      <c r="A5230"/>
      <c r="B5230"/>
      <c r="C5230"/>
      <c r="D5230"/>
      <c r="E5230" s="184"/>
    </row>
    <row r="5231" spans="1:5" ht="14.25">
      <c r="A5231"/>
      <c r="B5231"/>
      <c r="C5231"/>
      <c r="D5231"/>
      <c r="E5231" s="183"/>
    </row>
    <row r="5232" spans="1:5" ht="14.25">
      <c r="A5232"/>
      <c r="B5232"/>
      <c r="C5232"/>
      <c r="D5232"/>
      <c r="E5232" s="183"/>
    </row>
    <row r="5233" spans="1:5" ht="14.25">
      <c r="A5233"/>
      <c r="B5233"/>
      <c r="C5233"/>
      <c r="D5233"/>
      <c r="E5233" s="183"/>
    </row>
    <row r="5234" spans="1:5" ht="14.25">
      <c r="A5234"/>
      <c r="B5234"/>
      <c r="C5234"/>
      <c r="D5234"/>
      <c r="E5234" s="183"/>
    </row>
    <row r="5235" spans="1:5" ht="14.25">
      <c r="A5235"/>
      <c r="B5235"/>
      <c r="C5235"/>
      <c r="D5235"/>
      <c r="E5235" s="183"/>
    </row>
    <row r="5236" spans="1:5" ht="14.25">
      <c r="A5236"/>
      <c r="B5236"/>
      <c r="C5236"/>
      <c r="D5236"/>
      <c r="E5236" s="183"/>
    </row>
    <row r="5237" spans="1:5" ht="14.25">
      <c r="A5237"/>
      <c r="B5237"/>
      <c r="C5237"/>
      <c r="D5237"/>
      <c r="E5237" s="183"/>
    </row>
    <row r="5238" spans="1:5" ht="14.25">
      <c r="A5238"/>
      <c r="B5238"/>
      <c r="C5238"/>
      <c r="D5238"/>
      <c r="E5238" s="183"/>
    </row>
    <row r="5239" spans="1:5" ht="14.25">
      <c r="A5239"/>
      <c r="B5239"/>
      <c r="C5239"/>
      <c r="D5239"/>
      <c r="E5239" s="183"/>
    </row>
    <row r="5240" spans="1:5" ht="14.25">
      <c r="A5240"/>
      <c r="B5240"/>
      <c r="C5240"/>
      <c r="D5240"/>
      <c r="E5240" s="183"/>
    </row>
    <row r="5241" spans="1:5" ht="14.25">
      <c r="A5241"/>
      <c r="B5241"/>
      <c r="C5241"/>
      <c r="D5241"/>
      <c r="E5241" s="183"/>
    </row>
    <row r="5242" spans="1:5" ht="14.25">
      <c r="A5242"/>
      <c r="B5242"/>
      <c r="C5242"/>
      <c r="D5242"/>
      <c r="E5242" s="183"/>
    </row>
    <row r="5243" spans="1:5" ht="14.25">
      <c r="A5243"/>
      <c r="B5243"/>
      <c r="C5243"/>
      <c r="D5243"/>
      <c r="E5243" s="183"/>
    </row>
    <row r="5244" spans="1:5" ht="14.25">
      <c r="A5244"/>
      <c r="B5244"/>
      <c r="C5244"/>
      <c r="D5244"/>
      <c r="E5244" s="183"/>
    </row>
    <row r="5245" spans="1:5" ht="14.25">
      <c r="A5245"/>
      <c r="B5245"/>
      <c r="C5245"/>
      <c r="D5245"/>
      <c r="E5245" s="183"/>
    </row>
    <row r="5246" spans="1:5" ht="14.25">
      <c r="A5246"/>
      <c r="B5246"/>
      <c r="C5246"/>
      <c r="D5246"/>
      <c r="E5246" s="183"/>
    </row>
    <row r="5247" spans="1:5" ht="14.25">
      <c r="A5247"/>
      <c r="B5247"/>
      <c r="C5247"/>
      <c r="D5247"/>
      <c r="E5247" s="183"/>
    </row>
    <row r="5248" spans="1:5" ht="14.25">
      <c r="A5248"/>
      <c r="B5248"/>
      <c r="C5248"/>
      <c r="D5248"/>
      <c r="E5248" s="183"/>
    </row>
    <row r="5249" spans="1:5" ht="14.25">
      <c r="A5249"/>
      <c r="B5249"/>
      <c r="C5249"/>
      <c r="D5249"/>
      <c r="E5249" s="183"/>
    </row>
    <row r="5250" spans="1:5" ht="14.25">
      <c r="A5250"/>
      <c r="B5250"/>
      <c r="C5250"/>
      <c r="D5250"/>
      <c r="E5250" s="183"/>
    </row>
    <row r="5251" spans="1:5" ht="14.25">
      <c r="A5251"/>
      <c r="B5251"/>
      <c r="C5251"/>
      <c r="D5251"/>
      <c r="E5251" s="183"/>
    </row>
    <row r="5252" spans="1:5" ht="14.25">
      <c r="A5252"/>
      <c r="B5252"/>
      <c r="C5252"/>
      <c r="D5252"/>
      <c r="E5252" s="183"/>
    </row>
    <row r="5253" spans="1:5" ht="14.25">
      <c r="A5253"/>
      <c r="B5253"/>
      <c r="C5253"/>
      <c r="D5253"/>
      <c r="E5253" s="183"/>
    </row>
    <row r="5254" spans="1:5" ht="14.25">
      <c r="A5254"/>
      <c r="B5254"/>
      <c r="C5254"/>
      <c r="D5254"/>
      <c r="E5254" s="183"/>
    </row>
    <row r="5255" spans="1:5" ht="14.25">
      <c r="A5255"/>
      <c r="B5255"/>
      <c r="C5255"/>
      <c r="D5255"/>
      <c r="E5255" s="183"/>
    </row>
    <row r="5256" spans="1:5" ht="14.25">
      <c r="A5256"/>
      <c r="B5256"/>
      <c r="C5256"/>
      <c r="D5256"/>
      <c r="E5256" s="183"/>
    </row>
    <row r="5257" spans="1:5" ht="14.25">
      <c r="A5257"/>
      <c r="B5257"/>
      <c r="C5257"/>
      <c r="D5257"/>
      <c r="E5257" s="183"/>
    </row>
    <row r="5258" spans="1:5" ht="14.25">
      <c r="A5258"/>
      <c r="B5258"/>
      <c r="C5258"/>
      <c r="D5258"/>
      <c r="E5258" s="183"/>
    </row>
    <row r="5259" spans="1:5" ht="14.25">
      <c r="A5259"/>
      <c r="B5259"/>
      <c r="C5259"/>
      <c r="D5259"/>
      <c r="E5259" s="183"/>
    </row>
    <row r="5260" spans="1:5" ht="14.25">
      <c r="A5260"/>
      <c r="B5260"/>
      <c r="C5260"/>
      <c r="D5260"/>
      <c r="E5260" s="183"/>
    </row>
    <row r="5261" spans="1:5" ht="14.25">
      <c r="A5261"/>
      <c r="B5261"/>
      <c r="C5261"/>
      <c r="D5261"/>
      <c r="E5261" s="183"/>
    </row>
    <row r="5262" spans="1:5" ht="14.25">
      <c r="A5262"/>
      <c r="B5262"/>
      <c r="C5262"/>
      <c r="D5262"/>
      <c r="E5262" s="183"/>
    </row>
    <row r="5263" spans="1:5" ht="14.25">
      <c r="A5263"/>
      <c r="B5263"/>
      <c r="C5263"/>
      <c r="D5263"/>
      <c r="E5263" s="183"/>
    </row>
    <row r="5264" spans="1:5" ht="14.25">
      <c r="A5264"/>
      <c r="B5264"/>
      <c r="C5264"/>
      <c r="D5264"/>
      <c r="E5264" s="183"/>
    </row>
    <row r="5265" spans="1:5" ht="14.25">
      <c r="A5265"/>
      <c r="B5265"/>
      <c r="C5265"/>
      <c r="D5265"/>
      <c r="E5265" s="183"/>
    </row>
    <row r="5266" spans="1:5" ht="14.25">
      <c r="A5266"/>
      <c r="B5266"/>
      <c r="C5266"/>
      <c r="D5266"/>
      <c r="E5266" s="183"/>
    </row>
    <row r="5267" spans="1:5" ht="14.25">
      <c r="A5267"/>
      <c r="B5267"/>
      <c r="C5267"/>
      <c r="D5267"/>
      <c r="E5267" s="183"/>
    </row>
    <row r="5268" spans="1:5" ht="14.25">
      <c r="A5268"/>
      <c r="B5268"/>
      <c r="C5268"/>
      <c r="D5268"/>
      <c r="E5268" s="183"/>
    </row>
    <row r="5269" spans="1:5" ht="14.25">
      <c r="A5269"/>
      <c r="B5269"/>
      <c r="C5269"/>
      <c r="D5269"/>
      <c r="E5269" s="183"/>
    </row>
    <row r="5270" spans="1:5" ht="14.25">
      <c r="A5270"/>
      <c r="B5270"/>
      <c r="C5270"/>
      <c r="D5270"/>
      <c r="E5270" s="183"/>
    </row>
    <row r="5271" spans="1:5" ht="14.25">
      <c r="A5271"/>
      <c r="B5271"/>
      <c r="C5271"/>
      <c r="D5271"/>
      <c r="E5271" s="183"/>
    </row>
    <row r="5272" spans="1:5" ht="14.25">
      <c r="A5272"/>
      <c r="B5272"/>
      <c r="C5272"/>
      <c r="D5272"/>
      <c r="E5272" s="183"/>
    </row>
    <row r="5273" spans="1:5" ht="14.25">
      <c r="A5273"/>
      <c r="B5273"/>
      <c r="C5273"/>
      <c r="D5273"/>
      <c r="E5273" s="183"/>
    </row>
    <row r="5274" spans="1:5" ht="14.25">
      <c r="A5274"/>
      <c r="B5274"/>
      <c r="C5274"/>
      <c r="D5274"/>
      <c r="E5274" s="183"/>
    </row>
    <row r="5275" spans="1:5" ht="14.25">
      <c r="A5275"/>
      <c r="B5275"/>
      <c r="C5275"/>
      <c r="D5275"/>
      <c r="E5275" s="183"/>
    </row>
    <row r="5276" spans="1:5" ht="14.25">
      <c r="A5276"/>
      <c r="B5276"/>
      <c r="C5276"/>
      <c r="D5276"/>
      <c r="E5276" s="183"/>
    </row>
    <row r="5277" spans="1:5" ht="14.25">
      <c r="A5277"/>
      <c r="B5277"/>
      <c r="C5277"/>
      <c r="D5277"/>
      <c r="E5277" s="183"/>
    </row>
    <row r="5278" spans="1:5" ht="14.25">
      <c r="A5278"/>
      <c r="B5278"/>
      <c r="C5278"/>
      <c r="D5278"/>
      <c r="E5278" s="183"/>
    </row>
    <row r="5279" spans="1:5" ht="14.25">
      <c r="A5279"/>
      <c r="B5279"/>
      <c r="C5279"/>
      <c r="D5279"/>
      <c r="E5279" s="183"/>
    </row>
    <row r="5280" spans="1:5" ht="14.25">
      <c r="A5280"/>
      <c r="B5280"/>
      <c r="C5280"/>
      <c r="D5280"/>
      <c r="E5280" s="183"/>
    </row>
    <row r="5281" spans="1:5" ht="14.25">
      <c r="A5281"/>
      <c r="B5281"/>
      <c r="C5281"/>
      <c r="D5281"/>
      <c r="E5281" s="183"/>
    </row>
    <row r="5282" spans="1:5" ht="14.25">
      <c r="A5282"/>
      <c r="B5282"/>
      <c r="C5282"/>
      <c r="D5282"/>
      <c r="E5282" s="183"/>
    </row>
    <row r="5283" spans="1:5" ht="14.25">
      <c r="A5283"/>
      <c r="B5283"/>
      <c r="C5283"/>
      <c r="D5283"/>
      <c r="E5283" s="183"/>
    </row>
    <row r="5284" spans="1:5" ht="14.25">
      <c r="A5284"/>
      <c r="B5284"/>
      <c r="C5284"/>
      <c r="D5284"/>
      <c r="E5284" s="183"/>
    </row>
    <row r="5285" spans="1:5" ht="14.25">
      <c r="A5285"/>
      <c r="B5285"/>
      <c r="C5285"/>
      <c r="D5285"/>
      <c r="E5285" s="183"/>
    </row>
    <row r="5286" spans="1:5" ht="14.25">
      <c r="A5286"/>
      <c r="B5286"/>
      <c r="C5286"/>
      <c r="D5286"/>
      <c r="E5286" s="183"/>
    </row>
    <row r="5287" spans="1:5" ht="14.25">
      <c r="A5287"/>
      <c r="B5287"/>
      <c r="C5287"/>
      <c r="D5287"/>
      <c r="E5287" s="183"/>
    </row>
    <row r="5288" spans="1:5" ht="14.25">
      <c r="A5288"/>
      <c r="B5288"/>
      <c r="C5288"/>
      <c r="D5288"/>
      <c r="E5288" s="183"/>
    </row>
    <row r="5289" spans="1:5" ht="14.25">
      <c r="A5289"/>
      <c r="B5289"/>
      <c r="C5289"/>
      <c r="D5289"/>
      <c r="E5289" s="183"/>
    </row>
    <row r="5290" spans="1:5" ht="14.25">
      <c r="A5290"/>
      <c r="B5290"/>
      <c r="C5290"/>
      <c r="D5290"/>
      <c r="E5290" s="183"/>
    </row>
    <row r="5291" spans="1:5" ht="14.25">
      <c r="A5291"/>
      <c r="B5291"/>
      <c r="C5291"/>
      <c r="D5291"/>
      <c r="E5291" s="183"/>
    </row>
    <row r="5292" spans="1:5" ht="14.25">
      <c r="A5292"/>
      <c r="B5292"/>
      <c r="C5292"/>
      <c r="D5292"/>
      <c r="E5292" s="183"/>
    </row>
    <row r="5293" spans="1:5" ht="14.25">
      <c r="A5293"/>
      <c r="B5293"/>
      <c r="C5293"/>
      <c r="D5293"/>
      <c r="E5293" s="183"/>
    </row>
    <row r="5294" spans="1:5" ht="14.25">
      <c r="A5294"/>
      <c r="B5294"/>
      <c r="C5294"/>
      <c r="D5294"/>
      <c r="E5294" s="183"/>
    </row>
    <row r="5295" spans="1:5" ht="14.25">
      <c r="A5295"/>
      <c r="B5295"/>
      <c r="C5295"/>
      <c r="D5295"/>
      <c r="E5295" s="183"/>
    </row>
    <row r="5296" spans="1:5" ht="14.25">
      <c r="A5296"/>
      <c r="B5296"/>
      <c r="C5296"/>
      <c r="D5296"/>
      <c r="E5296" s="183"/>
    </row>
    <row r="5297" spans="1:5" ht="14.25">
      <c r="A5297"/>
      <c r="B5297"/>
      <c r="C5297"/>
      <c r="D5297"/>
      <c r="E5297" s="183"/>
    </row>
    <row r="5298" spans="1:5" ht="14.25">
      <c r="A5298"/>
      <c r="B5298"/>
      <c r="C5298"/>
      <c r="D5298"/>
      <c r="E5298" s="183"/>
    </row>
    <row r="5299" spans="1:5" ht="14.25">
      <c r="A5299"/>
      <c r="B5299"/>
      <c r="C5299"/>
      <c r="D5299"/>
      <c r="E5299" s="183"/>
    </row>
    <row r="5300" spans="1:5" ht="14.25">
      <c r="A5300"/>
      <c r="B5300"/>
      <c r="C5300"/>
      <c r="D5300"/>
      <c r="E5300" s="183"/>
    </row>
    <row r="5301" spans="1:5" ht="14.25">
      <c r="A5301"/>
      <c r="B5301"/>
      <c r="C5301"/>
      <c r="D5301"/>
      <c r="E5301" s="183"/>
    </row>
    <row r="5302" spans="1:5" ht="14.25">
      <c r="A5302"/>
      <c r="B5302"/>
      <c r="C5302"/>
      <c r="D5302"/>
      <c r="E5302" s="183"/>
    </row>
    <row r="5303" spans="1:5" ht="14.25">
      <c r="A5303"/>
      <c r="B5303"/>
      <c r="C5303"/>
      <c r="D5303"/>
      <c r="E5303" s="183"/>
    </row>
    <row r="5304" spans="1:5" ht="14.25">
      <c r="A5304"/>
      <c r="B5304"/>
      <c r="C5304"/>
      <c r="D5304"/>
      <c r="E5304" s="183"/>
    </row>
    <row r="5305" spans="1:5" ht="14.25">
      <c r="A5305"/>
      <c r="B5305"/>
      <c r="C5305"/>
      <c r="D5305"/>
      <c r="E5305" s="183"/>
    </row>
    <row r="5306" spans="1:5" ht="14.25">
      <c r="A5306"/>
      <c r="B5306"/>
      <c r="C5306"/>
      <c r="D5306"/>
      <c r="E5306" s="183"/>
    </row>
    <row r="5307" spans="1:5" ht="14.25">
      <c r="A5307"/>
      <c r="B5307"/>
      <c r="C5307"/>
      <c r="D5307"/>
      <c r="E5307" s="183"/>
    </row>
    <row r="5308" spans="1:5" ht="14.25">
      <c r="A5308"/>
      <c r="B5308"/>
      <c r="C5308"/>
      <c r="D5308"/>
      <c r="E5308" s="183"/>
    </row>
    <row r="5309" spans="1:5" ht="14.25">
      <c r="A5309"/>
      <c r="B5309"/>
      <c r="C5309"/>
      <c r="D5309"/>
      <c r="E5309" s="183"/>
    </row>
    <row r="5310" spans="1:5" ht="14.25">
      <c r="A5310"/>
      <c r="B5310"/>
      <c r="C5310"/>
      <c r="D5310"/>
      <c r="E5310" s="183"/>
    </row>
    <row r="5311" spans="1:5" ht="14.25">
      <c r="A5311"/>
      <c r="B5311"/>
      <c r="C5311"/>
      <c r="D5311"/>
      <c r="E5311" s="183"/>
    </row>
    <row r="5312" spans="1:5" ht="14.25">
      <c r="A5312"/>
      <c r="B5312"/>
      <c r="C5312"/>
      <c r="D5312"/>
      <c r="E5312" s="183"/>
    </row>
    <row r="5313" spans="1:5" ht="14.25">
      <c r="A5313"/>
      <c r="B5313"/>
      <c r="C5313"/>
      <c r="D5313"/>
      <c r="E5313" s="183"/>
    </row>
    <row r="5314" spans="1:5" ht="14.25">
      <c r="A5314"/>
      <c r="B5314"/>
      <c r="C5314"/>
      <c r="D5314"/>
      <c r="E5314" s="183"/>
    </row>
    <row r="5315" spans="1:5" ht="14.25">
      <c r="A5315"/>
      <c r="B5315"/>
      <c r="C5315"/>
      <c r="D5315"/>
      <c r="E5315" s="183"/>
    </row>
    <row r="5316" spans="1:5" ht="14.25">
      <c r="A5316"/>
      <c r="B5316"/>
      <c r="C5316"/>
      <c r="D5316"/>
      <c r="E5316" s="183"/>
    </row>
    <row r="5317" spans="1:5" ht="14.25">
      <c r="A5317"/>
      <c r="B5317"/>
      <c r="C5317"/>
      <c r="D5317"/>
      <c r="E5317" s="184"/>
    </row>
    <row r="5318" spans="1:5" ht="14.25">
      <c r="A5318"/>
      <c r="B5318"/>
      <c r="C5318"/>
      <c r="D5318"/>
      <c r="E5318" s="183"/>
    </row>
    <row r="5319" spans="1:5" ht="14.25">
      <c r="A5319"/>
      <c r="B5319"/>
      <c r="C5319"/>
      <c r="D5319"/>
      <c r="E5319" s="183"/>
    </row>
    <row r="5320" spans="1:5" ht="14.25">
      <c r="A5320"/>
      <c r="B5320"/>
      <c r="C5320"/>
      <c r="D5320"/>
      <c r="E5320" s="183"/>
    </row>
    <row r="5321" spans="1:5" ht="14.25">
      <c r="A5321"/>
      <c r="B5321"/>
      <c r="C5321"/>
      <c r="D5321"/>
      <c r="E5321" s="183"/>
    </row>
    <row r="5322" spans="1:5" ht="14.25">
      <c r="A5322"/>
      <c r="B5322"/>
      <c r="C5322"/>
      <c r="D5322"/>
      <c r="E5322" s="183"/>
    </row>
    <row r="5323" spans="1:5" ht="14.25">
      <c r="A5323"/>
      <c r="B5323"/>
      <c r="C5323"/>
      <c r="D5323"/>
      <c r="E5323" s="183"/>
    </row>
    <row r="5324" spans="1:5" ht="14.25">
      <c r="A5324"/>
      <c r="B5324"/>
      <c r="C5324"/>
      <c r="D5324"/>
      <c r="E5324" s="183"/>
    </row>
    <row r="5325" spans="1:5" ht="14.25">
      <c r="A5325"/>
      <c r="B5325"/>
      <c r="C5325"/>
      <c r="D5325"/>
      <c r="E5325" s="183"/>
    </row>
    <row r="5326" spans="1:5" ht="14.25">
      <c r="A5326"/>
      <c r="B5326"/>
      <c r="C5326"/>
      <c r="D5326"/>
      <c r="E5326" s="183"/>
    </row>
    <row r="5327" spans="1:5" ht="14.25">
      <c r="A5327"/>
      <c r="B5327"/>
      <c r="C5327"/>
      <c r="D5327"/>
      <c r="E5327" s="183"/>
    </row>
    <row r="5328" spans="1:5" ht="14.25">
      <c r="A5328"/>
      <c r="B5328"/>
      <c r="C5328"/>
      <c r="D5328"/>
      <c r="E5328" s="183"/>
    </row>
    <row r="5329" spans="1:5" ht="14.25">
      <c r="A5329"/>
      <c r="B5329"/>
      <c r="C5329"/>
      <c r="D5329"/>
      <c r="E5329" s="183"/>
    </row>
    <row r="5330" spans="1:5" ht="14.25">
      <c r="A5330"/>
      <c r="B5330"/>
      <c r="C5330"/>
      <c r="D5330"/>
      <c r="E5330" s="183"/>
    </row>
    <row r="5331" spans="1:5" ht="14.25">
      <c r="A5331"/>
      <c r="B5331"/>
      <c r="C5331"/>
      <c r="D5331"/>
      <c r="E5331" s="183"/>
    </row>
    <row r="5332" spans="1:5" ht="14.25">
      <c r="A5332"/>
      <c r="B5332"/>
      <c r="C5332"/>
      <c r="D5332"/>
      <c r="E5332" s="183"/>
    </row>
    <row r="5333" spans="1:5" ht="14.25">
      <c r="A5333"/>
      <c r="B5333"/>
      <c r="C5333"/>
      <c r="D5333"/>
      <c r="E5333" s="183"/>
    </row>
    <row r="5334" spans="1:5" ht="14.25">
      <c r="A5334"/>
      <c r="B5334"/>
      <c r="C5334"/>
      <c r="D5334"/>
      <c r="E5334" s="183"/>
    </row>
    <row r="5335" spans="1:5" ht="14.25">
      <c r="A5335"/>
      <c r="B5335"/>
      <c r="C5335"/>
      <c r="D5335"/>
      <c r="E5335" s="183"/>
    </row>
    <row r="5336" spans="1:5" ht="14.25">
      <c r="A5336"/>
      <c r="B5336"/>
      <c r="C5336"/>
      <c r="D5336"/>
      <c r="E5336" s="183"/>
    </row>
    <row r="5337" spans="1:5" ht="14.25">
      <c r="A5337"/>
      <c r="B5337"/>
      <c r="C5337"/>
      <c r="D5337"/>
      <c r="E5337" s="183"/>
    </row>
    <row r="5338" spans="1:5" ht="14.25">
      <c r="A5338"/>
      <c r="B5338"/>
      <c r="C5338"/>
      <c r="D5338"/>
      <c r="E5338" s="183"/>
    </row>
    <row r="5339" spans="1:5" ht="14.25">
      <c r="A5339"/>
      <c r="B5339"/>
      <c r="C5339"/>
      <c r="D5339"/>
      <c r="E5339" s="183"/>
    </row>
    <row r="5340" spans="1:5" ht="14.25">
      <c r="A5340"/>
      <c r="B5340"/>
      <c r="C5340"/>
      <c r="D5340"/>
      <c r="E5340" s="183"/>
    </row>
    <row r="5341" spans="1:5" ht="14.25">
      <c r="A5341"/>
      <c r="B5341"/>
      <c r="C5341"/>
      <c r="D5341"/>
      <c r="E5341" s="183"/>
    </row>
    <row r="5342" spans="1:5" ht="14.25">
      <c r="A5342"/>
      <c r="B5342"/>
      <c r="C5342"/>
      <c r="D5342"/>
      <c r="E5342" s="183"/>
    </row>
    <row r="5343" spans="1:5" ht="14.25">
      <c r="A5343"/>
      <c r="B5343"/>
      <c r="C5343"/>
      <c r="D5343"/>
      <c r="E5343" s="183"/>
    </row>
    <row r="5344" spans="1:5" ht="14.25">
      <c r="A5344"/>
      <c r="B5344"/>
      <c r="C5344"/>
      <c r="D5344"/>
      <c r="E5344" s="183"/>
    </row>
    <row r="5345" spans="1:5" ht="14.25">
      <c r="A5345"/>
      <c r="B5345"/>
      <c r="C5345"/>
      <c r="D5345"/>
      <c r="E5345" s="184"/>
    </row>
    <row r="5346" spans="1:5" ht="14.25">
      <c r="A5346"/>
      <c r="B5346"/>
      <c r="C5346"/>
      <c r="D5346"/>
      <c r="E5346" s="184"/>
    </row>
    <row r="5347" spans="1:5" ht="14.25">
      <c r="A5347"/>
      <c r="B5347"/>
      <c r="C5347"/>
      <c r="D5347"/>
      <c r="E5347" s="184"/>
    </row>
    <row r="5348" spans="1:5" ht="14.25">
      <c r="A5348"/>
      <c r="B5348"/>
      <c r="C5348"/>
      <c r="D5348"/>
      <c r="E5348" s="184"/>
    </row>
    <row r="5349" spans="1:5" ht="14.25">
      <c r="A5349"/>
      <c r="B5349"/>
      <c r="C5349"/>
      <c r="D5349"/>
      <c r="E5349" s="184"/>
    </row>
    <row r="5350" spans="1:5" ht="14.25">
      <c r="A5350"/>
      <c r="B5350"/>
      <c r="C5350"/>
      <c r="D5350"/>
      <c r="E5350" s="184"/>
    </row>
    <row r="5351" spans="1:5" ht="14.25">
      <c r="A5351"/>
      <c r="B5351"/>
      <c r="C5351"/>
      <c r="D5351"/>
      <c r="E5351" s="184"/>
    </row>
    <row r="5352" spans="1:5" ht="14.25">
      <c r="A5352"/>
      <c r="B5352"/>
      <c r="C5352"/>
      <c r="D5352"/>
      <c r="E5352" s="184"/>
    </row>
    <row r="5353" spans="1:5" ht="14.25">
      <c r="A5353"/>
      <c r="B5353"/>
      <c r="C5353"/>
      <c r="D5353"/>
      <c r="E5353" s="184"/>
    </row>
    <row r="5354" spans="1:5" ht="14.25">
      <c r="A5354"/>
      <c r="B5354"/>
      <c r="C5354"/>
      <c r="D5354"/>
      <c r="E5354" s="184"/>
    </row>
    <row r="5355" spans="1:5" ht="14.25">
      <c r="A5355"/>
      <c r="B5355"/>
      <c r="C5355"/>
      <c r="D5355"/>
      <c r="E5355" s="184"/>
    </row>
    <row r="5356" spans="1:5" ht="14.25">
      <c r="A5356"/>
      <c r="B5356"/>
      <c r="C5356"/>
      <c r="D5356"/>
      <c r="E5356" s="184"/>
    </row>
    <row r="5357" spans="1:5" ht="14.25">
      <c r="A5357"/>
      <c r="B5357"/>
      <c r="C5357"/>
      <c r="D5357"/>
      <c r="E5357" s="184"/>
    </row>
    <row r="5358" spans="1:5" ht="14.25">
      <c r="A5358"/>
      <c r="B5358"/>
      <c r="C5358"/>
      <c r="D5358"/>
      <c r="E5358" s="184"/>
    </row>
    <row r="5359" spans="1:5" ht="14.25">
      <c r="A5359"/>
      <c r="B5359"/>
      <c r="C5359"/>
      <c r="D5359"/>
      <c r="E5359" s="184"/>
    </row>
    <row r="5360" spans="1:5" ht="14.25">
      <c r="A5360"/>
      <c r="B5360"/>
      <c r="C5360"/>
      <c r="D5360"/>
      <c r="E5360" s="183"/>
    </row>
    <row r="5361" spans="1:5" ht="14.25">
      <c r="A5361"/>
      <c r="B5361"/>
      <c r="C5361"/>
      <c r="D5361"/>
      <c r="E5361" s="183"/>
    </row>
    <row r="5362" spans="1:5" ht="14.25">
      <c r="A5362"/>
      <c r="B5362"/>
      <c r="C5362"/>
      <c r="D5362"/>
      <c r="E5362" s="183"/>
    </row>
    <row r="5363" spans="1:5" ht="14.25">
      <c r="A5363"/>
      <c r="B5363"/>
      <c r="C5363"/>
      <c r="D5363"/>
      <c r="E5363" s="183"/>
    </row>
    <row r="5364" spans="1:5" ht="14.25">
      <c r="A5364"/>
      <c r="B5364"/>
      <c r="C5364"/>
      <c r="D5364"/>
      <c r="E5364" s="183"/>
    </row>
    <row r="5365" spans="1:5" ht="14.25">
      <c r="A5365"/>
      <c r="B5365"/>
      <c r="C5365"/>
      <c r="D5365"/>
      <c r="E5365" s="183"/>
    </row>
    <row r="5366" spans="1:5" ht="14.25">
      <c r="A5366"/>
      <c r="B5366"/>
      <c r="C5366"/>
      <c r="D5366"/>
      <c r="E5366" s="183"/>
    </row>
    <row r="5367" spans="1:5" ht="14.25">
      <c r="A5367"/>
      <c r="B5367"/>
      <c r="C5367"/>
      <c r="D5367"/>
      <c r="E5367" s="183"/>
    </row>
    <row r="5368" spans="1:5" ht="14.25">
      <c r="A5368"/>
      <c r="B5368"/>
      <c r="C5368"/>
      <c r="D5368"/>
      <c r="E5368" s="183"/>
    </row>
    <row r="5369" spans="1:5" ht="14.25">
      <c r="A5369"/>
      <c r="B5369"/>
      <c r="C5369"/>
      <c r="D5369"/>
      <c r="E5369" s="183"/>
    </row>
    <row r="5370" spans="1:5" ht="14.25">
      <c r="A5370"/>
      <c r="B5370"/>
      <c r="C5370"/>
      <c r="D5370"/>
      <c r="E5370" s="183"/>
    </row>
    <row r="5371" spans="1:5" ht="14.25">
      <c r="A5371"/>
      <c r="B5371"/>
      <c r="C5371"/>
      <c r="D5371"/>
      <c r="E5371" s="183"/>
    </row>
    <row r="5372" spans="1:5" ht="14.25">
      <c r="A5372"/>
      <c r="B5372"/>
      <c r="C5372"/>
      <c r="D5372"/>
      <c r="E5372" s="183"/>
    </row>
    <row r="5373" spans="1:5" ht="14.25">
      <c r="A5373"/>
      <c r="B5373"/>
      <c r="C5373"/>
      <c r="D5373"/>
      <c r="E5373" s="183"/>
    </row>
    <row r="5374" spans="1:5" ht="14.25">
      <c r="A5374"/>
      <c r="B5374"/>
      <c r="C5374"/>
      <c r="D5374"/>
      <c r="E5374" s="183"/>
    </row>
    <row r="5375" spans="1:5" ht="14.25">
      <c r="A5375"/>
      <c r="B5375"/>
      <c r="C5375"/>
      <c r="D5375"/>
      <c r="E5375" s="183"/>
    </row>
    <row r="5376" spans="1:5" ht="14.25">
      <c r="A5376"/>
      <c r="B5376"/>
      <c r="C5376"/>
      <c r="D5376"/>
      <c r="E5376" s="183"/>
    </row>
    <row r="5377" spans="1:5" ht="14.25">
      <c r="A5377"/>
      <c r="B5377"/>
      <c r="C5377"/>
      <c r="D5377"/>
      <c r="E5377" s="183"/>
    </row>
    <row r="5378" spans="1:5" ht="14.25">
      <c r="A5378"/>
      <c r="B5378"/>
      <c r="C5378"/>
      <c r="D5378"/>
      <c r="E5378" s="183"/>
    </row>
    <row r="5379" spans="1:5" ht="14.25">
      <c r="A5379"/>
      <c r="B5379"/>
      <c r="C5379"/>
      <c r="D5379"/>
      <c r="E5379" s="183"/>
    </row>
    <row r="5380" spans="1:5" ht="14.25">
      <c r="A5380"/>
      <c r="B5380"/>
      <c r="C5380"/>
      <c r="D5380"/>
      <c r="E5380" s="183"/>
    </row>
    <row r="5381" spans="1:5" ht="14.25">
      <c r="A5381"/>
      <c r="B5381"/>
      <c r="C5381"/>
      <c r="D5381"/>
      <c r="E5381" s="183"/>
    </row>
    <row r="5382" spans="1:5" ht="14.25">
      <c r="A5382"/>
      <c r="B5382"/>
      <c r="C5382"/>
      <c r="D5382"/>
      <c r="E5382" s="183"/>
    </row>
    <row r="5383" spans="1:5" ht="14.25">
      <c r="A5383"/>
      <c r="B5383"/>
      <c r="C5383"/>
      <c r="D5383"/>
      <c r="E5383" s="183"/>
    </row>
    <row r="5384" spans="1:5" ht="14.25">
      <c r="A5384"/>
      <c r="B5384"/>
      <c r="C5384"/>
      <c r="D5384"/>
      <c r="E5384" s="183"/>
    </row>
    <row r="5385" spans="1:5" ht="14.25">
      <c r="A5385"/>
      <c r="B5385"/>
      <c r="C5385"/>
      <c r="D5385"/>
      <c r="E5385" s="183"/>
    </row>
    <row r="5386" spans="1:5" ht="14.25">
      <c r="A5386"/>
      <c r="B5386"/>
      <c r="C5386"/>
      <c r="D5386"/>
      <c r="E5386" s="183"/>
    </row>
    <row r="5387" spans="1:5" ht="14.25">
      <c r="A5387"/>
      <c r="B5387"/>
      <c r="C5387"/>
      <c r="D5387"/>
      <c r="E5387" s="183"/>
    </row>
    <row r="5388" spans="1:5" ht="14.25">
      <c r="A5388"/>
      <c r="B5388"/>
      <c r="C5388"/>
      <c r="D5388"/>
      <c r="E5388" s="183"/>
    </row>
    <row r="5389" spans="1:5" ht="14.25">
      <c r="A5389"/>
      <c r="B5389"/>
      <c r="C5389"/>
      <c r="D5389"/>
      <c r="E5389" s="183"/>
    </row>
    <row r="5390" spans="1:5" ht="14.25">
      <c r="A5390"/>
      <c r="B5390"/>
      <c r="C5390"/>
      <c r="D5390"/>
      <c r="E5390" s="183"/>
    </row>
    <row r="5391" spans="1:5" ht="14.25">
      <c r="A5391"/>
      <c r="B5391"/>
      <c r="C5391"/>
      <c r="D5391"/>
      <c r="E5391" s="183"/>
    </row>
    <row r="5392" spans="1:5" ht="14.25">
      <c r="A5392"/>
      <c r="B5392"/>
      <c r="C5392"/>
      <c r="D5392"/>
      <c r="E5392" s="183"/>
    </row>
    <row r="5393" spans="1:5" ht="14.25">
      <c r="A5393"/>
      <c r="B5393"/>
      <c r="C5393"/>
      <c r="D5393"/>
      <c r="E5393" s="183"/>
    </row>
    <row r="5394" spans="1:5" ht="14.25">
      <c r="A5394"/>
      <c r="B5394"/>
      <c r="C5394"/>
      <c r="D5394"/>
      <c r="E5394" s="183"/>
    </row>
    <row r="5395" spans="1:5" ht="14.25">
      <c r="A5395"/>
      <c r="B5395"/>
      <c r="C5395"/>
      <c r="D5395"/>
      <c r="E5395" s="183"/>
    </row>
    <row r="5396" spans="1:5" ht="14.25">
      <c r="A5396"/>
      <c r="B5396"/>
      <c r="C5396"/>
      <c r="D5396"/>
      <c r="E5396" s="183"/>
    </row>
    <row r="5397" spans="1:5" ht="14.25">
      <c r="A5397"/>
      <c r="B5397"/>
      <c r="C5397"/>
      <c r="D5397"/>
      <c r="E5397" s="183"/>
    </row>
    <row r="5398" spans="1:5" ht="14.25">
      <c r="A5398"/>
      <c r="B5398"/>
      <c r="C5398"/>
      <c r="D5398"/>
      <c r="E5398" s="183"/>
    </row>
    <row r="5399" spans="1:5" ht="14.25">
      <c r="A5399"/>
      <c r="B5399"/>
      <c r="C5399"/>
      <c r="D5399"/>
      <c r="E5399" s="183"/>
    </row>
    <row r="5400" spans="1:5" ht="14.25">
      <c r="A5400"/>
      <c r="B5400"/>
      <c r="C5400"/>
      <c r="D5400"/>
      <c r="E5400" s="183"/>
    </row>
    <row r="5401" spans="1:5" ht="14.25">
      <c r="A5401"/>
      <c r="B5401"/>
      <c r="C5401"/>
      <c r="D5401"/>
      <c r="E5401" s="183"/>
    </row>
    <row r="5402" spans="1:5" ht="14.25">
      <c r="A5402"/>
      <c r="B5402"/>
      <c r="C5402"/>
      <c r="D5402"/>
      <c r="E5402" s="183"/>
    </row>
    <row r="5403" spans="1:5" ht="14.25">
      <c r="A5403"/>
      <c r="B5403"/>
      <c r="C5403"/>
      <c r="D5403"/>
      <c r="E5403" s="183"/>
    </row>
    <row r="5404" spans="1:5" ht="14.25">
      <c r="A5404"/>
      <c r="B5404"/>
      <c r="C5404"/>
      <c r="D5404"/>
      <c r="E5404" s="183"/>
    </row>
    <row r="5405" spans="1:5" ht="14.25">
      <c r="A5405"/>
      <c r="B5405"/>
      <c r="C5405"/>
      <c r="D5405"/>
      <c r="E5405" s="183"/>
    </row>
    <row r="5406" spans="1:5" ht="14.25">
      <c r="A5406"/>
      <c r="B5406"/>
      <c r="C5406"/>
      <c r="D5406"/>
      <c r="E5406" s="183"/>
    </row>
    <row r="5407" spans="1:5" ht="14.25">
      <c r="A5407"/>
      <c r="B5407"/>
      <c r="C5407"/>
      <c r="D5407"/>
      <c r="E5407" s="183"/>
    </row>
    <row r="5408" spans="1:5" ht="14.25">
      <c r="A5408"/>
      <c r="B5408"/>
      <c r="C5408"/>
      <c r="D5408"/>
      <c r="E5408" s="183"/>
    </row>
    <row r="5409" spans="1:5" ht="14.25">
      <c r="A5409"/>
      <c r="B5409"/>
      <c r="C5409"/>
      <c r="D5409"/>
      <c r="E5409" s="183"/>
    </row>
    <row r="5410" spans="1:5" ht="14.25">
      <c r="A5410"/>
      <c r="B5410"/>
      <c r="C5410"/>
      <c r="D5410"/>
      <c r="E5410" s="183"/>
    </row>
    <row r="5411" spans="1:5" ht="14.25">
      <c r="A5411"/>
      <c r="B5411"/>
      <c r="C5411"/>
      <c r="D5411"/>
      <c r="E5411" s="183"/>
    </row>
    <row r="5412" spans="1:5" ht="14.25">
      <c r="A5412"/>
      <c r="B5412"/>
      <c r="C5412"/>
      <c r="D5412"/>
      <c r="E5412" s="183"/>
    </row>
    <row r="5413" spans="1:5" ht="14.25">
      <c r="A5413"/>
      <c r="B5413"/>
      <c r="C5413"/>
      <c r="D5413"/>
      <c r="E5413" s="183"/>
    </row>
    <row r="5414" spans="1:5" ht="14.25">
      <c r="A5414"/>
      <c r="B5414"/>
      <c r="C5414"/>
      <c r="D5414"/>
      <c r="E5414" s="183"/>
    </row>
    <row r="5415" spans="1:5" ht="14.25">
      <c r="A5415"/>
      <c r="B5415"/>
      <c r="C5415"/>
      <c r="D5415"/>
      <c r="E5415" s="183"/>
    </row>
    <row r="5416" spans="1:5" ht="14.25">
      <c r="A5416"/>
      <c r="B5416"/>
      <c r="C5416"/>
      <c r="D5416"/>
      <c r="E5416" s="183"/>
    </row>
    <row r="5417" spans="1:5" ht="14.25">
      <c r="A5417"/>
      <c r="B5417"/>
      <c r="C5417"/>
      <c r="D5417"/>
      <c r="E5417" s="183"/>
    </row>
    <row r="5418" spans="1:5" ht="14.25">
      <c r="A5418"/>
      <c r="B5418"/>
      <c r="C5418"/>
      <c r="D5418"/>
      <c r="E5418" s="183"/>
    </row>
    <row r="5419" spans="1:5" ht="14.25">
      <c r="A5419"/>
      <c r="B5419"/>
      <c r="C5419"/>
      <c r="D5419"/>
      <c r="E5419" s="183"/>
    </row>
    <row r="5420" spans="1:5" ht="14.25">
      <c r="A5420"/>
      <c r="B5420"/>
      <c r="C5420"/>
      <c r="D5420"/>
      <c r="E5420" s="183"/>
    </row>
    <row r="5421" spans="1:5" ht="14.25">
      <c r="A5421"/>
      <c r="B5421"/>
      <c r="C5421"/>
      <c r="D5421"/>
      <c r="E5421" s="183"/>
    </row>
    <row r="5422" spans="1:5" ht="14.25">
      <c r="A5422"/>
      <c r="B5422"/>
      <c r="C5422"/>
      <c r="D5422"/>
      <c r="E5422" s="183"/>
    </row>
    <row r="5423" spans="1:5" ht="14.25">
      <c r="A5423"/>
      <c r="B5423"/>
      <c r="C5423"/>
      <c r="D5423"/>
      <c r="E5423" s="183"/>
    </row>
    <row r="5424" spans="1:5" ht="14.25">
      <c r="A5424"/>
      <c r="B5424"/>
      <c r="C5424"/>
      <c r="D5424"/>
      <c r="E5424" s="183"/>
    </row>
    <row r="5425" spans="1:5" ht="14.25">
      <c r="A5425"/>
      <c r="B5425"/>
      <c r="C5425"/>
      <c r="D5425"/>
      <c r="E5425" s="183"/>
    </row>
    <row r="5426" spans="1:5" ht="14.25">
      <c r="A5426"/>
      <c r="B5426"/>
      <c r="C5426"/>
      <c r="D5426"/>
      <c r="E5426" s="183"/>
    </row>
    <row r="5427" spans="1:5" ht="14.25">
      <c r="A5427"/>
      <c r="B5427"/>
      <c r="C5427"/>
      <c r="D5427"/>
      <c r="E5427" s="183"/>
    </row>
    <row r="5428" spans="1:5" ht="14.25">
      <c r="A5428"/>
      <c r="B5428"/>
      <c r="C5428"/>
      <c r="D5428"/>
      <c r="E5428" s="183"/>
    </row>
    <row r="5429" spans="1:5" ht="14.25">
      <c r="A5429"/>
      <c r="B5429"/>
      <c r="C5429"/>
      <c r="D5429"/>
      <c r="E5429" s="183"/>
    </row>
    <row r="5430" spans="1:5" ht="14.25">
      <c r="A5430"/>
      <c r="B5430"/>
      <c r="C5430"/>
      <c r="D5430"/>
      <c r="E5430" s="183"/>
    </row>
    <row r="5431" spans="1:5" ht="14.25">
      <c r="A5431"/>
      <c r="B5431"/>
      <c r="C5431"/>
      <c r="D5431"/>
      <c r="E5431" s="183"/>
    </row>
    <row r="5432" spans="1:5" ht="14.25">
      <c r="A5432"/>
      <c r="B5432"/>
      <c r="C5432"/>
      <c r="D5432"/>
      <c r="E5432" s="183"/>
    </row>
    <row r="5433" spans="1:5" ht="14.25">
      <c r="A5433"/>
      <c r="B5433"/>
      <c r="C5433"/>
      <c r="D5433"/>
      <c r="E5433" s="183"/>
    </row>
    <row r="5434" spans="1:5" ht="14.25">
      <c r="A5434"/>
      <c r="B5434"/>
      <c r="C5434"/>
      <c r="D5434"/>
      <c r="E5434" s="183"/>
    </row>
    <row r="5435" spans="1:5" ht="14.25">
      <c r="A5435"/>
      <c r="B5435"/>
      <c r="C5435"/>
      <c r="D5435"/>
      <c r="E5435" s="183"/>
    </row>
    <row r="5436" spans="1:5" ht="14.25">
      <c r="A5436"/>
      <c r="B5436"/>
      <c r="C5436"/>
      <c r="D5436"/>
      <c r="E5436" s="183"/>
    </row>
    <row r="5437" spans="1:5" ht="14.25">
      <c r="A5437"/>
      <c r="B5437"/>
      <c r="C5437"/>
      <c r="D5437"/>
      <c r="E5437" s="183"/>
    </row>
    <row r="5438" spans="1:5" ht="14.25">
      <c r="A5438"/>
      <c r="B5438"/>
      <c r="C5438"/>
      <c r="D5438"/>
      <c r="E5438" s="183"/>
    </row>
    <row r="5439" spans="1:5" ht="14.25">
      <c r="A5439"/>
      <c r="B5439"/>
      <c r="C5439"/>
      <c r="D5439"/>
      <c r="E5439" s="183"/>
    </row>
    <row r="5440" spans="1:5" ht="14.25">
      <c r="A5440"/>
      <c r="B5440"/>
      <c r="C5440"/>
      <c r="D5440"/>
      <c r="E5440" s="183"/>
    </row>
    <row r="5441" spans="1:5" ht="14.25">
      <c r="A5441"/>
      <c r="B5441"/>
      <c r="C5441"/>
      <c r="D5441"/>
      <c r="E5441" s="183"/>
    </row>
    <row r="5442" spans="1:5" ht="14.25">
      <c r="A5442"/>
      <c r="B5442"/>
      <c r="C5442"/>
      <c r="D5442"/>
      <c r="E5442" s="183"/>
    </row>
    <row r="5443" spans="1:5" ht="14.25">
      <c r="A5443"/>
      <c r="B5443"/>
      <c r="C5443"/>
      <c r="D5443"/>
      <c r="E5443" s="183"/>
    </row>
    <row r="5444" spans="1:5" ht="14.25">
      <c r="A5444"/>
      <c r="B5444"/>
      <c r="C5444"/>
      <c r="D5444"/>
      <c r="E5444" s="183"/>
    </row>
    <row r="5445" spans="1:5" ht="14.25">
      <c r="A5445"/>
      <c r="B5445"/>
      <c r="C5445"/>
      <c r="D5445"/>
      <c r="E5445" s="183"/>
    </row>
    <row r="5446" spans="1:5" ht="14.25">
      <c r="A5446"/>
      <c r="B5446"/>
      <c r="C5446"/>
      <c r="D5446"/>
      <c r="E5446" s="183"/>
    </row>
    <row r="5447" spans="1:5" ht="14.25">
      <c r="A5447"/>
      <c r="B5447"/>
      <c r="C5447"/>
      <c r="D5447"/>
      <c r="E5447" s="183"/>
    </row>
    <row r="5448" spans="1:5" ht="14.25">
      <c r="A5448"/>
      <c r="B5448"/>
      <c r="C5448"/>
      <c r="D5448"/>
      <c r="E5448" s="183"/>
    </row>
    <row r="5449" spans="1:5" ht="14.25">
      <c r="A5449"/>
      <c r="B5449"/>
      <c r="C5449"/>
      <c r="D5449"/>
      <c r="E5449" s="183"/>
    </row>
    <row r="5450" spans="1:5" ht="14.25">
      <c r="A5450"/>
      <c r="B5450"/>
      <c r="C5450"/>
      <c r="D5450"/>
      <c r="E5450" s="183"/>
    </row>
    <row r="5451" spans="1:5" ht="14.25">
      <c r="A5451"/>
      <c r="B5451"/>
      <c r="C5451"/>
      <c r="D5451"/>
      <c r="E5451" s="183"/>
    </row>
    <row r="5452" spans="1:5" ht="14.25">
      <c r="A5452"/>
      <c r="B5452"/>
      <c r="C5452"/>
      <c r="D5452"/>
      <c r="E5452" s="183"/>
    </row>
    <row r="5453" spans="1:5" ht="14.25">
      <c r="A5453"/>
      <c r="B5453"/>
      <c r="C5453"/>
      <c r="D5453"/>
      <c r="E5453" s="183"/>
    </row>
    <row r="5454" spans="1:5" ht="14.25">
      <c r="A5454"/>
      <c r="B5454"/>
      <c r="C5454"/>
      <c r="D5454"/>
      <c r="E5454" s="183"/>
    </row>
    <row r="5455" spans="1:5" ht="14.25">
      <c r="A5455"/>
      <c r="B5455"/>
      <c r="C5455"/>
      <c r="D5455"/>
      <c r="E5455" s="183"/>
    </row>
    <row r="5456" spans="1:5" ht="14.25">
      <c r="A5456"/>
      <c r="B5456"/>
      <c r="C5456"/>
      <c r="D5456"/>
      <c r="E5456" s="183"/>
    </row>
    <row r="5457" spans="1:5" ht="14.25">
      <c r="A5457"/>
      <c r="B5457"/>
      <c r="C5457"/>
      <c r="D5457"/>
      <c r="E5457" s="183"/>
    </row>
    <row r="5458" spans="1:5" ht="14.25">
      <c r="A5458"/>
      <c r="B5458"/>
      <c r="C5458"/>
      <c r="D5458"/>
      <c r="E5458" s="183"/>
    </row>
    <row r="5459" spans="1:5" ht="14.25">
      <c r="A5459"/>
      <c r="B5459"/>
      <c r="C5459"/>
      <c r="D5459"/>
      <c r="E5459" s="183"/>
    </row>
    <row r="5460" spans="1:5" ht="14.25">
      <c r="A5460"/>
      <c r="B5460"/>
      <c r="C5460"/>
      <c r="D5460"/>
      <c r="E5460" s="183"/>
    </row>
    <row r="5461" spans="1:5" ht="14.25">
      <c r="A5461"/>
      <c r="B5461"/>
      <c r="C5461"/>
      <c r="D5461"/>
      <c r="E5461" s="183"/>
    </row>
    <row r="5462" spans="1:5" ht="14.25">
      <c r="A5462"/>
      <c r="B5462"/>
      <c r="C5462"/>
      <c r="D5462"/>
      <c r="E5462" s="183"/>
    </row>
    <row r="5463" spans="1:5" ht="14.25">
      <c r="A5463"/>
      <c r="B5463"/>
      <c r="C5463"/>
      <c r="D5463"/>
      <c r="E5463" s="183"/>
    </row>
    <row r="5464" spans="1:5" ht="14.25">
      <c r="A5464"/>
      <c r="B5464"/>
      <c r="C5464"/>
      <c r="D5464"/>
      <c r="E5464" s="183"/>
    </row>
    <row r="5465" spans="1:5" ht="14.25">
      <c r="A5465"/>
      <c r="B5465"/>
      <c r="C5465"/>
      <c r="D5465"/>
      <c r="E5465" s="183"/>
    </row>
    <row r="5466" spans="1:5" ht="14.25">
      <c r="A5466"/>
      <c r="B5466"/>
      <c r="C5466"/>
      <c r="D5466"/>
      <c r="E5466" s="183"/>
    </row>
    <row r="5467" spans="1:5" ht="14.25">
      <c r="A5467"/>
      <c r="B5467"/>
      <c r="C5467"/>
      <c r="D5467"/>
      <c r="E5467" s="183"/>
    </row>
    <row r="5468" spans="1:5" ht="14.25">
      <c r="A5468"/>
      <c r="B5468"/>
      <c r="C5468"/>
      <c r="D5468"/>
      <c r="E5468" s="183"/>
    </row>
    <row r="5469" spans="1:5" ht="14.25">
      <c r="A5469"/>
      <c r="B5469"/>
      <c r="C5469"/>
      <c r="D5469"/>
      <c r="E5469" s="183"/>
    </row>
    <row r="5470" spans="1:5" ht="14.25">
      <c r="A5470"/>
      <c r="B5470"/>
      <c r="C5470"/>
      <c r="D5470"/>
      <c r="E5470" s="183"/>
    </row>
    <row r="5471" spans="1:5" ht="14.25">
      <c r="A5471"/>
      <c r="B5471"/>
      <c r="C5471"/>
      <c r="D5471"/>
      <c r="E5471" s="183"/>
    </row>
    <row r="5472" spans="1:5" ht="14.25">
      <c r="A5472"/>
      <c r="B5472"/>
      <c r="C5472"/>
      <c r="D5472"/>
      <c r="E5472" s="183"/>
    </row>
    <row r="5473" spans="1:5" ht="14.25">
      <c r="A5473"/>
      <c r="B5473"/>
      <c r="C5473"/>
      <c r="D5473"/>
      <c r="E5473" s="183"/>
    </row>
    <row r="5474" spans="1:5" ht="14.25">
      <c r="A5474"/>
      <c r="B5474"/>
      <c r="C5474"/>
      <c r="D5474"/>
      <c r="E5474" s="183"/>
    </row>
    <row r="5475" spans="1:5" ht="14.25">
      <c r="A5475"/>
      <c r="B5475"/>
      <c r="C5475"/>
      <c r="D5475"/>
      <c r="E5475" s="183"/>
    </row>
    <row r="5476" spans="1:5" ht="14.25">
      <c r="A5476"/>
      <c r="B5476"/>
      <c r="C5476"/>
      <c r="D5476"/>
      <c r="E5476" s="183"/>
    </row>
    <row r="5477" spans="1:5" ht="14.25">
      <c r="A5477"/>
      <c r="B5477"/>
      <c r="C5477"/>
      <c r="D5477"/>
      <c r="E5477" s="183"/>
    </row>
    <row r="5478" spans="1:5" ht="14.25">
      <c r="A5478"/>
      <c r="B5478"/>
      <c r="C5478"/>
      <c r="D5478"/>
      <c r="E5478" s="183"/>
    </row>
    <row r="5479" spans="1:5" ht="14.25">
      <c r="A5479"/>
      <c r="B5479"/>
      <c r="C5479"/>
      <c r="D5479"/>
      <c r="E5479" s="183"/>
    </row>
    <row r="5480" spans="1:5" ht="14.25">
      <c r="A5480"/>
      <c r="B5480"/>
      <c r="C5480"/>
      <c r="D5480"/>
      <c r="E5480" s="183"/>
    </row>
    <row r="5481" spans="1:5" ht="14.25">
      <c r="A5481"/>
      <c r="B5481"/>
      <c r="C5481"/>
      <c r="D5481"/>
      <c r="E5481" s="183"/>
    </row>
    <row r="5482" spans="1:5" ht="14.25">
      <c r="A5482"/>
      <c r="B5482"/>
      <c r="C5482"/>
      <c r="D5482"/>
      <c r="E5482" s="183"/>
    </row>
    <row r="5483" spans="1:5" ht="14.25">
      <c r="A5483"/>
      <c r="B5483"/>
      <c r="C5483"/>
      <c r="D5483"/>
      <c r="E5483" s="183"/>
    </row>
    <row r="5484" spans="1:5" ht="14.25">
      <c r="A5484"/>
      <c r="B5484"/>
      <c r="C5484"/>
      <c r="D5484"/>
      <c r="E5484" s="183"/>
    </row>
    <row r="5485" spans="1:5" ht="14.25">
      <c r="A5485"/>
      <c r="B5485"/>
      <c r="C5485"/>
      <c r="D5485"/>
      <c r="E5485" s="183"/>
    </row>
    <row r="5486" spans="1:5" ht="14.25">
      <c r="A5486"/>
      <c r="B5486"/>
      <c r="C5486"/>
      <c r="D5486"/>
      <c r="E5486" s="183"/>
    </row>
    <row r="5487" spans="1:5" ht="14.25">
      <c r="A5487"/>
      <c r="B5487"/>
      <c r="C5487"/>
      <c r="D5487"/>
      <c r="E5487" s="183"/>
    </row>
    <row r="5488" spans="1:5" ht="14.25">
      <c r="A5488"/>
      <c r="B5488"/>
      <c r="C5488"/>
      <c r="D5488"/>
      <c r="E5488" s="183"/>
    </row>
    <row r="5489" spans="1:5" ht="14.25">
      <c r="A5489"/>
      <c r="B5489"/>
      <c r="C5489"/>
      <c r="D5489"/>
      <c r="E5489" s="183"/>
    </row>
    <row r="5490" spans="1:5" ht="14.25">
      <c r="A5490"/>
      <c r="B5490"/>
      <c r="C5490"/>
      <c r="D5490"/>
      <c r="E5490" s="183"/>
    </row>
    <row r="5491" spans="1:5" ht="14.25">
      <c r="A5491"/>
      <c r="B5491"/>
      <c r="C5491"/>
      <c r="D5491"/>
      <c r="E5491" s="183"/>
    </row>
    <row r="5492" spans="1:5" ht="14.25">
      <c r="A5492"/>
      <c r="B5492"/>
      <c r="C5492"/>
      <c r="D5492"/>
      <c r="E5492" s="183"/>
    </row>
    <row r="5493" spans="1:5" ht="14.25">
      <c r="A5493"/>
      <c r="B5493"/>
      <c r="C5493"/>
      <c r="D5493"/>
      <c r="E5493" s="183"/>
    </row>
    <row r="5494" spans="1:5" ht="14.25">
      <c r="A5494"/>
      <c r="B5494"/>
      <c r="C5494"/>
      <c r="D5494"/>
      <c r="E5494" s="183"/>
    </row>
    <row r="5495" spans="1:5" ht="14.25">
      <c r="A5495"/>
      <c r="B5495"/>
      <c r="C5495"/>
      <c r="D5495"/>
      <c r="E5495" s="183"/>
    </row>
    <row r="5496" spans="1:5" ht="14.25">
      <c r="A5496"/>
      <c r="B5496"/>
      <c r="C5496"/>
      <c r="D5496"/>
      <c r="E5496" s="183"/>
    </row>
    <row r="5497" spans="1:5" ht="14.25">
      <c r="A5497"/>
      <c r="B5497"/>
      <c r="C5497"/>
      <c r="D5497"/>
      <c r="E5497" s="183"/>
    </row>
    <row r="5498" spans="1:5" ht="14.25">
      <c r="A5498"/>
      <c r="B5498"/>
      <c r="C5498"/>
      <c r="D5498"/>
      <c r="E5498" s="183"/>
    </row>
    <row r="5499" spans="1:5" ht="14.25">
      <c r="A5499"/>
      <c r="B5499"/>
      <c r="C5499"/>
      <c r="D5499"/>
      <c r="E5499" s="183"/>
    </row>
    <row r="5500" spans="1:5" ht="14.25">
      <c r="A5500"/>
      <c r="B5500"/>
      <c r="C5500"/>
      <c r="D5500"/>
      <c r="E5500" s="183"/>
    </row>
    <row r="5501" spans="1:5" ht="14.25">
      <c r="A5501"/>
      <c r="B5501"/>
      <c r="C5501"/>
      <c r="D5501"/>
      <c r="E5501" s="183"/>
    </row>
    <row r="5502" spans="1:5" ht="14.25">
      <c r="A5502"/>
      <c r="B5502"/>
      <c r="C5502"/>
      <c r="D5502"/>
      <c r="E5502" s="183"/>
    </row>
    <row r="5503" spans="1:5" ht="14.25">
      <c r="A5503"/>
      <c r="B5503"/>
      <c r="C5503"/>
      <c r="D5503"/>
      <c r="E5503" s="183"/>
    </row>
    <row r="5504" spans="1:5" ht="14.25">
      <c r="A5504"/>
      <c r="B5504"/>
      <c r="C5504"/>
      <c r="D5504"/>
      <c r="E5504" s="183"/>
    </row>
    <row r="5505" spans="1:5" ht="14.25">
      <c r="A5505"/>
      <c r="B5505"/>
      <c r="C5505"/>
      <c r="D5505"/>
      <c r="E5505" s="183"/>
    </row>
    <row r="5506" spans="1:5" ht="14.25">
      <c r="A5506"/>
      <c r="B5506"/>
      <c r="C5506"/>
      <c r="D5506"/>
      <c r="E5506" s="183"/>
    </row>
    <row r="5507" spans="1:5" ht="14.25">
      <c r="A5507"/>
      <c r="B5507"/>
      <c r="C5507"/>
      <c r="D5507"/>
      <c r="E5507" s="183"/>
    </row>
    <row r="5508" spans="1:5" ht="14.25">
      <c r="A5508"/>
      <c r="B5508"/>
      <c r="C5508"/>
      <c r="D5508"/>
      <c r="E5508" s="183"/>
    </row>
    <row r="5509" spans="1:5" ht="14.25">
      <c r="A5509"/>
      <c r="B5509"/>
      <c r="C5509"/>
      <c r="D5509"/>
      <c r="E5509" s="183"/>
    </row>
    <row r="5510" spans="1:5" ht="14.25">
      <c r="A5510"/>
      <c r="B5510"/>
      <c r="C5510"/>
      <c r="D5510"/>
      <c r="E5510" s="183"/>
    </row>
    <row r="5511" spans="1:5" ht="14.25">
      <c r="A5511"/>
      <c r="B5511"/>
      <c r="C5511"/>
      <c r="D5511"/>
      <c r="E5511" s="183"/>
    </row>
    <row r="5512" spans="1:5" ht="14.25">
      <c r="A5512"/>
      <c r="B5512"/>
      <c r="C5512"/>
      <c r="D5512"/>
      <c r="E5512" s="183"/>
    </row>
    <row r="5513" spans="1:5" ht="14.25">
      <c r="A5513"/>
      <c r="B5513"/>
      <c r="C5513"/>
      <c r="D5513"/>
      <c r="E5513" s="183"/>
    </row>
    <row r="5514" spans="1:5" ht="14.25">
      <c r="A5514"/>
      <c r="B5514"/>
      <c r="C5514"/>
      <c r="D5514"/>
      <c r="E5514" s="183"/>
    </row>
    <row r="5515" spans="1:5" ht="14.25">
      <c r="A5515"/>
      <c r="B5515"/>
      <c r="C5515"/>
      <c r="D5515"/>
      <c r="E5515" s="183"/>
    </row>
    <row r="5516" spans="1:5" ht="14.25">
      <c r="A5516"/>
      <c r="B5516"/>
      <c r="C5516"/>
      <c r="D5516"/>
      <c r="E5516" s="183"/>
    </row>
    <row r="5517" spans="1:5" ht="14.25">
      <c r="A5517"/>
      <c r="B5517"/>
      <c r="C5517"/>
      <c r="D5517"/>
      <c r="E5517" s="183"/>
    </row>
    <row r="5518" spans="1:5" ht="14.25">
      <c r="A5518"/>
      <c r="B5518"/>
      <c r="C5518"/>
      <c r="D5518"/>
      <c r="E5518" s="183"/>
    </row>
    <row r="5519" spans="1:5" ht="14.25">
      <c r="A5519"/>
      <c r="B5519"/>
      <c r="C5519"/>
      <c r="D5519"/>
      <c r="E5519" s="183"/>
    </row>
    <row r="5520" spans="1:5" ht="14.25">
      <c r="A5520"/>
      <c r="B5520"/>
      <c r="C5520"/>
      <c r="D5520"/>
      <c r="E5520" s="183"/>
    </row>
    <row r="5521" spans="1:5" ht="14.25">
      <c r="A5521"/>
      <c r="B5521"/>
      <c r="C5521"/>
      <c r="D5521"/>
      <c r="E5521" s="183"/>
    </row>
    <row r="5522" spans="1:5" ht="14.25">
      <c r="A5522"/>
      <c r="B5522"/>
      <c r="C5522"/>
      <c r="D5522"/>
      <c r="E5522" s="183"/>
    </row>
    <row r="5523" spans="1:5" ht="14.25">
      <c r="A5523"/>
      <c r="B5523"/>
      <c r="C5523"/>
      <c r="D5523"/>
      <c r="E5523" s="183"/>
    </row>
    <row r="5524" spans="1:5" ht="14.25">
      <c r="A5524"/>
      <c r="B5524"/>
      <c r="C5524"/>
      <c r="D5524"/>
      <c r="E5524" s="183"/>
    </row>
    <row r="5525" spans="1:5" ht="14.25">
      <c r="A5525"/>
      <c r="B5525"/>
      <c r="C5525"/>
      <c r="D5525"/>
      <c r="E5525" s="183"/>
    </row>
    <row r="5526" spans="1:5" ht="14.25">
      <c r="A5526"/>
      <c r="B5526"/>
      <c r="C5526"/>
      <c r="D5526"/>
      <c r="E5526" s="183"/>
    </row>
    <row r="5527" spans="1:5" ht="14.25">
      <c r="A5527"/>
      <c r="B5527"/>
      <c r="C5527"/>
      <c r="D5527"/>
      <c r="E5527" s="183"/>
    </row>
    <row r="5528" spans="1:5" ht="14.25">
      <c r="A5528"/>
      <c r="B5528"/>
      <c r="C5528"/>
      <c r="D5528"/>
      <c r="E5528" s="183"/>
    </row>
    <row r="5529" spans="1:5" ht="14.25">
      <c r="A5529"/>
      <c r="B5529"/>
      <c r="C5529"/>
      <c r="D5529"/>
      <c r="E5529" s="183"/>
    </row>
    <row r="5530" spans="1:5" ht="14.25">
      <c r="A5530"/>
      <c r="B5530"/>
      <c r="C5530"/>
      <c r="D5530"/>
      <c r="E5530" s="183"/>
    </row>
    <row r="5531" spans="1:5" ht="14.25">
      <c r="A5531"/>
      <c r="B5531"/>
      <c r="C5531"/>
      <c r="D5531"/>
      <c r="E5531" s="183"/>
    </row>
    <row r="5532" spans="1:5" ht="14.25">
      <c r="A5532"/>
      <c r="B5532"/>
      <c r="C5532"/>
      <c r="D5532"/>
      <c r="E5532" s="183"/>
    </row>
    <row r="5533" spans="1:5" ht="14.25">
      <c r="A5533"/>
      <c r="B5533"/>
      <c r="C5533"/>
      <c r="D5533"/>
      <c r="E5533" s="183"/>
    </row>
    <row r="5534" spans="1:5" ht="14.25">
      <c r="A5534"/>
      <c r="B5534"/>
      <c r="C5534"/>
      <c r="D5534"/>
      <c r="E5534" s="183"/>
    </row>
    <row r="5535" spans="1:5" ht="14.25">
      <c r="A5535"/>
      <c r="B5535"/>
      <c r="C5535"/>
      <c r="D5535"/>
      <c r="E5535" s="183"/>
    </row>
    <row r="5536" spans="1:5" ht="14.25">
      <c r="A5536"/>
      <c r="B5536"/>
      <c r="C5536"/>
      <c r="D5536"/>
      <c r="E5536" s="183"/>
    </row>
    <row r="5537" spans="1:5" ht="14.25">
      <c r="A5537"/>
      <c r="B5537"/>
      <c r="C5537"/>
      <c r="D5537"/>
      <c r="E5537" s="183"/>
    </row>
    <row r="5538" spans="1:5" ht="14.25">
      <c r="A5538"/>
      <c r="B5538"/>
      <c r="C5538"/>
      <c r="D5538"/>
      <c r="E5538" s="183"/>
    </row>
    <row r="5539" spans="1:5" ht="14.25">
      <c r="A5539"/>
      <c r="B5539"/>
      <c r="C5539"/>
      <c r="D5539"/>
      <c r="E5539" s="183"/>
    </row>
    <row r="5540" spans="1:5" ht="14.25">
      <c r="A5540"/>
      <c r="B5540"/>
      <c r="C5540"/>
      <c r="D5540"/>
      <c r="E5540" s="183"/>
    </row>
    <row r="5541" spans="1:5" ht="14.25">
      <c r="A5541"/>
      <c r="B5541"/>
      <c r="C5541"/>
      <c r="D5541"/>
      <c r="E5541" s="183"/>
    </row>
    <row r="5542" spans="1:5" ht="14.25">
      <c r="A5542"/>
      <c r="B5542"/>
      <c r="C5542"/>
      <c r="D5542"/>
      <c r="E5542" s="183"/>
    </row>
    <row r="5543" spans="1:5" ht="14.25">
      <c r="A5543"/>
      <c r="B5543"/>
      <c r="C5543"/>
      <c r="D5543"/>
      <c r="E5543" s="183"/>
    </row>
    <row r="5544" spans="1:5" ht="14.25">
      <c r="A5544"/>
      <c r="B5544"/>
      <c r="C5544"/>
      <c r="D5544"/>
      <c r="E5544" s="183"/>
    </row>
    <row r="5545" spans="1:5" ht="14.25">
      <c r="A5545"/>
      <c r="B5545"/>
      <c r="C5545"/>
      <c r="D5545"/>
      <c r="E5545" s="183"/>
    </row>
    <row r="5546" spans="1:5" ht="14.25">
      <c r="A5546"/>
      <c r="B5546"/>
      <c r="C5546"/>
      <c r="D5546"/>
      <c r="E5546" s="183"/>
    </row>
    <row r="5547" spans="1:5" ht="14.25">
      <c r="A5547"/>
      <c r="B5547"/>
      <c r="C5547"/>
      <c r="D5547"/>
      <c r="E5547" s="183"/>
    </row>
    <row r="5548" spans="1:5" ht="14.25">
      <c r="A5548"/>
      <c r="B5548"/>
      <c r="C5548"/>
      <c r="D5548"/>
      <c r="E5548" s="184"/>
    </row>
    <row r="5549" spans="1:5" ht="14.25">
      <c r="A5549"/>
      <c r="B5549"/>
      <c r="C5549"/>
      <c r="D5549"/>
      <c r="E5549" s="184"/>
    </row>
    <row r="5550" spans="1:5" ht="14.25">
      <c r="A5550"/>
      <c r="B5550"/>
      <c r="C5550"/>
      <c r="D5550"/>
      <c r="E5550" s="183"/>
    </row>
    <row r="5551" spans="1:5" ht="14.25">
      <c r="A5551"/>
      <c r="B5551"/>
      <c r="C5551"/>
      <c r="D5551"/>
      <c r="E5551" s="184"/>
    </row>
    <row r="5552" spans="1:5" ht="14.25">
      <c r="A5552"/>
      <c r="B5552"/>
      <c r="C5552"/>
      <c r="D5552"/>
      <c r="E5552" s="184"/>
    </row>
    <row r="5553" spans="1:5" ht="14.25">
      <c r="A5553"/>
      <c r="B5553"/>
      <c r="C5553"/>
      <c r="D5553"/>
      <c r="E5553" s="184"/>
    </row>
    <row r="5554" spans="1:5" ht="14.25">
      <c r="A5554"/>
      <c r="B5554"/>
      <c r="C5554"/>
      <c r="D5554"/>
      <c r="E5554" s="183"/>
    </row>
    <row r="5555" spans="1:5" ht="14.25">
      <c r="A5555"/>
      <c r="B5555"/>
      <c r="C5555"/>
      <c r="D5555"/>
      <c r="E5555" s="184"/>
    </row>
    <row r="5556" spans="1:5" ht="14.25">
      <c r="A5556"/>
      <c r="B5556"/>
      <c r="C5556"/>
      <c r="D5556"/>
      <c r="E5556" s="183"/>
    </row>
    <row r="5557" spans="1:5" ht="14.25">
      <c r="A5557"/>
      <c r="B5557"/>
      <c r="C5557"/>
      <c r="D5557"/>
      <c r="E5557" s="184"/>
    </row>
    <row r="5558" spans="1:5" ht="14.25">
      <c r="A5558"/>
      <c r="B5558"/>
      <c r="C5558"/>
      <c r="D5558"/>
      <c r="E5558" s="184"/>
    </row>
    <row r="5559" spans="1:5" ht="14.25">
      <c r="A5559"/>
      <c r="B5559"/>
      <c r="C5559"/>
      <c r="D5559"/>
      <c r="E5559" s="183"/>
    </row>
    <row r="5560" spans="1:5" ht="14.25">
      <c r="A5560"/>
      <c r="B5560"/>
      <c r="C5560"/>
      <c r="D5560"/>
      <c r="E5560" s="183"/>
    </row>
    <row r="5561" spans="1:5" ht="14.25">
      <c r="A5561"/>
      <c r="B5561"/>
      <c r="C5561"/>
      <c r="D5561"/>
      <c r="E5561" s="184"/>
    </row>
    <row r="5562" spans="1:5" ht="14.25">
      <c r="A5562"/>
      <c r="B5562"/>
      <c r="C5562"/>
      <c r="D5562"/>
      <c r="E5562" s="184"/>
    </row>
    <row r="5563" spans="1:5" ht="14.25">
      <c r="A5563"/>
      <c r="B5563"/>
      <c r="C5563"/>
      <c r="D5563"/>
      <c r="E5563" s="183"/>
    </row>
    <row r="5564" spans="1:5" ht="14.25">
      <c r="A5564"/>
      <c r="B5564"/>
      <c r="C5564"/>
      <c r="D5564"/>
      <c r="E5564" s="184"/>
    </row>
    <row r="5565" spans="1:5" ht="14.25">
      <c r="A5565"/>
      <c r="B5565"/>
      <c r="C5565"/>
      <c r="D5565"/>
      <c r="E5565" s="183"/>
    </row>
    <row r="5566" spans="1:5" ht="14.25">
      <c r="A5566"/>
      <c r="B5566"/>
      <c r="C5566"/>
      <c r="D5566"/>
      <c r="E5566" s="184"/>
    </row>
    <row r="5567" spans="1:5" ht="14.25">
      <c r="A5567"/>
      <c r="B5567"/>
      <c r="C5567"/>
      <c r="D5567"/>
      <c r="E5567" s="184"/>
    </row>
    <row r="5568" spans="1:5" ht="14.25">
      <c r="A5568"/>
      <c r="B5568"/>
      <c r="C5568"/>
      <c r="D5568"/>
      <c r="E5568" s="183"/>
    </row>
    <row r="5569" spans="1:5" ht="14.25">
      <c r="A5569"/>
      <c r="B5569"/>
      <c r="C5569"/>
      <c r="D5569"/>
      <c r="E5569" s="184"/>
    </row>
    <row r="5570" spans="1:5" ht="14.25">
      <c r="A5570"/>
      <c r="B5570"/>
      <c r="C5570"/>
      <c r="D5570"/>
      <c r="E5570" s="183"/>
    </row>
    <row r="5571" spans="1:5" ht="14.25">
      <c r="A5571"/>
      <c r="B5571"/>
      <c r="C5571"/>
      <c r="D5571"/>
      <c r="E5571" s="183"/>
    </row>
    <row r="5572" spans="1:5" ht="14.25">
      <c r="A5572"/>
      <c r="B5572"/>
      <c r="C5572"/>
      <c r="D5572"/>
      <c r="E5572" s="184"/>
    </row>
    <row r="5573" spans="1:5" ht="14.25">
      <c r="A5573"/>
      <c r="B5573"/>
      <c r="C5573"/>
      <c r="D5573"/>
      <c r="E5573" s="183"/>
    </row>
    <row r="5574" spans="1:5" ht="14.25">
      <c r="A5574"/>
      <c r="B5574"/>
      <c r="C5574"/>
      <c r="D5574"/>
      <c r="E5574" s="183"/>
    </row>
    <row r="5575" spans="1:5" ht="14.25">
      <c r="A5575"/>
      <c r="B5575"/>
      <c r="C5575"/>
      <c r="D5575"/>
      <c r="E5575" s="183"/>
    </row>
    <row r="5576" spans="1:5" ht="14.25">
      <c r="A5576"/>
      <c r="B5576"/>
      <c r="C5576"/>
      <c r="D5576"/>
      <c r="E5576" s="183"/>
    </row>
    <row r="5577" spans="1:5" ht="14.25">
      <c r="A5577"/>
      <c r="B5577"/>
      <c r="C5577"/>
      <c r="D5577"/>
      <c r="E5577" s="183"/>
    </row>
    <row r="5578" spans="1:5" ht="14.25">
      <c r="A5578"/>
      <c r="B5578"/>
      <c r="C5578"/>
      <c r="D5578"/>
      <c r="E5578" s="183"/>
    </row>
    <row r="5579" spans="1:5" ht="14.25">
      <c r="A5579"/>
      <c r="B5579"/>
      <c r="C5579"/>
      <c r="D5579"/>
      <c r="E5579" s="183"/>
    </row>
    <row r="5580" spans="1:5" ht="14.25">
      <c r="A5580"/>
      <c r="B5580"/>
      <c r="C5580"/>
      <c r="D5580"/>
      <c r="E5580" s="183"/>
    </row>
    <row r="5581" spans="1:5" ht="14.25">
      <c r="A5581"/>
      <c r="B5581"/>
      <c r="C5581"/>
      <c r="D5581"/>
      <c r="E5581" s="183"/>
    </row>
    <row r="5582" spans="1:5" ht="14.25">
      <c r="A5582"/>
      <c r="B5582"/>
      <c r="C5582"/>
      <c r="D5582"/>
      <c r="E5582" s="183"/>
    </row>
    <row r="5583" spans="1:5" ht="14.25">
      <c r="A5583"/>
      <c r="B5583"/>
      <c r="C5583"/>
      <c r="D5583"/>
      <c r="E5583" s="184"/>
    </row>
    <row r="5584" spans="1:5" ht="14.25">
      <c r="A5584"/>
      <c r="B5584"/>
      <c r="C5584"/>
      <c r="D5584"/>
      <c r="E5584" s="184"/>
    </row>
    <row r="5585" spans="1:5" ht="14.25">
      <c r="A5585"/>
      <c r="B5585"/>
      <c r="C5585"/>
      <c r="D5585"/>
      <c r="E5585" s="183"/>
    </row>
    <row r="5586" spans="1:5" ht="14.25">
      <c r="A5586"/>
      <c r="B5586"/>
      <c r="C5586"/>
      <c r="D5586"/>
      <c r="E5586" s="183"/>
    </row>
    <row r="5587" spans="1:5" ht="14.25">
      <c r="A5587"/>
      <c r="B5587"/>
      <c r="C5587"/>
      <c r="D5587"/>
      <c r="E5587" s="183"/>
    </row>
    <row r="5588" spans="1:5" ht="14.25">
      <c r="A5588"/>
      <c r="B5588"/>
      <c r="C5588"/>
      <c r="D5588"/>
      <c r="E5588" s="183"/>
    </row>
    <row r="5589" spans="1:5" ht="14.25">
      <c r="A5589"/>
      <c r="B5589"/>
      <c r="C5589"/>
      <c r="D5589"/>
      <c r="E5589" s="183"/>
    </row>
    <row r="5590" spans="1:5" ht="14.25">
      <c r="A5590"/>
      <c r="B5590"/>
      <c r="C5590"/>
      <c r="D5590"/>
      <c r="E5590" s="183"/>
    </row>
    <row r="5591" spans="1:5" ht="14.25">
      <c r="A5591"/>
      <c r="B5591"/>
      <c r="C5591"/>
      <c r="D5591"/>
      <c r="E5591" s="183"/>
    </row>
    <row r="5592" spans="1:5" ht="14.25">
      <c r="A5592"/>
      <c r="B5592"/>
      <c r="C5592"/>
      <c r="D5592"/>
      <c r="E5592" s="183"/>
    </row>
    <row r="5593" spans="1:5" ht="14.25">
      <c r="A5593"/>
      <c r="B5593"/>
      <c r="C5593"/>
      <c r="D5593"/>
      <c r="E5593" s="183"/>
    </row>
    <row r="5594" spans="1:5" ht="14.25">
      <c r="A5594"/>
      <c r="B5594"/>
      <c r="C5594"/>
      <c r="D5594"/>
      <c r="E5594" s="183"/>
    </row>
    <row r="5595" spans="1:5" ht="14.25">
      <c r="A5595"/>
      <c r="B5595"/>
      <c r="C5595"/>
      <c r="D5595"/>
      <c r="E5595" s="183"/>
    </row>
    <row r="5596" spans="1:5" ht="14.25">
      <c r="A5596"/>
      <c r="B5596"/>
      <c r="C5596"/>
      <c r="D5596"/>
      <c r="E5596" s="183"/>
    </row>
    <row r="5597" spans="1:5" ht="14.25">
      <c r="A5597"/>
      <c r="B5597"/>
      <c r="C5597"/>
      <c r="D5597"/>
      <c r="E5597" s="183"/>
    </row>
    <row r="5598" spans="1:5" ht="14.25">
      <c r="A5598"/>
      <c r="B5598"/>
      <c r="C5598"/>
      <c r="D5598"/>
      <c r="E5598" s="183"/>
    </row>
    <row r="5599" spans="1:5" ht="14.25">
      <c r="A5599"/>
      <c r="B5599"/>
      <c r="C5599"/>
      <c r="D5599"/>
      <c r="E5599" s="183"/>
    </row>
    <row r="5600" spans="1:5" ht="14.25">
      <c r="A5600"/>
      <c r="B5600"/>
      <c r="C5600"/>
      <c r="D5600"/>
      <c r="E5600" s="183"/>
    </row>
    <row r="5601" spans="1:5" ht="14.25">
      <c r="A5601"/>
      <c r="B5601"/>
      <c r="C5601"/>
      <c r="D5601"/>
      <c r="E5601" s="183"/>
    </row>
    <row r="5602" spans="1:5" ht="14.25">
      <c r="A5602"/>
      <c r="B5602"/>
      <c r="C5602"/>
      <c r="D5602"/>
      <c r="E5602" s="183"/>
    </row>
    <row r="5603" spans="1:5" ht="14.25">
      <c r="A5603"/>
      <c r="B5603"/>
      <c r="C5603"/>
      <c r="D5603"/>
      <c r="E5603" s="183"/>
    </row>
    <row r="5604" spans="1:5" ht="14.25">
      <c r="A5604"/>
      <c r="B5604"/>
      <c r="C5604"/>
      <c r="D5604"/>
      <c r="E5604" s="183"/>
    </row>
    <row r="5605" spans="1:5" ht="14.25">
      <c r="A5605"/>
      <c r="B5605"/>
      <c r="C5605"/>
      <c r="D5605"/>
      <c r="E5605" s="183"/>
    </row>
    <row r="5606" spans="1:5" ht="14.25">
      <c r="A5606"/>
      <c r="B5606"/>
      <c r="C5606"/>
      <c r="D5606"/>
      <c r="E5606" s="183"/>
    </row>
    <row r="5607" spans="1:5" ht="14.25">
      <c r="A5607"/>
      <c r="B5607"/>
      <c r="C5607"/>
      <c r="D5607"/>
      <c r="E5607" s="183"/>
    </row>
    <row r="5608" spans="1:5" ht="14.25">
      <c r="A5608"/>
      <c r="B5608"/>
      <c r="C5608"/>
      <c r="D5608"/>
      <c r="E5608" s="183"/>
    </row>
    <row r="5609" spans="1:5" ht="14.25">
      <c r="A5609"/>
      <c r="B5609"/>
      <c r="C5609"/>
      <c r="D5609"/>
      <c r="E5609" s="183"/>
    </row>
    <row r="5610" spans="1:5" ht="14.25">
      <c r="A5610"/>
      <c r="B5610"/>
      <c r="C5610"/>
      <c r="D5610"/>
      <c r="E5610" s="183"/>
    </row>
    <row r="5611" spans="1:5" ht="14.25">
      <c r="A5611"/>
      <c r="B5611"/>
      <c r="C5611"/>
      <c r="D5611"/>
      <c r="E5611" s="183"/>
    </row>
    <row r="5612" spans="1:5" ht="14.25">
      <c r="A5612"/>
      <c r="B5612"/>
      <c r="C5612"/>
      <c r="D5612"/>
      <c r="E5612" s="183"/>
    </row>
    <row r="5613" spans="1:5" ht="14.25">
      <c r="A5613"/>
      <c r="B5613"/>
      <c r="C5613"/>
      <c r="D5613"/>
      <c r="E5613" s="183"/>
    </row>
    <row r="5614" spans="1:5" ht="14.25">
      <c r="A5614"/>
      <c r="B5614"/>
      <c r="C5614"/>
      <c r="D5614"/>
      <c r="E5614" s="183"/>
    </row>
    <row r="5615" spans="1:5" ht="14.25">
      <c r="A5615"/>
      <c r="B5615"/>
      <c r="C5615"/>
      <c r="D5615"/>
      <c r="E5615" s="184"/>
    </row>
    <row r="5616" spans="1:5" ht="14.25">
      <c r="A5616"/>
      <c r="B5616"/>
      <c r="C5616"/>
      <c r="D5616"/>
      <c r="E5616" s="183"/>
    </row>
    <row r="5617" spans="1:5" ht="14.25">
      <c r="A5617"/>
      <c r="B5617"/>
      <c r="C5617"/>
      <c r="D5617"/>
      <c r="E5617" s="183"/>
    </row>
    <row r="5618" spans="1:5" ht="14.25">
      <c r="A5618"/>
      <c r="B5618"/>
      <c r="C5618"/>
      <c r="D5618"/>
      <c r="E5618" s="183"/>
    </row>
    <row r="5619" spans="1:5" ht="14.25">
      <c r="A5619"/>
      <c r="B5619"/>
      <c r="C5619"/>
      <c r="D5619"/>
      <c r="E5619" s="183"/>
    </row>
    <row r="5620" spans="1:5" ht="14.25">
      <c r="A5620"/>
      <c r="B5620"/>
      <c r="C5620"/>
      <c r="D5620"/>
      <c r="E5620" s="183"/>
    </row>
    <row r="5621" spans="1:5" ht="14.25">
      <c r="A5621"/>
      <c r="B5621"/>
      <c r="C5621"/>
      <c r="D5621"/>
      <c r="E5621" s="183"/>
    </row>
    <row r="5622" spans="1:5" ht="14.25">
      <c r="A5622"/>
      <c r="B5622"/>
      <c r="C5622"/>
      <c r="D5622"/>
      <c r="E5622" s="183"/>
    </row>
    <row r="5623" spans="1:5" ht="14.25">
      <c r="A5623"/>
      <c r="B5623"/>
      <c r="C5623"/>
      <c r="D5623"/>
      <c r="E5623" s="183"/>
    </row>
    <row r="5624" spans="1:5" ht="14.25">
      <c r="A5624"/>
      <c r="B5624"/>
      <c r="C5624"/>
      <c r="D5624"/>
      <c r="E5624" s="183"/>
    </row>
    <row r="5625" spans="1:5" ht="14.25">
      <c r="A5625"/>
      <c r="B5625"/>
      <c r="C5625"/>
      <c r="D5625"/>
      <c r="E5625" s="183"/>
    </row>
    <row r="5626" spans="1:5" ht="14.25">
      <c r="A5626"/>
      <c r="B5626"/>
      <c r="C5626"/>
      <c r="D5626"/>
      <c r="E5626" s="183"/>
    </row>
    <row r="5627" spans="1:5" ht="14.25">
      <c r="A5627"/>
      <c r="B5627"/>
      <c r="C5627"/>
      <c r="D5627"/>
      <c r="E5627" s="183"/>
    </row>
    <row r="5628" spans="1:5" ht="14.25">
      <c r="A5628"/>
      <c r="B5628"/>
      <c r="C5628"/>
      <c r="D5628"/>
      <c r="E5628" s="183"/>
    </row>
    <row r="5629" spans="1:5" ht="14.25">
      <c r="A5629"/>
      <c r="B5629"/>
      <c r="C5629"/>
      <c r="D5629"/>
      <c r="E5629" s="183"/>
    </row>
    <row r="5630" spans="1:5" ht="14.25">
      <c r="A5630"/>
      <c r="B5630"/>
      <c r="C5630"/>
      <c r="D5630"/>
      <c r="E5630" s="183"/>
    </row>
    <row r="5631" spans="1:5" ht="14.25">
      <c r="A5631"/>
      <c r="B5631"/>
      <c r="C5631"/>
      <c r="D5631"/>
      <c r="E5631" s="183"/>
    </row>
    <row r="5632" spans="1:5" ht="14.25">
      <c r="A5632"/>
      <c r="B5632"/>
      <c r="C5632"/>
      <c r="D5632"/>
      <c r="E5632" s="183"/>
    </row>
    <row r="5633" spans="1:5" ht="14.25">
      <c r="A5633"/>
      <c r="B5633"/>
      <c r="C5633"/>
      <c r="D5633"/>
      <c r="E5633" s="183"/>
    </row>
    <row r="5634" spans="1:5" ht="14.25">
      <c r="A5634"/>
      <c r="B5634"/>
      <c r="C5634"/>
      <c r="D5634"/>
      <c r="E5634" s="183"/>
    </row>
    <row r="5635" spans="1:5" ht="14.25">
      <c r="A5635"/>
      <c r="B5635"/>
      <c r="C5635"/>
      <c r="D5635"/>
      <c r="E5635" s="183"/>
    </row>
    <row r="5636" spans="1:5" ht="14.25">
      <c r="A5636"/>
      <c r="B5636"/>
      <c r="C5636"/>
      <c r="D5636"/>
      <c r="E5636" s="183"/>
    </row>
    <row r="5637" spans="1:5" ht="14.25">
      <c r="A5637"/>
      <c r="B5637"/>
      <c r="C5637"/>
      <c r="D5637"/>
      <c r="E5637" s="183"/>
    </row>
    <row r="5638" spans="1:5" ht="14.25">
      <c r="A5638"/>
      <c r="B5638"/>
      <c r="C5638"/>
      <c r="D5638"/>
      <c r="E5638" s="183"/>
    </row>
    <row r="5639" spans="1:5" ht="14.25">
      <c r="A5639"/>
      <c r="B5639"/>
      <c r="C5639"/>
      <c r="D5639"/>
      <c r="E5639" s="183"/>
    </row>
    <row r="5640" spans="1:5" ht="14.25">
      <c r="A5640"/>
      <c r="B5640"/>
      <c r="C5640"/>
      <c r="D5640"/>
      <c r="E5640" s="184"/>
    </row>
    <row r="5641" spans="1:5" ht="14.25">
      <c r="A5641"/>
      <c r="B5641"/>
      <c r="C5641"/>
      <c r="D5641"/>
      <c r="E5641" s="183"/>
    </row>
    <row r="5642" spans="1:5" ht="14.25">
      <c r="A5642"/>
      <c r="B5642"/>
      <c r="C5642"/>
      <c r="D5642"/>
      <c r="E5642" s="183"/>
    </row>
    <row r="5643" spans="1:5" ht="14.25">
      <c r="A5643"/>
      <c r="B5643"/>
      <c r="C5643"/>
      <c r="D5643"/>
      <c r="E5643" s="183"/>
    </row>
    <row r="5644" spans="1:5" ht="14.25">
      <c r="A5644"/>
      <c r="B5644"/>
      <c r="C5644"/>
      <c r="D5644"/>
      <c r="E5644" s="183"/>
    </row>
    <row r="5645" spans="1:5" ht="14.25">
      <c r="A5645"/>
      <c r="B5645"/>
      <c r="C5645"/>
      <c r="D5645"/>
      <c r="E5645" s="183"/>
    </row>
    <row r="5646" spans="1:5" ht="14.25">
      <c r="A5646"/>
      <c r="B5646"/>
      <c r="C5646"/>
      <c r="D5646"/>
      <c r="E5646" s="183"/>
    </row>
    <row r="5647" spans="1:5" ht="14.25">
      <c r="A5647"/>
      <c r="B5647"/>
      <c r="C5647"/>
      <c r="D5647"/>
      <c r="E5647" s="183"/>
    </row>
    <row r="5648" spans="1:5" ht="14.25">
      <c r="A5648"/>
      <c r="B5648"/>
      <c r="C5648"/>
      <c r="D5648"/>
      <c r="E5648" s="183"/>
    </row>
    <row r="5649" spans="1:5" ht="14.25">
      <c r="A5649"/>
      <c r="B5649"/>
      <c r="C5649"/>
      <c r="D5649"/>
      <c r="E5649" s="183"/>
    </row>
    <row r="5650" spans="1:5" ht="14.25">
      <c r="A5650"/>
      <c r="B5650"/>
      <c r="C5650"/>
      <c r="D5650"/>
      <c r="E5650" s="183"/>
    </row>
    <row r="5651" spans="1:5" ht="14.25">
      <c r="A5651"/>
      <c r="B5651"/>
      <c r="C5651"/>
      <c r="D5651"/>
      <c r="E5651" s="183"/>
    </row>
    <row r="5652" spans="1:5" ht="14.25">
      <c r="A5652"/>
      <c r="B5652"/>
      <c r="C5652"/>
      <c r="D5652"/>
      <c r="E5652" s="183"/>
    </row>
    <row r="5653" spans="1:5" ht="14.25">
      <c r="A5653"/>
      <c r="B5653"/>
      <c r="C5653"/>
      <c r="D5653"/>
      <c r="E5653" s="183"/>
    </row>
    <row r="5654" spans="1:5" ht="14.25">
      <c r="A5654"/>
      <c r="B5654"/>
      <c r="C5654"/>
      <c r="D5654"/>
      <c r="E5654" s="183"/>
    </row>
    <row r="5655" spans="1:5" ht="14.25">
      <c r="A5655"/>
      <c r="B5655"/>
      <c r="C5655"/>
      <c r="D5655"/>
      <c r="E5655" s="183"/>
    </row>
    <row r="5656" spans="1:5" ht="14.25">
      <c r="A5656"/>
      <c r="B5656"/>
      <c r="C5656"/>
      <c r="D5656"/>
      <c r="E5656" s="183"/>
    </row>
    <row r="5657" spans="1:5" ht="14.25">
      <c r="A5657"/>
      <c r="B5657"/>
      <c r="C5657"/>
      <c r="D5657"/>
      <c r="E5657" s="183"/>
    </row>
    <row r="5658" spans="1:5" ht="14.25">
      <c r="A5658"/>
      <c r="B5658"/>
      <c r="C5658"/>
      <c r="D5658"/>
      <c r="E5658" s="183"/>
    </row>
    <row r="5659" spans="1:5" ht="14.25">
      <c r="A5659"/>
      <c r="B5659"/>
      <c r="C5659"/>
      <c r="D5659"/>
      <c r="E5659" s="183"/>
    </row>
    <row r="5660" spans="1:5" ht="14.25">
      <c r="A5660"/>
      <c r="B5660"/>
      <c r="C5660"/>
      <c r="D5660"/>
      <c r="E5660" s="183"/>
    </row>
    <row r="5661" spans="1:5" ht="14.25">
      <c r="A5661"/>
      <c r="B5661"/>
      <c r="C5661"/>
      <c r="D5661"/>
      <c r="E5661" s="183"/>
    </row>
    <row r="5662" spans="1:5" ht="14.25">
      <c r="A5662"/>
      <c r="B5662"/>
      <c r="C5662"/>
      <c r="D5662"/>
      <c r="E5662" s="183"/>
    </row>
    <row r="5663" spans="1:5" ht="14.25">
      <c r="A5663"/>
      <c r="B5663"/>
      <c r="C5663"/>
      <c r="D5663"/>
      <c r="E5663" s="183"/>
    </row>
    <row r="5664" spans="1:5" ht="14.25">
      <c r="A5664"/>
      <c r="B5664"/>
      <c r="C5664"/>
      <c r="D5664"/>
      <c r="E5664" s="183"/>
    </row>
    <row r="5665" spans="1:5" ht="14.25">
      <c r="A5665"/>
      <c r="B5665"/>
      <c r="C5665"/>
      <c r="D5665"/>
      <c r="E5665" s="183"/>
    </row>
    <row r="5666" spans="1:5" ht="14.25">
      <c r="A5666"/>
      <c r="B5666"/>
      <c r="C5666"/>
      <c r="D5666"/>
      <c r="E5666" s="183"/>
    </row>
    <row r="5667" spans="1:5" ht="14.25">
      <c r="A5667"/>
      <c r="B5667"/>
      <c r="C5667"/>
      <c r="D5667"/>
      <c r="E5667" s="183"/>
    </row>
    <row r="5668" spans="1:5" ht="14.25">
      <c r="A5668"/>
      <c r="B5668"/>
      <c r="C5668"/>
      <c r="D5668"/>
      <c r="E5668" s="183"/>
    </row>
    <row r="5669" spans="1:5" ht="14.25">
      <c r="A5669"/>
      <c r="B5669"/>
      <c r="C5669"/>
      <c r="D5669"/>
      <c r="E5669" s="183"/>
    </row>
    <row r="5670" spans="1:5" ht="14.25">
      <c r="A5670"/>
      <c r="B5670"/>
      <c r="C5670"/>
      <c r="D5670"/>
      <c r="E5670" s="183"/>
    </row>
    <row r="5671" spans="1:5" ht="14.25">
      <c r="A5671"/>
      <c r="B5671"/>
      <c r="C5671"/>
      <c r="D5671"/>
      <c r="E5671" s="183"/>
    </row>
    <row r="5672" spans="1:5" ht="14.25">
      <c r="A5672"/>
      <c r="B5672"/>
      <c r="C5672"/>
      <c r="D5672"/>
      <c r="E5672" s="183"/>
    </row>
    <row r="5673" spans="1:5" ht="14.25">
      <c r="A5673"/>
      <c r="B5673"/>
      <c r="C5673"/>
      <c r="D5673"/>
      <c r="E5673" s="183"/>
    </row>
    <row r="5674" spans="1:5" ht="14.25">
      <c r="A5674"/>
      <c r="B5674"/>
      <c r="C5674"/>
      <c r="D5674"/>
      <c r="E5674" s="183"/>
    </row>
    <row r="5675" spans="1:5" ht="14.25">
      <c r="A5675"/>
      <c r="B5675"/>
      <c r="C5675"/>
      <c r="D5675"/>
      <c r="E5675" s="183"/>
    </row>
    <row r="5676" spans="1:5" ht="14.25">
      <c r="A5676"/>
      <c r="B5676"/>
      <c r="C5676"/>
      <c r="D5676"/>
      <c r="E5676" s="183"/>
    </row>
    <row r="5677" spans="1:5" ht="14.25">
      <c r="A5677"/>
      <c r="B5677"/>
      <c r="C5677"/>
      <c r="D5677"/>
      <c r="E5677" s="183"/>
    </row>
    <row r="5678" spans="1:5" ht="14.25">
      <c r="A5678"/>
      <c r="B5678"/>
      <c r="C5678"/>
      <c r="D5678"/>
      <c r="E5678" s="183"/>
    </row>
    <row r="5679" spans="1:5" ht="14.25">
      <c r="A5679"/>
      <c r="B5679"/>
      <c r="C5679"/>
      <c r="D5679"/>
      <c r="E5679" s="183"/>
    </row>
    <row r="5680" spans="1:5" ht="14.25">
      <c r="A5680"/>
      <c r="B5680"/>
      <c r="C5680"/>
      <c r="D5680"/>
      <c r="E5680" s="183"/>
    </row>
    <row r="5681" spans="1:5" ht="14.25">
      <c r="A5681"/>
      <c r="B5681"/>
      <c r="C5681"/>
      <c r="D5681"/>
      <c r="E5681" s="183"/>
    </row>
    <row r="5682" spans="1:5" ht="14.25">
      <c r="A5682"/>
      <c r="B5682"/>
      <c r="C5682"/>
      <c r="D5682"/>
      <c r="E5682" s="183"/>
    </row>
    <row r="5683" spans="1:5" ht="14.25">
      <c r="A5683"/>
      <c r="B5683"/>
      <c r="C5683"/>
      <c r="D5683"/>
      <c r="E5683" s="183"/>
    </row>
    <row r="5684" spans="1:5" ht="14.25">
      <c r="A5684"/>
      <c r="B5684"/>
      <c r="C5684"/>
      <c r="D5684"/>
      <c r="E5684" s="183"/>
    </row>
    <row r="5685" spans="1:5" ht="14.25">
      <c r="A5685"/>
      <c r="B5685"/>
      <c r="C5685"/>
      <c r="D5685"/>
      <c r="E5685" s="183"/>
    </row>
    <row r="5686" spans="1:5" ht="14.25">
      <c r="A5686"/>
      <c r="B5686"/>
      <c r="C5686"/>
      <c r="D5686"/>
      <c r="E5686" s="183"/>
    </row>
    <row r="5687" spans="1:5" ht="14.25">
      <c r="A5687"/>
      <c r="B5687"/>
      <c r="C5687"/>
      <c r="D5687"/>
      <c r="E5687" s="183"/>
    </row>
    <row r="5688" spans="1:5" ht="14.25">
      <c r="A5688"/>
      <c r="B5688"/>
      <c r="C5688"/>
      <c r="D5688"/>
      <c r="E5688" s="183"/>
    </row>
    <row r="5689" spans="1:5" ht="14.25">
      <c r="A5689"/>
      <c r="B5689"/>
      <c r="C5689"/>
      <c r="D5689"/>
      <c r="E5689" s="183"/>
    </row>
    <row r="5690" spans="1:5" ht="14.25">
      <c r="A5690"/>
      <c r="B5690"/>
      <c r="C5690"/>
      <c r="D5690"/>
      <c r="E5690" s="183"/>
    </row>
    <row r="5691" spans="1:5" ht="14.25">
      <c r="A5691"/>
      <c r="B5691"/>
      <c r="C5691"/>
      <c r="D5691"/>
      <c r="E5691" s="183"/>
    </row>
    <row r="5692" spans="1:5" ht="14.25">
      <c r="A5692"/>
      <c r="B5692"/>
      <c r="C5692"/>
      <c r="D5692"/>
      <c r="E5692" s="183"/>
    </row>
    <row r="5693" spans="1:5" ht="14.25">
      <c r="A5693"/>
      <c r="B5693"/>
      <c r="C5693"/>
      <c r="D5693"/>
      <c r="E5693" s="183"/>
    </row>
    <row r="5694" spans="1:5" ht="14.25">
      <c r="A5694"/>
      <c r="B5694"/>
      <c r="C5694"/>
      <c r="D5694"/>
      <c r="E5694" s="183"/>
    </row>
    <row r="5695" spans="1:5" ht="14.25">
      <c r="A5695"/>
      <c r="B5695"/>
      <c r="C5695"/>
      <c r="D5695"/>
      <c r="E5695" s="183"/>
    </row>
    <row r="5696" spans="1:5" ht="14.25">
      <c r="A5696"/>
      <c r="B5696"/>
      <c r="C5696"/>
      <c r="D5696"/>
      <c r="E5696" s="183"/>
    </row>
    <row r="5697" spans="1:5" ht="14.25">
      <c r="A5697"/>
      <c r="B5697"/>
      <c r="C5697"/>
      <c r="D5697"/>
      <c r="E5697" s="183"/>
    </row>
    <row r="5698" spans="1:5" ht="14.25">
      <c r="A5698"/>
      <c r="B5698"/>
      <c r="C5698"/>
      <c r="D5698"/>
      <c r="E5698" s="183"/>
    </row>
    <row r="5699" spans="1:5" ht="14.25">
      <c r="A5699"/>
      <c r="B5699"/>
      <c r="C5699"/>
      <c r="D5699"/>
      <c r="E5699" s="183"/>
    </row>
    <row r="5700" spans="1:5" ht="14.25">
      <c r="A5700"/>
      <c r="B5700"/>
      <c r="C5700"/>
      <c r="D5700"/>
      <c r="E5700" s="183"/>
    </row>
    <row r="5701" spans="1:5" ht="14.25">
      <c r="A5701"/>
      <c r="B5701"/>
      <c r="C5701"/>
      <c r="D5701"/>
      <c r="E5701" s="183"/>
    </row>
    <row r="5702" spans="1:5" ht="14.25">
      <c r="A5702"/>
      <c r="B5702"/>
      <c r="C5702"/>
      <c r="D5702"/>
      <c r="E5702" s="183"/>
    </row>
    <row r="5703" spans="1:5" ht="14.25">
      <c r="A5703"/>
      <c r="B5703"/>
      <c r="C5703"/>
      <c r="D5703"/>
      <c r="E5703" s="183"/>
    </row>
    <row r="5704" spans="1:5" ht="14.25">
      <c r="A5704"/>
      <c r="B5704"/>
      <c r="C5704"/>
      <c r="D5704"/>
      <c r="E5704" s="183"/>
    </row>
    <row r="5705" spans="1:5" ht="14.25">
      <c r="A5705"/>
      <c r="B5705"/>
      <c r="C5705"/>
      <c r="D5705"/>
      <c r="E5705" s="183"/>
    </row>
    <row r="5706" spans="1:5" ht="14.25">
      <c r="A5706"/>
      <c r="B5706"/>
      <c r="C5706"/>
      <c r="D5706"/>
      <c r="E5706" s="183"/>
    </row>
    <row r="5707" spans="1:5" ht="14.25">
      <c r="A5707"/>
      <c r="B5707"/>
      <c r="C5707"/>
      <c r="D5707"/>
      <c r="E5707" s="183"/>
    </row>
    <row r="5708" spans="1:5" ht="14.25">
      <c r="A5708"/>
      <c r="B5708"/>
      <c r="C5708"/>
      <c r="D5708"/>
      <c r="E5708" s="183"/>
    </row>
    <row r="5709" spans="1:5" ht="14.25">
      <c r="A5709"/>
      <c r="B5709"/>
      <c r="C5709"/>
      <c r="D5709"/>
      <c r="E5709" s="183"/>
    </row>
    <row r="5710" spans="1:5" ht="14.25">
      <c r="A5710"/>
      <c r="B5710"/>
      <c r="C5710"/>
      <c r="D5710"/>
      <c r="E5710" s="183"/>
    </row>
    <row r="5711" spans="1:5" ht="14.25">
      <c r="A5711"/>
      <c r="B5711"/>
      <c r="C5711"/>
      <c r="D5711"/>
      <c r="E5711" s="183"/>
    </row>
    <row r="5712" spans="1:5" ht="14.25">
      <c r="A5712"/>
      <c r="B5712"/>
      <c r="C5712"/>
      <c r="D5712"/>
      <c r="E5712" s="183"/>
    </row>
    <row r="5713" spans="1:5" ht="14.25">
      <c r="A5713"/>
      <c r="B5713"/>
      <c r="C5713"/>
      <c r="D5713"/>
      <c r="E5713" s="183"/>
    </row>
    <row r="5714" spans="1:5" ht="14.25">
      <c r="A5714"/>
      <c r="B5714"/>
      <c r="C5714"/>
      <c r="D5714"/>
      <c r="E5714" s="183"/>
    </row>
    <row r="5715" spans="1:5" ht="14.25">
      <c r="A5715"/>
      <c r="B5715"/>
      <c r="C5715"/>
      <c r="D5715"/>
      <c r="E5715" s="183"/>
    </row>
    <row r="5716" spans="1:5" ht="14.25">
      <c r="A5716"/>
      <c r="B5716"/>
      <c r="C5716"/>
      <c r="D5716"/>
      <c r="E5716" s="183"/>
    </row>
    <row r="5717" spans="1:5" ht="14.25">
      <c r="A5717"/>
      <c r="B5717"/>
      <c r="C5717"/>
      <c r="D5717"/>
      <c r="E5717" s="183"/>
    </row>
    <row r="5718" spans="1:5" ht="14.25">
      <c r="A5718"/>
      <c r="B5718"/>
      <c r="C5718"/>
      <c r="D5718"/>
      <c r="E5718" s="183"/>
    </row>
    <row r="5719" spans="1:5" ht="14.25">
      <c r="A5719"/>
      <c r="B5719"/>
      <c r="C5719"/>
      <c r="D5719"/>
      <c r="E5719" s="183"/>
    </row>
    <row r="5720" spans="1:5" ht="14.25">
      <c r="A5720"/>
      <c r="B5720"/>
      <c r="C5720"/>
      <c r="D5720"/>
      <c r="E5720" s="183"/>
    </row>
    <row r="5721" spans="1:5" ht="14.25">
      <c r="A5721"/>
      <c r="B5721"/>
      <c r="C5721"/>
      <c r="D5721"/>
      <c r="E5721" s="184"/>
    </row>
    <row r="5722" spans="1:5" ht="14.25">
      <c r="A5722"/>
      <c r="B5722"/>
      <c r="C5722"/>
      <c r="D5722"/>
      <c r="E5722" s="183"/>
    </row>
    <row r="5723" spans="1:5" ht="14.25">
      <c r="A5723"/>
      <c r="B5723"/>
      <c r="C5723"/>
      <c r="D5723"/>
      <c r="E5723" s="183"/>
    </row>
    <row r="5724" spans="1:5" ht="14.25">
      <c r="A5724"/>
      <c r="B5724"/>
      <c r="C5724"/>
      <c r="D5724"/>
      <c r="E5724" s="183"/>
    </row>
    <row r="5725" spans="1:5" ht="14.25">
      <c r="A5725"/>
      <c r="B5725"/>
      <c r="C5725"/>
      <c r="D5725"/>
      <c r="E5725" s="183"/>
    </row>
    <row r="5726" spans="1:5" ht="14.25">
      <c r="A5726"/>
      <c r="B5726"/>
      <c r="C5726"/>
      <c r="D5726"/>
      <c r="E5726" s="183"/>
    </row>
    <row r="5727" spans="1:5" ht="14.25">
      <c r="A5727"/>
      <c r="B5727"/>
      <c r="C5727"/>
      <c r="D5727"/>
      <c r="E5727" s="183"/>
    </row>
    <row r="5728" spans="1:5" ht="14.25">
      <c r="A5728"/>
      <c r="B5728"/>
      <c r="C5728"/>
      <c r="D5728"/>
      <c r="E5728" s="183"/>
    </row>
    <row r="5729" spans="1:5" ht="14.25">
      <c r="A5729"/>
      <c r="B5729"/>
      <c r="C5729"/>
      <c r="D5729"/>
      <c r="E5729" s="183"/>
    </row>
    <row r="5730" spans="1:5" ht="14.25">
      <c r="A5730"/>
      <c r="B5730"/>
      <c r="C5730"/>
      <c r="D5730"/>
      <c r="E5730" s="183"/>
    </row>
    <row r="5731" spans="1:5" ht="14.25">
      <c r="A5731"/>
      <c r="B5731"/>
      <c r="C5731"/>
      <c r="D5731"/>
      <c r="E5731" s="183"/>
    </row>
    <row r="5732" spans="1:5" ht="14.25">
      <c r="A5732"/>
      <c r="B5732"/>
      <c r="C5732"/>
      <c r="D5732"/>
      <c r="E5732" s="183"/>
    </row>
    <row r="5733" spans="1:5" ht="14.25">
      <c r="A5733"/>
      <c r="B5733"/>
      <c r="C5733"/>
      <c r="D5733"/>
      <c r="E5733" s="183"/>
    </row>
    <row r="5734" spans="1:5" ht="14.25">
      <c r="A5734"/>
      <c r="B5734"/>
      <c r="C5734"/>
      <c r="D5734"/>
      <c r="E5734" s="183"/>
    </row>
    <row r="5735" spans="1:5" ht="14.25">
      <c r="A5735"/>
      <c r="B5735"/>
      <c r="C5735"/>
      <c r="D5735"/>
      <c r="E5735" s="183"/>
    </row>
    <row r="5736" spans="1:5" ht="14.25">
      <c r="A5736"/>
      <c r="B5736"/>
      <c r="C5736"/>
      <c r="D5736"/>
      <c r="E5736" s="183"/>
    </row>
    <row r="5737" spans="1:5" ht="14.25">
      <c r="A5737"/>
      <c r="B5737"/>
      <c r="C5737"/>
      <c r="D5737"/>
      <c r="E5737" s="183"/>
    </row>
    <row r="5738" spans="1:5" ht="14.25">
      <c r="A5738"/>
      <c r="B5738"/>
      <c r="C5738"/>
      <c r="D5738"/>
      <c r="E5738" s="183"/>
    </row>
    <row r="5739" spans="1:5" ht="14.25">
      <c r="A5739"/>
      <c r="B5739"/>
      <c r="C5739"/>
      <c r="D5739"/>
      <c r="E5739" s="183"/>
    </row>
    <row r="5740" spans="1:5" ht="14.25">
      <c r="A5740"/>
      <c r="B5740"/>
      <c r="C5740"/>
      <c r="D5740"/>
      <c r="E5740" s="183"/>
    </row>
    <row r="5741" spans="1:5" ht="14.25">
      <c r="A5741"/>
      <c r="B5741"/>
      <c r="C5741"/>
      <c r="D5741"/>
      <c r="E5741" s="183"/>
    </row>
    <row r="5742" spans="1:5" ht="14.25">
      <c r="A5742"/>
      <c r="B5742"/>
      <c r="C5742"/>
      <c r="D5742"/>
      <c r="E5742" s="183"/>
    </row>
    <row r="5743" spans="1:5" ht="14.25">
      <c r="A5743"/>
      <c r="B5743"/>
      <c r="C5743"/>
      <c r="D5743"/>
      <c r="E5743" s="183"/>
    </row>
    <row r="5744" spans="1:5" ht="14.25">
      <c r="A5744"/>
      <c r="B5744"/>
      <c r="C5744"/>
      <c r="D5744"/>
      <c r="E5744" s="183"/>
    </row>
    <row r="5745" spans="1:5" ht="14.25">
      <c r="A5745"/>
      <c r="B5745"/>
      <c r="C5745"/>
      <c r="D5745"/>
      <c r="E5745" s="183"/>
    </row>
    <row r="5746" spans="1:5" ht="14.25">
      <c r="A5746"/>
      <c r="B5746"/>
      <c r="C5746"/>
      <c r="D5746"/>
      <c r="E5746" s="183"/>
    </row>
    <row r="5747" spans="1:5" ht="14.25">
      <c r="A5747"/>
      <c r="B5747"/>
      <c r="C5747"/>
      <c r="D5747"/>
      <c r="E5747" s="183"/>
    </row>
    <row r="5748" spans="1:5" ht="14.25">
      <c r="A5748"/>
      <c r="B5748"/>
      <c r="C5748"/>
      <c r="D5748"/>
      <c r="E5748" s="183"/>
    </row>
    <row r="5749" spans="1:5" ht="14.25">
      <c r="A5749"/>
      <c r="B5749"/>
      <c r="C5749"/>
      <c r="D5749"/>
      <c r="E5749" s="183"/>
    </row>
    <row r="5750" spans="1:5" ht="14.25">
      <c r="A5750"/>
      <c r="B5750"/>
      <c r="C5750"/>
      <c r="D5750"/>
      <c r="E5750" s="183"/>
    </row>
    <row r="5751" spans="1:5" ht="14.25">
      <c r="A5751"/>
      <c r="B5751"/>
      <c r="C5751"/>
      <c r="D5751"/>
      <c r="E5751" s="183"/>
    </row>
    <row r="5752" spans="1:5" ht="14.25">
      <c r="A5752"/>
      <c r="B5752"/>
      <c r="C5752"/>
      <c r="D5752"/>
      <c r="E5752" s="183"/>
    </row>
    <row r="5753" spans="1:5" ht="14.25">
      <c r="A5753"/>
      <c r="B5753"/>
      <c r="C5753"/>
      <c r="D5753"/>
      <c r="E5753" s="183"/>
    </row>
    <row r="5754" spans="1:5" ht="14.25">
      <c r="A5754"/>
      <c r="B5754"/>
      <c r="C5754"/>
      <c r="D5754"/>
      <c r="E5754" s="183"/>
    </row>
    <row r="5755" spans="1:5" ht="14.25">
      <c r="A5755"/>
      <c r="B5755"/>
      <c r="C5755"/>
      <c r="D5755"/>
      <c r="E5755" s="183"/>
    </row>
    <row r="5756" spans="1:5" ht="14.25">
      <c r="A5756"/>
      <c r="B5756"/>
      <c r="C5756"/>
      <c r="D5756"/>
      <c r="E5756" s="183"/>
    </row>
    <row r="5757" spans="1:5" ht="14.25">
      <c r="A5757"/>
      <c r="B5757"/>
      <c r="C5757"/>
      <c r="D5757"/>
      <c r="E5757" s="183"/>
    </row>
    <row r="5758" spans="1:5" ht="14.25">
      <c r="A5758"/>
      <c r="B5758"/>
      <c r="C5758"/>
      <c r="D5758"/>
      <c r="E5758" s="183"/>
    </row>
    <row r="5759" spans="1:5" ht="14.25">
      <c r="A5759"/>
      <c r="B5759"/>
      <c r="C5759"/>
      <c r="D5759"/>
      <c r="E5759" s="183"/>
    </row>
    <row r="5760" spans="1:5" ht="14.25">
      <c r="A5760"/>
      <c r="B5760"/>
      <c r="C5760"/>
      <c r="D5760"/>
      <c r="E5760" s="183"/>
    </row>
    <row r="5761" spans="1:5" ht="14.25">
      <c r="A5761"/>
      <c r="B5761"/>
      <c r="C5761"/>
      <c r="D5761"/>
      <c r="E5761" s="183"/>
    </row>
    <row r="5762" spans="1:5" ht="14.25">
      <c r="A5762"/>
      <c r="B5762"/>
      <c r="C5762"/>
      <c r="D5762"/>
      <c r="E5762" s="183"/>
    </row>
    <row r="5763" spans="1:5" ht="14.25">
      <c r="A5763"/>
      <c r="B5763"/>
      <c r="C5763"/>
      <c r="D5763"/>
      <c r="E5763" s="183"/>
    </row>
    <row r="5764" spans="1:5" ht="14.25">
      <c r="A5764"/>
      <c r="B5764"/>
      <c r="C5764"/>
      <c r="D5764"/>
      <c r="E5764" s="183"/>
    </row>
    <row r="5765" spans="1:5" ht="14.25">
      <c r="A5765"/>
      <c r="B5765"/>
      <c r="C5765"/>
      <c r="D5765"/>
      <c r="E5765" s="183"/>
    </row>
    <row r="5766" spans="1:5" ht="14.25">
      <c r="A5766"/>
      <c r="B5766"/>
      <c r="C5766"/>
      <c r="D5766"/>
      <c r="E5766" s="183"/>
    </row>
    <row r="5767" spans="1:5" ht="14.25">
      <c r="A5767"/>
      <c r="B5767"/>
      <c r="C5767"/>
      <c r="D5767"/>
      <c r="E5767" s="183"/>
    </row>
    <row r="5768" spans="1:5" ht="14.25">
      <c r="A5768"/>
      <c r="B5768"/>
      <c r="C5768"/>
      <c r="D5768"/>
      <c r="E5768" s="183"/>
    </row>
    <row r="5769" spans="1:5" ht="14.25">
      <c r="A5769"/>
      <c r="B5769"/>
      <c r="C5769"/>
      <c r="D5769"/>
      <c r="E5769" s="183"/>
    </row>
    <row r="5770" spans="1:5" ht="14.25">
      <c r="A5770"/>
      <c r="B5770"/>
      <c r="C5770"/>
      <c r="D5770"/>
      <c r="E5770" s="183"/>
    </row>
    <row r="5771" spans="1:5" ht="14.25">
      <c r="A5771"/>
      <c r="B5771"/>
      <c r="C5771"/>
      <c r="D5771"/>
      <c r="E5771" s="183"/>
    </row>
    <row r="5772" spans="1:5" ht="14.25">
      <c r="A5772"/>
      <c r="B5772"/>
      <c r="C5772"/>
      <c r="D5772"/>
      <c r="E5772" s="183"/>
    </row>
    <row r="5773" spans="1:5" ht="14.25">
      <c r="A5773"/>
      <c r="B5773"/>
      <c r="C5773"/>
      <c r="D5773"/>
      <c r="E5773" s="183"/>
    </row>
    <row r="5774" spans="1:5" ht="14.25">
      <c r="A5774"/>
      <c r="B5774"/>
      <c r="C5774"/>
      <c r="D5774"/>
      <c r="E5774" s="183"/>
    </row>
    <row r="5775" spans="1:5" ht="14.25">
      <c r="A5775"/>
      <c r="B5775"/>
      <c r="C5775"/>
      <c r="D5775"/>
      <c r="E5775" s="183"/>
    </row>
    <row r="5776" spans="1:5" ht="14.25">
      <c r="A5776"/>
      <c r="B5776"/>
      <c r="C5776"/>
      <c r="D5776"/>
      <c r="E5776" s="183"/>
    </row>
    <row r="5777" spans="1:5" ht="14.25">
      <c r="A5777"/>
      <c r="B5777"/>
      <c r="C5777"/>
      <c r="D5777"/>
      <c r="E5777" s="183"/>
    </row>
    <row r="5778" spans="1:5" ht="14.25">
      <c r="A5778"/>
      <c r="B5778"/>
      <c r="C5778"/>
      <c r="D5778"/>
      <c r="E5778" s="183"/>
    </row>
    <row r="5779" spans="1:5" ht="14.25">
      <c r="A5779"/>
      <c r="B5779"/>
      <c r="C5779"/>
      <c r="D5779"/>
      <c r="E5779" s="183"/>
    </row>
    <row r="5780" spans="1:5" ht="14.25">
      <c r="A5780"/>
      <c r="B5780"/>
      <c r="C5780"/>
      <c r="D5780"/>
      <c r="E5780" s="183"/>
    </row>
    <row r="5781" spans="1:5" ht="14.25">
      <c r="A5781"/>
      <c r="B5781"/>
      <c r="C5781"/>
      <c r="D5781"/>
      <c r="E5781" s="183"/>
    </row>
    <row r="5782" spans="1:5" ht="14.25">
      <c r="A5782"/>
      <c r="B5782"/>
      <c r="C5782"/>
      <c r="D5782"/>
      <c r="E5782" s="183"/>
    </row>
    <row r="5783" spans="1:5" ht="14.25">
      <c r="A5783"/>
      <c r="B5783"/>
      <c r="C5783"/>
      <c r="D5783"/>
      <c r="E5783" s="183"/>
    </row>
    <row r="5784" spans="1:5" ht="14.25">
      <c r="A5784"/>
      <c r="B5784"/>
      <c r="C5784"/>
      <c r="D5784"/>
      <c r="E5784" s="183"/>
    </row>
    <row r="5785" spans="1:5" ht="14.25">
      <c r="A5785"/>
      <c r="B5785"/>
      <c r="C5785"/>
      <c r="D5785"/>
      <c r="E5785" s="183"/>
    </row>
    <row r="5786" spans="1:5" ht="14.25">
      <c r="A5786"/>
      <c r="B5786"/>
      <c r="C5786"/>
      <c r="D5786"/>
      <c r="E5786" s="183"/>
    </row>
    <row r="5787" spans="1:5" ht="14.25">
      <c r="A5787"/>
      <c r="B5787"/>
      <c r="C5787"/>
      <c r="D5787"/>
      <c r="E5787" s="183"/>
    </row>
    <row r="5788" spans="1:5" ht="14.25">
      <c r="A5788"/>
      <c r="B5788"/>
      <c r="C5788"/>
      <c r="D5788"/>
      <c r="E5788" s="183"/>
    </row>
    <row r="5789" spans="1:5" ht="14.25">
      <c r="A5789"/>
      <c r="B5789"/>
      <c r="C5789"/>
      <c r="D5789"/>
      <c r="E5789" s="183"/>
    </row>
    <row r="5790" spans="1:5" ht="14.25">
      <c r="A5790"/>
      <c r="B5790"/>
      <c r="C5790"/>
      <c r="D5790"/>
      <c r="E5790" s="183"/>
    </row>
    <row r="5791" spans="1:5" ht="14.25">
      <c r="A5791"/>
      <c r="B5791"/>
      <c r="C5791"/>
      <c r="D5791"/>
      <c r="E5791" s="183"/>
    </row>
    <row r="5792" spans="1:5" ht="14.25">
      <c r="A5792"/>
      <c r="B5792"/>
      <c r="C5792"/>
      <c r="D5792"/>
      <c r="E5792" s="183"/>
    </row>
    <row r="5793" spans="1:5" ht="14.25">
      <c r="A5793"/>
      <c r="B5793"/>
      <c r="C5793"/>
      <c r="D5793"/>
      <c r="E5793" s="183"/>
    </row>
    <row r="5794" spans="1:5" ht="14.25">
      <c r="A5794"/>
      <c r="B5794"/>
      <c r="C5794"/>
      <c r="D5794"/>
      <c r="E5794" s="183"/>
    </row>
    <row r="5795" spans="1:5" ht="14.25">
      <c r="A5795"/>
      <c r="B5795"/>
      <c r="C5795"/>
      <c r="D5795"/>
      <c r="E5795" s="183"/>
    </row>
    <row r="5796" spans="1:5" ht="14.25">
      <c r="A5796"/>
      <c r="B5796"/>
      <c r="C5796"/>
      <c r="D5796"/>
      <c r="E5796" s="183"/>
    </row>
    <row r="5797" spans="1:5" ht="14.25">
      <c r="A5797"/>
      <c r="B5797"/>
      <c r="C5797"/>
      <c r="D5797"/>
      <c r="E5797" s="183"/>
    </row>
    <row r="5798" spans="1:5" ht="14.25">
      <c r="A5798"/>
      <c r="B5798"/>
      <c r="C5798"/>
      <c r="D5798"/>
      <c r="E5798" s="183"/>
    </row>
    <row r="5799" spans="1:5" ht="14.25">
      <c r="A5799"/>
      <c r="B5799"/>
      <c r="C5799"/>
      <c r="D5799"/>
      <c r="E5799" s="183"/>
    </row>
    <row r="5800" spans="1:5" ht="14.25">
      <c r="A5800"/>
      <c r="B5800"/>
      <c r="C5800"/>
      <c r="D5800"/>
      <c r="E5800" s="183"/>
    </row>
    <row r="5801" spans="1:5" ht="14.25">
      <c r="A5801"/>
      <c r="B5801"/>
      <c r="C5801"/>
      <c r="D5801"/>
      <c r="E5801" s="183"/>
    </row>
    <row r="5802" spans="1:5" ht="14.25">
      <c r="A5802"/>
      <c r="B5802"/>
      <c r="C5802"/>
      <c r="D5802"/>
      <c r="E5802" s="183"/>
    </row>
    <row r="5803" spans="1:5" ht="14.25">
      <c r="A5803"/>
      <c r="B5803"/>
      <c r="C5803"/>
      <c r="D5803"/>
      <c r="E5803" s="183"/>
    </row>
    <row r="5804" spans="1:5" ht="14.25">
      <c r="A5804"/>
      <c r="B5804"/>
      <c r="C5804"/>
      <c r="D5804"/>
      <c r="E5804" s="183"/>
    </row>
    <row r="5805" spans="1:5" ht="14.25">
      <c r="A5805"/>
      <c r="B5805"/>
      <c r="C5805"/>
      <c r="D5805"/>
      <c r="E5805" s="183"/>
    </row>
    <row r="5806" spans="1:5" ht="14.25">
      <c r="A5806"/>
      <c r="B5806"/>
      <c r="C5806"/>
      <c r="D5806"/>
      <c r="E5806" s="183"/>
    </row>
    <row r="5807" spans="1:5" ht="14.25">
      <c r="A5807"/>
      <c r="B5807"/>
      <c r="C5807"/>
      <c r="D5807"/>
      <c r="E5807" s="183"/>
    </row>
    <row r="5808" spans="1:5" ht="14.25">
      <c r="A5808"/>
      <c r="B5808"/>
      <c r="C5808"/>
      <c r="D5808"/>
      <c r="E5808" s="183"/>
    </row>
    <row r="5809" spans="1:5" ht="14.25">
      <c r="A5809"/>
      <c r="B5809"/>
      <c r="C5809"/>
      <c r="D5809"/>
      <c r="E5809" s="183"/>
    </row>
    <row r="5810" spans="1:5" ht="14.25">
      <c r="A5810"/>
      <c r="B5810"/>
      <c r="C5810"/>
      <c r="D5810"/>
      <c r="E5810" s="183"/>
    </row>
    <row r="5811" spans="1:5" ht="14.25">
      <c r="A5811"/>
      <c r="B5811"/>
      <c r="C5811"/>
      <c r="D5811"/>
      <c r="E5811" s="183"/>
    </row>
    <row r="5812" spans="1:5" ht="14.25">
      <c r="A5812"/>
      <c r="B5812"/>
      <c r="C5812"/>
      <c r="D5812"/>
      <c r="E5812" s="183"/>
    </row>
    <row r="5813" spans="1:5" ht="14.25">
      <c r="A5813"/>
      <c r="B5813"/>
      <c r="C5813"/>
      <c r="D5813"/>
      <c r="E5813" s="183"/>
    </row>
    <row r="5814" spans="1:5" ht="14.25">
      <c r="A5814"/>
      <c r="B5814"/>
      <c r="C5814"/>
      <c r="D5814"/>
      <c r="E5814" s="183"/>
    </row>
    <row r="5815" spans="1:5" ht="14.25">
      <c r="A5815"/>
      <c r="B5815"/>
      <c r="C5815"/>
      <c r="D5815"/>
      <c r="E5815" s="183"/>
    </row>
    <row r="5816" spans="1:5" ht="14.25">
      <c r="A5816"/>
      <c r="B5816"/>
      <c r="C5816"/>
      <c r="D5816"/>
      <c r="E5816" s="183"/>
    </row>
    <row r="5817" spans="1:5" ht="14.25">
      <c r="A5817"/>
      <c r="B5817"/>
      <c r="C5817"/>
      <c r="D5817"/>
      <c r="E5817" s="183"/>
    </row>
    <row r="5818" spans="1:5" ht="14.25">
      <c r="A5818"/>
      <c r="B5818"/>
      <c r="C5818"/>
      <c r="D5818"/>
      <c r="E5818" s="183"/>
    </row>
    <row r="5819" spans="1:5" ht="14.25">
      <c r="A5819"/>
      <c r="B5819"/>
      <c r="C5819"/>
      <c r="D5819"/>
      <c r="E5819" s="183"/>
    </row>
    <row r="5820" spans="1:5" ht="14.25">
      <c r="A5820"/>
      <c r="B5820"/>
      <c r="C5820"/>
      <c r="D5820"/>
      <c r="E5820" s="183"/>
    </row>
    <row r="5821" spans="1:5" ht="14.25">
      <c r="A5821"/>
      <c r="B5821"/>
      <c r="C5821"/>
      <c r="D5821"/>
      <c r="E5821" s="183"/>
    </row>
    <row r="5822" spans="1:5" ht="14.25">
      <c r="A5822"/>
      <c r="B5822"/>
      <c r="C5822"/>
      <c r="D5822"/>
      <c r="E5822" s="183"/>
    </row>
    <row r="5823" spans="1:5" ht="14.25">
      <c r="A5823"/>
      <c r="B5823"/>
      <c r="C5823"/>
      <c r="D5823"/>
      <c r="E5823" s="183"/>
    </row>
    <row r="5824" spans="1:5" ht="14.25">
      <c r="A5824"/>
      <c r="B5824"/>
      <c r="C5824"/>
      <c r="D5824"/>
      <c r="E5824" s="183"/>
    </row>
    <row r="5825" spans="1:5" ht="14.25">
      <c r="A5825"/>
      <c r="B5825"/>
      <c r="C5825"/>
      <c r="D5825"/>
      <c r="E5825" s="183"/>
    </row>
    <row r="5826" spans="1:5" ht="14.25">
      <c r="A5826"/>
      <c r="B5826"/>
      <c r="C5826"/>
      <c r="D5826"/>
      <c r="E5826" s="183"/>
    </row>
    <row r="5827" spans="1:5" ht="14.25">
      <c r="A5827"/>
      <c r="B5827"/>
      <c r="C5827"/>
      <c r="D5827"/>
      <c r="E5827" s="183"/>
    </row>
    <row r="5828" spans="1:5" ht="14.25">
      <c r="A5828"/>
      <c r="B5828"/>
      <c r="C5828"/>
      <c r="D5828"/>
      <c r="E5828" s="183"/>
    </row>
    <row r="5829" spans="1:5" ht="14.25">
      <c r="A5829"/>
      <c r="B5829"/>
      <c r="C5829"/>
      <c r="D5829"/>
      <c r="E5829" s="183"/>
    </row>
    <row r="5830" spans="1:5" ht="14.25">
      <c r="A5830"/>
      <c r="B5830"/>
      <c r="C5830"/>
      <c r="D5830"/>
      <c r="E5830" s="183"/>
    </row>
    <row r="5831" spans="1:5" ht="14.25">
      <c r="A5831"/>
      <c r="B5831"/>
      <c r="C5831"/>
      <c r="D5831"/>
      <c r="E5831" s="183"/>
    </row>
    <row r="5832" spans="1:5" ht="14.25">
      <c r="A5832"/>
      <c r="B5832"/>
      <c r="C5832"/>
      <c r="D5832"/>
      <c r="E5832" s="183"/>
    </row>
    <row r="5833" spans="1:5" ht="14.25">
      <c r="A5833"/>
      <c r="B5833"/>
      <c r="C5833"/>
      <c r="D5833"/>
      <c r="E5833" s="183"/>
    </row>
    <row r="5834" spans="1:5" ht="14.25">
      <c r="A5834"/>
      <c r="B5834"/>
      <c r="C5834"/>
      <c r="D5834"/>
      <c r="E5834" s="183"/>
    </row>
    <row r="5835" spans="1:5" ht="14.25">
      <c r="A5835"/>
      <c r="B5835"/>
      <c r="C5835"/>
      <c r="D5835"/>
      <c r="E5835" s="184"/>
    </row>
    <row r="5836" spans="1:5" ht="14.25">
      <c r="A5836"/>
      <c r="B5836"/>
      <c r="C5836"/>
      <c r="D5836"/>
      <c r="E5836" s="183"/>
    </row>
    <row r="5837" spans="1:5" ht="14.25">
      <c r="A5837"/>
      <c r="B5837"/>
      <c r="C5837"/>
      <c r="D5837"/>
      <c r="E5837" s="183"/>
    </row>
    <row r="5838" spans="1:5" ht="14.25">
      <c r="A5838"/>
      <c r="B5838"/>
      <c r="C5838"/>
      <c r="D5838"/>
      <c r="E5838" s="183"/>
    </row>
    <row r="5839" spans="1:5" ht="14.25">
      <c r="A5839"/>
      <c r="B5839"/>
      <c r="C5839"/>
      <c r="D5839"/>
      <c r="E5839" s="183"/>
    </row>
    <row r="5840" spans="1:5" ht="14.25">
      <c r="A5840"/>
      <c r="B5840"/>
      <c r="C5840"/>
      <c r="D5840"/>
      <c r="E5840" s="183"/>
    </row>
    <row r="5841" spans="1:5" ht="14.25">
      <c r="A5841"/>
      <c r="B5841"/>
      <c r="C5841"/>
      <c r="D5841"/>
      <c r="E5841" s="183"/>
    </row>
    <row r="5842" spans="1:5" ht="14.25">
      <c r="A5842"/>
      <c r="B5842"/>
      <c r="C5842"/>
      <c r="D5842"/>
      <c r="E5842" s="183"/>
    </row>
    <row r="5843" spans="1:5" ht="14.25">
      <c r="A5843"/>
      <c r="B5843"/>
      <c r="C5843"/>
      <c r="D5843"/>
      <c r="E5843" s="183"/>
    </row>
    <row r="5844" spans="1:5" ht="14.25">
      <c r="A5844"/>
      <c r="B5844"/>
      <c r="C5844"/>
      <c r="D5844"/>
      <c r="E5844" s="183"/>
    </row>
    <row r="5845" spans="1:5" ht="14.25">
      <c r="A5845"/>
      <c r="B5845"/>
      <c r="C5845"/>
      <c r="D5845"/>
      <c r="E5845" s="183"/>
    </row>
    <row r="5846" spans="1:5" ht="14.25">
      <c r="A5846"/>
      <c r="B5846"/>
      <c r="C5846"/>
      <c r="D5846"/>
      <c r="E5846" s="183"/>
    </row>
    <row r="5847" spans="1:5" ht="14.25">
      <c r="A5847"/>
      <c r="B5847"/>
      <c r="C5847"/>
      <c r="D5847"/>
      <c r="E5847" s="183"/>
    </row>
    <row r="5848" spans="1:5" ht="14.25">
      <c r="A5848"/>
      <c r="B5848"/>
      <c r="C5848"/>
      <c r="D5848"/>
      <c r="E5848" s="183"/>
    </row>
    <row r="5849" spans="1:5" ht="14.25">
      <c r="A5849"/>
      <c r="B5849"/>
      <c r="C5849"/>
      <c r="D5849"/>
      <c r="E5849" s="183"/>
    </row>
    <row r="5850" spans="1:5" ht="14.25">
      <c r="A5850"/>
      <c r="B5850"/>
      <c r="C5850"/>
      <c r="D5850"/>
      <c r="E5850" s="183"/>
    </row>
    <row r="5851" spans="1:5" ht="14.25">
      <c r="A5851"/>
      <c r="B5851"/>
      <c r="C5851"/>
      <c r="D5851"/>
      <c r="E5851" s="183"/>
    </row>
    <row r="5852" spans="1:5" ht="14.25">
      <c r="A5852"/>
      <c r="B5852"/>
      <c r="C5852"/>
      <c r="D5852"/>
      <c r="E5852" s="183"/>
    </row>
    <row r="5853" spans="1:5" ht="14.25">
      <c r="A5853"/>
      <c r="B5853"/>
      <c r="C5853"/>
      <c r="D5853"/>
      <c r="E5853" s="183"/>
    </row>
    <row r="5854" spans="1:5" ht="14.25">
      <c r="A5854"/>
      <c r="B5854"/>
      <c r="C5854"/>
      <c r="D5854"/>
      <c r="E5854" s="183"/>
    </row>
    <row r="5855" spans="1:5" ht="14.25">
      <c r="A5855"/>
      <c r="B5855"/>
      <c r="C5855"/>
      <c r="D5855"/>
      <c r="E5855" s="183"/>
    </row>
    <row r="5856" spans="1:5" ht="14.25">
      <c r="A5856"/>
      <c r="B5856"/>
      <c r="C5856"/>
      <c r="D5856"/>
      <c r="E5856" s="183"/>
    </row>
    <row r="5857" spans="1:5" ht="14.25">
      <c r="A5857"/>
      <c r="B5857"/>
      <c r="C5857"/>
      <c r="D5857"/>
      <c r="E5857" s="183"/>
    </row>
    <row r="5858" spans="1:5" ht="14.25">
      <c r="A5858"/>
      <c r="B5858"/>
      <c r="C5858"/>
      <c r="D5858"/>
      <c r="E5858" s="183"/>
    </row>
    <row r="5859" spans="1:5" ht="14.25">
      <c r="A5859"/>
      <c r="B5859"/>
      <c r="C5859"/>
      <c r="D5859"/>
      <c r="E5859" s="183"/>
    </row>
    <row r="5860" spans="1:5" ht="14.25">
      <c r="A5860"/>
      <c r="B5860"/>
      <c r="C5860"/>
      <c r="D5860"/>
      <c r="E5860" s="183"/>
    </row>
    <row r="5861" spans="1:5" ht="14.25">
      <c r="A5861"/>
      <c r="B5861"/>
      <c r="C5861"/>
      <c r="D5861"/>
      <c r="E5861" s="183"/>
    </row>
    <row r="5862" spans="1:5" ht="14.25">
      <c r="A5862"/>
      <c r="B5862"/>
      <c r="C5862"/>
      <c r="D5862"/>
      <c r="E5862" s="183"/>
    </row>
    <row r="5863" spans="1:5" ht="14.25">
      <c r="A5863"/>
      <c r="B5863"/>
      <c r="C5863"/>
      <c r="D5863"/>
      <c r="E5863" s="183"/>
    </row>
    <row r="5864" spans="1:5" ht="14.25">
      <c r="A5864"/>
      <c r="B5864"/>
      <c r="C5864"/>
      <c r="D5864"/>
      <c r="E5864" s="183"/>
    </row>
    <row r="5865" spans="1:5" ht="14.25">
      <c r="A5865"/>
      <c r="B5865"/>
      <c r="C5865"/>
      <c r="D5865"/>
      <c r="E5865" s="183"/>
    </row>
    <row r="5866" spans="1:5" ht="14.25">
      <c r="A5866"/>
      <c r="B5866"/>
      <c r="C5866"/>
      <c r="D5866"/>
      <c r="E5866" s="183"/>
    </row>
    <row r="5867" spans="1:5" ht="14.25">
      <c r="A5867"/>
      <c r="B5867"/>
      <c r="C5867"/>
      <c r="D5867"/>
      <c r="E5867" s="183"/>
    </row>
    <row r="5868" spans="1:5" ht="14.25">
      <c r="A5868"/>
      <c r="B5868"/>
      <c r="C5868"/>
      <c r="D5868"/>
      <c r="E5868" s="183"/>
    </row>
    <row r="5869" spans="1:5" ht="14.25">
      <c r="A5869"/>
      <c r="B5869"/>
      <c r="C5869"/>
      <c r="D5869"/>
      <c r="E5869" s="183"/>
    </row>
    <row r="5870" spans="1:5" ht="14.25">
      <c r="A5870"/>
      <c r="B5870"/>
      <c r="C5870"/>
      <c r="D5870"/>
      <c r="E5870" s="183"/>
    </row>
    <row r="5871" spans="1:5" ht="14.25">
      <c r="A5871"/>
      <c r="B5871"/>
      <c r="C5871"/>
      <c r="D5871"/>
      <c r="E5871" s="183"/>
    </row>
    <row r="5872" spans="1:5" ht="14.25">
      <c r="A5872"/>
      <c r="B5872"/>
      <c r="C5872"/>
      <c r="D5872"/>
      <c r="E5872" s="183"/>
    </row>
    <row r="5873" spans="1:5" ht="14.25">
      <c r="A5873"/>
      <c r="B5873"/>
      <c r="C5873"/>
      <c r="D5873"/>
      <c r="E5873" s="184"/>
    </row>
    <row r="5874" spans="1:5" ht="14.25">
      <c r="A5874"/>
      <c r="B5874"/>
      <c r="C5874"/>
      <c r="D5874"/>
      <c r="E5874" s="183"/>
    </row>
    <row r="5875" spans="1:5" ht="14.25">
      <c r="A5875"/>
      <c r="B5875"/>
      <c r="C5875"/>
      <c r="D5875"/>
      <c r="E5875" s="184"/>
    </row>
    <row r="5876" spans="1:5" ht="14.25">
      <c r="A5876"/>
      <c r="B5876"/>
      <c r="C5876"/>
      <c r="D5876"/>
      <c r="E5876" s="183"/>
    </row>
    <row r="5877" spans="1:5" ht="14.25">
      <c r="A5877"/>
      <c r="B5877"/>
      <c r="C5877"/>
      <c r="D5877"/>
      <c r="E5877" s="184"/>
    </row>
    <row r="5878" spans="1:5" ht="14.25">
      <c r="A5878"/>
      <c r="B5878"/>
      <c r="C5878"/>
      <c r="D5878"/>
      <c r="E5878" s="183"/>
    </row>
    <row r="5879" spans="1:5" ht="14.25">
      <c r="A5879"/>
      <c r="B5879"/>
      <c r="C5879"/>
      <c r="D5879"/>
      <c r="E5879" s="184"/>
    </row>
    <row r="5880" spans="1:5" ht="14.25">
      <c r="A5880"/>
      <c r="B5880"/>
      <c r="C5880"/>
      <c r="D5880"/>
      <c r="E5880" s="183"/>
    </row>
    <row r="5881" spans="1:5" ht="14.25">
      <c r="A5881"/>
      <c r="B5881"/>
      <c r="C5881"/>
      <c r="D5881"/>
      <c r="E5881" s="183"/>
    </row>
    <row r="5882" spans="1:5" ht="14.25">
      <c r="A5882"/>
      <c r="B5882"/>
      <c r="C5882"/>
      <c r="D5882"/>
      <c r="E5882" s="183"/>
    </row>
    <row r="5883" spans="1:5" ht="14.25">
      <c r="A5883"/>
      <c r="B5883"/>
      <c r="C5883"/>
      <c r="D5883"/>
      <c r="E5883" s="183"/>
    </row>
    <row r="5884" spans="1:5" ht="14.25">
      <c r="A5884"/>
      <c r="B5884"/>
      <c r="C5884"/>
      <c r="D5884"/>
      <c r="E5884" s="183"/>
    </row>
    <row r="5885" spans="1:5" ht="14.25">
      <c r="A5885"/>
      <c r="B5885"/>
      <c r="C5885"/>
      <c r="D5885"/>
      <c r="E5885" s="183"/>
    </row>
    <row r="5886" spans="1:5" ht="14.25">
      <c r="A5886"/>
      <c r="B5886"/>
      <c r="C5886"/>
      <c r="D5886"/>
      <c r="E5886" s="183"/>
    </row>
    <row r="5887" spans="1:5" ht="14.25">
      <c r="A5887"/>
      <c r="B5887"/>
      <c r="C5887"/>
      <c r="D5887"/>
      <c r="E5887" s="183"/>
    </row>
    <row r="5888" spans="1:5" ht="14.25">
      <c r="A5888"/>
      <c r="B5888"/>
      <c r="C5888"/>
      <c r="D5888"/>
      <c r="E5888" s="183"/>
    </row>
    <row r="5889" spans="1:5" ht="14.25">
      <c r="A5889"/>
      <c r="B5889"/>
      <c r="C5889"/>
      <c r="D5889"/>
      <c r="E5889" s="183"/>
    </row>
    <row r="5890" spans="1:5" ht="14.25">
      <c r="A5890"/>
      <c r="B5890"/>
      <c r="C5890"/>
      <c r="D5890"/>
      <c r="E5890" s="183"/>
    </row>
    <row r="5891" spans="1:5" ht="14.25">
      <c r="A5891"/>
      <c r="B5891"/>
      <c r="C5891"/>
      <c r="D5891"/>
      <c r="E5891" s="184"/>
    </row>
    <row r="5892" spans="1:5" ht="14.25">
      <c r="A5892"/>
      <c r="B5892"/>
      <c r="C5892"/>
      <c r="D5892"/>
      <c r="E5892" s="184"/>
    </row>
    <row r="5893" spans="1:5" ht="14.25">
      <c r="A5893"/>
      <c r="B5893"/>
      <c r="C5893"/>
      <c r="D5893"/>
      <c r="E5893" s="184"/>
    </row>
    <row r="5894" spans="1:5" ht="14.25">
      <c r="A5894"/>
      <c r="B5894"/>
      <c r="C5894"/>
      <c r="D5894"/>
      <c r="E5894" s="184"/>
    </row>
    <row r="5895" spans="1:5" ht="14.25">
      <c r="A5895"/>
      <c r="B5895"/>
      <c r="C5895"/>
      <c r="D5895"/>
      <c r="E5895" s="183"/>
    </row>
    <row r="5896" spans="1:5" ht="14.25">
      <c r="A5896"/>
      <c r="B5896"/>
      <c r="C5896"/>
      <c r="D5896"/>
      <c r="E5896" s="183"/>
    </row>
    <row r="5897" spans="1:5" ht="14.25">
      <c r="A5897"/>
      <c r="B5897"/>
      <c r="C5897"/>
      <c r="D5897"/>
      <c r="E5897" s="183"/>
    </row>
    <row r="5898" spans="1:5" ht="14.25">
      <c r="A5898"/>
      <c r="B5898"/>
      <c r="C5898"/>
      <c r="D5898"/>
      <c r="E5898" s="183"/>
    </row>
    <row r="5899" spans="1:5" ht="14.25">
      <c r="A5899"/>
      <c r="B5899"/>
      <c r="C5899"/>
      <c r="D5899"/>
      <c r="E5899" s="183"/>
    </row>
    <row r="5900" spans="1:5" ht="14.25">
      <c r="A5900"/>
      <c r="B5900"/>
      <c r="C5900"/>
      <c r="D5900"/>
      <c r="E5900" s="184"/>
    </row>
    <row r="5901" spans="1:5" ht="14.25">
      <c r="A5901"/>
      <c r="B5901"/>
      <c r="C5901"/>
      <c r="D5901"/>
      <c r="E5901" s="184"/>
    </row>
    <row r="5902" spans="1:5" ht="14.25">
      <c r="A5902"/>
      <c r="B5902"/>
      <c r="C5902"/>
      <c r="D5902"/>
      <c r="E5902" s="184"/>
    </row>
    <row r="5903" spans="1:5" ht="14.25">
      <c r="A5903"/>
      <c r="B5903"/>
      <c r="C5903"/>
      <c r="D5903"/>
      <c r="E5903" s="184"/>
    </row>
    <row r="5904" spans="1:5" ht="14.25">
      <c r="A5904"/>
      <c r="B5904"/>
      <c r="C5904"/>
      <c r="D5904"/>
      <c r="E5904" s="184"/>
    </row>
    <row r="5905" spans="1:5" ht="14.25">
      <c r="A5905"/>
      <c r="B5905"/>
      <c r="C5905"/>
      <c r="D5905"/>
      <c r="E5905" s="183"/>
    </row>
    <row r="5906" spans="1:5" ht="14.25">
      <c r="A5906"/>
      <c r="B5906"/>
      <c r="C5906"/>
      <c r="D5906"/>
      <c r="E5906" s="183"/>
    </row>
    <row r="5907" spans="1:5" ht="14.25">
      <c r="A5907"/>
      <c r="B5907"/>
      <c r="C5907"/>
      <c r="D5907"/>
      <c r="E5907" s="183"/>
    </row>
    <row r="5908" spans="1:5" ht="14.25">
      <c r="A5908"/>
      <c r="B5908"/>
      <c r="C5908"/>
      <c r="D5908"/>
      <c r="E5908" s="183"/>
    </row>
    <row r="5909" spans="1:5" ht="14.25">
      <c r="A5909"/>
      <c r="B5909"/>
      <c r="C5909"/>
      <c r="D5909"/>
      <c r="E5909" s="183"/>
    </row>
    <row r="5910" spans="1:5" ht="14.25">
      <c r="A5910"/>
      <c r="B5910"/>
      <c r="C5910"/>
      <c r="D5910"/>
      <c r="E5910" s="183"/>
    </row>
    <row r="5911" spans="1:5" ht="14.25">
      <c r="A5911"/>
      <c r="B5911"/>
      <c r="C5911"/>
      <c r="D5911"/>
      <c r="E5911" s="183"/>
    </row>
    <row r="5912" spans="1:5" ht="14.25">
      <c r="A5912"/>
      <c r="B5912"/>
      <c r="C5912"/>
      <c r="D5912"/>
      <c r="E5912" s="183"/>
    </row>
    <row r="5913" spans="1:5" ht="14.25">
      <c r="A5913"/>
      <c r="B5913"/>
      <c r="C5913"/>
      <c r="D5913"/>
      <c r="E5913" s="183"/>
    </row>
    <row r="5914" spans="1:5" ht="14.25">
      <c r="A5914"/>
      <c r="B5914"/>
      <c r="C5914"/>
      <c r="D5914"/>
      <c r="E5914" s="183"/>
    </row>
    <row r="5915" spans="1:5" ht="14.25">
      <c r="A5915"/>
      <c r="B5915"/>
      <c r="C5915"/>
      <c r="D5915"/>
      <c r="E5915" s="183"/>
    </row>
    <row r="5916" spans="1:5" ht="14.25">
      <c r="A5916"/>
      <c r="B5916"/>
      <c r="C5916"/>
      <c r="D5916"/>
      <c r="E5916" s="183"/>
    </row>
    <row r="5917" spans="1:5" ht="14.25">
      <c r="A5917"/>
      <c r="B5917"/>
      <c r="C5917"/>
      <c r="D5917"/>
      <c r="E5917" s="183"/>
    </row>
    <row r="5918" spans="1:5" ht="14.25">
      <c r="A5918"/>
      <c r="B5918"/>
      <c r="C5918"/>
      <c r="D5918"/>
      <c r="E5918" s="183"/>
    </row>
    <row r="5919" spans="1:5" ht="14.25">
      <c r="A5919"/>
      <c r="B5919"/>
      <c r="C5919"/>
      <c r="D5919"/>
      <c r="E5919" s="183"/>
    </row>
    <row r="5920" spans="1:5" ht="14.25">
      <c r="A5920"/>
      <c r="B5920"/>
      <c r="C5920"/>
      <c r="D5920"/>
      <c r="E5920" s="183"/>
    </row>
    <row r="5921" spans="1:5" ht="14.25">
      <c r="A5921"/>
      <c r="B5921"/>
      <c r="C5921"/>
      <c r="D5921"/>
      <c r="E5921" s="183"/>
    </row>
    <row r="5922" spans="1:5" ht="14.25">
      <c r="A5922"/>
      <c r="B5922"/>
      <c r="C5922"/>
      <c r="D5922"/>
      <c r="E5922" s="183"/>
    </row>
    <row r="5923" spans="1:5" ht="14.25">
      <c r="A5923"/>
      <c r="B5923"/>
      <c r="C5923"/>
      <c r="D5923"/>
      <c r="E5923" s="183"/>
    </row>
    <row r="5924" spans="1:5" ht="14.25">
      <c r="A5924"/>
      <c r="B5924"/>
      <c r="C5924"/>
      <c r="D5924"/>
      <c r="E5924" s="183"/>
    </row>
    <row r="5925" spans="1:5" ht="14.25">
      <c r="A5925"/>
      <c r="B5925"/>
      <c r="C5925"/>
      <c r="D5925"/>
      <c r="E5925" s="183"/>
    </row>
    <row r="5926" spans="1:5" ht="14.25">
      <c r="A5926"/>
      <c r="B5926"/>
      <c r="C5926"/>
      <c r="D5926"/>
      <c r="E5926" s="183"/>
    </row>
    <row r="5927" spans="1:5" ht="14.25">
      <c r="A5927"/>
      <c r="B5927"/>
      <c r="C5927"/>
      <c r="D5927"/>
      <c r="E5927" s="183"/>
    </row>
    <row r="5928" spans="1:5" ht="14.25">
      <c r="A5928"/>
      <c r="B5928"/>
      <c r="C5928"/>
      <c r="D5928"/>
      <c r="E5928" s="183"/>
    </row>
    <row r="5929" spans="1:5" ht="14.25">
      <c r="A5929"/>
      <c r="B5929"/>
      <c r="C5929"/>
      <c r="D5929"/>
      <c r="E5929" s="183"/>
    </row>
    <row r="5930" spans="1:5" ht="14.25">
      <c r="A5930"/>
      <c r="B5930"/>
      <c r="C5930"/>
      <c r="D5930"/>
      <c r="E5930" s="183"/>
    </row>
    <row r="5931" spans="1:5" ht="14.25">
      <c r="A5931"/>
      <c r="B5931"/>
      <c r="C5931"/>
      <c r="D5931"/>
      <c r="E5931" s="183"/>
    </row>
    <row r="5932" spans="1:5" ht="14.25">
      <c r="A5932"/>
      <c r="B5932"/>
      <c r="C5932"/>
      <c r="D5932"/>
      <c r="E5932" s="183"/>
    </row>
    <row r="5933" spans="1:5" ht="14.25">
      <c r="A5933"/>
      <c r="B5933"/>
      <c r="C5933"/>
      <c r="D5933"/>
      <c r="E5933" s="183"/>
    </row>
    <row r="5934" spans="1:5" ht="14.25">
      <c r="A5934"/>
      <c r="B5934"/>
      <c r="C5934"/>
      <c r="D5934"/>
      <c r="E5934" s="183"/>
    </row>
    <row r="5935" spans="1:5" ht="14.25">
      <c r="A5935"/>
      <c r="B5935"/>
      <c r="C5935"/>
      <c r="D5935"/>
      <c r="E5935" s="183"/>
    </row>
    <row r="5936" spans="1:5" ht="14.25">
      <c r="A5936"/>
      <c r="B5936"/>
      <c r="C5936"/>
      <c r="D5936"/>
      <c r="E5936" s="183"/>
    </row>
    <row r="5937" spans="1:5" ht="14.25">
      <c r="A5937"/>
      <c r="B5937"/>
      <c r="C5937"/>
      <c r="D5937"/>
      <c r="E5937" s="183"/>
    </row>
    <row r="5938" spans="1:5" ht="14.25">
      <c r="A5938"/>
      <c r="B5938"/>
      <c r="C5938"/>
      <c r="D5938"/>
      <c r="E5938" s="183"/>
    </row>
    <row r="5939" spans="1:5" ht="14.25">
      <c r="A5939"/>
      <c r="B5939"/>
      <c r="C5939"/>
      <c r="D5939"/>
      <c r="E5939" s="183"/>
    </row>
    <row r="5940" spans="1:5" ht="14.25">
      <c r="A5940"/>
      <c r="B5940"/>
      <c r="C5940"/>
      <c r="D5940"/>
      <c r="E5940" s="183"/>
    </row>
    <row r="5941" spans="1:5" ht="14.25">
      <c r="A5941"/>
      <c r="B5941"/>
      <c r="C5941"/>
      <c r="D5941"/>
      <c r="E5941" s="183"/>
    </row>
    <row r="5942" spans="1:5" ht="14.25">
      <c r="A5942"/>
      <c r="B5942"/>
      <c r="C5942"/>
      <c r="D5942"/>
      <c r="E5942" s="183"/>
    </row>
    <row r="5943" spans="1:5" ht="14.25">
      <c r="A5943"/>
      <c r="B5943"/>
      <c r="C5943"/>
      <c r="D5943"/>
      <c r="E5943" s="183"/>
    </row>
    <row r="5944" spans="1:5" ht="14.25">
      <c r="A5944"/>
      <c r="B5944"/>
      <c r="C5944"/>
      <c r="D5944"/>
      <c r="E5944" s="183"/>
    </row>
    <row r="5945" spans="1:5" ht="14.25">
      <c r="A5945"/>
      <c r="B5945"/>
      <c r="C5945"/>
      <c r="D5945"/>
      <c r="E5945" s="183"/>
    </row>
    <row r="5946" spans="1:5" ht="14.25">
      <c r="A5946"/>
      <c r="B5946"/>
      <c r="C5946"/>
      <c r="D5946"/>
      <c r="E5946" s="183"/>
    </row>
    <row r="5947" spans="1:5" ht="14.25">
      <c r="A5947"/>
      <c r="B5947"/>
      <c r="C5947"/>
      <c r="D5947"/>
      <c r="E5947" s="183"/>
    </row>
    <row r="5948" spans="1:5" ht="14.25">
      <c r="A5948"/>
      <c r="B5948"/>
      <c r="C5948"/>
      <c r="D5948"/>
      <c r="E5948" s="183"/>
    </row>
    <row r="5949" spans="1:5" ht="14.25">
      <c r="A5949"/>
      <c r="B5949"/>
      <c r="C5949"/>
      <c r="D5949"/>
      <c r="E5949" s="183"/>
    </row>
    <row r="5950" spans="1:5" ht="14.25">
      <c r="A5950"/>
      <c r="B5950"/>
      <c r="C5950"/>
      <c r="D5950"/>
      <c r="E5950" s="183"/>
    </row>
    <row r="5951" spans="1:5" ht="14.25">
      <c r="A5951"/>
      <c r="B5951"/>
      <c r="C5951"/>
      <c r="D5951"/>
      <c r="E5951" s="183"/>
    </row>
    <row r="5952" spans="1:5" ht="14.25">
      <c r="A5952"/>
      <c r="B5952"/>
      <c r="C5952"/>
      <c r="D5952"/>
      <c r="E5952" s="183"/>
    </row>
    <row r="5953" spans="1:5" ht="14.25">
      <c r="A5953"/>
      <c r="B5953"/>
      <c r="C5953"/>
      <c r="D5953"/>
      <c r="E5953" s="183"/>
    </row>
    <row r="5954" spans="1:5" ht="14.25">
      <c r="A5954"/>
      <c r="B5954"/>
      <c r="C5954"/>
      <c r="D5954"/>
      <c r="E5954" s="183"/>
    </row>
    <row r="5955" spans="1:5" ht="14.25">
      <c r="A5955"/>
      <c r="B5955"/>
      <c r="C5955"/>
      <c r="D5955"/>
      <c r="E5955" s="184"/>
    </row>
    <row r="5956" spans="1:5" ht="14.25">
      <c r="A5956"/>
      <c r="B5956"/>
      <c r="C5956"/>
      <c r="D5956"/>
      <c r="E5956" s="184"/>
    </row>
    <row r="5957" spans="1:5" ht="14.25">
      <c r="A5957"/>
      <c r="B5957"/>
      <c r="C5957"/>
      <c r="D5957"/>
      <c r="E5957" s="183"/>
    </row>
    <row r="5958" spans="1:5" ht="14.25">
      <c r="A5958"/>
      <c r="B5958"/>
      <c r="C5958"/>
      <c r="D5958"/>
      <c r="E5958" s="183"/>
    </row>
    <row r="5959" spans="1:5" ht="14.25">
      <c r="A5959"/>
      <c r="B5959"/>
      <c r="C5959"/>
      <c r="D5959"/>
      <c r="E5959" s="183"/>
    </row>
    <row r="5960" spans="1:5" ht="14.25">
      <c r="A5960"/>
      <c r="B5960"/>
      <c r="C5960"/>
      <c r="D5960"/>
      <c r="E5960" s="183"/>
    </row>
    <row r="5961" spans="1:5" ht="14.25">
      <c r="A5961"/>
      <c r="B5961"/>
      <c r="C5961"/>
      <c r="D5961"/>
      <c r="E5961" s="183"/>
    </row>
    <row r="5962" spans="1:5" ht="14.25">
      <c r="A5962"/>
      <c r="B5962"/>
      <c r="C5962"/>
      <c r="D5962"/>
      <c r="E5962" s="183"/>
    </row>
    <row r="5963" spans="1:5" ht="14.25">
      <c r="A5963"/>
      <c r="B5963"/>
      <c r="C5963"/>
      <c r="D5963"/>
      <c r="E5963" s="183"/>
    </row>
    <row r="5964" spans="1:5" ht="14.25">
      <c r="A5964"/>
      <c r="B5964"/>
      <c r="C5964"/>
      <c r="D5964"/>
      <c r="E5964" s="183"/>
    </row>
    <row r="5965" spans="1:5" ht="14.25">
      <c r="A5965"/>
      <c r="B5965"/>
      <c r="C5965"/>
      <c r="D5965"/>
      <c r="E5965" s="183"/>
    </row>
    <row r="5966" spans="1:5" ht="14.25">
      <c r="A5966"/>
      <c r="B5966"/>
      <c r="C5966"/>
      <c r="D5966"/>
      <c r="E5966" s="183"/>
    </row>
    <row r="5967" spans="1:5" ht="14.25">
      <c r="A5967"/>
      <c r="B5967"/>
      <c r="C5967"/>
      <c r="D5967"/>
      <c r="E5967" s="183"/>
    </row>
    <row r="5968" spans="1:5" ht="14.25">
      <c r="A5968"/>
      <c r="B5968"/>
      <c r="C5968"/>
      <c r="D5968"/>
      <c r="E5968" s="183"/>
    </row>
    <row r="5969" spans="1:5" ht="14.25">
      <c r="A5969"/>
      <c r="B5969"/>
      <c r="C5969"/>
      <c r="D5969"/>
      <c r="E5969" s="183"/>
    </row>
    <row r="5970" spans="1:5" ht="14.25">
      <c r="A5970"/>
      <c r="B5970"/>
      <c r="C5970"/>
      <c r="D5970"/>
      <c r="E5970" s="184"/>
    </row>
    <row r="5971" spans="1:5" ht="14.25">
      <c r="A5971"/>
      <c r="B5971"/>
      <c r="C5971"/>
      <c r="D5971"/>
      <c r="E5971" s="183"/>
    </row>
    <row r="5972" spans="1:5" ht="14.25">
      <c r="A5972"/>
      <c r="B5972"/>
      <c r="C5972"/>
      <c r="D5972"/>
      <c r="E5972" s="183"/>
    </row>
    <row r="5973" spans="1:5" ht="14.25">
      <c r="A5973"/>
      <c r="B5973"/>
      <c r="C5973"/>
      <c r="D5973"/>
      <c r="E5973" s="183"/>
    </row>
    <row r="5974" spans="1:5" ht="14.25">
      <c r="A5974"/>
      <c r="B5974"/>
      <c r="C5974"/>
      <c r="D5974"/>
      <c r="E5974" s="183"/>
    </row>
    <row r="5975" spans="1:5" ht="14.25">
      <c r="A5975"/>
      <c r="B5975"/>
      <c r="C5975"/>
      <c r="D5975"/>
      <c r="E5975" s="183"/>
    </row>
    <row r="5976" spans="1:5" ht="14.25">
      <c r="A5976"/>
      <c r="B5976"/>
      <c r="C5976"/>
      <c r="D5976"/>
      <c r="E5976" s="183"/>
    </row>
    <row r="5977" spans="1:5" ht="14.25">
      <c r="A5977"/>
      <c r="B5977"/>
      <c r="C5977"/>
      <c r="D5977"/>
      <c r="E5977" s="184"/>
    </row>
    <row r="5978" spans="1:5" ht="14.25">
      <c r="A5978"/>
      <c r="B5978"/>
      <c r="C5978"/>
      <c r="D5978"/>
      <c r="E5978" s="183"/>
    </row>
    <row r="5979" spans="1:5" ht="14.25">
      <c r="A5979"/>
      <c r="B5979"/>
      <c r="C5979"/>
      <c r="D5979"/>
      <c r="E5979" s="183"/>
    </row>
    <row r="5980" spans="1:5" ht="14.25">
      <c r="A5980"/>
      <c r="B5980"/>
      <c r="C5980"/>
      <c r="D5980"/>
      <c r="E5980" s="183"/>
    </row>
    <row r="5981" spans="1:5" ht="14.25">
      <c r="A5981"/>
      <c r="B5981"/>
      <c r="C5981"/>
      <c r="D5981"/>
      <c r="E5981" s="183"/>
    </row>
    <row r="5982" spans="1:5" ht="14.25">
      <c r="A5982"/>
      <c r="B5982"/>
      <c r="C5982"/>
      <c r="D5982"/>
      <c r="E5982" s="184"/>
    </row>
    <row r="5983" spans="1:5" ht="14.25">
      <c r="A5983"/>
      <c r="B5983"/>
      <c r="C5983"/>
      <c r="D5983"/>
      <c r="E5983" s="183"/>
    </row>
    <row r="5984" spans="1:5" ht="14.25">
      <c r="A5984"/>
      <c r="B5984"/>
      <c r="C5984"/>
      <c r="D5984"/>
      <c r="E5984" s="183"/>
    </row>
    <row r="5985" spans="1:5" ht="14.25">
      <c r="A5985"/>
      <c r="B5985"/>
      <c r="C5985"/>
      <c r="D5985"/>
      <c r="E5985" s="183"/>
    </row>
    <row r="5986" spans="1:5" ht="14.25">
      <c r="A5986"/>
      <c r="B5986"/>
      <c r="C5986"/>
      <c r="D5986"/>
      <c r="E5986" s="183"/>
    </row>
    <row r="5987" spans="1:5" ht="14.25">
      <c r="A5987"/>
      <c r="B5987"/>
      <c r="C5987"/>
      <c r="D5987"/>
      <c r="E5987" s="183"/>
    </row>
    <row r="5988" spans="1:5" ht="14.25">
      <c r="A5988"/>
      <c r="B5988"/>
      <c r="C5988"/>
      <c r="D5988"/>
      <c r="E5988" s="183"/>
    </row>
    <row r="5989" spans="1:5" ht="14.25">
      <c r="A5989"/>
      <c r="B5989"/>
      <c r="C5989"/>
      <c r="D5989"/>
      <c r="E5989" s="183"/>
    </row>
    <row r="5990" spans="1:5" ht="14.25">
      <c r="A5990"/>
      <c r="B5990"/>
      <c r="C5990"/>
      <c r="D5990"/>
      <c r="E5990" s="183"/>
    </row>
    <row r="5991" spans="1:5" ht="14.25">
      <c r="A5991"/>
      <c r="B5991"/>
      <c r="C5991"/>
      <c r="D5991"/>
      <c r="E5991" s="183"/>
    </row>
    <row r="5992" spans="1:5" ht="14.25">
      <c r="A5992"/>
      <c r="B5992"/>
      <c r="C5992"/>
      <c r="D5992"/>
      <c r="E5992" s="183"/>
    </row>
    <row r="5993" spans="1:5" ht="14.25">
      <c r="A5993"/>
      <c r="B5993"/>
      <c r="C5993"/>
      <c r="D5993"/>
      <c r="E5993" s="183"/>
    </row>
    <row r="5994" spans="1:5" ht="14.25">
      <c r="A5994"/>
      <c r="B5994"/>
      <c r="C5994"/>
      <c r="D5994"/>
      <c r="E5994" s="183"/>
    </row>
    <row r="5995" spans="1:5" ht="14.25">
      <c r="A5995"/>
      <c r="B5995"/>
      <c r="C5995"/>
      <c r="D5995"/>
      <c r="E5995" s="183"/>
    </row>
    <row r="5996" spans="1:5" ht="14.25">
      <c r="A5996"/>
      <c r="B5996"/>
      <c r="C5996"/>
      <c r="D5996"/>
      <c r="E5996" s="183"/>
    </row>
    <row r="5997" spans="1:5" ht="14.25">
      <c r="A5997"/>
      <c r="B5997"/>
      <c r="C5997"/>
      <c r="D5997"/>
      <c r="E5997" s="184"/>
    </row>
    <row r="5998" spans="1:5" ht="14.25">
      <c r="A5998"/>
      <c r="B5998"/>
      <c r="C5998"/>
      <c r="D5998"/>
      <c r="E5998" s="183"/>
    </row>
    <row r="5999" spans="1:5" ht="14.25">
      <c r="A5999"/>
      <c r="B5999"/>
      <c r="C5999"/>
      <c r="D5999"/>
      <c r="E5999" s="184"/>
    </row>
    <row r="6000" spans="1:5" ht="14.25">
      <c r="A6000"/>
      <c r="B6000"/>
      <c r="C6000"/>
      <c r="D6000"/>
      <c r="E6000" s="183"/>
    </row>
    <row r="6001" spans="1:5" ht="14.25">
      <c r="A6001"/>
      <c r="B6001"/>
      <c r="C6001"/>
      <c r="D6001"/>
      <c r="E6001" s="183"/>
    </row>
    <row r="6002" spans="1:5" ht="14.25">
      <c r="A6002"/>
      <c r="B6002"/>
      <c r="C6002"/>
      <c r="D6002"/>
      <c r="E6002" s="183"/>
    </row>
    <row r="6003" spans="1:5" ht="14.25">
      <c r="A6003"/>
      <c r="B6003"/>
      <c r="C6003"/>
      <c r="D6003"/>
      <c r="E6003" s="183"/>
    </row>
    <row r="6004" spans="1:5" ht="14.25">
      <c r="A6004"/>
      <c r="B6004"/>
      <c r="C6004"/>
      <c r="D6004"/>
      <c r="E6004" s="183"/>
    </row>
    <row r="6005" spans="1:5" ht="14.25">
      <c r="A6005"/>
      <c r="B6005"/>
      <c r="C6005"/>
      <c r="D6005"/>
      <c r="E6005" s="183"/>
    </row>
    <row r="6006" spans="1:5" ht="14.25">
      <c r="A6006"/>
      <c r="B6006"/>
      <c r="C6006"/>
      <c r="D6006"/>
      <c r="E6006" s="183"/>
    </row>
    <row r="6007" spans="1:5" ht="14.25">
      <c r="A6007"/>
      <c r="B6007"/>
      <c r="C6007"/>
      <c r="D6007"/>
      <c r="E6007" s="183"/>
    </row>
    <row r="6008" spans="1:5" ht="14.25">
      <c r="A6008"/>
      <c r="B6008"/>
      <c r="C6008"/>
      <c r="D6008"/>
      <c r="E6008" s="183"/>
    </row>
    <row r="6009" spans="1:5" ht="14.25">
      <c r="A6009"/>
      <c r="B6009"/>
      <c r="C6009"/>
      <c r="D6009"/>
      <c r="E6009" s="183"/>
    </row>
    <row r="6010" spans="1:5" ht="14.25">
      <c r="A6010"/>
      <c r="B6010"/>
      <c r="C6010"/>
      <c r="D6010"/>
      <c r="E6010" s="183"/>
    </row>
    <row r="6011" spans="1:5" ht="14.25">
      <c r="A6011"/>
      <c r="B6011"/>
      <c r="C6011"/>
      <c r="D6011"/>
      <c r="E6011" s="183"/>
    </row>
    <row r="6012" spans="1:5" ht="14.25">
      <c r="A6012"/>
      <c r="B6012"/>
      <c r="C6012"/>
      <c r="D6012"/>
      <c r="E6012" s="183"/>
    </row>
    <row r="6013" spans="1:5" ht="14.25">
      <c r="A6013"/>
      <c r="B6013"/>
      <c r="C6013"/>
      <c r="D6013"/>
      <c r="E6013" s="183"/>
    </row>
    <row r="6014" spans="1:5" ht="14.25">
      <c r="A6014"/>
      <c r="B6014"/>
      <c r="C6014"/>
      <c r="D6014"/>
      <c r="E6014" s="183"/>
    </row>
    <row r="6015" spans="1:5" ht="14.25">
      <c r="A6015"/>
      <c r="B6015"/>
      <c r="C6015"/>
      <c r="D6015"/>
      <c r="E6015" s="183"/>
    </row>
    <row r="6016" spans="1:5" ht="14.25">
      <c r="A6016"/>
      <c r="B6016"/>
      <c r="C6016"/>
      <c r="D6016"/>
      <c r="E6016" s="183"/>
    </row>
    <row r="6017" spans="1:5" ht="14.25">
      <c r="A6017"/>
      <c r="B6017"/>
      <c r="C6017"/>
      <c r="D6017"/>
      <c r="E6017" s="183"/>
    </row>
    <row r="6018" spans="1:5" ht="14.25">
      <c r="A6018"/>
      <c r="B6018"/>
      <c r="C6018"/>
      <c r="D6018"/>
      <c r="E6018" s="183"/>
    </row>
    <row r="6019" spans="1:5" ht="14.25">
      <c r="A6019"/>
      <c r="B6019"/>
      <c r="C6019"/>
      <c r="D6019"/>
      <c r="E6019" s="183"/>
    </row>
    <row r="6020" spans="1:5" ht="14.25">
      <c r="A6020"/>
      <c r="B6020"/>
      <c r="C6020"/>
      <c r="D6020"/>
      <c r="E6020" s="183"/>
    </row>
    <row r="6021" spans="1:5" ht="14.25">
      <c r="A6021"/>
      <c r="B6021"/>
      <c r="C6021"/>
      <c r="D6021"/>
      <c r="E6021" s="183"/>
    </row>
    <row r="6022" spans="1:5" ht="14.25">
      <c r="A6022"/>
      <c r="B6022"/>
      <c r="C6022"/>
      <c r="D6022"/>
      <c r="E6022" s="183"/>
    </row>
    <row r="6023" spans="1:5" ht="14.25">
      <c r="A6023"/>
      <c r="B6023"/>
      <c r="C6023"/>
      <c r="D6023"/>
      <c r="E6023" s="183"/>
    </row>
    <row r="6024" spans="1:5" ht="14.25">
      <c r="A6024"/>
      <c r="B6024"/>
      <c r="C6024"/>
      <c r="D6024"/>
      <c r="E6024" s="183"/>
    </row>
    <row r="6025" spans="1:5" ht="14.25">
      <c r="A6025"/>
      <c r="B6025"/>
      <c r="C6025"/>
      <c r="D6025"/>
      <c r="E6025" s="183"/>
    </row>
    <row r="6026" spans="1:5" ht="14.25">
      <c r="A6026"/>
      <c r="B6026"/>
      <c r="C6026"/>
      <c r="D6026"/>
      <c r="E6026" s="183"/>
    </row>
    <row r="6027" spans="1:5" ht="14.25">
      <c r="A6027"/>
      <c r="B6027"/>
      <c r="C6027"/>
      <c r="D6027"/>
      <c r="E6027" s="183"/>
    </row>
    <row r="6028" spans="1:5" ht="14.25">
      <c r="A6028"/>
      <c r="B6028"/>
      <c r="C6028"/>
      <c r="D6028"/>
      <c r="E6028" s="183"/>
    </row>
    <row r="6029" spans="1:5" ht="14.25">
      <c r="A6029"/>
      <c r="B6029"/>
      <c r="C6029"/>
      <c r="D6029"/>
      <c r="E6029" s="183"/>
    </row>
    <row r="6030" spans="1:5" ht="14.25">
      <c r="A6030"/>
      <c r="B6030"/>
      <c r="C6030"/>
      <c r="D6030"/>
      <c r="E6030" s="183"/>
    </row>
    <row r="6031" spans="1:5" ht="14.25">
      <c r="A6031"/>
      <c r="B6031"/>
      <c r="C6031"/>
      <c r="D6031"/>
      <c r="E6031" s="183"/>
    </row>
    <row r="6032" spans="1:5" ht="14.25">
      <c r="A6032"/>
      <c r="B6032"/>
      <c r="C6032"/>
      <c r="D6032"/>
      <c r="E6032" s="183"/>
    </row>
    <row r="6033" spans="1:5" ht="14.25">
      <c r="A6033"/>
      <c r="B6033"/>
      <c r="C6033"/>
      <c r="D6033"/>
      <c r="E6033" s="183"/>
    </row>
    <row r="6034" spans="1:5" ht="14.25">
      <c r="A6034"/>
      <c r="B6034"/>
      <c r="C6034"/>
      <c r="D6034"/>
      <c r="E6034" s="183"/>
    </row>
    <row r="6035" spans="1:5" ht="14.25">
      <c r="A6035"/>
      <c r="B6035"/>
      <c r="C6035"/>
      <c r="D6035"/>
      <c r="E6035" s="183"/>
    </row>
    <row r="6036" spans="1:5" ht="14.25">
      <c r="A6036"/>
      <c r="B6036"/>
      <c r="C6036"/>
      <c r="D6036"/>
      <c r="E6036" s="183"/>
    </row>
    <row r="6037" spans="1:5" ht="14.25">
      <c r="A6037"/>
      <c r="B6037"/>
      <c r="C6037"/>
      <c r="D6037"/>
      <c r="E6037" s="183"/>
    </row>
    <row r="6038" spans="1:5" ht="14.25">
      <c r="A6038"/>
      <c r="B6038"/>
      <c r="C6038"/>
      <c r="D6038"/>
      <c r="E6038" s="183"/>
    </row>
    <row r="6039" spans="1:5" ht="14.25">
      <c r="A6039"/>
      <c r="B6039"/>
      <c r="C6039"/>
      <c r="D6039"/>
      <c r="E6039" s="183"/>
    </row>
    <row r="6040" spans="1:5" ht="14.25">
      <c r="A6040"/>
      <c r="B6040"/>
      <c r="C6040"/>
      <c r="D6040"/>
      <c r="E6040" s="183"/>
    </row>
    <row r="6041" spans="1:5" ht="14.25">
      <c r="A6041"/>
      <c r="B6041"/>
      <c r="C6041"/>
      <c r="D6041"/>
      <c r="E6041" s="183"/>
    </row>
    <row r="6042" spans="1:5" ht="14.25">
      <c r="A6042"/>
      <c r="B6042"/>
      <c r="C6042"/>
      <c r="D6042"/>
      <c r="E6042" s="183"/>
    </row>
    <row r="6043" spans="1:5" ht="14.25">
      <c r="A6043"/>
      <c r="B6043"/>
      <c r="C6043"/>
      <c r="D6043"/>
      <c r="E6043" s="183"/>
    </row>
    <row r="6044" spans="1:5" ht="14.25">
      <c r="A6044"/>
      <c r="B6044"/>
      <c r="C6044"/>
      <c r="D6044"/>
      <c r="E6044" s="183"/>
    </row>
    <row r="6045" spans="1:5" ht="14.25">
      <c r="A6045"/>
      <c r="B6045"/>
      <c r="C6045"/>
      <c r="D6045"/>
      <c r="E6045" s="183"/>
    </row>
    <row r="6046" spans="1:5" ht="14.25">
      <c r="A6046"/>
      <c r="B6046"/>
      <c r="C6046"/>
      <c r="D6046"/>
      <c r="E6046" s="183"/>
    </row>
    <row r="6047" spans="1:5" ht="14.25">
      <c r="A6047"/>
      <c r="B6047"/>
      <c r="C6047"/>
      <c r="D6047"/>
      <c r="E6047" s="183"/>
    </row>
    <row r="6048" spans="1:5" ht="14.25">
      <c r="A6048"/>
      <c r="B6048"/>
      <c r="C6048"/>
      <c r="D6048"/>
      <c r="E6048" s="183"/>
    </row>
    <row r="6049" spans="1:5" ht="14.25">
      <c r="A6049"/>
      <c r="B6049"/>
      <c r="C6049"/>
      <c r="D6049"/>
      <c r="E6049" s="183"/>
    </row>
    <row r="6050" spans="1:5" ht="14.25">
      <c r="A6050"/>
      <c r="B6050"/>
      <c r="C6050"/>
      <c r="D6050"/>
      <c r="E6050" s="183"/>
    </row>
    <row r="6051" spans="1:5" ht="14.25">
      <c r="A6051"/>
      <c r="B6051"/>
      <c r="C6051"/>
      <c r="D6051"/>
      <c r="E6051" s="183"/>
    </row>
    <row r="6052" spans="1:5" ht="14.25">
      <c r="A6052"/>
      <c r="B6052"/>
      <c r="C6052"/>
      <c r="D6052"/>
      <c r="E6052" s="184"/>
    </row>
    <row r="6053" spans="1:5" ht="14.25">
      <c r="A6053"/>
      <c r="B6053"/>
      <c r="C6053"/>
      <c r="D6053"/>
      <c r="E6053" s="184"/>
    </row>
    <row r="6054" spans="1:5" ht="14.25">
      <c r="A6054"/>
      <c r="B6054"/>
      <c r="C6054"/>
      <c r="D6054"/>
      <c r="E6054" s="184"/>
    </row>
    <row r="6055" spans="1:5" ht="14.25">
      <c r="A6055"/>
      <c r="B6055"/>
      <c r="C6055"/>
      <c r="D6055"/>
      <c r="E6055" s="183"/>
    </row>
    <row r="6056" spans="1:5" ht="14.25">
      <c r="A6056"/>
      <c r="B6056"/>
      <c r="C6056"/>
      <c r="D6056"/>
      <c r="E6056" s="183"/>
    </row>
    <row r="6057" spans="1:5" ht="14.25">
      <c r="A6057"/>
      <c r="B6057"/>
      <c r="C6057"/>
      <c r="D6057"/>
      <c r="E6057" s="184"/>
    </row>
    <row r="6058" spans="1:5" ht="14.25">
      <c r="A6058"/>
      <c r="B6058"/>
      <c r="C6058"/>
      <c r="D6058"/>
      <c r="E6058" s="183"/>
    </row>
    <row r="6059" spans="1:5" ht="14.25">
      <c r="A6059"/>
      <c r="B6059"/>
      <c r="C6059"/>
      <c r="D6059"/>
      <c r="E6059" s="183"/>
    </row>
    <row r="6060" spans="1:5" ht="14.25">
      <c r="A6060"/>
      <c r="B6060"/>
      <c r="C6060"/>
      <c r="D6060"/>
      <c r="E6060" s="183"/>
    </row>
    <row r="6061" spans="1:5" ht="14.25">
      <c r="A6061"/>
      <c r="B6061"/>
      <c r="C6061"/>
      <c r="D6061"/>
      <c r="E6061" s="183"/>
    </row>
    <row r="6062" spans="1:5" ht="14.25">
      <c r="A6062"/>
      <c r="B6062"/>
      <c r="C6062"/>
      <c r="D6062"/>
      <c r="E6062" s="183"/>
    </row>
    <row r="6063" spans="1:5" ht="14.25">
      <c r="A6063"/>
      <c r="B6063"/>
      <c r="C6063"/>
      <c r="D6063"/>
      <c r="E6063" s="183"/>
    </row>
    <row r="6064" spans="1:5" ht="14.25">
      <c r="A6064"/>
      <c r="B6064"/>
      <c r="C6064"/>
      <c r="D6064"/>
      <c r="E6064" s="183"/>
    </row>
    <row r="6065" spans="1:5" ht="14.25">
      <c r="A6065"/>
      <c r="B6065"/>
      <c r="C6065"/>
      <c r="D6065"/>
      <c r="E6065" s="183"/>
    </row>
    <row r="6066" spans="1:5" ht="14.25">
      <c r="A6066"/>
      <c r="B6066"/>
      <c r="C6066"/>
      <c r="D6066"/>
      <c r="E6066" s="184"/>
    </row>
    <row r="6067" spans="1:5" ht="14.25">
      <c r="A6067"/>
      <c r="B6067"/>
      <c r="C6067"/>
      <c r="D6067"/>
      <c r="E6067" s="183"/>
    </row>
    <row r="6068" spans="1:5" ht="14.25">
      <c r="A6068"/>
      <c r="B6068"/>
      <c r="C6068"/>
      <c r="D6068"/>
      <c r="E6068" s="184"/>
    </row>
    <row r="6069" spans="1:5" ht="14.25">
      <c r="A6069"/>
      <c r="B6069"/>
      <c r="C6069"/>
      <c r="D6069"/>
      <c r="E6069" s="183"/>
    </row>
    <row r="6070" spans="1:5" ht="14.25">
      <c r="A6070"/>
      <c r="B6070"/>
      <c r="C6070"/>
      <c r="D6070"/>
      <c r="E6070" s="183"/>
    </row>
    <row r="6071" spans="1:5" ht="14.25">
      <c r="A6071"/>
      <c r="B6071"/>
      <c r="C6071"/>
      <c r="D6071"/>
      <c r="E6071" s="183"/>
    </row>
    <row r="6072" spans="1:5" ht="14.25">
      <c r="A6072"/>
      <c r="B6072"/>
      <c r="C6072"/>
      <c r="D6072"/>
      <c r="E6072" s="183"/>
    </row>
    <row r="6073" spans="1:5" ht="14.25">
      <c r="A6073"/>
      <c r="B6073"/>
      <c r="C6073"/>
      <c r="D6073"/>
      <c r="E6073" s="183"/>
    </row>
    <row r="6074" spans="1:5" ht="14.25">
      <c r="A6074"/>
      <c r="B6074"/>
      <c r="C6074"/>
      <c r="D6074"/>
      <c r="E6074" s="183"/>
    </row>
    <row r="6075" spans="1:5" ht="14.25">
      <c r="A6075"/>
      <c r="B6075"/>
      <c r="C6075"/>
      <c r="D6075"/>
      <c r="E6075" s="183"/>
    </row>
    <row r="6076" spans="1:5" ht="14.25">
      <c r="A6076"/>
      <c r="B6076"/>
      <c r="C6076"/>
      <c r="D6076"/>
      <c r="E6076" s="183"/>
    </row>
    <row r="6077" spans="1:5" ht="14.25">
      <c r="A6077"/>
      <c r="B6077"/>
      <c r="C6077"/>
      <c r="D6077"/>
      <c r="E6077" s="184"/>
    </row>
    <row r="6078" spans="1:5" ht="14.25">
      <c r="A6078"/>
      <c r="B6078"/>
      <c r="C6078"/>
      <c r="D6078"/>
      <c r="E6078" s="183"/>
    </row>
    <row r="6079" spans="1:5" ht="14.25">
      <c r="A6079"/>
      <c r="B6079"/>
      <c r="C6079"/>
      <c r="D6079"/>
      <c r="E6079" s="184"/>
    </row>
    <row r="6080" spans="1:5" ht="14.25">
      <c r="A6080"/>
      <c r="B6080"/>
      <c r="C6080"/>
      <c r="D6080"/>
      <c r="E6080" s="183"/>
    </row>
    <row r="6081" spans="1:5" ht="14.25">
      <c r="A6081"/>
      <c r="B6081"/>
      <c r="C6081"/>
      <c r="D6081"/>
      <c r="E6081" s="184"/>
    </row>
    <row r="6082" spans="1:5" ht="14.25">
      <c r="A6082"/>
      <c r="B6082"/>
      <c r="C6082"/>
      <c r="D6082"/>
      <c r="E6082" s="183"/>
    </row>
    <row r="6083" spans="1:5" ht="14.25">
      <c r="A6083"/>
      <c r="B6083"/>
      <c r="C6083"/>
      <c r="D6083"/>
      <c r="E6083" s="184"/>
    </row>
    <row r="6084" spans="1:5" ht="14.25">
      <c r="A6084"/>
      <c r="B6084"/>
      <c r="C6084"/>
      <c r="D6084"/>
      <c r="E6084" s="183"/>
    </row>
    <row r="6085" spans="1:5" ht="14.25">
      <c r="A6085"/>
      <c r="B6085"/>
      <c r="C6085"/>
      <c r="D6085"/>
      <c r="E6085" s="184"/>
    </row>
    <row r="6086" spans="1:5" ht="14.25">
      <c r="A6086"/>
      <c r="B6086"/>
      <c r="C6086"/>
      <c r="D6086"/>
      <c r="E6086" s="183"/>
    </row>
    <row r="6087" spans="1:5" ht="14.25">
      <c r="A6087"/>
      <c r="B6087"/>
      <c r="C6087"/>
      <c r="D6087"/>
      <c r="E6087" s="184"/>
    </row>
    <row r="6088" spans="1:5" ht="14.25">
      <c r="A6088"/>
      <c r="B6088"/>
      <c r="C6088"/>
      <c r="D6088"/>
      <c r="E6088" s="183"/>
    </row>
    <row r="6089" spans="1:5" ht="14.25">
      <c r="A6089"/>
      <c r="B6089"/>
      <c r="C6089"/>
      <c r="D6089"/>
      <c r="E6089" s="184"/>
    </row>
    <row r="6090" spans="1:5" ht="14.25">
      <c r="A6090"/>
      <c r="B6090"/>
      <c r="C6090"/>
      <c r="D6090"/>
      <c r="E6090" s="183"/>
    </row>
    <row r="6091" spans="1:5" ht="14.25">
      <c r="A6091"/>
      <c r="B6091"/>
      <c r="C6091"/>
      <c r="D6091"/>
      <c r="E6091" s="184"/>
    </row>
    <row r="6092" spans="1:5" ht="14.25">
      <c r="A6092"/>
      <c r="B6092"/>
      <c r="C6092"/>
      <c r="D6092"/>
      <c r="E6092" s="183"/>
    </row>
    <row r="6093" spans="1:5" ht="14.25">
      <c r="A6093"/>
      <c r="B6093"/>
      <c r="C6093"/>
      <c r="D6093"/>
      <c r="E6093" s="183"/>
    </row>
    <row r="6094" spans="1:5" ht="14.25">
      <c r="A6094"/>
      <c r="B6094"/>
      <c r="C6094"/>
      <c r="D6094"/>
      <c r="E6094" s="183"/>
    </row>
    <row r="6095" spans="1:5" ht="14.25">
      <c r="A6095"/>
      <c r="B6095"/>
      <c r="C6095"/>
      <c r="D6095"/>
      <c r="E6095" s="183"/>
    </row>
    <row r="6096" spans="1:5" ht="14.25">
      <c r="A6096"/>
      <c r="B6096"/>
      <c r="C6096"/>
      <c r="D6096"/>
      <c r="E6096" s="183"/>
    </row>
    <row r="6097" spans="1:5" ht="14.25">
      <c r="A6097"/>
      <c r="B6097"/>
      <c r="C6097"/>
      <c r="D6097"/>
      <c r="E6097" s="183"/>
    </row>
    <row r="6098" spans="1:5" ht="14.25">
      <c r="A6098"/>
      <c r="B6098"/>
      <c r="C6098"/>
      <c r="D6098"/>
      <c r="E6098" s="183"/>
    </row>
    <row r="6099" spans="1:5" ht="14.25">
      <c r="A6099"/>
      <c r="B6099"/>
      <c r="C6099"/>
      <c r="D6099"/>
      <c r="E6099" s="183"/>
    </row>
    <row r="6100" spans="1:5" ht="14.25">
      <c r="A6100"/>
      <c r="B6100"/>
      <c r="C6100"/>
      <c r="D6100"/>
      <c r="E6100" s="183"/>
    </row>
    <row r="6101" spans="1:5" ht="14.25">
      <c r="A6101"/>
      <c r="B6101"/>
      <c r="C6101"/>
      <c r="D6101"/>
      <c r="E6101" s="183"/>
    </row>
    <row r="6102" spans="1:5" ht="14.25">
      <c r="A6102"/>
      <c r="B6102"/>
      <c r="C6102"/>
      <c r="D6102"/>
      <c r="E6102" s="183"/>
    </row>
    <row r="6103" spans="1:5" ht="14.25">
      <c r="A6103"/>
      <c r="B6103"/>
      <c r="C6103"/>
      <c r="D6103"/>
      <c r="E6103" s="183"/>
    </row>
    <row r="6104" spans="1:5" ht="14.25">
      <c r="A6104"/>
      <c r="B6104"/>
      <c r="C6104"/>
      <c r="D6104"/>
      <c r="E6104" s="183"/>
    </row>
    <row r="6105" spans="1:5" ht="14.25">
      <c r="A6105"/>
      <c r="B6105"/>
      <c r="C6105"/>
      <c r="D6105"/>
      <c r="E6105" s="183"/>
    </row>
    <row r="6106" spans="1:5" ht="14.25">
      <c r="A6106"/>
      <c r="B6106"/>
      <c r="C6106"/>
      <c r="D6106"/>
      <c r="E6106" s="183"/>
    </row>
    <row r="6107" spans="1:5" ht="14.25">
      <c r="A6107"/>
      <c r="B6107"/>
      <c r="C6107"/>
      <c r="D6107"/>
      <c r="E6107" s="183"/>
    </row>
    <row r="6108" spans="1:5" ht="14.25">
      <c r="A6108"/>
      <c r="B6108"/>
      <c r="C6108"/>
      <c r="D6108"/>
      <c r="E6108" s="183"/>
    </row>
    <row r="6109" spans="1:5" ht="14.25">
      <c r="A6109"/>
      <c r="B6109"/>
      <c r="C6109"/>
      <c r="D6109"/>
      <c r="E6109" s="183"/>
    </row>
    <row r="6110" spans="1:5" ht="14.25">
      <c r="A6110"/>
      <c r="B6110"/>
      <c r="C6110"/>
      <c r="D6110"/>
      <c r="E6110" s="183"/>
    </row>
    <row r="6111" spans="1:5" ht="14.25">
      <c r="A6111"/>
      <c r="B6111"/>
      <c r="C6111"/>
      <c r="D6111"/>
      <c r="E6111" s="183"/>
    </row>
    <row r="6112" spans="1:5" ht="14.25">
      <c r="A6112"/>
      <c r="B6112"/>
      <c r="C6112"/>
      <c r="D6112"/>
      <c r="E6112" s="183"/>
    </row>
    <row r="6113" spans="1:5" ht="14.25">
      <c r="A6113"/>
      <c r="B6113"/>
      <c r="C6113"/>
      <c r="D6113"/>
      <c r="E6113" s="183"/>
    </row>
    <row r="6114" spans="1:5" ht="14.25">
      <c r="A6114"/>
      <c r="B6114"/>
      <c r="C6114"/>
      <c r="D6114"/>
      <c r="E6114" s="183"/>
    </row>
    <row r="6115" spans="1:5" ht="14.25">
      <c r="A6115"/>
      <c r="B6115"/>
      <c r="C6115"/>
      <c r="D6115"/>
      <c r="E6115" s="183"/>
    </row>
    <row r="6116" spans="1:5" ht="14.25">
      <c r="A6116"/>
      <c r="B6116"/>
      <c r="C6116"/>
      <c r="D6116"/>
      <c r="E6116" s="183"/>
    </row>
    <row r="6117" spans="1:5" ht="14.25">
      <c r="A6117"/>
      <c r="B6117"/>
      <c r="C6117"/>
      <c r="D6117"/>
      <c r="E6117" s="184"/>
    </row>
    <row r="6118" spans="1:5" ht="14.25">
      <c r="A6118"/>
      <c r="B6118"/>
      <c r="C6118"/>
      <c r="D6118"/>
      <c r="E6118" s="184"/>
    </row>
    <row r="6119" spans="1:5" ht="14.25">
      <c r="A6119"/>
      <c r="B6119"/>
      <c r="C6119"/>
      <c r="D6119"/>
      <c r="E6119" s="184"/>
    </row>
    <row r="6120" spans="1:5" ht="14.25">
      <c r="A6120"/>
      <c r="B6120"/>
      <c r="C6120"/>
      <c r="D6120"/>
      <c r="E6120" s="183"/>
    </row>
    <row r="6121" spans="1:5" ht="14.25">
      <c r="A6121"/>
      <c r="B6121"/>
      <c r="C6121"/>
      <c r="D6121"/>
      <c r="E6121" s="184"/>
    </row>
    <row r="6122" spans="1:5" ht="14.25">
      <c r="A6122"/>
      <c r="B6122"/>
      <c r="C6122"/>
      <c r="D6122"/>
      <c r="E6122" s="184"/>
    </row>
    <row r="6123" spans="1:5" ht="14.25">
      <c r="A6123"/>
      <c r="B6123"/>
      <c r="C6123"/>
      <c r="D6123"/>
      <c r="E6123" s="184"/>
    </row>
    <row r="6124" spans="1:5" ht="14.25">
      <c r="A6124"/>
      <c r="B6124"/>
      <c r="C6124"/>
      <c r="D6124"/>
      <c r="E6124" s="184"/>
    </row>
    <row r="6125" spans="1:5" ht="14.25">
      <c r="A6125"/>
      <c r="B6125"/>
      <c r="C6125"/>
      <c r="D6125"/>
      <c r="E6125" s="184"/>
    </row>
    <row r="6126" spans="1:5" ht="14.25">
      <c r="A6126"/>
      <c r="B6126"/>
      <c r="C6126"/>
      <c r="D6126"/>
      <c r="E6126" s="184"/>
    </row>
    <row r="6127" spans="1:5" ht="14.25">
      <c r="A6127"/>
      <c r="B6127"/>
      <c r="C6127"/>
      <c r="D6127"/>
      <c r="E6127" s="184"/>
    </row>
    <row r="6128" spans="1:5" ht="14.25">
      <c r="A6128"/>
      <c r="B6128"/>
      <c r="C6128"/>
      <c r="D6128"/>
      <c r="E6128" s="184"/>
    </row>
    <row r="6129" spans="1:5" ht="14.25">
      <c r="A6129"/>
      <c r="B6129"/>
      <c r="C6129"/>
      <c r="D6129"/>
      <c r="E6129" s="184"/>
    </row>
    <row r="6130" spans="1:5" ht="14.25">
      <c r="A6130"/>
      <c r="B6130"/>
      <c r="C6130"/>
      <c r="D6130"/>
      <c r="E6130" s="184"/>
    </row>
    <row r="6131" spans="1:5" ht="14.25">
      <c r="A6131"/>
      <c r="B6131"/>
      <c r="C6131"/>
      <c r="D6131"/>
      <c r="E6131" s="183"/>
    </row>
    <row r="6132" spans="1:5" ht="14.25">
      <c r="A6132"/>
      <c r="B6132"/>
      <c r="C6132"/>
      <c r="D6132"/>
      <c r="E6132" s="183"/>
    </row>
    <row r="6133" spans="1:5" ht="14.25">
      <c r="A6133"/>
      <c r="B6133"/>
      <c r="C6133"/>
      <c r="D6133"/>
      <c r="E6133" s="183"/>
    </row>
    <row r="6134" spans="1:5" ht="14.25">
      <c r="A6134"/>
      <c r="B6134"/>
      <c r="C6134"/>
      <c r="D6134"/>
      <c r="E6134" s="183"/>
    </row>
    <row r="6135" spans="1:5" ht="14.25">
      <c r="A6135"/>
      <c r="B6135"/>
      <c r="C6135"/>
      <c r="D6135"/>
      <c r="E6135" s="183"/>
    </row>
    <row r="6136" spans="1:5" ht="14.25">
      <c r="A6136"/>
      <c r="B6136"/>
      <c r="C6136"/>
      <c r="D6136"/>
      <c r="E6136" s="183"/>
    </row>
    <row r="6137" spans="1:5" ht="14.25">
      <c r="A6137"/>
      <c r="B6137"/>
      <c r="C6137"/>
      <c r="D6137"/>
      <c r="E6137" s="183"/>
    </row>
    <row r="6138" spans="1:5" ht="14.25">
      <c r="A6138"/>
      <c r="B6138"/>
      <c r="C6138"/>
      <c r="D6138"/>
      <c r="E6138" s="183"/>
    </row>
    <row r="6139" spans="1:5" ht="14.25">
      <c r="A6139"/>
      <c r="B6139"/>
      <c r="C6139"/>
      <c r="D6139"/>
      <c r="E6139" s="183"/>
    </row>
    <row r="6140" spans="1:5" ht="14.25">
      <c r="A6140"/>
      <c r="B6140"/>
      <c r="C6140"/>
      <c r="D6140"/>
      <c r="E6140" s="183"/>
    </row>
    <row r="6141" spans="1:5" ht="14.25">
      <c r="A6141"/>
      <c r="B6141"/>
      <c r="C6141"/>
      <c r="D6141"/>
      <c r="E6141" s="183"/>
    </row>
    <row r="6142" spans="1:5" ht="14.25">
      <c r="A6142"/>
      <c r="B6142"/>
      <c r="C6142"/>
      <c r="D6142"/>
      <c r="E6142" s="183"/>
    </row>
    <row r="6143" spans="1:5" ht="14.25">
      <c r="A6143"/>
      <c r="B6143"/>
      <c r="C6143"/>
      <c r="D6143"/>
      <c r="E6143" s="183"/>
    </row>
    <row r="6144" spans="1:5" ht="14.25">
      <c r="A6144"/>
      <c r="B6144"/>
      <c r="C6144"/>
      <c r="D6144"/>
      <c r="E6144" s="183"/>
    </row>
    <row r="6145" spans="1:5" ht="14.25">
      <c r="A6145"/>
      <c r="B6145"/>
      <c r="C6145"/>
      <c r="D6145"/>
      <c r="E6145" s="183"/>
    </row>
    <row r="6146" spans="1:5" ht="14.25">
      <c r="A6146"/>
      <c r="B6146"/>
      <c r="C6146"/>
      <c r="D6146"/>
      <c r="E6146" s="183"/>
    </row>
    <row r="6147" spans="1:5" ht="14.25">
      <c r="A6147"/>
      <c r="B6147"/>
      <c r="C6147"/>
      <c r="D6147"/>
      <c r="E6147" s="183"/>
    </row>
    <row r="6148" spans="1:5" ht="14.25">
      <c r="A6148"/>
      <c r="B6148"/>
      <c r="C6148"/>
      <c r="D6148"/>
      <c r="E6148" s="183"/>
    </row>
    <row r="6149" spans="1:5" ht="14.25">
      <c r="A6149"/>
      <c r="B6149"/>
      <c r="C6149"/>
      <c r="D6149"/>
      <c r="E6149" s="184"/>
    </row>
    <row r="6150" spans="1:5" ht="14.25">
      <c r="A6150"/>
      <c r="B6150"/>
      <c r="C6150"/>
      <c r="D6150"/>
      <c r="E6150" s="184"/>
    </row>
    <row r="6151" spans="1:5" ht="14.25">
      <c r="A6151"/>
      <c r="B6151"/>
      <c r="C6151"/>
      <c r="D6151"/>
      <c r="E6151" s="183"/>
    </row>
    <row r="6152" spans="1:5" ht="14.25">
      <c r="A6152"/>
      <c r="B6152"/>
      <c r="C6152"/>
      <c r="D6152"/>
      <c r="E6152" s="183"/>
    </row>
    <row r="6153" spans="1:5" ht="14.25">
      <c r="A6153"/>
      <c r="B6153"/>
      <c r="C6153"/>
      <c r="D6153"/>
      <c r="E6153" s="183"/>
    </row>
    <row r="6154" spans="1:5" ht="14.25">
      <c r="A6154"/>
      <c r="B6154"/>
      <c r="C6154"/>
      <c r="D6154"/>
      <c r="E6154" s="183"/>
    </row>
    <row r="6155" spans="1:5" ht="14.25">
      <c r="A6155"/>
      <c r="B6155"/>
      <c r="C6155"/>
      <c r="D6155"/>
      <c r="E6155" s="183"/>
    </row>
    <row r="6156" spans="1:5" ht="14.25">
      <c r="A6156"/>
      <c r="B6156"/>
      <c r="C6156"/>
      <c r="D6156"/>
      <c r="E6156" s="183"/>
    </row>
    <row r="6157" spans="1:5" ht="14.25">
      <c r="A6157"/>
      <c r="B6157"/>
      <c r="C6157"/>
      <c r="D6157"/>
      <c r="E6157" s="183"/>
    </row>
    <row r="6158" spans="1:5" ht="14.25">
      <c r="A6158"/>
      <c r="B6158"/>
      <c r="C6158"/>
      <c r="D6158"/>
      <c r="E6158" s="183"/>
    </row>
    <row r="6159" spans="1:5" ht="14.25">
      <c r="A6159"/>
      <c r="B6159"/>
      <c r="C6159"/>
      <c r="D6159"/>
      <c r="E6159" s="183"/>
    </row>
    <row r="6160" spans="1:5" ht="14.25">
      <c r="A6160"/>
      <c r="B6160"/>
      <c r="C6160"/>
      <c r="D6160"/>
      <c r="E6160" s="183"/>
    </row>
    <row r="6161" spans="1:5" ht="14.25">
      <c r="A6161"/>
      <c r="B6161"/>
      <c r="C6161"/>
      <c r="D6161"/>
      <c r="E6161" s="183"/>
    </row>
    <row r="6162" spans="1:5" ht="14.25">
      <c r="A6162"/>
      <c r="B6162"/>
      <c r="C6162"/>
      <c r="D6162"/>
      <c r="E6162" s="183"/>
    </row>
    <row r="6163" spans="1:5" ht="14.25">
      <c r="A6163"/>
      <c r="B6163"/>
      <c r="C6163"/>
      <c r="D6163"/>
      <c r="E6163" s="183"/>
    </row>
    <row r="6164" spans="1:5" ht="14.25">
      <c r="A6164"/>
      <c r="B6164"/>
      <c r="C6164"/>
      <c r="D6164"/>
      <c r="E6164" s="183"/>
    </row>
    <row r="6165" spans="1:5" ht="14.25">
      <c r="A6165"/>
      <c r="B6165"/>
      <c r="C6165"/>
      <c r="D6165"/>
      <c r="E6165" s="183"/>
    </row>
    <row r="6166" spans="1:5" ht="14.25">
      <c r="A6166"/>
      <c r="B6166"/>
      <c r="C6166"/>
      <c r="D6166"/>
      <c r="E6166" s="183"/>
    </row>
    <row r="6167" spans="1:5" ht="14.25">
      <c r="A6167"/>
      <c r="B6167"/>
      <c r="C6167"/>
      <c r="D6167"/>
      <c r="E6167" s="183"/>
    </row>
    <row r="6168" spans="1:5" ht="14.25">
      <c r="A6168"/>
      <c r="B6168"/>
      <c r="C6168"/>
      <c r="D6168"/>
      <c r="E6168" s="184"/>
    </row>
    <row r="6169" spans="1:5" ht="14.25">
      <c r="A6169"/>
      <c r="B6169"/>
      <c r="C6169"/>
      <c r="D6169"/>
      <c r="E6169" s="183"/>
    </row>
    <row r="6170" spans="1:5" ht="14.25">
      <c r="A6170"/>
      <c r="B6170"/>
      <c r="C6170"/>
      <c r="D6170"/>
      <c r="E6170" s="183"/>
    </row>
    <row r="6171" spans="1:5" ht="14.25">
      <c r="A6171"/>
      <c r="B6171"/>
      <c r="C6171"/>
      <c r="D6171"/>
      <c r="E6171" s="184"/>
    </row>
    <row r="6172" spans="1:5" ht="14.25">
      <c r="A6172"/>
      <c r="B6172"/>
      <c r="C6172"/>
      <c r="D6172"/>
      <c r="E6172" s="183"/>
    </row>
    <row r="6173" spans="1:5" ht="14.25">
      <c r="A6173"/>
      <c r="B6173"/>
      <c r="C6173"/>
      <c r="D6173"/>
      <c r="E6173" s="183"/>
    </row>
    <row r="6174" spans="1:5" ht="14.25">
      <c r="A6174"/>
      <c r="B6174"/>
      <c r="C6174"/>
      <c r="D6174"/>
      <c r="E6174" s="183"/>
    </row>
    <row r="6175" spans="1:5" ht="14.25">
      <c r="A6175"/>
      <c r="B6175"/>
      <c r="C6175"/>
      <c r="D6175"/>
      <c r="E6175" s="183"/>
    </row>
    <row r="6176" spans="1:5" ht="14.25">
      <c r="A6176"/>
      <c r="B6176"/>
      <c r="C6176"/>
      <c r="D6176"/>
      <c r="E6176" s="183"/>
    </row>
    <row r="6177" spans="1:5" ht="14.25">
      <c r="A6177"/>
      <c r="B6177"/>
      <c r="C6177"/>
      <c r="D6177"/>
      <c r="E6177" s="183"/>
    </row>
    <row r="6178" spans="1:5" ht="14.25">
      <c r="A6178"/>
      <c r="B6178"/>
      <c r="C6178"/>
      <c r="D6178"/>
      <c r="E6178" s="183"/>
    </row>
    <row r="6179" spans="1:5" ht="14.25">
      <c r="A6179"/>
      <c r="B6179"/>
      <c r="C6179"/>
      <c r="D6179"/>
      <c r="E6179" s="183"/>
    </row>
    <row r="6180" spans="1:5" ht="14.25">
      <c r="A6180"/>
      <c r="B6180"/>
      <c r="C6180"/>
      <c r="D6180"/>
      <c r="E6180" s="183"/>
    </row>
    <row r="6181" spans="1:5" ht="14.25">
      <c r="A6181"/>
      <c r="B6181"/>
      <c r="C6181"/>
      <c r="D6181"/>
      <c r="E6181" s="183"/>
    </row>
    <row r="6182" spans="1:5" ht="14.25">
      <c r="A6182"/>
      <c r="B6182"/>
      <c r="C6182"/>
      <c r="D6182"/>
      <c r="E6182" s="183"/>
    </row>
    <row r="6183" spans="1:5" ht="14.25">
      <c r="A6183"/>
      <c r="B6183"/>
      <c r="C6183"/>
      <c r="D6183"/>
      <c r="E6183" s="183"/>
    </row>
    <row r="6184" spans="1:5" ht="14.25">
      <c r="A6184"/>
      <c r="B6184"/>
      <c r="C6184"/>
      <c r="D6184"/>
      <c r="E6184" s="183"/>
    </row>
    <row r="6185" spans="1:5" ht="14.25">
      <c r="A6185"/>
      <c r="B6185"/>
      <c r="C6185"/>
      <c r="D6185"/>
      <c r="E6185" s="183"/>
    </row>
    <row r="6186" spans="1:5" ht="14.25">
      <c r="A6186"/>
      <c r="B6186"/>
      <c r="C6186"/>
      <c r="D6186"/>
      <c r="E6186" s="183"/>
    </row>
    <row r="6187" spans="1:5" ht="14.25">
      <c r="A6187"/>
      <c r="B6187"/>
      <c r="C6187"/>
      <c r="D6187"/>
      <c r="E6187" s="183"/>
    </row>
    <row r="6188" spans="1:5" ht="14.25">
      <c r="A6188"/>
      <c r="B6188"/>
      <c r="C6188"/>
      <c r="D6188"/>
      <c r="E6188" s="183"/>
    </row>
    <row r="6189" spans="1:5" ht="14.25">
      <c r="A6189"/>
      <c r="B6189"/>
      <c r="C6189"/>
      <c r="D6189"/>
      <c r="E6189" s="183"/>
    </row>
    <row r="6190" spans="1:5" ht="14.25">
      <c r="A6190"/>
      <c r="B6190"/>
      <c r="C6190"/>
      <c r="D6190"/>
      <c r="E6190" s="183"/>
    </row>
    <row r="6191" spans="1:5" ht="14.25">
      <c r="A6191"/>
      <c r="B6191"/>
      <c r="C6191"/>
      <c r="D6191"/>
      <c r="E6191" s="183"/>
    </row>
    <row r="6192" spans="1:5" ht="14.25">
      <c r="A6192"/>
      <c r="B6192"/>
      <c r="C6192"/>
      <c r="D6192"/>
      <c r="E6192" s="183"/>
    </row>
    <row r="6193" spans="1:5" ht="14.25">
      <c r="A6193"/>
      <c r="B6193"/>
      <c r="C6193"/>
      <c r="D6193"/>
      <c r="E6193" s="183"/>
    </row>
    <row r="6194" spans="1:5" ht="14.25">
      <c r="A6194"/>
      <c r="B6194"/>
      <c r="C6194"/>
      <c r="D6194"/>
      <c r="E6194" s="183"/>
    </row>
    <row r="6195" spans="1:5" ht="14.25">
      <c r="A6195"/>
      <c r="B6195"/>
      <c r="C6195"/>
      <c r="D6195"/>
      <c r="E6195" s="183"/>
    </row>
    <row r="6196" spans="1:5" ht="14.25">
      <c r="A6196"/>
      <c r="B6196"/>
      <c r="C6196"/>
      <c r="D6196"/>
      <c r="E6196" s="183"/>
    </row>
    <row r="6197" spans="1:5" ht="14.25">
      <c r="A6197"/>
      <c r="B6197"/>
      <c r="C6197"/>
      <c r="D6197"/>
      <c r="E6197" s="183"/>
    </row>
    <row r="6198" spans="1:5" ht="14.25">
      <c r="A6198"/>
      <c r="B6198"/>
      <c r="C6198"/>
      <c r="D6198"/>
      <c r="E6198" s="183"/>
    </row>
    <row r="6199" spans="1:5" ht="14.25">
      <c r="A6199"/>
      <c r="B6199"/>
      <c r="C6199"/>
      <c r="D6199"/>
      <c r="E6199" s="183"/>
    </row>
    <row r="6200" spans="1:5" ht="14.25">
      <c r="A6200"/>
      <c r="B6200"/>
      <c r="C6200"/>
      <c r="D6200"/>
      <c r="E6200" s="183"/>
    </row>
    <row r="6201" spans="1:5" ht="14.25">
      <c r="A6201"/>
      <c r="B6201"/>
      <c r="C6201"/>
      <c r="D6201"/>
      <c r="E6201" s="183"/>
    </row>
    <row r="6202" spans="1:5" ht="14.25">
      <c r="A6202"/>
      <c r="B6202"/>
      <c r="C6202"/>
      <c r="D6202"/>
      <c r="E6202" s="183"/>
    </row>
    <row r="6203" spans="1:5" ht="14.25">
      <c r="A6203"/>
      <c r="B6203"/>
      <c r="C6203"/>
      <c r="D6203"/>
      <c r="E6203" s="183"/>
    </row>
    <row r="6204" spans="1:5" ht="14.25">
      <c r="A6204"/>
      <c r="B6204"/>
      <c r="C6204"/>
      <c r="D6204"/>
      <c r="E6204" s="183"/>
    </row>
    <row r="6205" spans="1:5" ht="14.25">
      <c r="A6205"/>
      <c r="B6205"/>
      <c r="C6205"/>
      <c r="D6205"/>
      <c r="E6205" s="183"/>
    </row>
    <row r="6206" spans="1:5" ht="14.25">
      <c r="A6206"/>
      <c r="B6206"/>
      <c r="C6206"/>
      <c r="D6206"/>
      <c r="E6206" s="183"/>
    </row>
    <row r="6207" spans="1:5" ht="14.25">
      <c r="A6207"/>
      <c r="B6207"/>
      <c r="C6207"/>
      <c r="D6207"/>
      <c r="E6207" s="183"/>
    </row>
    <row r="6208" spans="1:5" ht="14.25">
      <c r="A6208"/>
      <c r="B6208"/>
      <c r="C6208"/>
      <c r="D6208"/>
      <c r="E6208" s="183"/>
    </row>
    <row r="6209" spans="1:5" ht="14.25">
      <c r="A6209"/>
      <c r="B6209"/>
      <c r="C6209"/>
      <c r="D6209"/>
      <c r="E6209" s="183"/>
    </row>
    <row r="6210" spans="1:5" ht="14.25">
      <c r="A6210"/>
      <c r="B6210"/>
      <c r="C6210"/>
      <c r="D6210"/>
      <c r="E6210" s="183"/>
    </row>
    <row r="6211" spans="1:5" ht="14.25">
      <c r="A6211"/>
      <c r="B6211"/>
      <c r="C6211"/>
      <c r="D6211"/>
      <c r="E6211" s="183"/>
    </row>
    <row r="6212" spans="1:5" ht="14.25">
      <c r="A6212"/>
      <c r="B6212"/>
      <c r="C6212"/>
      <c r="D6212"/>
      <c r="E6212" s="183"/>
    </row>
    <row r="6213" spans="1:5" ht="14.25">
      <c r="A6213"/>
      <c r="B6213"/>
      <c r="C6213"/>
      <c r="D6213"/>
      <c r="E6213" s="183"/>
    </row>
    <row r="6214" spans="1:5" ht="14.25">
      <c r="A6214"/>
      <c r="B6214"/>
      <c r="C6214"/>
      <c r="D6214"/>
      <c r="E6214" s="183"/>
    </row>
    <row r="6215" spans="1:5" ht="14.25">
      <c r="A6215"/>
      <c r="B6215"/>
      <c r="C6215"/>
      <c r="D6215"/>
      <c r="E6215" s="183"/>
    </row>
    <row r="6216" spans="1:5" ht="14.25">
      <c r="A6216"/>
      <c r="B6216"/>
      <c r="C6216"/>
      <c r="D6216"/>
      <c r="E6216" s="183"/>
    </row>
    <row r="6217" spans="1:5" ht="14.25">
      <c r="A6217"/>
      <c r="B6217"/>
      <c r="C6217"/>
      <c r="D6217"/>
      <c r="E6217" s="183"/>
    </row>
    <row r="6218" spans="1:5" ht="14.25">
      <c r="A6218"/>
      <c r="B6218"/>
      <c r="C6218"/>
      <c r="D6218"/>
      <c r="E6218" s="183"/>
    </row>
    <row r="6219" spans="1:5" ht="14.25">
      <c r="A6219"/>
      <c r="B6219"/>
      <c r="C6219"/>
      <c r="D6219"/>
      <c r="E6219" s="183"/>
    </row>
    <row r="6220" spans="1:5" ht="14.25">
      <c r="A6220"/>
      <c r="B6220"/>
      <c r="C6220"/>
      <c r="D6220"/>
      <c r="E6220" s="183"/>
    </row>
    <row r="6221" spans="1:5" ht="14.25">
      <c r="A6221"/>
      <c r="B6221"/>
      <c r="C6221"/>
      <c r="D6221"/>
      <c r="E6221" s="183"/>
    </row>
    <row r="6222" spans="1:5" ht="14.25">
      <c r="A6222"/>
      <c r="B6222"/>
      <c r="C6222"/>
      <c r="D6222"/>
      <c r="E6222" s="183"/>
    </row>
    <row r="6223" spans="1:5" ht="14.25">
      <c r="A6223"/>
      <c r="B6223"/>
      <c r="C6223"/>
      <c r="D6223"/>
      <c r="E6223" s="183"/>
    </row>
    <row r="6224" spans="1:5" ht="14.25">
      <c r="A6224"/>
      <c r="B6224"/>
      <c r="C6224"/>
      <c r="D6224"/>
      <c r="E6224" s="183"/>
    </row>
    <row r="6225" spans="1:5" ht="14.25">
      <c r="A6225"/>
      <c r="B6225"/>
      <c r="C6225"/>
      <c r="D6225"/>
      <c r="E6225" s="183"/>
    </row>
    <row r="6226" spans="1:5" ht="14.25">
      <c r="A6226"/>
      <c r="B6226"/>
      <c r="C6226"/>
      <c r="D6226"/>
      <c r="E6226" s="183"/>
    </row>
    <row r="6227" spans="1:5" ht="14.25">
      <c r="A6227"/>
      <c r="B6227"/>
      <c r="C6227"/>
      <c r="D6227"/>
      <c r="E6227" s="183"/>
    </row>
    <row r="6228" spans="1:5" ht="14.25">
      <c r="A6228"/>
      <c r="B6228"/>
      <c r="C6228"/>
      <c r="D6228"/>
      <c r="E6228" s="183"/>
    </row>
    <row r="6229" spans="1:5" ht="14.25">
      <c r="A6229"/>
      <c r="B6229"/>
      <c r="C6229"/>
      <c r="D6229"/>
      <c r="E6229" s="183"/>
    </row>
    <row r="6230" spans="1:5" ht="14.25">
      <c r="A6230"/>
      <c r="B6230"/>
      <c r="C6230"/>
      <c r="D6230"/>
      <c r="E6230" s="183"/>
    </row>
    <row r="6231" spans="1:5" ht="14.25">
      <c r="A6231"/>
      <c r="B6231"/>
      <c r="C6231"/>
      <c r="D6231"/>
      <c r="E6231" s="183"/>
    </row>
    <row r="6232" spans="1:5" ht="14.25">
      <c r="A6232"/>
      <c r="B6232"/>
      <c r="C6232"/>
      <c r="D6232"/>
      <c r="E6232" s="183"/>
    </row>
    <row r="6233" spans="1:5" ht="14.25">
      <c r="A6233"/>
      <c r="B6233"/>
      <c r="C6233"/>
      <c r="D6233"/>
      <c r="E6233" s="183"/>
    </row>
    <row r="6234" spans="1:5" ht="14.25">
      <c r="A6234"/>
      <c r="B6234"/>
      <c r="C6234"/>
      <c r="D6234"/>
      <c r="E6234" s="183"/>
    </row>
    <row r="6235" spans="1:5" ht="14.25">
      <c r="A6235"/>
      <c r="B6235"/>
      <c r="C6235"/>
      <c r="D6235"/>
      <c r="E6235" s="183"/>
    </row>
    <row r="6236" spans="1:5" ht="14.25">
      <c r="A6236"/>
      <c r="B6236"/>
      <c r="C6236"/>
      <c r="D6236"/>
      <c r="E6236" s="183"/>
    </row>
    <row r="6237" spans="1:5" ht="14.25">
      <c r="A6237"/>
      <c r="B6237"/>
      <c r="C6237"/>
      <c r="D6237"/>
      <c r="E6237" s="183"/>
    </row>
    <row r="6238" spans="1:5" ht="14.25">
      <c r="A6238"/>
      <c r="B6238"/>
      <c r="C6238"/>
      <c r="D6238"/>
      <c r="E6238" s="183"/>
    </row>
    <row r="6239" spans="1:5" ht="14.25">
      <c r="A6239"/>
      <c r="B6239"/>
      <c r="C6239"/>
      <c r="D6239"/>
      <c r="E6239" s="183"/>
    </row>
    <row r="6240" spans="1:5" ht="14.25">
      <c r="A6240"/>
      <c r="B6240"/>
      <c r="C6240"/>
      <c r="D6240"/>
      <c r="E6240" s="183"/>
    </row>
    <row r="6241" spans="1:5" ht="14.25">
      <c r="A6241"/>
      <c r="B6241"/>
      <c r="C6241"/>
      <c r="D6241"/>
      <c r="E6241" s="183"/>
    </row>
    <row r="6242" spans="1:5" ht="14.25">
      <c r="A6242"/>
      <c r="B6242"/>
      <c r="C6242"/>
      <c r="D6242"/>
      <c r="E6242" s="183"/>
    </row>
    <row r="6243" spans="1:5" ht="14.25">
      <c r="A6243"/>
      <c r="B6243"/>
      <c r="C6243"/>
      <c r="D6243"/>
      <c r="E6243" s="183"/>
    </row>
    <row r="6244" spans="1:5" ht="14.25">
      <c r="A6244"/>
      <c r="B6244"/>
      <c r="C6244"/>
      <c r="D6244"/>
      <c r="E6244" s="183"/>
    </row>
    <row r="6245" spans="1:5" ht="14.25">
      <c r="A6245"/>
      <c r="B6245"/>
      <c r="C6245"/>
      <c r="D6245"/>
      <c r="E6245" s="183"/>
    </row>
    <row r="6246" spans="1:5" ht="14.25">
      <c r="A6246"/>
      <c r="B6246"/>
      <c r="C6246"/>
      <c r="D6246"/>
      <c r="E6246" s="183"/>
    </row>
    <row r="6247" spans="1:5" ht="14.25">
      <c r="A6247"/>
      <c r="B6247"/>
      <c r="C6247"/>
      <c r="D6247"/>
      <c r="E6247" s="183"/>
    </row>
    <row r="6248" spans="1:5" ht="14.25">
      <c r="A6248"/>
      <c r="B6248"/>
      <c r="C6248"/>
      <c r="D6248"/>
      <c r="E6248" s="183"/>
    </row>
    <row r="6249" spans="1:5" ht="14.25">
      <c r="A6249"/>
      <c r="B6249"/>
      <c r="C6249"/>
      <c r="D6249"/>
      <c r="E6249" s="183"/>
    </row>
    <row r="6250" spans="1:5" ht="14.25">
      <c r="A6250"/>
      <c r="B6250"/>
      <c r="C6250"/>
      <c r="D6250"/>
      <c r="E6250" s="183"/>
    </row>
    <row r="6251" spans="1:5" ht="14.25">
      <c r="A6251"/>
      <c r="B6251"/>
      <c r="C6251"/>
      <c r="D6251"/>
      <c r="E6251" s="183"/>
    </row>
    <row r="6252" spans="1:5" ht="14.25">
      <c r="A6252"/>
      <c r="B6252"/>
      <c r="C6252"/>
      <c r="D6252"/>
      <c r="E6252" s="183"/>
    </row>
    <row r="6253" spans="1:5" ht="14.25">
      <c r="A6253"/>
      <c r="B6253"/>
      <c r="C6253"/>
      <c r="D6253"/>
      <c r="E6253" s="183"/>
    </row>
    <row r="6254" spans="1:5" ht="14.25">
      <c r="A6254"/>
      <c r="B6254"/>
      <c r="C6254"/>
      <c r="D6254"/>
      <c r="E6254" s="183"/>
    </row>
    <row r="6255" spans="1:5" ht="14.25">
      <c r="A6255"/>
      <c r="B6255"/>
      <c r="C6255"/>
      <c r="D6255"/>
      <c r="E6255" s="183"/>
    </row>
    <row r="6256" spans="1:5" ht="14.25">
      <c r="A6256"/>
      <c r="B6256"/>
      <c r="C6256"/>
      <c r="D6256"/>
      <c r="E6256" s="183"/>
    </row>
    <row r="6257" spans="1:5" ht="14.25">
      <c r="A6257"/>
      <c r="B6257"/>
      <c r="C6257"/>
      <c r="D6257"/>
      <c r="E6257" s="183"/>
    </row>
    <row r="6258" spans="1:5" ht="14.25">
      <c r="A6258"/>
      <c r="B6258"/>
      <c r="C6258"/>
      <c r="D6258"/>
      <c r="E6258" s="183"/>
    </row>
    <row r="6259" spans="1:5" ht="14.25">
      <c r="A6259"/>
      <c r="B6259"/>
      <c r="C6259"/>
      <c r="D6259"/>
      <c r="E6259" s="183"/>
    </row>
    <row r="6260" spans="1:5" ht="14.25">
      <c r="A6260"/>
      <c r="B6260"/>
      <c r="C6260"/>
      <c r="D6260"/>
      <c r="E6260" s="183"/>
    </row>
    <row r="6261" spans="1:5" ht="14.25">
      <c r="A6261"/>
      <c r="B6261"/>
      <c r="C6261"/>
      <c r="D6261"/>
      <c r="E6261" s="183"/>
    </row>
    <row r="6262" spans="1:5" ht="14.25">
      <c r="A6262"/>
      <c r="B6262"/>
      <c r="C6262"/>
      <c r="D6262"/>
      <c r="E6262" s="183"/>
    </row>
    <row r="6263" spans="1:5" ht="14.25">
      <c r="A6263"/>
      <c r="B6263"/>
      <c r="C6263"/>
      <c r="D6263"/>
      <c r="E6263" s="183"/>
    </row>
    <row r="6264" spans="1:5" ht="14.25">
      <c r="A6264"/>
      <c r="B6264"/>
      <c r="C6264"/>
      <c r="D6264"/>
      <c r="E6264" s="183"/>
    </row>
    <row r="6265" spans="1:5" ht="14.25">
      <c r="A6265"/>
      <c r="B6265"/>
      <c r="C6265"/>
      <c r="D6265"/>
      <c r="E6265" s="183"/>
    </row>
    <row r="6266" spans="1:5" ht="14.25">
      <c r="A6266"/>
      <c r="B6266"/>
      <c r="C6266"/>
      <c r="D6266"/>
      <c r="E6266" s="183"/>
    </row>
    <row r="6267" spans="1:5" ht="14.25">
      <c r="A6267"/>
      <c r="B6267"/>
      <c r="C6267"/>
      <c r="D6267"/>
      <c r="E6267" s="183"/>
    </row>
    <row r="6268" spans="1:5" ht="14.25">
      <c r="A6268"/>
      <c r="B6268"/>
      <c r="C6268"/>
      <c r="D6268"/>
      <c r="E6268" s="183"/>
    </row>
    <row r="6269" spans="1:5" ht="14.25">
      <c r="A6269"/>
      <c r="B6269"/>
      <c r="C6269"/>
      <c r="D6269"/>
      <c r="E6269" s="183"/>
    </row>
    <row r="6270" spans="1:5" ht="14.25">
      <c r="A6270"/>
      <c r="B6270"/>
      <c r="C6270"/>
      <c r="D6270"/>
      <c r="E6270" s="183"/>
    </row>
    <row r="6271" spans="1:5" ht="14.25">
      <c r="A6271"/>
      <c r="B6271"/>
      <c r="C6271"/>
      <c r="D6271"/>
      <c r="E6271" s="183"/>
    </row>
    <row r="6272" spans="1:5" ht="14.25">
      <c r="A6272"/>
      <c r="B6272"/>
      <c r="C6272"/>
      <c r="D6272"/>
      <c r="E6272" s="183"/>
    </row>
    <row r="6273" spans="1:5" ht="14.25">
      <c r="A6273"/>
      <c r="B6273"/>
      <c r="C6273"/>
      <c r="D6273"/>
      <c r="E6273" s="183"/>
    </row>
    <row r="6274" spans="1:5" ht="14.25">
      <c r="A6274"/>
      <c r="B6274"/>
      <c r="C6274"/>
      <c r="D6274"/>
      <c r="E6274" s="184"/>
    </row>
    <row r="6275" spans="1:5" ht="14.25">
      <c r="A6275"/>
      <c r="B6275"/>
      <c r="C6275"/>
      <c r="D6275"/>
      <c r="E6275" s="184"/>
    </row>
    <row r="6276" spans="1:5" ht="14.25">
      <c r="A6276"/>
      <c r="B6276"/>
      <c r="C6276"/>
      <c r="D6276"/>
      <c r="E6276" s="184"/>
    </row>
    <row r="6277" spans="1:5" ht="14.25">
      <c r="A6277"/>
      <c r="B6277"/>
      <c r="C6277"/>
      <c r="D6277"/>
      <c r="E6277" s="183"/>
    </row>
    <row r="6278" spans="1:5" ht="14.25">
      <c r="A6278"/>
      <c r="B6278"/>
      <c r="C6278"/>
      <c r="D6278"/>
      <c r="E6278" s="183"/>
    </row>
    <row r="6279" spans="1:5" ht="14.25">
      <c r="A6279"/>
      <c r="B6279"/>
      <c r="C6279"/>
      <c r="D6279"/>
      <c r="E6279" s="183"/>
    </row>
    <row r="6280" spans="1:5" ht="14.25">
      <c r="A6280"/>
      <c r="B6280"/>
      <c r="C6280"/>
      <c r="D6280"/>
      <c r="E6280" s="183"/>
    </row>
    <row r="6281" spans="1:5" ht="14.25">
      <c r="A6281"/>
      <c r="B6281"/>
      <c r="C6281"/>
      <c r="D6281"/>
      <c r="E6281" s="183"/>
    </row>
    <row r="6282" spans="1:5" ht="14.25">
      <c r="A6282"/>
      <c r="B6282"/>
      <c r="C6282"/>
      <c r="D6282"/>
      <c r="E6282" s="183"/>
    </row>
    <row r="6283" spans="1:5" ht="14.25">
      <c r="A6283"/>
      <c r="B6283"/>
      <c r="C6283"/>
      <c r="D6283"/>
      <c r="E6283" s="183"/>
    </row>
    <row r="6284" spans="1:5" ht="14.25">
      <c r="A6284"/>
      <c r="B6284"/>
      <c r="C6284"/>
      <c r="D6284"/>
      <c r="E6284" s="183"/>
    </row>
    <row r="6285" spans="1:5" ht="14.25">
      <c r="A6285"/>
      <c r="B6285"/>
      <c r="C6285"/>
      <c r="D6285"/>
      <c r="E6285" s="183"/>
    </row>
    <row r="6286" spans="1:5" ht="14.25">
      <c r="A6286"/>
      <c r="B6286"/>
      <c r="C6286"/>
      <c r="D6286"/>
      <c r="E6286" s="183"/>
    </row>
    <row r="6287" spans="1:5" ht="14.25">
      <c r="A6287"/>
      <c r="B6287"/>
      <c r="C6287"/>
      <c r="D6287"/>
      <c r="E6287" s="183"/>
    </row>
    <row r="6288" spans="1:5" ht="14.25">
      <c r="A6288"/>
      <c r="B6288"/>
      <c r="C6288"/>
      <c r="D6288"/>
      <c r="E6288" s="183"/>
    </row>
    <row r="6289" spans="1:5" ht="14.25">
      <c r="A6289"/>
      <c r="B6289"/>
      <c r="C6289"/>
      <c r="D6289"/>
      <c r="E6289" s="183"/>
    </row>
    <row r="6290" spans="1:5" ht="14.25">
      <c r="A6290"/>
      <c r="B6290"/>
      <c r="C6290"/>
      <c r="D6290"/>
      <c r="E6290" s="183"/>
    </row>
    <row r="6291" spans="1:5" ht="14.25">
      <c r="A6291"/>
      <c r="B6291"/>
      <c r="C6291"/>
      <c r="D6291"/>
      <c r="E6291" s="183"/>
    </row>
    <row r="6292" spans="1:5" ht="14.25">
      <c r="A6292"/>
      <c r="B6292"/>
      <c r="C6292"/>
      <c r="D6292"/>
      <c r="E6292" s="183"/>
    </row>
    <row r="6293" spans="1:5" ht="14.25">
      <c r="A6293"/>
      <c r="B6293"/>
      <c r="C6293"/>
      <c r="D6293"/>
      <c r="E6293" s="183"/>
    </row>
    <row r="6294" spans="1:5" ht="14.25">
      <c r="A6294"/>
      <c r="B6294"/>
      <c r="C6294"/>
      <c r="D6294"/>
      <c r="E6294" s="183"/>
    </row>
    <row r="6295" spans="1:5" ht="14.25">
      <c r="A6295"/>
      <c r="B6295"/>
      <c r="C6295"/>
      <c r="D6295"/>
      <c r="E6295" s="183"/>
    </row>
    <row r="6296" spans="1:5" ht="14.25">
      <c r="A6296"/>
      <c r="B6296"/>
      <c r="C6296"/>
      <c r="D6296"/>
      <c r="E6296" s="183"/>
    </row>
    <row r="6297" spans="1:5" ht="14.25">
      <c r="A6297"/>
      <c r="B6297"/>
      <c r="C6297"/>
      <c r="D6297"/>
      <c r="E6297" s="183"/>
    </row>
    <row r="6298" spans="1:5" ht="14.25">
      <c r="A6298"/>
      <c r="B6298"/>
      <c r="C6298"/>
      <c r="D6298"/>
      <c r="E6298" s="183"/>
    </row>
    <row r="6299" spans="1:5" ht="14.25">
      <c r="A6299"/>
      <c r="B6299"/>
      <c r="C6299"/>
      <c r="D6299"/>
      <c r="E6299" s="183"/>
    </row>
    <row r="6300" spans="1:5" ht="14.25">
      <c r="A6300"/>
      <c r="B6300"/>
      <c r="C6300"/>
      <c r="D6300"/>
      <c r="E6300" s="183"/>
    </row>
    <row r="6301" spans="1:5" ht="14.25">
      <c r="A6301"/>
      <c r="B6301"/>
      <c r="C6301"/>
      <c r="D6301"/>
      <c r="E6301" s="183"/>
    </row>
    <row r="6302" spans="1:5" ht="14.25">
      <c r="A6302"/>
      <c r="B6302"/>
      <c r="C6302"/>
      <c r="D6302"/>
      <c r="E6302" s="183"/>
    </row>
    <row r="6303" spans="1:5" ht="14.25">
      <c r="A6303"/>
      <c r="B6303"/>
      <c r="C6303"/>
      <c r="D6303"/>
      <c r="E6303" s="183"/>
    </row>
    <row r="6304" spans="1:5" ht="14.25">
      <c r="A6304"/>
      <c r="B6304"/>
      <c r="C6304"/>
      <c r="D6304"/>
      <c r="E6304" s="183"/>
    </row>
    <row r="6305" spans="1:5" ht="14.25">
      <c r="A6305"/>
      <c r="B6305"/>
      <c r="C6305"/>
      <c r="D6305"/>
      <c r="E6305" s="183"/>
    </row>
    <row r="6306" spans="1:5" ht="14.25">
      <c r="A6306"/>
      <c r="B6306"/>
      <c r="C6306"/>
      <c r="D6306"/>
      <c r="E6306" s="183"/>
    </row>
    <row r="6307" spans="1:5" ht="14.25">
      <c r="A6307"/>
      <c r="B6307"/>
      <c r="C6307"/>
      <c r="D6307"/>
      <c r="E6307" s="183"/>
    </row>
    <row r="6308" spans="1:5" ht="14.25">
      <c r="A6308"/>
      <c r="B6308"/>
      <c r="C6308"/>
      <c r="D6308"/>
      <c r="E6308" s="183"/>
    </row>
    <row r="6309" spans="1:5" ht="14.25">
      <c r="A6309"/>
      <c r="B6309"/>
      <c r="C6309"/>
      <c r="D6309"/>
      <c r="E6309" s="183"/>
    </row>
    <row r="6310" spans="1:5" ht="14.25">
      <c r="A6310"/>
      <c r="B6310"/>
      <c r="C6310"/>
      <c r="D6310"/>
      <c r="E6310" s="183"/>
    </row>
    <row r="6311" spans="1:5" ht="14.25">
      <c r="A6311"/>
      <c r="B6311"/>
      <c r="C6311"/>
      <c r="D6311"/>
      <c r="E6311" s="183"/>
    </row>
    <row r="6312" spans="1:5" ht="14.25">
      <c r="A6312"/>
      <c r="B6312"/>
      <c r="C6312"/>
      <c r="D6312"/>
      <c r="E6312" s="183"/>
    </row>
    <row r="6313" spans="1:5" ht="14.25">
      <c r="A6313"/>
      <c r="B6313"/>
      <c r="C6313"/>
      <c r="D6313"/>
      <c r="E6313" s="183"/>
    </row>
    <row r="6314" spans="1:5" ht="14.25">
      <c r="A6314"/>
      <c r="B6314"/>
      <c r="C6314"/>
      <c r="D6314"/>
      <c r="E6314" s="183"/>
    </row>
    <row r="6315" spans="1:5" ht="14.25">
      <c r="A6315"/>
      <c r="B6315"/>
      <c r="C6315"/>
      <c r="D6315"/>
      <c r="E6315" s="183"/>
    </row>
    <row r="6316" spans="1:5" ht="14.25">
      <c r="A6316"/>
      <c r="B6316"/>
      <c r="C6316"/>
      <c r="D6316"/>
      <c r="E6316" s="183"/>
    </row>
    <row r="6317" spans="1:5" ht="14.25">
      <c r="A6317"/>
      <c r="B6317"/>
      <c r="C6317"/>
      <c r="D6317"/>
      <c r="E6317" s="183"/>
    </row>
    <row r="6318" spans="1:5" ht="14.25">
      <c r="A6318"/>
      <c r="B6318"/>
      <c r="C6318"/>
      <c r="D6318"/>
      <c r="E6318" s="183"/>
    </row>
    <row r="6319" spans="1:5" ht="14.25">
      <c r="A6319"/>
      <c r="B6319"/>
      <c r="C6319"/>
      <c r="D6319"/>
      <c r="E6319" s="183"/>
    </row>
    <row r="6320" spans="1:5" ht="14.25">
      <c r="A6320"/>
      <c r="B6320"/>
      <c r="C6320"/>
      <c r="D6320"/>
      <c r="E6320" s="183"/>
    </row>
    <row r="6321" spans="1:5" ht="14.25">
      <c r="A6321"/>
      <c r="B6321"/>
      <c r="C6321"/>
      <c r="D6321"/>
      <c r="E6321" s="183"/>
    </row>
    <row r="6322" spans="1:5" ht="14.25">
      <c r="A6322"/>
      <c r="B6322"/>
      <c r="C6322"/>
      <c r="D6322"/>
      <c r="E6322" s="183"/>
    </row>
    <row r="6323" spans="1:5" ht="14.25">
      <c r="A6323"/>
      <c r="B6323"/>
      <c r="C6323"/>
      <c r="D6323"/>
      <c r="E6323" s="183"/>
    </row>
    <row r="6324" spans="1:5" ht="14.25">
      <c r="A6324"/>
      <c r="B6324"/>
      <c r="C6324"/>
      <c r="D6324"/>
      <c r="E6324" s="183"/>
    </row>
    <row r="6325" spans="1:5" ht="14.25">
      <c r="A6325"/>
      <c r="B6325"/>
      <c r="C6325"/>
      <c r="D6325"/>
      <c r="E6325" s="183"/>
    </row>
    <row r="6326" spans="1:5" ht="14.25">
      <c r="A6326"/>
      <c r="B6326"/>
      <c r="C6326"/>
      <c r="D6326"/>
      <c r="E6326" s="183"/>
    </row>
    <row r="6327" spans="1:5" ht="14.25">
      <c r="A6327"/>
      <c r="B6327"/>
      <c r="C6327"/>
      <c r="D6327"/>
      <c r="E6327" s="183"/>
    </row>
    <row r="6328" spans="1:5" ht="14.25">
      <c r="A6328"/>
      <c r="B6328"/>
      <c r="C6328"/>
      <c r="D6328"/>
      <c r="E6328" s="183"/>
    </row>
    <row r="6329" spans="1:5" ht="14.25">
      <c r="A6329"/>
      <c r="B6329"/>
      <c r="C6329"/>
      <c r="D6329"/>
      <c r="E6329" s="183"/>
    </row>
    <row r="6330" spans="1:5" ht="14.25">
      <c r="A6330"/>
      <c r="B6330"/>
      <c r="C6330"/>
      <c r="D6330"/>
      <c r="E6330" s="183"/>
    </row>
    <row r="6331" spans="1:5" ht="14.25">
      <c r="A6331"/>
      <c r="B6331"/>
      <c r="C6331"/>
      <c r="D6331"/>
      <c r="E6331" s="183"/>
    </row>
    <row r="6332" spans="1:5" ht="14.25">
      <c r="A6332"/>
      <c r="B6332"/>
      <c r="C6332"/>
      <c r="D6332"/>
      <c r="E6332" s="183"/>
    </row>
    <row r="6333" spans="1:5" ht="14.25">
      <c r="A6333"/>
      <c r="B6333"/>
      <c r="C6333"/>
      <c r="D6333"/>
      <c r="E6333" s="183"/>
    </row>
    <row r="6334" spans="1:5" ht="14.25">
      <c r="A6334"/>
      <c r="B6334"/>
      <c r="C6334"/>
      <c r="D6334"/>
      <c r="E6334" s="183"/>
    </row>
    <row r="6335" spans="1:5" ht="14.25">
      <c r="A6335"/>
      <c r="B6335"/>
      <c r="C6335"/>
      <c r="D6335"/>
      <c r="E6335" s="183"/>
    </row>
    <row r="6336" spans="1:5" ht="14.25">
      <c r="A6336"/>
      <c r="B6336"/>
      <c r="C6336"/>
      <c r="D6336"/>
      <c r="E6336" s="183"/>
    </row>
    <row r="6337" spans="1:5" ht="14.25">
      <c r="A6337"/>
      <c r="B6337"/>
      <c r="C6337"/>
      <c r="D6337"/>
      <c r="E6337" s="183"/>
    </row>
    <row r="6338" spans="1:5" ht="14.25">
      <c r="A6338"/>
      <c r="B6338"/>
      <c r="C6338"/>
      <c r="D6338"/>
      <c r="E6338" s="183"/>
    </row>
    <row r="6339" spans="1:5" ht="14.25">
      <c r="A6339"/>
      <c r="B6339"/>
      <c r="C6339"/>
      <c r="D6339"/>
      <c r="E6339" s="183"/>
    </row>
    <row r="6340" spans="1:5" ht="14.25">
      <c r="A6340"/>
      <c r="B6340"/>
      <c r="C6340"/>
      <c r="D6340"/>
      <c r="E6340" s="183"/>
    </row>
    <row r="6341" spans="1:5" ht="14.25">
      <c r="A6341"/>
      <c r="B6341"/>
      <c r="C6341"/>
      <c r="D6341"/>
      <c r="E6341" s="184"/>
    </row>
    <row r="6342" spans="1:5" ht="14.25">
      <c r="A6342"/>
      <c r="B6342"/>
      <c r="C6342"/>
      <c r="D6342"/>
      <c r="E6342" s="184"/>
    </row>
    <row r="6343" spans="1:5" ht="14.25">
      <c r="A6343"/>
      <c r="B6343"/>
      <c r="C6343"/>
      <c r="D6343"/>
      <c r="E6343" s="184"/>
    </row>
    <row r="6344" spans="1:5" ht="14.25">
      <c r="A6344"/>
      <c r="B6344"/>
      <c r="C6344"/>
      <c r="D6344"/>
      <c r="E6344" s="184"/>
    </row>
    <row r="6345" spans="1:5" ht="14.25">
      <c r="A6345"/>
      <c r="B6345"/>
      <c r="C6345"/>
      <c r="D6345"/>
      <c r="E6345" s="184"/>
    </row>
    <row r="6346" spans="1:5" ht="14.25">
      <c r="A6346"/>
      <c r="B6346"/>
      <c r="C6346"/>
      <c r="D6346"/>
      <c r="E6346" s="184"/>
    </row>
    <row r="6347" spans="1:5" ht="14.25">
      <c r="A6347"/>
      <c r="B6347"/>
      <c r="C6347"/>
      <c r="D6347"/>
      <c r="E6347" s="183"/>
    </row>
    <row r="6348" spans="1:5" ht="14.25">
      <c r="A6348"/>
      <c r="B6348"/>
      <c r="C6348"/>
      <c r="D6348"/>
      <c r="E6348" s="183"/>
    </row>
    <row r="6349" spans="1:5" ht="14.25">
      <c r="A6349"/>
      <c r="B6349"/>
      <c r="C6349"/>
      <c r="D6349"/>
      <c r="E6349" s="183"/>
    </row>
    <row r="6350" spans="1:5" ht="14.25">
      <c r="A6350"/>
      <c r="B6350"/>
      <c r="C6350"/>
      <c r="D6350"/>
      <c r="E6350" s="183"/>
    </row>
    <row r="6351" spans="1:5" ht="14.25">
      <c r="A6351"/>
      <c r="B6351"/>
      <c r="C6351"/>
      <c r="D6351"/>
      <c r="E6351" s="183"/>
    </row>
    <row r="6352" spans="1:5" ht="14.25">
      <c r="A6352"/>
      <c r="B6352"/>
      <c r="C6352"/>
      <c r="D6352"/>
      <c r="E6352" s="183"/>
    </row>
    <row r="6353" spans="1:5" ht="14.25">
      <c r="A6353"/>
      <c r="B6353"/>
      <c r="C6353"/>
      <c r="D6353"/>
      <c r="E6353" s="183"/>
    </row>
    <row r="6354" spans="1:5" ht="14.25">
      <c r="A6354"/>
      <c r="B6354"/>
      <c r="C6354"/>
      <c r="D6354"/>
      <c r="E6354" s="183"/>
    </row>
    <row r="6355" spans="1:5" ht="14.25">
      <c r="A6355"/>
      <c r="B6355"/>
      <c r="C6355"/>
      <c r="D6355"/>
      <c r="E6355" s="183"/>
    </row>
    <row r="6356" spans="1:5" ht="14.25">
      <c r="A6356"/>
      <c r="B6356"/>
      <c r="C6356"/>
      <c r="D6356"/>
      <c r="E6356" s="183"/>
    </row>
    <row r="6357" spans="1:5" ht="14.25">
      <c r="A6357"/>
      <c r="B6357"/>
      <c r="C6357"/>
      <c r="D6357"/>
      <c r="E6357" s="183"/>
    </row>
    <row r="6358" spans="1:5" ht="14.25">
      <c r="A6358"/>
      <c r="B6358"/>
      <c r="C6358"/>
      <c r="D6358"/>
      <c r="E6358" s="183"/>
    </row>
    <row r="6359" spans="1:5" ht="14.25">
      <c r="A6359"/>
      <c r="B6359"/>
      <c r="C6359"/>
      <c r="D6359"/>
      <c r="E6359" s="184"/>
    </row>
    <row r="6360" spans="1:5" ht="14.25">
      <c r="A6360"/>
      <c r="B6360"/>
      <c r="C6360"/>
      <c r="D6360"/>
      <c r="E6360" s="184"/>
    </row>
    <row r="6361" spans="1:5" ht="14.25">
      <c r="A6361"/>
      <c r="B6361"/>
      <c r="C6361"/>
      <c r="D6361"/>
      <c r="E6361" s="184"/>
    </row>
    <row r="6362" spans="1:5" ht="14.25">
      <c r="A6362"/>
      <c r="B6362"/>
      <c r="C6362"/>
      <c r="D6362"/>
      <c r="E6362" s="183"/>
    </row>
    <row r="6363" spans="1:5" ht="14.25">
      <c r="A6363"/>
      <c r="B6363"/>
      <c r="C6363"/>
      <c r="D6363"/>
      <c r="E6363" s="183"/>
    </row>
    <row r="6364" spans="1:5" ht="14.25">
      <c r="A6364"/>
      <c r="B6364"/>
      <c r="C6364"/>
      <c r="D6364"/>
      <c r="E6364" s="183"/>
    </row>
    <row r="6365" spans="1:5" ht="14.25">
      <c r="A6365"/>
      <c r="B6365"/>
      <c r="C6365"/>
      <c r="D6365"/>
      <c r="E6365" s="183"/>
    </row>
    <row r="6366" spans="1:5" ht="14.25">
      <c r="A6366"/>
      <c r="B6366"/>
      <c r="C6366"/>
      <c r="D6366"/>
      <c r="E6366" s="183"/>
    </row>
    <row r="6367" spans="1:5" ht="14.25">
      <c r="A6367"/>
      <c r="B6367"/>
      <c r="C6367"/>
      <c r="D6367"/>
      <c r="E6367" s="183"/>
    </row>
    <row r="6368" spans="1:5" ht="14.25">
      <c r="A6368"/>
      <c r="B6368"/>
      <c r="C6368"/>
      <c r="D6368"/>
      <c r="E6368" s="183"/>
    </row>
    <row r="6369" spans="1:5" ht="14.25">
      <c r="A6369"/>
      <c r="B6369"/>
      <c r="C6369"/>
      <c r="D6369"/>
      <c r="E6369" s="183"/>
    </row>
    <row r="6370" spans="1:5" ht="14.25">
      <c r="A6370"/>
      <c r="B6370"/>
      <c r="C6370"/>
      <c r="D6370"/>
      <c r="E6370" s="183"/>
    </row>
    <row r="6371" spans="1:5" ht="14.25">
      <c r="A6371"/>
      <c r="B6371"/>
      <c r="C6371"/>
      <c r="D6371"/>
      <c r="E6371" s="183"/>
    </row>
    <row r="6372" spans="1:5" ht="14.25">
      <c r="A6372"/>
      <c r="B6372"/>
      <c r="C6372"/>
      <c r="D6372"/>
      <c r="E6372" s="183"/>
    </row>
    <row r="6373" spans="1:5" ht="14.25">
      <c r="A6373"/>
      <c r="B6373"/>
      <c r="C6373"/>
      <c r="D6373"/>
      <c r="E6373" s="183"/>
    </row>
    <row r="6374" spans="1:5" ht="14.25">
      <c r="A6374"/>
      <c r="B6374"/>
      <c r="C6374"/>
      <c r="D6374"/>
      <c r="E6374" s="184"/>
    </row>
    <row r="6375" spans="1:5" ht="14.25">
      <c r="A6375"/>
      <c r="B6375"/>
      <c r="C6375"/>
      <c r="D6375"/>
      <c r="E6375" s="183"/>
    </row>
    <row r="6376" spans="1:5" ht="14.25">
      <c r="A6376"/>
      <c r="B6376"/>
      <c r="C6376"/>
      <c r="D6376"/>
      <c r="E6376" s="183"/>
    </row>
    <row r="6377" spans="1:5" ht="14.25">
      <c r="A6377"/>
      <c r="B6377"/>
      <c r="C6377"/>
      <c r="D6377"/>
      <c r="E6377" s="183"/>
    </row>
    <row r="6378" spans="1:5" ht="14.25">
      <c r="A6378"/>
      <c r="B6378"/>
      <c r="C6378"/>
      <c r="D6378"/>
      <c r="E6378" s="183"/>
    </row>
    <row r="6379" spans="1:5" ht="14.25">
      <c r="A6379"/>
      <c r="B6379"/>
      <c r="C6379"/>
      <c r="D6379"/>
      <c r="E6379" s="183"/>
    </row>
    <row r="6380" spans="1:5" ht="14.25">
      <c r="A6380"/>
      <c r="B6380"/>
      <c r="C6380"/>
      <c r="D6380"/>
      <c r="E6380" s="183"/>
    </row>
    <row r="6381" spans="1:5" ht="14.25">
      <c r="A6381"/>
      <c r="B6381"/>
      <c r="C6381"/>
      <c r="D6381"/>
      <c r="E6381" s="183"/>
    </row>
    <row r="6382" spans="1:5" ht="14.25">
      <c r="A6382"/>
      <c r="B6382"/>
      <c r="C6382"/>
      <c r="D6382"/>
      <c r="E6382" s="183"/>
    </row>
    <row r="6383" spans="1:5" ht="14.25">
      <c r="A6383"/>
      <c r="B6383"/>
      <c r="C6383"/>
      <c r="D6383"/>
      <c r="E6383" s="183"/>
    </row>
    <row r="6384" spans="1:5" ht="14.25">
      <c r="A6384"/>
      <c r="B6384"/>
      <c r="C6384"/>
      <c r="D6384"/>
      <c r="E6384" s="183"/>
    </row>
    <row r="6385" spans="1:5" ht="14.25">
      <c r="A6385"/>
      <c r="B6385"/>
      <c r="C6385"/>
      <c r="D6385"/>
      <c r="E6385" s="183"/>
    </row>
    <row r="6386" spans="1:5" ht="14.25">
      <c r="A6386"/>
      <c r="B6386"/>
      <c r="C6386"/>
      <c r="D6386"/>
      <c r="E6386" s="183"/>
    </row>
    <row r="6387" spans="1:5" ht="14.25">
      <c r="A6387"/>
      <c r="B6387"/>
      <c r="C6387"/>
      <c r="D6387"/>
      <c r="E6387" s="183"/>
    </row>
    <row r="6388" spans="1:5" ht="14.25">
      <c r="A6388"/>
      <c r="B6388"/>
      <c r="C6388"/>
      <c r="D6388"/>
      <c r="E6388" s="183"/>
    </row>
    <row r="6389" spans="1:5" ht="14.25">
      <c r="A6389"/>
      <c r="B6389"/>
      <c r="C6389"/>
      <c r="D6389"/>
      <c r="E6389" s="183"/>
    </row>
    <row r="6390" spans="1:5" ht="14.25">
      <c r="A6390"/>
      <c r="B6390"/>
      <c r="C6390"/>
      <c r="D6390"/>
      <c r="E6390" s="183"/>
    </row>
    <row r="6391" spans="1:5" ht="14.25">
      <c r="A6391"/>
      <c r="B6391"/>
      <c r="C6391"/>
      <c r="D6391"/>
      <c r="E6391" s="183"/>
    </row>
    <row r="6392" spans="1:5" ht="14.25">
      <c r="A6392"/>
      <c r="B6392"/>
      <c r="C6392"/>
      <c r="D6392"/>
      <c r="E6392" s="183"/>
    </row>
    <row r="6393" spans="1:5" ht="14.25">
      <c r="A6393"/>
      <c r="B6393"/>
      <c r="C6393"/>
      <c r="D6393"/>
      <c r="E6393" s="183"/>
    </row>
    <row r="6394" spans="1:5" ht="14.25">
      <c r="A6394"/>
      <c r="B6394"/>
      <c r="C6394"/>
      <c r="D6394"/>
      <c r="E6394" s="184"/>
    </row>
    <row r="6395" spans="1:5" ht="14.25">
      <c r="A6395"/>
      <c r="B6395"/>
      <c r="C6395"/>
      <c r="D6395"/>
      <c r="E6395" s="183"/>
    </row>
    <row r="6396" spans="1:5" ht="14.25">
      <c r="A6396"/>
      <c r="B6396"/>
      <c r="C6396"/>
      <c r="D6396"/>
      <c r="E6396" s="184"/>
    </row>
    <row r="6397" spans="1:5" ht="14.25">
      <c r="A6397"/>
      <c r="B6397"/>
      <c r="C6397"/>
      <c r="D6397"/>
      <c r="E6397" s="183"/>
    </row>
    <row r="6398" spans="1:5" ht="14.25">
      <c r="A6398"/>
      <c r="B6398"/>
      <c r="C6398"/>
      <c r="D6398"/>
      <c r="E6398" s="183"/>
    </row>
    <row r="6399" spans="1:5" ht="14.25">
      <c r="A6399"/>
      <c r="B6399"/>
      <c r="C6399"/>
      <c r="D6399"/>
      <c r="E6399" s="183"/>
    </row>
    <row r="6400" spans="1:5" ht="14.25">
      <c r="A6400"/>
      <c r="B6400"/>
      <c r="C6400"/>
      <c r="D6400"/>
      <c r="E6400" s="183"/>
    </row>
    <row r="6401" spans="1:5" ht="14.25">
      <c r="A6401"/>
      <c r="B6401"/>
      <c r="C6401"/>
      <c r="D6401"/>
      <c r="E6401" s="184"/>
    </row>
    <row r="6402" spans="1:5" ht="14.25">
      <c r="A6402"/>
      <c r="B6402"/>
      <c r="C6402"/>
      <c r="D6402"/>
      <c r="E6402" s="184"/>
    </row>
    <row r="6403" spans="1:5" ht="14.25">
      <c r="A6403"/>
      <c r="B6403"/>
      <c r="C6403"/>
      <c r="D6403"/>
      <c r="E6403" s="183"/>
    </row>
    <row r="6404" spans="1:5" ht="14.25">
      <c r="A6404"/>
      <c r="B6404"/>
      <c r="C6404"/>
      <c r="D6404"/>
      <c r="E6404" s="183"/>
    </row>
    <row r="6405" spans="1:5" ht="14.25">
      <c r="A6405"/>
      <c r="B6405"/>
      <c r="C6405"/>
      <c r="D6405"/>
      <c r="E6405" s="183"/>
    </row>
    <row r="6406" spans="1:5" ht="14.25">
      <c r="A6406"/>
      <c r="B6406"/>
      <c r="C6406"/>
      <c r="D6406"/>
      <c r="E6406" s="183"/>
    </row>
    <row r="6407" spans="1:5" ht="14.25">
      <c r="A6407"/>
      <c r="B6407"/>
      <c r="C6407"/>
      <c r="D6407"/>
      <c r="E6407" s="183"/>
    </row>
    <row r="6408" spans="1:5" ht="14.25">
      <c r="A6408"/>
      <c r="B6408"/>
      <c r="C6408"/>
      <c r="D6408"/>
      <c r="E6408" s="183"/>
    </row>
    <row r="6409" spans="1:5" ht="14.25">
      <c r="A6409"/>
      <c r="B6409"/>
      <c r="C6409"/>
      <c r="D6409"/>
      <c r="E6409" s="183"/>
    </row>
    <row r="6410" spans="1:5" ht="14.25">
      <c r="A6410"/>
      <c r="B6410"/>
      <c r="C6410"/>
      <c r="D6410"/>
      <c r="E6410" s="183"/>
    </row>
    <row r="6411" spans="1:5" ht="14.25">
      <c r="A6411"/>
      <c r="B6411"/>
      <c r="C6411"/>
      <c r="D6411"/>
      <c r="E6411" s="183"/>
    </row>
    <row r="6412" spans="1:5" ht="14.25">
      <c r="A6412"/>
      <c r="B6412"/>
      <c r="C6412"/>
      <c r="D6412"/>
      <c r="E6412" s="183"/>
    </row>
    <row r="6413" spans="1:5" ht="14.25">
      <c r="A6413"/>
      <c r="B6413"/>
      <c r="C6413"/>
      <c r="D6413"/>
      <c r="E6413" s="183"/>
    </row>
    <row r="6414" spans="1:5" ht="14.25">
      <c r="A6414"/>
      <c r="B6414"/>
      <c r="C6414"/>
      <c r="D6414"/>
      <c r="E6414" s="183"/>
    </row>
    <row r="6415" spans="1:5" ht="14.25">
      <c r="A6415"/>
      <c r="B6415"/>
      <c r="C6415"/>
      <c r="D6415"/>
      <c r="E6415" s="183"/>
    </row>
    <row r="6416" spans="1:5" ht="14.25">
      <c r="A6416"/>
      <c r="B6416"/>
      <c r="C6416"/>
      <c r="D6416"/>
      <c r="E6416" s="183"/>
    </row>
    <row r="6417" spans="1:5" ht="14.25">
      <c r="A6417"/>
      <c r="B6417"/>
      <c r="C6417"/>
      <c r="D6417"/>
      <c r="E6417" s="183"/>
    </row>
    <row r="6418" spans="1:5" ht="14.25">
      <c r="A6418"/>
      <c r="B6418"/>
      <c r="C6418"/>
      <c r="D6418"/>
      <c r="E6418" s="183"/>
    </row>
    <row r="6419" spans="1:5" ht="14.25">
      <c r="A6419"/>
      <c r="B6419"/>
      <c r="C6419"/>
      <c r="D6419"/>
      <c r="E6419" s="183"/>
    </row>
    <row r="6420" spans="1:5" ht="14.25">
      <c r="A6420"/>
      <c r="B6420"/>
      <c r="C6420"/>
      <c r="D6420"/>
      <c r="E6420" s="183"/>
    </row>
    <row r="6421" spans="1:5" ht="14.25">
      <c r="A6421"/>
      <c r="B6421"/>
      <c r="C6421"/>
      <c r="D6421"/>
      <c r="E6421" s="183"/>
    </row>
    <row r="6422" spans="1:5" ht="14.25">
      <c r="A6422"/>
      <c r="B6422"/>
      <c r="C6422"/>
      <c r="D6422"/>
      <c r="E6422" s="183"/>
    </row>
    <row r="6423" spans="1:5" ht="14.25">
      <c r="A6423"/>
      <c r="B6423"/>
      <c r="C6423"/>
      <c r="D6423"/>
      <c r="E6423" s="183"/>
    </row>
    <row r="6424" spans="1:5" ht="14.25">
      <c r="A6424"/>
      <c r="B6424"/>
      <c r="C6424"/>
      <c r="D6424"/>
      <c r="E6424" s="183"/>
    </row>
    <row r="6425" spans="1:5" ht="14.25">
      <c r="A6425"/>
      <c r="B6425"/>
      <c r="C6425"/>
      <c r="D6425"/>
      <c r="E6425" s="183"/>
    </row>
    <row r="6426" spans="1:5" ht="14.25">
      <c r="A6426"/>
      <c r="B6426"/>
      <c r="C6426"/>
      <c r="D6426"/>
      <c r="E6426" s="183"/>
    </row>
    <row r="6427" spans="1:5" ht="14.25">
      <c r="A6427"/>
      <c r="B6427"/>
      <c r="C6427"/>
      <c r="D6427"/>
      <c r="E6427" s="183"/>
    </row>
    <row r="6428" spans="1:5" ht="14.25">
      <c r="A6428"/>
      <c r="B6428"/>
      <c r="C6428"/>
      <c r="D6428"/>
      <c r="E6428" s="183"/>
    </row>
    <row r="6429" spans="1:5" ht="14.25">
      <c r="A6429"/>
      <c r="B6429"/>
      <c r="C6429"/>
      <c r="D6429"/>
      <c r="E6429" s="183"/>
    </row>
    <row r="6430" spans="1:5" ht="14.25">
      <c r="A6430"/>
      <c r="B6430"/>
      <c r="C6430"/>
      <c r="D6430"/>
      <c r="E6430" s="184"/>
    </row>
    <row r="6431" spans="1:5" ht="14.25">
      <c r="A6431"/>
      <c r="B6431"/>
      <c r="C6431"/>
      <c r="D6431"/>
      <c r="E6431" s="184"/>
    </row>
    <row r="6432" spans="1:5" ht="14.25">
      <c r="A6432"/>
      <c r="B6432"/>
      <c r="C6432"/>
      <c r="D6432"/>
      <c r="E6432" s="184"/>
    </row>
    <row r="6433" spans="1:5" ht="14.25">
      <c r="A6433"/>
      <c r="B6433"/>
      <c r="C6433"/>
      <c r="D6433"/>
      <c r="E6433" s="184"/>
    </row>
    <row r="6434" spans="1:5" ht="14.25">
      <c r="A6434"/>
      <c r="B6434"/>
      <c r="C6434"/>
      <c r="D6434"/>
      <c r="E6434" s="184"/>
    </row>
    <row r="6435" spans="1:5" ht="14.25">
      <c r="A6435"/>
      <c r="B6435"/>
      <c r="C6435"/>
      <c r="D6435"/>
      <c r="E6435" s="184"/>
    </row>
    <row r="6436" spans="1:5" ht="14.25">
      <c r="A6436"/>
      <c r="B6436"/>
      <c r="C6436"/>
      <c r="D6436"/>
      <c r="E6436" s="184"/>
    </row>
    <row r="6437" spans="1:5" ht="14.25">
      <c r="A6437"/>
      <c r="B6437"/>
      <c r="C6437"/>
      <c r="D6437"/>
      <c r="E6437" s="184"/>
    </row>
    <row r="6438" spans="1:5" ht="14.25">
      <c r="A6438"/>
      <c r="B6438"/>
      <c r="C6438"/>
      <c r="D6438"/>
      <c r="E6438" s="184"/>
    </row>
    <row r="6439" spans="1:5" ht="14.25">
      <c r="A6439"/>
      <c r="B6439"/>
      <c r="C6439"/>
      <c r="D6439"/>
      <c r="E6439" s="184"/>
    </row>
    <row r="6440" spans="1:5" ht="14.25">
      <c r="A6440"/>
      <c r="B6440"/>
      <c r="C6440"/>
      <c r="D6440"/>
      <c r="E6440" s="184"/>
    </row>
    <row r="6441" spans="1:5" ht="14.25">
      <c r="A6441"/>
      <c r="B6441"/>
      <c r="C6441"/>
      <c r="D6441"/>
      <c r="E6441" s="184"/>
    </row>
    <row r="6442" spans="1:5" ht="14.25">
      <c r="A6442"/>
      <c r="B6442"/>
      <c r="C6442"/>
      <c r="D6442"/>
      <c r="E6442" s="184"/>
    </row>
    <row r="6443" spans="1:5" ht="14.25">
      <c r="A6443"/>
      <c r="B6443"/>
      <c r="C6443"/>
      <c r="D6443"/>
      <c r="E6443" s="184"/>
    </row>
    <row r="6444" spans="1:5" ht="14.25">
      <c r="A6444"/>
      <c r="B6444"/>
      <c r="C6444"/>
      <c r="D6444"/>
      <c r="E6444" s="184"/>
    </row>
    <row r="6445" spans="1:5" ht="14.25">
      <c r="A6445"/>
      <c r="B6445"/>
      <c r="C6445"/>
      <c r="D6445"/>
      <c r="E6445" s="184"/>
    </row>
    <row r="6446" spans="1:5" ht="14.25">
      <c r="A6446"/>
      <c r="B6446"/>
      <c r="C6446"/>
      <c r="D6446"/>
      <c r="E6446" s="184"/>
    </row>
    <row r="6447" spans="1:5" ht="14.25">
      <c r="A6447"/>
      <c r="B6447"/>
      <c r="C6447"/>
      <c r="D6447"/>
      <c r="E6447" s="184"/>
    </row>
    <row r="6448" spans="1:5" ht="14.25">
      <c r="A6448"/>
      <c r="B6448"/>
      <c r="C6448"/>
      <c r="D6448"/>
      <c r="E6448" s="184"/>
    </row>
    <row r="6449" spans="1:5" ht="14.25">
      <c r="A6449"/>
      <c r="B6449"/>
      <c r="C6449"/>
      <c r="D6449"/>
      <c r="E6449" s="184"/>
    </row>
    <row r="6450" spans="1:5" ht="14.25">
      <c r="A6450"/>
      <c r="B6450"/>
      <c r="C6450"/>
      <c r="D6450"/>
      <c r="E6450" s="183"/>
    </row>
    <row r="6451" spans="1:5" ht="14.25">
      <c r="A6451"/>
      <c r="B6451"/>
      <c r="C6451"/>
      <c r="D6451"/>
      <c r="E6451" s="183"/>
    </row>
    <row r="6452" spans="1:5" ht="14.25">
      <c r="A6452"/>
      <c r="B6452"/>
      <c r="C6452"/>
      <c r="D6452"/>
      <c r="E6452" s="183"/>
    </row>
    <row r="6453" spans="1:5" ht="14.25">
      <c r="A6453"/>
      <c r="B6453"/>
      <c r="C6453"/>
      <c r="D6453"/>
      <c r="E6453" s="183"/>
    </row>
    <row r="6454" spans="1:5" ht="14.25">
      <c r="A6454"/>
      <c r="B6454"/>
      <c r="C6454"/>
      <c r="D6454"/>
      <c r="E6454" s="183"/>
    </row>
    <row r="6455" spans="1:5" ht="14.25">
      <c r="A6455"/>
      <c r="B6455"/>
      <c r="C6455"/>
      <c r="D6455"/>
      <c r="E6455" s="183"/>
    </row>
    <row r="6456" spans="1:5" ht="14.25">
      <c r="A6456"/>
      <c r="B6456"/>
      <c r="C6456"/>
      <c r="D6456"/>
      <c r="E6456" s="184"/>
    </row>
    <row r="6457" spans="1:5" ht="14.25">
      <c r="A6457"/>
      <c r="B6457"/>
      <c r="C6457"/>
      <c r="D6457"/>
      <c r="E6457" s="184"/>
    </row>
    <row r="6458" spans="1:5" ht="14.25">
      <c r="A6458"/>
      <c r="B6458"/>
      <c r="C6458"/>
      <c r="D6458"/>
      <c r="E6458" s="184"/>
    </row>
    <row r="6459" spans="1:5" ht="14.25">
      <c r="A6459"/>
      <c r="B6459"/>
      <c r="C6459"/>
      <c r="D6459"/>
      <c r="E6459" s="184"/>
    </row>
    <row r="6460" spans="1:5" ht="14.25">
      <c r="A6460"/>
      <c r="B6460"/>
      <c r="C6460"/>
      <c r="D6460"/>
      <c r="E6460" s="184"/>
    </row>
    <row r="6461" spans="1:5" ht="14.25">
      <c r="A6461"/>
      <c r="B6461"/>
      <c r="C6461"/>
      <c r="D6461"/>
      <c r="E6461" s="184"/>
    </row>
    <row r="6462" spans="1:5" ht="14.25">
      <c r="A6462"/>
      <c r="B6462"/>
      <c r="C6462"/>
      <c r="D6462"/>
      <c r="E6462" s="184"/>
    </row>
    <row r="6463" spans="1:5" ht="14.25">
      <c r="A6463"/>
      <c r="B6463"/>
      <c r="C6463"/>
      <c r="D6463"/>
      <c r="E6463" s="184"/>
    </row>
    <row r="6464" spans="1:5" ht="14.25">
      <c r="A6464"/>
      <c r="B6464"/>
      <c r="C6464"/>
      <c r="D6464"/>
      <c r="E6464" s="184"/>
    </row>
    <row r="6465" spans="1:5" ht="14.25">
      <c r="A6465"/>
      <c r="B6465"/>
      <c r="C6465"/>
      <c r="D6465"/>
      <c r="E6465" s="184"/>
    </row>
    <row r="6466" spans="1:5" ht="14.25">
      <c r="A6466"/>
      <c r="B6466"/>
      <c r="C6466"/>
      <c r="D6466"/>
      <c r="E6466" s="184"/>
    </row>
    <row r="6467" spans="1:5" ht="14.25">
      <c r="A6467"/>
      <c r="B6467"/>
      <c r="C6467"/>
      <c r="D6467"/>
      <c r="E6467" s="184"/>
    </row>
    <row r="6468" spans="1:5" ht="14.25">
      <c r="A6468"/>
      <c r="B6468"/>
      <c r="C6468"/>
      <c r="D6468"/>
      <c r="E6468" s="183"/>
    </row>
    <row r="6469" spans="1:5" ht="14.25">
      <c r="A6469"/>
      <c r="B6469"/>
      <c r="C6469"/>
      <c r="D6469"/>
      <c r="E6469" s="183"/>
    </row>
    <row r="6470" spans="1:5" ht="14.25">
      <c r="A6470"/>
      <c r="B6470"/>
      <c r="C6470"/>
      <c r="D6470"/>
      <c r="E6470" s="183"/>
    </row>
    <row r="6471" spans="1:5" ht="14.25">
      <c r="A6471"/>
      <c r="B6471"/>
      <c r="C6471"/>
      <c r="D6471"/>
      <c r="E6471" s="183"/>
    </row>
    <row r="6472" spans="1:5" ht="14.25">
      <c r="A6472"/>
      <c r="B6472"/>
      <c r="C6472"/>
      <c r="D6472"/>
      <c r="E6472" s="183"/>
    </row>
    <row r="6473" spans="1:5" ht="14.25">
      <c r="A6473"/>
      <c r="B6473"/>
      <c r="C6473"/>
      <c r="D6473"/>
      <c r="E6473" s="183"/>
    </row>
    <row r="6474" spans="1:5" ht="14.25">
      <c r="A6474"/>
      <c r="B6474"/>
      <c r="C6474"/>
      <c r="D6474"/>
      <c r="E6474" s="183"/>
    </row>
    <row r="6475" spans="1:5" ht="14.25">
      <c r="A6475"/>
      <c r="B6475"/>
      <c r="C6475"/>
      <c r="D6475"/>
      <c r="E6475" s="183"/>
    </row>
    <row r="6476" spans="1:5" ht="14.25">
      <c r="A6476"/>
      <c r="B6476"/>
      <c r="C6476"/>
      <c r="D6476"/>
      <c r="E6476" s="183"/>
    </row>
    <row r="6477" spans="1:5" ht="14.25">
      <c r="A6477"/>
      <c r="B6477"/>
      <c r="C6477"/>
      <c r="D6477"/>
      <c r="E6477" s="184"/>
    </row>
    <row r="6478" spans="1:5" ht="14.25">
      <c r="A6478"/>
      <c r="B6478"/>
      <c r="C6478"/>
      <c r="D6478"/>
      <c r="E6478" s="184"/>
    </row>
    <row r="6479" spans="1:5" ht="14.25">
      <c r="A6479"/>
      <c r="B6479"/>
      <c r="C6479"/>
      <c r="D6479"/>
      <c r="E6479" s="184"/>
    </row>
    <row r="6480" spans="1:5" ht="14.25">
      <c r="A6480"/>
      <c r="B6480"/>
      <c r="C6480"/>
      <c r="D6480"/>
      <c r="E6480" s="184"/>
    </row>
    <row r="6481" spans="1:5" ht="14.25">
      <c r="A6481"/>
      <c r="B6481"/>
      <c r="C6481"/>
      <c r="D6481"/>
      <c r="E6481" s="184"/>
    </row>
    <row r="6482" spans="1:5" ht="14.25">
      <c r="A6482"/>
      <c r="B6482"/>
      <c r="C6482"/>
      <c r="D6482"/>
      <c r="E6482" s="184"/>
    </row>
    <row r="6483" spans="1:5" ht="14.25">
      <c r="A6483"/>
      <c r="B6483"/>
      <c r="C6483"/>
      <c r="D6483"/>
      <c r="E6483" s="183"/>
    </row>
    <row r="6484" spans="1:5" ht="14.25">
      <c r="A6484"/>
      <c r="B6484"/>
      <c r="C6484"/>
      <c r="D6484"/>
      <c r="E6484" s="183"/>
    </row>
    <row r="6485" spans="1:5" ht="14.25">
      <c r="A6485"/>
      <c r="B6485"/>
      <c r="C6485"/>
      <c r="D6485"/>
      <c r="E6485" s="183"/>
    </row>
    <row r="6486" spans="1:5" ht="14.25">
      <c r="A6486"/>
      <c r="B6486"/>
      <c r="C6486"/>
      <c r="D6486"/>
      <c r="E6486" s="184"/>
    </row>
    <row r="6487" spans="1:5" ht="14.25">
      <c r="A6487"/>
      <c r="B6487"/>
      <c r="C6487"/>
      <c r="D6487"/>
      <c r="E6487" s="183"/>
    </row>
    <row r="6488" spans="1:5" ht="14.25">
      <c r="A6488"/>
      <c r="B6488"/>
      <c r="C6488"/>
      <c r="D6488"/>
      <c r="E6488" s="183"/>
    </row>
    <row r="6489" spans="1:5" ht="14.25">
      <c r="A6489"/>
      <c r="B6489"/>
      <c r="C6489"/>
      <c r="D6489"/>
      <c r="E6489" s="183"/>
    </row>
    <row r="6490" spans="1:5" ht="14.25">
      <c r="A6490"/>
      <c r="B6490"/>
      <c r="C6490"/>
      <c r="D6490"/>
      <c r="E6490" s="184"/>
    </row>
    <row r="6491" spans="1:5" ht="14.25">
      <c r="A6491"/>
      <c r="B6491"/>
      <c r="C6491"/>
      <c r="D6491"/>
      <c r="E6491" s="184"/>
    </row>
    <row r="6492" spans="1:5" ht="14.25">
      <c r="A6492"/>
      <c r="B6492"/>
      <c r="C6492"/>
      <c r="D6492"/>
      <c r="E6492" s="183"/>
    </row>
    <row r="6493" spans="1:5" ht="14.25">
      <c r="A6493"/>
      <c r="B6493"/>
      <c r="C6493"/>
      <c r="D6493"/>
      <c r="E6493" s="183"/>
    </row>
    <row r="6494" spans="1:5" ht="14.25">
      <c r="A6494"/>
      <c r="B6494"/>
      <c r="C6494"/>
      <c r="D6494"/>
      <c r="E6494" s="183"/>
    </row>
    <row r="6495" spans="1:5" ht="14.25">
      <c r="A6495"/>
      <c r="B6495"/>
      <c r="C6495"/>
      <c r="D6495"/>
      <c r="E6495" s="183"/>
    </row>
    <row r="6496" spans="1:5" ht="14.25">
      <c r="A6496"/>
      <c r="B6496"/>
      <c r="C6496"/>
      <c r="D6496"/>
      <c r="E6496" s="184"/>
    </row>
    <row r="6497" spans="1:5" ht="14.25">
      <c r="A6497"/>
      <c r="B6497"/>
      <c r="C6497"/>
      <c r="D6497"/>
      <c r="E6497" s="183"/>
    </row>
    <row r="6498" spans="1:5" ht="14.25">
      <c r="A6498"/>
      <c r="B6498"/>
      <c r="C6498"/>
      <c r="D6498"/>
      <c r="E6498" s="183"/>
    </row>
    <row r="6499" spans="1:5" ht="14.25">
      <c r="A6499"/>
      <c r="B6499"/>
      <c r="C6499"/>
      <c r="D6499"/>
      <c r="E6499" s="183"/>
    </row>
    <row r="6500" spans="1:5" ht="14.25">
      <c r="A6500"/>
      <c r="B6500"/>
      <c r="C6500"/>
      <c r="D6500"/>
      <c r="E6500" s="183"/>
    </row>
    <row r="6501" spans="1:5" ht="14.25">
      <c r="A6501"/>
      <c r="B6501"/>
      <c r="C6501"/>
      <c r="D6501"/>
      <c r="E6501" s="184"/>
    </row>
    <row r="6502" spans="1:5" ht="14.25">
      <c r="A6502"/>
      <c r="B6502"/>
      <c r="C6502"/>
      <c r="D6502"/>
      <c r="E6502" s="183"/>
    </row>
    <row r="6503" spans="1:5" ht="14.25">
      <c r="A6503"/>
      <c r="B6503"/>
      <c r="C6503"/>
      <c r="D6503"/>
      <c r="E6503" s="183"/>
    </row>
    <row r="6504" spans="1:5" ht="14.25">
      <c r="A6504"/>
      <c r="B6504"/>
      <c r="C6504"/>
      <c r="D6504"/>
      <c r="E6504" s="183"/>
    </row>
    <row r="6505" spans="1:5" ht="14.25">
      <c r="A6505"/>
      <c r="B6505"/>
      <c r="C6505"/>
      <c r="D6505"/>
      <c r="E6505" s="183"/>
    </row>
    <row r="6506" spans="1:5" ht="14.25">
      <c r="A6506"/>
      <c r="B6506"/>
      <c r="C6506"/>
      <c r="D6506"/>
      <c r="E6506" s="183"/>
    </row>
    <row r="6507" spans="1:5" ht="14.25">
      <c r="A6507"/>
      <c r="B6507"/>
      <c r="C6507"/>
      <c r="D6507"/>
      <c r="E6507" s="183"/>
    </row>
    <row r="6508" spans="1:5" ht="14.25">
      <c r="A6508"/>
      <c r="B6508"/>
      <c r="C6508"/>
      <c r="D6508"/>
      <c r="E6508" s="183"/>
    </row>
    <row r="6509" spans="1:5" ht="14.25">
      <c r="A6509"/>
      <c r="B6509"/>
      <c r="C6509"/>
      <c r="D6509"/>
      <c r="E6509" s="183"/>
    </row>
    <row r="6510" spans="1:5" ht="14.25">
      <c r="A6510"/>
      <c r="B6510"/>
      <c r="C6510"/>
      <c r="D6510"/>
      <c r="E6510" s="183"/>
    </row>
    <row r="6511" spans="1:5" ht="14.25">
      <c r="A6511"/>
      <c r="B6511"/>
      <c r="C6511"/>
      <c r="D6511"/>
      <c r="E6511" s="183"/>
    </row>
    <row r="6512" spans="1:5" ht="14.25">
      <c r="A6512"/>
      <c r="B6512"/>
      <c r="C6512"/>
      <c r="D6512"/>
      <c r="E6512" s="183"/>
    </row>
    <row r="6513" spans="1:5" ht="14.25">
      <c r="A6513"/>
      <c r="B6513"/>
      <c r="C6513"/>
      <c r="D6513"/>
      <c r="E6513" s="183"/>
    </row>
    <row r="6514" spans="1:5" ht="14.25">
      <c r="A6514"/>
      <c r="B6514"/>
      <c r="C6514"/>
      <c r="D6514"/>
      <c r="E6514" s="183"/>
    </row>
    <row r="6515" spans="1:5" ht="14.25">
      <c r="A6515"/>
      <c r="B6515"/>
      <c r="C6515"/>
      <c r="D6515"/>
      <c r="E6515" s="183"/>
    </row>
    <row r="6516" spans="1:5" ht="14.25">
      <c r="A6516"/>
      <c r="B6516"/>
      <c r="C6516"/>
      <c r="D6516"/>
      <c r="E6516" s="183"/>
    </row>
    <row r="6517" spans="1:5" ht="14.25">
      <c r="A6517"/>
      <c r="B6517"/>
      <c r="C6517"/>
      <c r="D6517"/>
      <c r="E6517" s="183"/>
    </row>
    <row r="6518" spans="1:5" ht="14.25">
      <c r="A6518"/>
      <c r="B6518"/>
      <c r="C6518"/>
      <c r="D6518"/>
      <c r="E6518" s="183"/>
    </row>
    <row r="6519" spans="1:5" ht="14.25">
      <c r="A6519"/>
      <c r="B6519"/>
      <c r="C6519"/>
      <c r="D6519"/>
      <c r="E6519" s="183"/>
    </row>
    <row r="6520" spans="1:5" ht="14.25">
      <c r="A6520"/>
      <c r="B6520"/>
      <c r="C6520"/>
      <c r="D6520"/>
      <c r="E6520" s="183"/>
    </row>
    <row r="6521" spans="1:5" ht="14.25">
      <c r="A6521"/>
      <c r="B6521"/>
      <c r="C6521"/>
      <c r="D6521"/>
      <c r="E6521" s="183"/>
    </row>
    <row r="6522" spans="1:5" ht="14.25">
      <c r="A6522"/>
      <c r="B6522"/>
      <c r="C6522"/>
      <c r="D6522"/>
      <c r="E6522" s="183"/>
    </row>
    <row r="6523" spans="1:5" ht="14.25">
      <c r="A6523"/>
      <c r="B6523"/>
      <c r="C6523"/>
      <c r="D6523"/>
      <c r="E6523" s="183"/>
    </row>
    <row r="6524" spans="1:5" ht="14.25">
      <c r="A6524"/>
      <c r="B6524"/>
      <c r="C6524"/>
      <c r="D6524"/>
      <c r="E6524" s="184"/>
    </row>
    <row r="6525" spans="1:5" ht="14.25">
      <c r="A6525"/>
      <c r="B6525"/>
      <c r="C6525"/>
      <c r="D6525"/>
      <c r="E6525" s="183"/>
    </row>
    <row r="6526" spans="1:5" ht="14.25">
      <c r="A6526"/>
      <c r="B6526"/>
      <c r="C6526"/>
      <c r="D6526"/>
      <c r="E6526" s="183"/>
    </row>
    <row r="6527" spans="1:5" ht="14.25">
      <c r="A6527"/>
      <c r="B6527"/>
      <c r="C6527"/>
      <c r="D6527"/>
      <c r="E6527" s="183"/>
    </row>
    <row r="6528" spans="1:5" ht="14.25">
      <c r="A6528"/>
      <c r="B6528"/>
      <c r="C6528"/>
      <c r="D6528"/>
      <c r="E6528" s="183"/>
    </row>
    <row r="6529" spans="1:5" ht="14.25">
      <c r="A6529"/>
      <c r="B6529"/>
      <c r="C6529"/>
      <c r="D6529"/>
      <c r="E6529" s="183"/>
    </row>
    <row r="6530" spans="1:5" ht="14.25">
      <c r="A6530"/>
      <c r="B6530"/>
      <c r="C6530"/>
      <c r="D6530"/>
      <c r="E6530" s="183"/>
    </row>
    <row r="6531" spans="1:5" ht="14.25">
      <c r="A6531"/>
      <c r="B6531"/>
      <c r="C6531"/>
      <c r="D6531"/>
      <c r="E6531" s="183"/>
    </row>
    <row r="6532" spans="1:5" ht="14.25">
      <c r="A6532"/>
      <c r="B6532"/>
      <c r="C6532"/>
      <c r="D6532"/>
      <c r="E6532" s="183"/>
    </row>
    <row r="6533" spans="1:5" ht="14.25">
      <c r="A6533"/>
      <c r="B6533"/>
      <c r="C6533"/>
      <c r="D6533"/>
      <c r="E6533" s="183"/>
    </row>
    <row r="6534" spans="1:5" ht="14.25">
      <c r="A6534"/>
      <c r="B6534"/>
      <c r="C6534"/>
      <c r="D6534"/>
      <c r="E6534" s="183"/>
    </row>
    <row r="6535" spans="1:5" ht="14.25">
      <c r="A6535"/>
      <c r="B6535"/>
      <c r="C6535"/>
      <c r="D6535"/>
      <c r="E6535" s="183"/>
    </row>
    <row r="6536" spans="1:5" ht="14.25">
      <c r="A6536"/>
      <c r="B6536"/>
      <c r="C6536"/>
      <c r="D6536"/>
      <c r="E6536" s="183"/>
    </row>
    <row r="6537" spans="1:5" ht="14.25">
      <c r="A6537"/>
      <c r="B6537"/>
      <c r="C6537"/>
      <c r="D6537"/>
      <c r="E6537" s="184"/>
    </row>
    <row r="6538" spans="1:5" ht="14.25">
      <c r="A6538"/>
      <c r="B6538"/>
      <c r="C6538"/>
      <c r="D6538"/>
      <c r="E6538" s="184"/>
    </row>
    <row r="6539" spans="1:5" ht="14.25">
      <c r="A6539"/>
      <c r="B6539"/>
      <c r="C6539"/>
      <c r="D6539"/>
      <c r="E6539" s="183"/>
    </row>
    <row r="6540" spans="1:5" ht="14.25">
      <c r="A6540"/>
      <c r="B6540"/>
      <c r="C6540"/>
      <c r="D6540"/>
      <c r="E6540" s="183"/>
    </row>
    <row r="6541" spans="1:5" ht="14.25">
      <c r="A6541"/>
      <c r="B6541"/>
      <c r="C6541"/>
      <c r="D6541"/>
      <c r="E6541" s="183"/>
    </row>
    <row r="6542" spans="1:5" ht="14.25">
      <c r="A6542"/>
      <c r="B6542"/>
      <c r="C6542"/>
      <c r="D6542"/>
      <c r="E6542" s="184"/>
    </row>
    <row r="6543" spans="1:5" ht="14.25">
      <c r="A6543"/>
      <c r="B6543"/>
      <c r="C6543"/>
      <c r="D6543"/>
      <c r="E6543" s="184"/>
    </row>
    <row r="6544" spans="1:5" ht="14.25">
      <c r="A6544"/>
      <c r="B6544"/>
      <c r="C6544"/>
      <c r="D6544"/>
      <c r="E6544" s="183"/>
    </row>
    <row r="6545" spans="1:5" ht="14.25">
      <c r="A6545"/>
      <c r="B6545"/>
      <c r="C6545"/>
      <c r="D6545"/>
      <c r="E6545" s="184"/>
    </row>
    <row r="6546" spans="1:5" ht="14.25">
      <c r="A6546"/>
      <c r="B6546"/>
      <c r="C6546"/>
      <c r="D6546"/>
      <c r="E6546" s="183"/>
    </row>
    <row r="6547" spans="1:5" ht="14.25">
      <c r="A6547"/>
      <c r="B6547"/>
      <c r="C6547"/>
      <c r="D6547"/>
      <c r="E6547" s="183"/>
    </row>
    <row r="6548" spans="1:5" ht="14.25">
      <c r="A6548"/>
      <c r="B6548"/>
      <c r="C6548"/>
      <c r="D6548"/>
      <c r="E6548" s="183"/>
    </row>
    <row r="6549" spans="1:5" ht="14.25">
      <c r="A6549"/>
      <c r="B6549"/>
      <c r="C6549"/>
      <c r="D6549"/>
      <c r="E6549" s="183"/>
    </row>
    <row r="6550" spans="1:5" ht="14.25">
      <c r="A6550"/>
      <c r="B6550"/>
      <c r="C6550"/>
      <c r="D6550"/>
      <c r="E6550" s="183"/>
    </row>
    <row r="6551" spans="1:5" ht="14.25">
      <c r="A6551"/>
      <c r="B6551"/>
      <c r="C6551"/>
      <c r="D6551"/>
      <c r="E6551" s="183"/>
    </row>
    <row r="6552" spans="1:5" ht="14.25">
      <c r="A6552"/>
      <c r="B6552"/>
      <c r="C6552"/>
      <c r="D6552"/>
      <c r="E6552" s="183"/>
    </row>
    <row r="6553" spans="1:5" ht="14.25">
      <c r="A6553"/>
      <c r="B6553"/>
      <c r="C6553"/>
      <c r="D6553"/>
      <c r="E6553" s="184"/>
    </row>
    <row r="6554" spans="1:5" ht="14.25">
      <c r="A6554"/>
      <c r="B6554"/>
      <c r="C6554"/>
      <c r="D6554"/>
      <c r="E6554" s="183"/>
    </row>
    <row r="6555" spans="1:5" ht="14.25">
      <c r="A6555"/>
      <c r="B6555"/>
      <c r="C6555"/>
      <c r="D6555"/>
      <c r="E6555" s="183"/>
    </row>
    <row r="6556" spans="1:5" ht="14.25">
      <c r="A6556"/>
      <c r="B6556"/>
      <c r="C6556"/>
      <c r="D6556"/>
      <c r="E6556" s="183"/>
    </row>
    <row r="6557" spans="1:5" ht="14.25">
      <c r="A6557"/>
      <c r="B6557"/>
      <c r="C6557"/>
      <c r="D6557"/>
      <c r="E6557" s="183"/>
    </row>
    <row r="6558" spans="1:5" ht="14.25">
      <c r="A6558"/>
      <c r="B6558"/>
      <c r="C6558"/>
      <c r="D6558"/>
      <c r="E6558" s="183"/>
    </row>
    <row r="6559" spans="1:5" ht="14.25">
      <c r="A6559"/>
      <c r="B6559"/>
      <c r="C6559"/>
      <c r="D6559"/>
      <c r="E6559" s="183"/>
    </row>
    <row r="6560" spans="1:5" ht="14.25">
      <c r="A6560"/>
      <c r="B6560"/>
      <c r="C6560"/>
      <c r="D6560"/>
      <c r="E6560" s="183"/>
    </row>
    <row r="6561" spans="1:5" ht="14.25">
      <c r="A6561"/>
      <c r="B6561"/>
      <c r="C6561"/>
      <c r="D6561"/>
      <c r="E6561" s="183"/>
    </row>
    <row r="6562" spans="1:5" ht="14.25">
      <c r="A6562"/>
      <c r="B6562"/>
      <c r="C6562"/>
      <c r="D6562"/>
      <c r="E6562" s="183"/>
    </row>
    <row r="6563" spans="1:5" ht="14.25">
      <c r="A6563"/>
      <c r="B6563"/>
      <c r="C6563"/>
      <c r="D6563"/>
      <c r="E6563" s="183"/>
    </row>
    <row r="6564" spans="1:5" ht="14.25">
      <c r="A6564"/>
      <c r="B6564"/>
      <c r="C6564"/>
      <c r="D6564"/>
      <c r="E6564" s="183"/>
    </row>
    <row r="6565" spans="1:5" ht="14.25">
      <c r="A6565"/>
      <c r="B6565"/>
      <c r="C6565"/>
      <c r="D6565"/>
      <c r="E6565" s="183"/>
    </row>
    <row r="6566" spans="1:5" ht="14.25">
      <c r="A6566"/>
      <c r="B6566"/>
      <c r="C6566"/>
      <c r="D6566"/>
      <c r="E6566" s="183"/>
    </row>
    <row r="6567" spans="1:5" ht="14.25">
      <c r="A6567"/>
      <c r="B6567"/>
      <c r="C6567"/>
      <c r="D6567"/>
      <c r="E6567" s="183"/>
    </row>
    <row r="6568" spans="1:5" ht="14.25">
      <c r="A6568"/>
      <c r="B6568"/>
      <c r="C6568"/>
      <c r="D6568"/>
      <c r="E6568" s="183"/>
    </row>
    <row r="6569" spans="1:5" ht="14.25">
      <c r="A6569"/>
      <c r="B6569"/>
      <c r="C6569"/>
      <c r="D6569"/>
      <c r="E6569" s="183"/>
    </row>
    <row r="6570" spans="1:5" ht="14.25">
      <c r="A6570"/>
      <c r="B6570"/>
      <c r="C6570"/>
      <c r="D6570"/>
      <c r="E6570" s="183"/>
    </row>
    <row r="6571" spans="1:5" ht="14.25">
      <c r="A6571"/>
      <c r="B6571"/>
      <c r="C6571"/>
      <c r="D6571"/>
      <c r="E6571" s="183"/>
    </row>
    <row r="6572" spans="1:5" ht="14.25">
      <c r="A6572"/>
      <c r="B6572"/>
      <c r="C6572"/>
      <c r="D6572"/>
      <c r="E6572" s="183"/>
    </row>
    <row r="6573" spans="1:5" ht="14.25">
      <c r="A6573"/>
      <c r="B6573"/>
      <c r="C6573"/>
      <c r="D6573"/>
      <c r="E6573" s="183"/>
    </row>
    <row r="6574" spans="1:5" ht="14.25">
      <c r="A6574"/>
      <c r="B6574"/>
      <c r="C6574"/>
      <c r="D6574"/>
      <c r="E6574" s="183"/>
    </row>
    <row r="6575" spans="1:5" ht="14.25">
      <c r="A6575"/>
      <c r="B6575"/>
      <c r="C6575"/>
      <c r="D6575"/>
      <c r="E6575" s="183"/>
    </row>
    <row r="6576" spans="1:5" ht="14.25">
      <c r="A6576"/>
      <c r="B6576"/>
      <c r="C6576"/>
      <c r="D6576"/>
      <c r="E6576" s="183"/>
    </row>
    <row r="6577" spans="1:5" ht="14.25">
      <c r="A6577"/>
      <c r="B6577"/>
      <c r="C6577"/>
      <c r="D6577"/>
      <c r="E6577" s="183"/>
    </row>
    <row r="6578" spans="1:5" ht="14.25">
      <c r="A6578"/>
      <c r="B6578"/>
      <c r="C6578"/>
      <c r="D6578"/>
      <c r="E6578" s="183"/>
    </row>
    <row r="6579" spans="1:5" ht="14.25">
      <c r="A6579"/>
      <c r="B6579"/>
      <c r="C6579"/>
      <c r="D6579"/>
      <c r="E6579" s="183"/>
    </row>
    <row r="6580" spans="1:5" ht="14.25">
      <c r="A6580"/>
      <c r="B6580"/>
      <c r="C6580"/>
      <c r="D6580"/>
      <c r="E6580" s="183"/>
    </row>
    <row r="6581" spans="1:5" ht="14.25">
      <c r="A6581"/>
      <c r="B6581"/>
      <c r="C6581"/>
      <c r="D6581"/>
      <c r="E6581" s="183"/>
    </row>
    <row r="6582" spans="1:5" ht="14.25">
      <c r="A6582"/>
      <c r="B6582"/>
      <c r="C6582"/>
      <c r="D6582"/>
      <c r="E6582" s="183"/>
    </row>
    <row r="6583" spans="1:5" ht="14.25">
      <c r="A6583"/>
      <c r="B6583"/>
      <c r="C6583"/>
      <c r="D6583"/>
      <c r="E6583" s="183"/>
    </row>
    <row r="6584" spans="1:5" ht="14.25">
      <c r="A6584"/>
      <c r="B6584"/>
      <c r="C6584"/>
      <c r="D6584"/>
      <c r="E6584" s="183"/>
    </row>
    <row r="6585" spans="1:5" ht="14.25">
      <c r="A6585"/>
      <c r="B6585"/>
      <c r="C6585"/>
      <c r="D6585"/>
      <c r="E6585" s="183"/>
    </row>
    <row r="6586" spans="1:5" ht="14.25">
      <c r="A6586"/>
      <c r="B6586"/>
      <c r="C6586"/>
      <c r="D6586"/>
      <c r="E6586" s="183"/>
    </row>
    <row r="6587" spans="1:5" ht="14.25">
      <c r="A6587"/>
      <c r="B6587"/>
      <c r="C6587"/>
      <c r="D6587"/>
      <c r="E6587" s="183"/>
    </row>
    <row r="6588" spans="1:5" ht="14.25">
      <c r="A6588"/>
      <c r="B6588"/>
      <c r="C6588"/>
      <c r="D6588"/>
      <c r="E6588" s="183"/>
    </row>
    <row r="6589" spans="1:5" ht="14.25">
      <c r="A6589"/>
      <c r="B6589"/>
      <c r="C6589"/>
      <c r="D6589"/>
      <c r="E6589" s="183"/>
    </row>
    <row r="6590" spans="1:5" ht="14.25">
      <c r="A6590"/>
      <c r="B6590"/>
      <c r="C6590"/>
      <c r="D6590"/>
      <c r="E6590" s="183"/>
    </row>
    <row r="6591" spans="1:5" ht="14.25">
      <c r="A6591"/>
      <c r="B6591"/>
      <c r="C6591"/>
      <c r="D6591"/>
      <c r="E6591" s="183"/>
    </row>
    <row r="6592" spans="1:5" ht="14.25">
      <c r="A6592"/>
      <c r="B6592"/>
      <c r="C6592"/>
      <c r="D6592"/>
      <c r="E6592" s="183"/>
    </row>
    <row r="6593" spans="1:5" ht="14.25">
      <c r="A6593"/>
      <c r="B6593"/>
      <c r="C6593"/>
      <c r="D6593"/>
      <c r="E6593" s="183"/>
    </row>
    <row r="6594" spans="1:5" ht="14.25">
      <c r="A6594"/>
      <c r="B6594"/>
      <c r="C6594"/>
      <c r="D6594"/>
      <c r="E6594" s="183"/>
    </row>
    <row r="6595" spans="1:5" ht="14.25">
      <c r="A6595"/>
      <c r="B6595"/>
      <c r="C6595"/>
      <c r="D6595"/>
      <c r="E6595" s="183"/>
    </row>
    <row r="6596" spans="1:5" ht="14.25">
      <c r="A6596"/>
      <c r="B6596"/>
      <c r="C6596"/>
      <c r="D6596"/>
      <c r="E6596" s="183"/>
    </row>
    <row r="6597" spans="1:5" ht="14.25">
      <c r="A6597"/>
      <c r="B6597"/>
      <c r="C6597"/>
      <c r="D6597"/>
      <c r="E6597" s="183"/>
    </row>
    <row r="6598" spans="1:5" ht="14.25">
      <c r="A6598"/>
      <c r="B6598"/>
      <c r="C6598"/>
      <c r="D6598"/>
      <c r="E6598" s="183"/>
    </row>
    <row r="6599" spans="1:5" ht="14.25">
      <c r="A6599"/>
      <c r="B6599"/>
      <c r="C6599"/>
      <c r="D6599"/>
      <c r="E6599" s="183"/>
    </row>
    <row r="6600" spans="1:5" ht="14.25">
      <c r="A6600"/>
      <c r="B6600"/>
      <c r="C6600"/>
      <c r="D6600"/>
      <c r="E6600" s="183"/>
    </row>
    <row r="6601" spans="1:5" ht="14.25">
      <c r="A6601"/>
      <c r="B6601"/>
      <c r="C6601"/>
      <c r="D6601"/>
      <c r="E6601" s="183"/>
    </row>
    <row r="6602" spans="1:5" ht="14.25">
      <c r="A6602"/>
      <c r="B6602"/>
      <c r="C6602"/>
      <c r="D6602"/>
      <c r="E6602" s="183"/>
    </row>
    <row r="6603" spans="1:5" ht="14.25">
      <c r="A6603"/>
      <c r="B6603"/>
      <c r="C6603"/>
      <c r="D6603"/>
      <c r="E6603" s="183"/>
    </row>
    <row r="6604" spans="1:5" ht="14.25">
      <c r="A6604"/>
      <c r="B6604"/>
      <c r="C6604"/>
      <c r="D6604"/>
      <c r="E6604" s="183"/>
    </row>
    <row r="6605" spans="1:5" ht="14.25">
      <c r="A6605"/>
      <c r="B6605"/>
      <c r="C6605"/>
      <c r="D6605"/>
      <c r="E6605" s="183"/>
    </row>
    <row r="6606" spans="1:5" ht="14.25">
      <c r="A6606"/>
      <c r="B6606"/>
      <c r="C6606"/>
      <c r="D6606"/>
      <c r="E6606" s="183"/>
    </row>
    <row r="6607" spans="1:5" ht="14.25">
      <c r="A6607"/>
      <c r="B6607"/>
      <c r="C6607"/>
      <c r="D6607"/>
      <c r="E6607" s="183"/>
    </row>
    <row r="6608" spans="1:5" ht="14.25">
      <c r="A6608"/>
      <c r="B6608"/>
      <c r="C6608"/>
      <c r="D6608"/>
      <c r="E6608" s="183"/>
    </row>
    <row r="6609" spans="1:5" ht="14.25">
      <c r="A6609"/>
      <c r="B6609"/>
      <c r="C6609"/>
      <c r="D6609"/>
      <c r="E6609" s="183"/>
    </row>
    <row r="6610" spans="1:5" ht="14.25">
      <c r="A6610"/>
      <c r="B6610"/>
      <c r="C6610"/>
      <c r="D6610"/>
      <c r="E6610" s="183"/>
    </row>
    <row r="6611" spans="1:5" ht="14.25">
      <c r="A6611"/>
      <c r="B6611"/>
      <c r="C6611"/>
      <c r="D6611"/>
      <c r="E6611" s="183"/>
    </row>
    <row r="6612" spans="1:5" ht="14.25">
      <c r="A6612"/>
      <c r="B6612"/>
      <c r="C6612"/>
      <c r="D6612"/>
      <c r="E6612" s="183"/>
    </row>
    <row r="6613" spans="1:5" ht="14.25">
      <c r="A6613"/>
      <c r="B6613"/>
      <c r="C6613"/>
      <c r="D6613"/>
      <c r="E6613" s="183"/>
    </row>
    <row r="6614" spans="1:5" ht="14.25">
      <c r="A6614"/>
      <c r="B6614"/>
      <c r="C6614"/>
      <c r="D6614"/>
      <c r="E6614" s="183"/>
    </row>
    <row r="6615" spans="1:5" ht="14.25">
      <c r="A6615"/>
      <c r="B6615"/>
      <c r="C6615"/>
      <c r="D6615"/>
      <c r="E6615" s="183"/>
    </row>
    <row r="6616" spans="1:5" ht="14.25">
      <c r="A6616"/>
      <c r="B6616"/>
      <c r="C6616"/>
      <c r="D6616"/>
      <c r="E6616" s="183"/>
    </row>
    <row r="6617" spans="1:5" ht="14.25">
      <c r="A6617"/>
      <c r="B6617"/>
      <c r="C6617"/>
      <c r="D6617"/>
      <c r="E6617" s="183"/>
    </row>
    <row r="6618" spans="1:5" ht="14.25">
      <c r="A6618"/>
      <c r="B6618"/>
      <c r="C6618"/>
      <c r="D6618"/>
      <c r="E6618" s="183"/>
    </row>
    <row r="6619" spans="1:5" ht="14.25">
      <c r="A6619"/>
      <c r="B6619"/>
      <c r="C6619"/>
      <c r="D6619"/>
      <c r="E6619" s="183"/>
    </row>
    <row r="6620" spans="1:5" ht="14.25">
      <c r="A6620"/>
      <c r="B6620"/>
      <c r="C6620"/>
      <c r="D6620"/>
      <c r="E6620" s="183"/>
    </row>
    <row r="6621" spans="1:5" ht="14.25">
      <c r="A6621"/>
      <c r="B6621"/>
      <c r="C6621"/>
      <c r="D6621"/>
      <c r="E6621" s="183"/>
    </row>
    <row r="6622" spans="1:5" ht="14.25">
      <c r="A6622"/>
      <c r="B6622"/>
      <c r="C6622"/>
      <c r="D6622"/>
      <c r="E6622" s="183"/>
    </row>
    <row r="6623" spans="1:5" ht="14.25">
      <c r="A6623"/>
      <c r="B6623"/>
      <c r="C6623"/>
      <c r="D6623"/>
      <c r="E6623" s="183"/>
    </row>
    <row r="6624" spans="1:5" ht="14.25">
      <c r="A6624"/>
      <c r="B6624"/>
      <c r="C6624"/>
      <c r="D6624"/>
      <c r="E6624" s="183"/>
    </row>
    <row r="6625" spans="1:5" ht="14.25">
      <c r="A6625"/>
      <c r="B6625"/>
      <c r="C6625"/>
      <c r="D6625"/>
      <c r="E6625" s="183"/>
    </row>
    <row r="6626" spans="1:5" ht="14.25">
      <c r="A6626"/>
      <c r="B6626"/>
      <c r="C6626"/>
      <c r="D6626"/>
      <c r="E6626" s="183"/>
    </row>
    <row r="6627" spans="1:5" ht="14.25">
      <c r="A6627"/>
      <c r="B6627"/>
      <c r="C6627"/>
      <c r="D6627"/>
      <c r="E6627" s="183"/>
    </row>
    <row r="6628" spans="1:5" ht="14.25">
      <c r="A6628"/>
      <c r="B6628"/>
      <c r="C6628"/>
      <c r="D6628"/>
      <c r="E6628" s="183"/>
    </row>
    <row r="6629" spans="1:5" ht="14.25">
      <c r="A6629"/>
      <c r="B6629"/>
      <c r="C6629"/>
      <c r="D6629"/>
      <c r="E6629" s="183"/>
    </row>
    <row r="6630" spans="1:5" ht="14.25">
      <c r="A6630"/>
      <c r="B6630"/>
      <c r="C6630"/>
      <c r="D6630"/>
      <c r="E6630" s="183"/>
    </row>
    <row r="6631" spans="1:5" ht="14.25">
      <c r="A6631"/>
      <c r="B6631"/>
      <c r="C6631"/>
      <c r="D6631"/>
      <c r="E6631" s="183"/>
    </row>
    <row r="6632" spans="1:5" ht="14.25">
      <c r="A6632"/>
      <c r="B6632"/>
      <c r="C6632"/>
      <c r="D6632"/>
      <c r="E6632" s="183"/>
    </row>
    <row r="6633" spans="1:5" ht="14.25">
      <c r="A6633"/>
      <c r="B6633"/>
      <c r="C6633"/>
      <c r="D6633"/>
      <c r="E6633" s="183"/>
    </row>
    <row r="6634" spans="1:5" ht="14.25">
      <c r="A6634"/>
      <c r="B6634"/>
      <c r="C6634"/>
      <c r="D6634"/>
      <c r="E6634" s="183"/>
    </row>
    <row r="6635" spans="1:5" ht="14.25">
      <c r="A6635"/>
      <c r="B6635"/>
      <c r="C6635"/>
      <c r="D6635"/>
      <c r="E6635" s="183"/>
    </row>
    <row r="6636" spans="1:5" ht="14.25">
      <c r="A6636"/>
      <c r="B6636"/>
      <c r="C6636"/>
      <c r="D6636"/>
      <c r="E6636" s="183"/>
    </row>
    <row r="6637" spans="1:5" ht="14.25">
      <c r="A6637"/>
      <c r="B6637"/>
      <c r="C6637"/>
      <c r="D6637"/>
      <c r="E6637" s="183"/>
    </row>
    <row r="6638" spans="1:5" ht="14.25">
      <c r="A6638"/>
      <c r="B6638"/>
      <c r="C6638"/>
      <c r="D6638"/>
      <c r="E6638" s="183"/>
    </row>
    <row r="6639" spans="1:5" ht="14.25">
      <c r="A6639"/>
      <c r="B6639"/>
      <c r="C6639"/>
      <c r="D6639"/>
      <c r="E6639" s="183"/>
    </row>
    <row r="6640" spans="1:5" ht="14.25">
      <c r="A6640"/>
      <c r="B6640"/>
      <c r="C6640"/>
      <c r="D6640"/>
      <c r="E6640" s="183"/>
    </row>
    <row r="6641" spans="1:5" ht="14.25">
      <c r="A6641"/>
      <c r="B6641"/>
      <c r="C6641"/>
      <c r="D6641"/>
      <c r="E6641" s="183"/>
    </row>
    <row r="6642" spans="1:5" ht="14.25">
      <c r="A6642"/>
      <c r="B6642"/>
      <c r="C6642"/>
      <c r="D6642"/>
      <c r="E6642" s="183"/>
    </row>
    <row r="6643" spans="1:5" ht="14.25">
      <c r="A6643"/>
      <c r="B6643"/>
      <c r="C6643"/>
      <c r="D6643"/>
      <c r="E6643" s="183"/>
    </row>
    <row r="6644" spans="1:5" ht="14.25">
      <c r="A6644"/>
      <c r="B6644"/>
      <c r="C6644"/>
      <c r="D6644"/>
      <c r="E6644" s="183"/>
    </row>
    <row r="6645" spans="1:5" ht="14.25">
      <c r="A6645"/>
      <c r="B6645"/>
      <c r="C6645"/>
      <c r="D6645"/>
      <c r="E6645" s="183"/>
    </row>
    <row r="6646" spans="1:5" ht="14.25">
      <c r="A6646"/>
      <c r="B6646"/>
      <c r="C6646"/>
      <c r="D6646"/>
      <c r="E6646" s="183"/>
    </row>
    <row r="6647" spans="1:5" ht="14.25">
      <c r="A6647"/>
      <c r="B6647"/>
      <c r="C6647"/>
      <c r="D6647"/>
      <c r="E6647" s="183"/>
    </row>
    <row r="6648" spans="1:5" ht="14.25">
      <c r="A6648"/>
      <c r="B6648"/>
      <c r="C6648"/>
      <c r="D6648"/>
      <c r="E6648" s="183"/>
    </row>
    <row r="6649" spans="1:5" ht="14.25">
      <c r="A6649"/>
      <c r="B6649"/>
      <c r="C6649"/>
      <c r="D6649"/>
      <c r="E6649" s="183"/>
    </row>
    <row r="6650" spans="1:5" ht="14.25">
      <c r="A6650"/>
      <c r="B6650"/>
      <c r="C6650"/>
      <c r="D6650"/>
      <c r="E6650" s="183"/>
    </row>
    <row r="6651" spans="1:5" ht="14.25">
      <c r="A6651"/>
      <c r="B6651"/>
      <c r="C6651"/>
      <c r="D6651"/>
      <c r="E6651" s="183"/>
    </row>
    <row r="6652" spans="1:5" ht="14.25">
      <c r="A6652"/>
      <c r="B6652"/>
      <c r="C6652"/>
      <c r="D6652"/>
      <c r="E6652" s="183"/>
    </row>
    <row r="6653" spans="1:5" ht="14.25">
      <c r="A6653"/>
      <c r="B6653"/>
      <c r="C6653"/>
      <c r="D6653"/>
      <c r="E6653" s="183"/>
    </row>
    <row r="6654" spans="1:5" ht="14.25">
      <c r="A6654"/>
      <c r="B6654"/>
      <c r="C6654"/>
      <c r="D6654"/>
      <c r="E6654" s="183"/>
    </row>
    <row r="6655" spans="1:5" ht="14.25">
      <c r="A6655"/>
      <c r="B6655"/>
      <c r="C6655"/>
      <c r="D6655"/>
      <c r="E6655" s="183"/>
    </row>
    <row r="6656" spans="1:5" ht="14.25">
      <c r="A6656"/>
      <c r="B6656"/>
      <c r="C6656"/>
      <c r="D6656"/>
      <c r="E6656" s="183"/>
    </row>
    <row r="6657" spans="1:5" ht="14.25">
      <c r="A6657"/>
      <c r="B6657"/>
      <c r="C6657"/>
      <c r="D6657"/>
      <c r="E6657" s="183"/>
    </row>
    <row r="6658" spans="1:5" ht="14.25">
      <c r="A6658"/>
      <c r="B6658"/>
      <c r="C6658"/>
      <c r="D6658"/>
      <c r="E6658" s="183"/>
    </row>
    <row r="6659" spans="1:5" ht="14.25">
      <c r="A6659"/>
      <c r="B6659"/>
      <c r="C6659"/>
      <c r="D6659"/>
      <c r="E6659" s="183"/>
    </row>
    <row r="6660" spans="1:5" ht="14.25">
      <c r="A6660"/>
      <c r="B6660"/>
      <c r="C6660"/>
      <c r="D6660"/>
      <c r="E6660" s="183"/>
    </row>
    <row r="6661" spans="1:5" ht="14.25">
      <c r="A6661"/>
      <c r="B6661"/>
      <c r="C6661"/>
      <c r="D6661"/>
      <c r="E6661" s="183"/>
    </row>
    <row r="6662" spans="1:5" ht="14.25">
      <c r="A6662"/>
      <c r="B6662"/>
      <c r="C6662"/>
      <c r="D6662"/>
      <c r="E6662" s="183"/>
    </row>
    <row r="6663" spans="1:5" ht="14.25">
      <c r="A6663"/>
      <c r="B6663"/>
      <c r="C6663"/>
      <c r="D6663"/>
      <c r="E6663" s="183"/>
    </row>
    <row r="6664" spans="1:5" ht="14.25">
      <c r="A6664"/>
      <c r="B6664"/>
      <c r="C6664"/>
      <c r="D6664"/>
      <c r="E6664" s="183"/>
    </row>
    <row r="6665" spans="1:5" ht="14.25">
      <c r="A6665"/>
      <c r="B6665"/>
      <c r="C6665"/>
      <c r="D6665"/>
      <c r="E6665" s="183"/>
    </row>
    <row r="6666" spans="1:5" ht="14.25">
      <c r="A6666"/>
      <c r="B6666"/>
      <c r="C6666"/>
      <c r="D6666"/>
      <c r="E6666" s="183"/>
    </row>
    <row r="6667" spans="1:5" ht="14.25">
      <c r="A6667"/>
      <c r="B6667"/>
      <c r="C6667"/>
      <c r="D6667"/>
      <c r="E6667" s="183"/>
    </row>
    <row r="6668" spans="1:5" ht="14.25">
      <c r="A6668"/>
      <c r="B6668"/>
      <c r="C6668"/>
      <c r="D6668"/>
      <c r="E6668" s="183"/>
    </row>
    <row r="6669" spans="1:5" ht="14.25">
      <c r="A6669"/>
      <c r="B6669"/>
      <c r="C6669"/>
      <c r="D6669"/>
      <c r="E6669" s="183"/>
    </row>
    <row r="6670" spans="1:5" ht="14.25">
      <c r="A6670"/>
      <c r="B6670"/>
      <c r="C6670"/>
      <c r="D6670"/>
      <c r="E6670" s="183"/>
    </row>
    <row r="6671" spans="1:5" ht="14.25">
      <c r="A6671"/>
      <c r="B6671"/>
      <c r="C6671"/>
      <c r="D6671"/>
      <c r="E6671" s="183"/>
    </row>
    <row r="6672" spans="1:5" ht="14.25">
      <c r="A6672"/>
      <c r="B6672"/>
      <c r="C6672"/>
      <c r="D6672"/>
      <c r="E6672" s="183"/>
    </row>
    <row r="6673" spans="1:5" ht="14.25">
      <c r="A6673"/>
      <c r="B6673"/>
      <c r="C6673"/>
      <c r="D6673"/>
      <c r="E6673" s="183"/>
    </row>
    <row r="6674" spans="1:5" ht="14.25">
      <c r="A6674"/>
      <c r="B6674"/>
      <c r="C6674"/>
      <c r="D6674"/>
      <c r="E6674" s="183"/>
    </row>
    <row r="6675" spans="1:5" ht="14.25">
      <c r="A6675"/>
      <c r="B6675"/>
      <c r="C6675"/>
      <c r="D6675"/>
      <c r="E6675" s="183"/>
    </row>
    <row r="6676" spans="1:5" ht="14.25">
      <c r="A6676"/>
      <c r="B6676"/>
      <c r="C6676"/>
      <c r="D6676"/>
      <c r="E6676" s="183"/>
    </row>
    <row r="6677" spans="1:5" ht="14.25">
      <c r="A6677"/>
      <c r="B6677"/>
      <c r="C6677"/>
      <c r="D6677"/>
      <c r="E6677" s="183"/>
    </row>
    <row r="6678" spans="1:5" ht="14.25">
      <c r="A6678"/>
      <c r="B6678"/>
      <c r="C6678"/>
      <c r="D6678"/>
      <c r="E6678" s="183"/>
    </row>
    <row r="6679" spans="1:5" ht="14.25">
      <c r="A6679"/>
      <c r="B6679"/>
      <c r="C6679"/>
      <c r="D6679"/>
      <c r="E6679" s="183"/>
    </row>
    <row r="6680" spans="1:5" ht="14.25">
      <c r="A6680"/>
      <c r="B6680"/>
      <c r="C6680"/>
      <c r="D6680"/>
      <c r="E6680" s="183"/>
    </row>
    <row r="6681" spans="1:5" ht="14.25">
      <c r="A6681"/>
      <c r="B6681"/>
      <c r="C6681"/>
      <c r="D6681"/>
      <c r="E6681" s="183"/>
    </row>
    <row r="6682" spans="1:5" ht="14.25">
      <c r="A6682"/>
      <c r="B6682"/>
      <c r="C6682"/>
      <c r="D6682"/>
      <c r="E6682" s="183"/>
    </row>
    <row r="6683" spans="1:5" ht="14.25">
      <c r="A6683"/>
      <c r="B6683"/>
      <c r="C6683"/>
      <c r="D6683"/>
      <c r="E6683" s="183"/>
    </row>
    <row r="6684" spans="1:5" ht="14.25">
      <c r="A6684"/>
      <c r="B6684"/>
      <c r="C6684"/>
      <c r="D6684"/>
      <c r="E6684" s="183"/>
    </row>
    <row r="6685" spans="1:5" ht="14.25">
      <c r="A6685"/>
      <c r="B6685"/>
      <c r="C6685"/>
      <c r="D6685"/>
      <c r="E6685" s="183"/>
    </row>
    <row r="6686" spans="1:5" ht="14.25">
      <c r="A6686"/>
      <c r="B6686"/>
      <c r="C6686"/>
      <c r="D6686"/>
      <c r="E6686" s="183"/>
    </row>
    <row r="6687" spans="1:5" ht="14.25">
      <c r="A6687"/>
      <c r="B6687"/>
      <c r="C6687"/>
      <c r="D6687"/>
      <c r="E6687" s="183"/>
    </row>
    <row r="6688" spans="1:5" ht="14.25">
      <c r="A6688"/>
      <c r="B6688"/>
      <c r="C6688"/>
      <c r="D6688"/>
      <c r="E6688" s="183"/>
    </row>
    <row r="6689" spans="1:5" ht="14.25">
      <c r="A6689"/>
      <c r="B6689"/>
      <c r="C6689"/>
      <c r="D6689"/>
      <c r="E6689" s="183"/>
    </row>
    <row r="6690" spans="1:5" ht="14.25">
      <c r="A6690"/>
      <c r="B6690"/>
      <c r="C6690"/>
      <c r="D6690"/>
      <c r="E6690" s="183"/>
    </row>
    <row r="6691" spans="1:5" ht="14.25">
      <c r="A6691"/>
      <c r="B6691"/>
      <c r="C6691"/>
      <c r="D6691"/>
      <c r="E6691" s="183"/>
    </row>
    <row r="6692" spans="1:5" ht="14.25">
      <c r="A6692"/>
      <c r="B6692"/>
      <c r="C6692"/>
      <c r="D6692"/>
      <c r="E6692" s="183"/>
    </row>
    <row r="6693" spans="1:5" ht="14.25">
      <c r="A6693"/>
      <c r="B6693"/>
      <c r="C6693"/>
      <c r="D6693"/>
      <c r="E6693" s="183"/>
    </row>
    <row r="6694" spans="1:5" ht="14.25">
      <c r="A6694"/>
      <c r="B6694"/>
      <c r="C6694"/>
      <c r="D6694"/>
      <c r="E6694" s="183"/>
    </row>
    <row r="6695" spans="1:5" ht="14.25">
      <c r="A6695"/>
      <c r="B6695"/>
      <c r="C6695"/>
      <c r="D6695"/>
      <c r="E6695" s="183"/>
    </row>
    <row r="6696" spans="1:5" ht="14.25">
      <c r="A6696"/>
      <c r="B6696"/>
      <c r="C6696"/>
      <c r="D6696"/>
      <c r="E6696" s="183"/>
    </row>
    <row r="6697" spans="1:5" ht="14.25">
      <c r="A6697"/>
      <c r="B6697"/>
      <c r="C6697"/>
      <c r="D6697"/>
      <c r="E6697" s="183"/>
    </row>
    <row r="6698" spans="1:5" ht="14.25">
      <c r="A6698"/>
      <c r="B6698"/>
      <c r="C6698"/>
      <c r="D6698"/>
      <c r="E6698" s="183"/>
    </row>
    <row r="6699" spans="1:5" ht="14.25">
      <c r="A6699"/>
      <c r="B6699"/>
      <c r="C6699"/>
      <c r="D6699"/>
      <c r="E6699" s="183"/>
    </row>
    <row r="6700" spans="1:5" ht="14.25">
      <c r="A6700"/>
      <c r="B6700"/>
      <c r="C6700"/>
      <c r="D6700"/>
      <c r="E6700" s="183"/>
    </row>
    <row r="6701" spans="1:5" ht="14.25">
      <c r="A6701"/>
      <c r="B6701"/>
      <c r="C6701"/>
      <c r="D6701"/>
      <c r="E6701" s="183"/>
    </row>
    <row r="6702" spans="1:5" ht="14.25">
      <c r="A6702"/>
      <c r="B6702"/>
      <c r="C6702"/>
      <c r="D6702"/>
      <c r="E6702" s="183"/>
    </row>
    <row r="6703" spans="1:5" ht="14.25">
      <c r="A6703"/>
      <c r="B6703"/>
      <c r="C6703"/>
      <c r="D6703"/>
      <c r="E6703" s="183"/>
    </row>
    <row r="6704" spans="1:5" ht="14.25">
      <c r="A6704"/>
      <c r="B6704"/>
      <c r="C6704"/>
      <c r="D6704"/>
      <c r="E6704" s="183"/>
    </row>
    <row r="6705" spans="1:5" ht="14.25">
      <c r="A6705"/>
      <c r="B6705"/>
      <c r="C6705"/>
      <c r="D6705"/>
      <c r="E6705" s="183"/>
    </row>
    <row r="6706" spans="1:5" ht="14.25">
      <c r="A6706"/>
      <c r="B6706"/>
      <c r="C6706"/>
      <c r="D6706"/>
      <c r="E6706" s="183"/>
    </row>
    <row r="6707" spans="1:5" ht="14.25">
      <c r="A6707"/>
      <c r="B6707"/>
      <c r="C6707"/>
      <c r="D6707"/>
      <c r="E6707" s="183"/>
    </row>
    <row r="6708" spans="1:5" ht="14.25">
      <c r="A6708"/>
      <c r="B6708"/>
      <c r="C6708"/>
      <c r="D6708"/>
      <c r="E6708" s="183"/>
    </row>
    <row r="6709" spans="1:5" ht="14.25">
      <c r="A6709"/>
      <c r="B6709"/>
      <c r="C6709"/>
      <c r="D6709"/>
      <c r="E6709" s="183"/>
    </row>
    <row r="6710" spans="1:5" ht="14.25">
      <c r="A6710"/>
      <c r="B6710"/>
      <c r="C6710"/>
      <c r="D6710"/>
      <c r="E6710" s="183"/>
    </row>
    <row r="6711" spans="1:5" ht="14.25">
      <c r="A6711"/>
      <c r="B6711"/>
      <c r="C6711"/>
      <c r="D6711"/>
      <c r="E6711" s="183"/>
    </row>
    <row r="6712" spans="1:5" ht="14.25">
      <c r="A6712"/>
      <c r="B6712"/>
      <c r="C6712"/>
      <c r="D6712"/>
      <c r="E6712" s="183"/>
    </row>
    <row r="6713" spans="1:5" ht="14.25">
      <c r="A6713"/>
      <c r="B6713"/>
      <c r="C6713"/>
      <c r="D6713"/>
      <c r="E6713" s="183"/>
    </row>
    <row r="6714" spans="1:5" ht="14.25">
      <c r="A6714"/>
      <c r="B6714"/>
      <c r="C6714"/>
      <c r="D6714"/>
      <c r="E6714" s="183"/>
    </row>
    <row r="6715" spans="1:5" ht="14.25">
      <c r="A6715"/>
      <c r="B6715"/>
      <c r="C6715"/>
      <c r="D6715"/>
      <c r="E6715" s="183"/>
    </row>
    <row r="6716" spans="1:5" ht="14.25">
      <c r="A6716"/>
      <c r="B6716"/>
      <c r="C6716"/>
      <c r="D6716"/>
      <c r="E6716" s="183"/>
    </row>
    <row r="6717" spans="1:5" ht="14.25">
      <c r="A6717"/>
      <c r="B6717"/>
      <c r="C6717"/>
      <c r="D6717"/>
      <c r="E6717" s="183"/>
    </row>
    <row r="6718" spans="1:5" ht="14.25">
      <c r="A6718"/>
      <c r="B6718"/>
      <c r="C6718"/>
      <c r="D6718"/>
      <c r="E6718" s="183"/>
    </row>
    <row r="6719" spans="1:5" ht="14.25">
      <c r="A6719"/>
      <c r="B6719"/>
      <c r="C6719"/>
      <c r="D6719"/>
      <c r="E6719" s="183"/>
    </row>
    <row r="6720" spans="1:5" ht="14.25">
      <c r="A6720"/>
      <c r="B6720"/>
      <c r="C6720"/>
      <c r="D6720"/>
      <c r="E6720" s="183"/>
    </row>
    <row r="6721" spans="1:5" ht="14.25">
      <c r="A6721"/>
      <c r="B6721"/>
      <c r="C6721"/>
      <c r="D6721"/>
      <c r="E6721" s="183"/>
    </row>
    <row r="6722" spans="1:5" ht="14.25">
      <c r="A6722"/>
      <c r="B6722"/>
      <c r="C6722"/>
      <c r="D6722"/>
      <c r="E6722" s="183"/>
    </row>
    <row r="6723" spans="1:5" ht="14.25">
      <c r="A6723"/>
      <c r="B6723"/>
      <c r="C6723"/>
      <c r="D6723"/>
      <c r="E6723" s="183"/>
    </row>
    <row r="6724" spans="1:5" ht="14.25">
      <c r="A6724"/>
      <c r="B6724"/>
      <c r="C6724"/>
      <c r="D6724"/>
      <c r="E6724" s="183"/>
    </row>
    <row r="6725" spans="1:5" ht="14.25">
      <c r="A6725"/>
      <c r="B6725"/>
      <c r="C6725"/>
      <c r="D6725"/>
      <c r="E6725" s="183"/>
    </row>
    <row r="6726" spans="1:5" ht="14.25">
      <c r="A6726"/>
      <c r="B6726"/>
      <c r="C6726"/>
      <c r="D6726"/>
      <c r="E6726" s="183"/>
    </row>
    <row r="6727" spans="1:5" ht="14.25">
      <c r="A6727"/>
      <c r="B6727"/>
      <c r="C6727"/>
      <c r="D6727"/>
      <c r="E6727" s="183"/>
    </row>
    <row r="6728" spans="1:5" ht="14.25">
      <c r="A6728"/>
      <c r="B6728"/>
      <c r="C6728"/>
      <c r="D6728"/>
      <c r="E6728" s="183"/>
    </row>
    <row r="6729" spans="1:5" ht="14.25">
      <c r="A6729"/>
      <c r="B6729"/>
      <c r="C6729"/>
      <c r="D6729"/>
      <c r="E6729" s="183"/>
    </row>
    <row r="6730" spans="1:5" ht="14.25">
      <c r="A6730"/>
      <c r="B6730"/>
      <c r="C6730"/>
      <c r="D6730"/>
      <c r="E6730" s="183"/>
    </row>
    <row r="6731" spans="1:5" ht="14.25">
      <c r="A6731"/>
      <c r="B6731"/>
      <c r="C6731"/>
      <c r="D6731"/>
      <c r="E6731" s="183"/>
    </row>
    <row r="6732" spans="1:5" ht="14.25">
      <c r="A6732"/>
      <c r="B6732"/>
      <c r="C6732"/>
      <c r="D6732"/>
      <c r="E6732" s="183"/>
    </row>
    <row r="6733" spans="1:5" ht="14.25">
      <c r="A6733"/>
      <c r="B6733"/>
      <c r="C6733"/>
      <c r="D6733"/>
      <c r="E6733" s="184"/>
    </row>
    <row r="6734" spans="1:5" ht="14.25">
      <c r="A6734"/>
      <c r="B6734"/>
      <c r="C6734"/>
      <c r="D6734"/>
      <c r="E6734" s="184"/>
    </row>
    <row r="6735" spans="1:5" ht="14.25">
      <c r="A6735"/>
      <c r="B6735"/>
      <c r="C6735"/>
      <c r="D6735"/>
      <c r="E6735" s="183"/>
    </row>
    <row r="6736" spans="1:5" ht="14.25">
      <c r="A6736"/>
      <c r="B6736"/>
      <c r="C6736"/>
      <c r="D6736"/>
      <c r="E6736" s="183"/>
    </row>
    <row r="6737" spans="1:5" ht="14.25">
      <c r="A6737"/>
      <c r="B6737"/>
      <c r="C6737"/>
      <c r="D6737"/>
      <c r="E6737" s="184"/>
    </row>
    <row r="6738" spans="1:5" ht="14.25">
      <c r="A6738"/>
      <c r="B6738"/>
      <c r="C6738"/>
      <c r="D6738"/>
      <c r="E6738" s="184"/>
    </row>
    <row r="6739" spans="1:5" ht="14.25">
      <c r="A6739"/>
      <c r="B6739"/>
      <c r="C6739"/>
      <c r="D6739"/>
      <c r="E6739" s="183"/>
    </row>
    <row r="6740" spans="1:5" ht="14.25">
      <c r="A6740"/>
      <c r="B6740"/>
      <c r="C6740"/>
      <c r="D6740"/>
      <c r="E6740" s="183"/>
    </row>
    <row r="6741" spans="1:5" ht="14.25">
      <c r="A6741"/>
      <c r="B6741"/>
      <c r="C6741"/>
      <c r="D6741"/>
      <c r="E6741" s="183"/>
    </row>
    <row r="6742" spans="1:5" ht="14.25">
      <c r="A6742"/>
      <c r="B6742"/>
      <c r="C6742"/>
      <c r="D6742"/>
      <c r="E6742" s="183"/>
    </row>
    <row r="6743" spans="1:5" ht="14.25">
      <c r="A6743"/>
      <c r="B6743"/>
      <c r="C6743"/>
      <c r="D6743"/>
      <c r="E6743" s="183"/>
    </row>
    <row r="6744" spans="1:5" ht="14.25">
      <c r="A6744"/>
      <c r="B6744"/>
      <c r="C6744"/>
      <c r="D6744"/>
      <c r="E6744" s="183"/>
    </row>
    <row r="6745" spans="1:5" ht="14.25">
      <c r="A6745"/>
      <c r="B6745"/>
      <c r="C6745"/>
      <c r="D6745"/>
      <c r="E6745" s="183"/>
    </row>
    <row r="6746" spans="1:5" ht="14.25">
      <c r="A6746"/>
      <c r="B6746"/>
      <c r="C6746"/>
      <c r="D6746"/>
      <c r="E6746" s="183"/>
    </row>
    <row r="6747" spans="1:5" ht="14.25">
      <c r="A6747"/>
      <c r="B6747"/>
      <c r="C6747"/>
      <c r="D6747"/>
      <c r="E6747" s="183"/>
    </row>
    <row r="6748" spans="1:5" ht="14.25">
      <c r="A6748"/>
      <c r="B6748"/>
      <c r="C6748"/>
      <c r="D6748"/>
      <c r="E6748" s="183"/>
    </row>
    <row r="6749" spans="1:5" ht="14.25">
      <c r="A6749"/>
      <c r="B6749"/>
      <c r="C6749"/>
      <c r="D6749"/>
      <c r="E6749" s="183"/>
    </row>
    <row r="6750" spans="1:5" ht="14.25">
      <c r="A6750"/>
      <c r="B6750"/>
      <c r="C6750"/>
      <c r="D6750"/>
      <c r="E6750" s="183"/>
    </row>
    <row r="6751" spans="1:5" ht="14.25">
      <c r="A6751"/>
      <c r="B6751"/>
      <c r="C6751"/>
      <c r="D6751"/>
      <c r="E6751" s="183"/>
    </row>
    <row r="6752" spans="1:5" ht="14.25">
      <c r="A6752"/>
      <c r="B6752"/>
      <c r="C6752"/>
      <c r="D6752"/>
      <c r="E6752" s="183"/>
    </row>
    <row r="6753" spans="1:5" ht="14.25">
      <c r="A6753"/>
      <c r="B6753"/>
      <c r="C6753"/>
      <c r="D6753"/>
      <c r="E6753" s="183"/>
    </row>
    <row r="6754" spans="1:5" ht="14.25">
      <c r="A6754"/>
      <c r="B6754"/>
      <c r="C6754"/>
      <c r="D6754"/>
      <c r="E6754" s="183"/>
    </row>
    <row r="6755" spans="1:5" ht="14.25">
      <c r="A6755"/>
      <c r="B6755"/>
      <c r="C6755"/>
      <c r="D6755"/>
      <c r="E6755" s="183"/>
    </row>
    <row r="6756" spans="1:5" ht="14.25">
      <c r="A6756"/>
      <c r="B6756"/>
      <c r="C6756"/>
      <c r="D6756"/>
      <c r="E6756" s="183"/>
    </row>
    <row r="6757" spans="1:5" ht="14.25">
      <c r="A6757"/>
      <c r="B6757"/>
      <c r="C6757"/>
      <c r="D6757"/>
      <c r="E6757" s="183"/>
    </row>
    <row r="6758" spans="1:5" ht="14.25">
      <c r="A6758"/>
      <c r="B6758"/>
      <c r="C6758"/>
      <c r="D6758"/>
      <c r="E6758" s="183"/>
    </row>
    <row r="6759" spans="1:5" ht="14.25">
      <c r="A6759"/>
      <c r="B6759"/>
      <c r="C6759"/>
      <c r="D6759"/>
      <c r="E6759" s="183"/>
    </row>
    <row r="6760" spans="1:5" ht="14.25">
      <c r="A6760"/>
      <c r="B6760"/>
      <c r="C6760"/>
      <c r="D6760"/>
      <c r="E6760" s="183"/>
    </row>
    <row r="6761" spans="1:5" ht="14.25">
      <c r="A6761"/>
      <c r="B6761"/>
      <c r="C6761"/>
      <c r="D6761"/>
      <c r="E6761" s="183"/>
    </row>
    <row r="6762" spans="1:5" ht="14.25">
      <c r="A6762"/>
      <c r="B6762"/>
      <c r="C6762"/>
      <c r="D6762"/>
      <c r="E6762" s="183"/>
    </row>
    <row r="6763" spans="1:5" ht="14.25">
      <c r="A6763"/>
      <c r="B6763"/>
      <c r="C6763"/>
      <c r="D6763"/>
      <c r="E6763" s="183"/>
    </row>
    <row r="6764" spans="1:5" ht="14.25">
      <c r="A6764"/>
      <c r="B6764"/>
      <c r="C6764"/>
      <c r="D6764"/>
      <c r="E6764" s="183"/>
    </row>
    <row r="6765" spans="1:5" ht="14.25">
      <c r="A6765"/>
      <c r="B6765"/>
      <c r="C6765"/>
      <c r="D6765"/>
      <c r="E6765" s="183"/>
    </row>
    <row r="6766" spans="1:5" ht="14.25">
      <c r="A6766"/>
      <c r="B6766"/>
      <c r="C6766"/>
      <c r="D6766"/>
      <c r="E6766" s="183"/>
    </row>
    <row r="6767" spans="1:5" ht="14.25">
      <c r="A6767"/>
      <c r="B6767"/>
      <c r="C6767"/>
      <c r="D6767"/>
      <c r="E6767" s="183"/>
    </row>
    <row r="6768" spans="1:5" ht="14.25">
      <c r="A6768"/>
      <c r="B6768"/>
      <c r="C6768"/>
      <c r="D6768"/>
      <c r="E6768" s="183"/>
    </row>
    <row r="6769" spans="1:5" ht="14.25">
      <c r="A6769"/>
      <c r="B6769"/>
      <c r="C6769"/>
      <c r="D6769"/>
      <c r="E6769" s="183"/>
    </row>
    <row r="6770" spans="1:5" ht="14.25">
      <c r="A6770"/>
      <c r="B6770"/>
      <c r="C6770"/>
      <c r="D6770"/>
      <c r="E6770" s="183"/>
    </row>
    <row r="6771" spans="1:5" ht="14.25">
      <c r="A6771"/>
      <c r="B6771"/>
      <c r="C6771"/>
      <c r="D6771"/>
      <c r="E6771" s="183"/>
    </row>
    <row r="6772" spans="1:5" ht="14.25">
      <c r="A6772"/>
      <c r="B6772"/>
      <c r="C6772"/>
      <c r="D6772"/>
      <c r="E6772" s="183"/>
    </row>
    <row r="6773" spans="1:5" ht="14.25">
      <c r="A6773"/>
      <c r="B6773"/>
      <c r="C6773"/>
      <c r="D6773"/>
      <c r="E6773" s="183"/>
    </row>
    <row r="6774" spans="1:5" ht="14.25">
      <c r="A6774"/>
      <c r="B6774"/>
      <c r="C6774"/>
      <c r="D6774"/>
      <c r="E6774" s="183"/>
    </row>
    <row r="6775" spans="1:5" ht="14.25">
      <c r="A6775"/>
      <c r="B6775"/>
      <c r="C6775"/>
      <c r="D6775"/>
      <c r="E6775" s="183"/>
    </row>
    <row r="6776" spans="1:5" ht="14.25">
      <c r="A6776"/>
      <c r="B6776"/>
      <c r="C6776"/>
      <c r="D6776"/>
      <c r="E6776" s="183"/>
    </row>
    <row r="6777" spans="1:5" ht="14.25">
      <c r="A6777"/>
      <c r="B6777"/>
      <c r="C6777"/>
      <c r="D6777"/>
      <c r="E6777" s="183"/>
    </row>
    <row r="6778" spans="1:5" ht="14.25">
      <c r="A6778"/>
      <c r="B6778"/>
      <c r="C6778"/>
      <c r="D6778"/>
      <c r="E6778" s="183"/>
    </row>
    <row r="6779" spans="1:5" ht="14.25">
      <c r="A6779"/>
      <c r="B6779"/>
      <c r="C6779"/>
      <c r="D6779"/>
      <c r="E6779" s="183"/>
    </row>
    <row r="6780" spans="1:5" ht="14.25">
      <c r="A6780"/>
      <c r="B6780"/>
      <c r="C6780"/>
      <c r="D6780"/>
      <c r="E6780" s="183"/>
    </row>
    <row r="6781" spans="1:5" ht="14.25">
      <c r="A6781"/>
      <c r="B6781"/>
      <c r="C6781"/>
      <c r="D6781"/>
      <c r="E6781" s="183"/>
    </row>
    <row r="6782" spans="1:5" ht="14.25">
      <c r="A6782"/>
      <c r="B6782"/>
      <c r="C6782"/>
      <c r="D6782"/>
      <c r="E6782" s="183"/>
    </row>
    <row r="6783" spans="1:5" ht="14.25">
      <c r="A6783"/>
      <c r="B6783"/>
      <c r="C6783"/>
      <c r="D6783"/>
      <c r="E6783" s="183"/>
    </row>
    <row r="6784" spans="1:5" ht="14.25">
      <c r="A6784"/>
      <c r="B6784"/>
      <c r="C6784"/>
      <c r="D6784"/>
      <c r="E6784" s="183"/>
    </row>
    <row r="6785" spans="1:5" ht="14.25">
      <c r="A6785"/>
      <c r="B6785"/>
      <c r="C6785"/>
      <c r="D6785"/>
      <c r="E6785" s="183"/>
    </row>
    <row r="6786" spans="1:5" ht="14.25">
      <c r="A6786"/>
      <c r="B6786"/>
      <c r="C6786"/>
      <c r="D6786"/>
      <c r="E6786" s="183"/>
    </row>
    <row r="6787" spans="1:5" ht="14.25">
      <c r="A6787"/>
      <c r="B6787"/>
      <c r="C6787"/>
      <c r="D6787"/>
      <c r="E6787" s="183"/>
    </row>
    <row r="6788" spans="1:5" ht="14.25">
      <c r="A6788"/>
      <c r="B6788"/>
      <c r="C6788"/>
      <c r="D6788"/>
      <c r="E6788" s="183"/>
    </row>
    <row r="6789" spans="1:5" ht="14.25">
      <c r="A6789"/>
      <c r="B6789"/>
      <c r="C6789"/>
      <c r="D6789"/>
      <c r="E6789" s="183"/>
    </row>
    <row r="6790" spans="1:5" ht="14.25">
      <c r="A6790"/>
      <c r="B6790"/>
      <c r="C6790"/>
      <c r="D6790"/>
      <c r="E6790" s="183"/>
    </row>
    <row r="6791" spans="1:5" ht="14.25">
      <c r="A6791"/>
      <c r="B6791"/>
      <c r="C6791"/>
      <c r="D6791"/>
      <c r="E6791" s="183"/>
    </row>
    <row r="6792" spans="1:5" ht="14.25">
      <c r="A6792"/>
      <c r="B6792"/>
      <c r="C6792"/>
      <c r="D6792"/>
      <c r="E6792" s="183"/>
    </row>
    <row r="6793" spans="1:5" ht="14.25">
      <c r="A6793"/>
      <c r="B6793"/>
      <c r="C6793"/>
      <c r="D6793"/>
      <c r="E6793" s="183"/>
    </row>
    <row r="6794" spans="1:5" ht="14.25">
      <c r="A6794"/>
      <c r="B6794"/>
      <c r="C6794"/>
      <c r="D6794"/>
      <c r="E6794" s="183"/>
    </row>
    <row r="6795" spans="1:5" ht="14.25">
      <c r="A6795"/>
      <c r="B6795"/>
      <c r="C6795"/>
      <c r="D6795"/>
      <c r="E6795" s="183"/>
    </row>
    <row r="6796" spans="1:5" ht="14.25">
      <c r="A6796"/>
      <c r="B6796"/>
      <c r="C6796"/>
      <c r="D6796"/>
      <c r="E6796" s="183"/>
    </row>
    <row r="6797" spans="1:5" ht="14.25">
      <c r="A6797"/>
      <c r="B6797"/>
      <c r="C6797"/>
      <c r="D6797"/>
      <c r="E6797" s="183"/>
    </row>
    <row r="6798" spans="1:5" ht="14.25">
      <c r="A6798"/>
      <c r="B6798"/>
      <c r="C6798"/>
      <c r="D6798"/>
      <c r="E6798" s="183"/>
    </row>
    <row r="6799" spans="1:5" ht="14.25">
      <c r="A6799"/>
      <c r="B6799"/>
      <c r="C6799"/>
      <c r="D6799"/>
      <c r="E6799" s="183"/>
    </row>
    <row r="6800" spans="1:5" ht="14.25">
      <c r="A6800"/>
      <c r="B6800"/>
      <c r="C6800"/>
      <c r="D6800"/>
      <c r="E6800" s="183"/>
    </row>
    <row r="6801" spans="1:5" ht="14.25">
      <c r="A6801"/>
      <c r="B6801"/>
      <c r="C6801"/>
      <c r="D6801"/>
      <c r="E6801" s="183"/>
    </row>
    <row r="6802" spans="1:5" ht="14.25">
      <c r="A6802"/>
      <c r="B6802"/>
      <c r="C6802"/>
      <c r="D6802"/>
      <c r="E6802" s="183"/>
    </row>
    <row r="6803" spans="1:5" ht="14.25">
      <c r="A6803"/>
      <c r="B6803"/>
      <c r="C6803"/>
      <c r="D6803"/>
      <c r="E6803" s="183"/>
    </row>
    <row r="6804" spans="1:5" ht="14.25">
      <c r="A6804"/>
      <c r="B6804"/>
      <c r="C6804"/>
      <c r="D6804"/>
      <c r="E6804" s="183"/>
    </row>
    <row r="6805" spans="1:5" ht="14.25">
      <c r="A6805"/>
      <c r="B6805"/>
      <c r="C6805"/>
      <c r="D6805"/>
      <c r="E6805" s="183"/>
    </row>
    <row r="6806" spans="1:5" ht="14.25">
      <c r="A6806"/>
      <c r="B6806"/>
      <c r="C6806"/>
      <c r="D6806"/>
      <c r="E6806" s="183"/>
    </row>
    <row r="6807" spans="1:5" ht="14.25">
      <c r="A6807"/>
      <c r="B6807"/>
      <c r="C6807"/>
      <c r="D6807"/>
      <c r="E6807" s="183"/>
    </row>
    <row r="6808" spans="1:5" ht="14.25">
      <c r="A6808"/>
      <c r="B6808"/>
      <c r="C6808"/>
      <c r="D6808"/>
      <c r="E6808" s="183"/>
    </row>
    <row r="6809" spans="1:5" ht="14.25">
      <c r="A6809"/>
      <c r="B6809"/>
      <c r="C6809"/>
      <c r="D6809"/>
      <c r="E6809" s="183"/>
    </row>
    <row r="6810" spans="1:5" ht="14.25">
      <c r="A6810"/>
      <c r="B6810"/>
      <c r="C6810"/>
      <c r="D6810"/>
      <c r="E6810" s="183"/>
    </row>
    <row r="6811" spans="1:5" ht="14.25">
      <c r="A6811"/>
      <c r="B6811"/>
      <c r="C6811"/>
      <c r="D6811"/>
      <c r="E6811" s="183"/>
    </row>
    <row r="6812" spans="1:5" ht="14.25">
      <c r="A6812"/>
      <c r="B6812"/>
      <c r="C6812"/>
      <c r="D6812"/>
      <c r="E6812" s="183"/>
    </row>
    <row r="6813" spans="1:5" ht="14.25">
      <c r="A6813"/>
      <c r="B6813"/>
      <c r="C6813"/>
      <c r="D6813"/>
      <c r="E6813" s="183"/>
    </row>
    <row r="6814" spans="1:5" ht="14.25">
      <c r="A6814"/>
      <c r="B6814"/>
      <c r="C6814"/>
      <c r="D6814"/>
      <c r="E6814" s="183"/>
    </row>
    <row r="6815" spans="1:5" ht="14.25">
      <c r="A6815"/>
      <c r="B6815"/>
      <c r="C6815"/>
      <c r="D6815"/>
      <c r="E6815" s="183"/>
    </row>
    <row r="6816" spans="1:5" ht="14.25">
      <c r="A6816"/>
      <c r="B6816"/>
      <c r="C6816"/>
      <c r="D6816"/>
      <c r="E6816" s="183"/>
    </row>
    <row r="6817" spans="1:5" ht="14.25">
      <c r="A6817"/>
      <c r="B6817"/>
      <c r="C6817"/>
      <c r="D6817"/>
      <c r="E6817" s="183"/>
    </row>
    <row r="6818" spans="1:5" ht="14.25">
      <c r="A6818"/>
      <c r="B6818"/>
      <c r="C6818"/>
      <c r="D6818"/>
      <c r="E6818" s="183"/>
    </row>
    <row r="6819" spans="1:5" ht="14.25">
      <c r="A6819"/>
      <c r="B6819"/>
      <c r="C6819"/>
      <c r="D6819"/>
      <c r="E6819" s="183"/>
    </row>
    <row r="6820" spans="1:5" ht="14.25">
      <c r="A6820"/>
      <c r="B6820"/>
      <c r="C6820"/>
      <c r="D6820"/>
      <c r="E6820" s="183"/>
    </row>
    <row r="6821" spans="1:5" ht="14.25">
      <c r="A6821"/>
      <c r="B6821"/>
      <c r="C6821"/>
      <c r="D6821"/>
      <c r="E6821" s="183"/>
    </row>
    <row r="6822" spans="1:5" ht="14.25">
      <c r="A6822"/>
      <c r="B6822"/>
      <c r="C6822"/>
      <c r="D6822"/>
      <c r="E6822" s="183"/>
    </row>
    <row r="6823" spans="1:5" ht="14.25">
      <c r="A6823"/>
      <c r="B6823"/>
      <c r="C6823"/>
      <c r="D6823"/>
      <c r="E6823" s="183"/>
    </row>
    <row r="6824" spans="1:5" ht="14.25">
      <c r="A6824"/>
      <c r="B6824"/>
      <c r="C6824"/>
      <c r="D6824"/>
      <c r="E6824" s="184"/>
    </row>
    <row r="6825" spans="1:5" ht="14.25">
      <c r="A6825"/>
      <c r="B6825"/>
      <c r="C6825"/>
      <c r="D6825"/>
      <c r="E6825" s="183"/>
    </row>
    <row r="6826" spans="1:5" ht="14.25">
      <c r="A6826"/>
      <c r="B6826"/>
      <c r="C6826"/>
      <c r="D6826"/>
      <c r="E6826" s="183"/>
    </row>
    <row r="6827" spans="1:5" ht="14.25">
      <c r="A6827"/>
      <c r="B6827"/>
      <c r="C6827"/>
      <c r="D6827"/>
      <c r="E6827" s="183"/>
    </row>
    <row r="6828" spans="1:5" ht="14.25">
      <c r="A6828"/>
      <c r="B6828"/>
      <c r="C6828"/>
      <c r="D6828"/>
      <c r="E6828" s="183"/>
    </row>
    <row r="6829" spans="1:5" ht="14.25">
      <c r="A6829"/>
      <c r="B6829"/>
      <c r="C6829"/>
      <c r="D6829"/>
      <c r="E6829" s="183"/>
    </row>
    <row r="6830" spans="1:5" ht="14.25">
      <c r="A6830"/>
      <c r="B6830"/>
      <c r="C6830"/>
      <c r="D6830"/>
      <c r="E6830" s="183"/>
    </row>
    <row r="6831" spans="1:5" ht="14.25">
      <c r="A6831"/>
      <c r="B6831"/>
      <c r="C6831"/>
      <c r="D6831"/>
      <c r="E6831" s="183"/>
    </row>
    <row r="6832" spans="1:5" ht="14.25">
      <c r="A6832"/>
      <c r="B6832"/>
      <c r="C6832"/>
      <c r="D6832"/>
      <c r="E6832" s="183"/>
    </row>
    <row r="6833" spans="1:5" ht="14.25">
      <c r="A6833"/>
      <c r="B6833"/>
      <c r="C6833"/>
      <c r="D6833"/>
      <c r="E6833" s="183"/>
    </row>
    <row r="6834" spans="1:5" ht="14.25">
      <c r="A6834"/>
      <c r="B6834"/>
      <c r="C6834"/>
      <c r="D6834"/>
      <c r="E6834" s="183"/>
    </row>
    <row r="6835" spans="1:5" ht="14.25">
      <c r="A6835"/>
      <c r="B6835"/>
      <c r="C6835"/>
      <c r="D6835"/>
      <c r="E6835" s="183"/>
    </row>
    <row r="6836" spans="1:5" ht="14.25">
      <c r="A6836"/>
      <c r="B6836"/>
      <c r="C6836"/>
      <c r="D6836"/>
      <c r="E6836" s="183"/>
    </row>
    <row r="6837" spans="1:5" ht="14.25">
      <c r="A6837"/>
      <c r="B6837"/>
      <c r="C6837"/>
      <c r="D6837"/>
      <c r="E6837" s="184"/>
    </row>
    <row r="6838" spans="1:5" ht="14.25">
      <c r="A6838"/>
      <c r="B6838"/>
      <c r="C6838"/>
      <c r="D6838"/>
      <c r="E6838" s="183"/>
    </row>
    <row r="6839" spans="1:5" ht="14.25">
      <c r="A6839"/>
      <c r="B6839"/>
      <c r="C6839"/>
      <c r="D6839"/>
      <c r="E6839" s="183"/>
    </row>
    <row r="6840" spans="1:5" ht="14.25">
      <c r="A6840"/>
      <c r="B6840"/>
      <c r="C6840"/>
      <c r="D6840"/>
      <c r="E6840" s="184"/>
    </row>
    <row r="6841" spans="1:5" ht="14.25">
      <c r="A6841"/>
      <c r="B6841"/>
      <c r="C6841"/>
      <c r="D6841"/>
      <c r="E6841" s="184"/>
    </row>
    <row r="6842" spans="1:5" ht="14.25">
      <c r="A6842"/>
      <c r="B6842"/>
      <c r="C6842"/>
      <c r="D6842"/>
      <c r="E6842" s="184"/>
    </row>
    <row r="6843" spans="1:5" ht="14.25">
      <c r="A6843"/>
      <c r="B6843"/>
      <c r="C6843"/>
      <c r="D6843"/>
      <c r="E6843" s="184"/>
    </row>
    <row r="6844" spans="1:5" ht="14.25">
      <c r="A6844"/>
      <c r="B6844"/>
      <c r="C6844"/>
      <c r="D6844"/>
      <c r="E6844" s="183"/>
    </row>
    <row r="6845" spans="1:5" ht="14.25">
      <c r="A6845"/>
      <c r="B6845"/>
      <c r="C6845"/>
      <c r="D6845"/>
      <c r="E6845" s="183"/>
    </row>
    <row r="6846" spans="1:5" ht="14.25">
      <c r="A6846"/>
      <c r="B6846"/>
      <c r="C6846"/>
      <c r="D6846"/>
      <c r="E6846" s="183"/>
    </row>
    <row r="6847" spans="1:5" ht="14.25">
      <c r="A6847"/>
      <c r="B6847"/>
      <c r="C6847"/>
      <c r="D6847"/>
      <c r="E6847" s="183"/>
    </row>
    <row r="6848" spans="1:5" ht="14.25">
      <c r="A6848"/>
      <c r="B6848"/>
      <c r="C6848"/>
      <c r="D6848"/>
      <c r="E6848" s="184"/>
    </row>
    <row r="6849" spans="1:5" ht="14.25">
      <c r="A6849"/>
      <c r="B6849"/>
      <c r="C6849"/>
      <c r="D6849"/>
      <c r="E6849" s="183"/>
    </row>
    <row r="6850" spans="1:5" ht="14.25">
      <c r="A6850"/>
      <c r="B6850"/>
      <c r="C6850"/>
      <c r="D6850"/>
      <c r="E6850" s="183"/>
    </row>
    <row r="6851" spans="1:5" ht="14.25">
      <c r="A6851"/>
      <c r="B6851"/>
      <c r="C6851"/>
      <c r="D6851"/>
      <c r="E6851" s="183"/>
    </row>
    <row r="6852" spans="1:5" ht="14.25">
      <c r="A6852"/>
      <c r="B6852"/>
      <c r="C6852"/>
      <c r="D6852"/>
      <c r="E6852" s="183"/>
    </row>
    <row r="6853" spans="1:5" ht="14.25">
      <c r="A6853"/>
      <c r="B6853"/>
      <c r="C6853"/>
      <c r="D6853"/>
      <c r="E6853" s="183"/>
    </row>
    <row r="6854" spans="1:5" ht="14.25">
      <c r="A6854"/>
      <c r="B6854"/>
      <c r="C6854"/>
      <c r="D6854"/>
      <c r="E6854" s="183"/>
    </row>
    <row r="6855" spans="1:5" ht="14.25">
      <c r="A6855"/>
      <c r="B6855"/>
      <c r="C6855"/>
      <c r="D6855"/>
      <c r="E6855" s="183"/>
    </row>
    <row r="6856" spans="1:5" ht="14.25">
      <c r="A6856"/>
      <c r="B6856"/>
      <c r="C6856"/>
      <c r="D6856"/>
      <c r="E6856" s="183"/>
    </row>
    <row r="6857" spans="1:5" ht="14.25">
      <c r="A6857"/>
      <c r="B6857"/>
      <c r="C6857"/>
      <c r="D6857"/>
      <c r="E6857" s="183"/>
    </row>
    <row r="6858" spans="1:5" ht="14.25">
      <c r="A6858"/>
      <c r="B6858"/>
      <c r="C6858"/>
      <c r="D6858"/>
      <c r="E6858" s="183"/>
    </row>
    <row r="6859" spans="1:5" ht="14.25">
      <c r="A6859"/>
      <c r="B6859"/>
      <c r="C6859"/>
      <c r="D6859"/>
      <c r="E6859" s="183"/>
    </row>
    <row r="6860" spans="1:5" ht="14.25">
      <c r="A6860"/>
      <c r="B6860"/>
      <c r="C6860"/>
      <c r="D6860"/>
      <c r="E6860" s="183"/>
    </row>
    <row r="6861" spans="1:5" ht="14.25">
      <c r="A6861"/>
      <c r="B6861"/>
      <c r="C6861"/>
      <c r="D6861"/>
      <c r="E6861" s="183"/>
    </row>
    <row r="6862" spans="1:5" ht="14.25">
      <c r="A6862"/>
      <c r="B6862"/>
      <c r="C6862"/>
      <c r="D6862"/>
      <c r="E6862" s="183"/>
    </row>
    <row r="6863" spans="1:5" ht="14.25">
      <c r="A6863"/>
      <c r="B6863"/>
      <c r="C6863"/>
      <c r="D6863"/>
      <c r="E6863" s="183"/>
    </row>
    <row r="6864" spans="1:5" ht="14.25">
      <c r="A6864"/>
      <c r="B6864"/>
      <c r="C6864"/>
      <c r="D6864"/>
      <c r="E6864" s="183"/>
    </row>
    <row r="6865" spans="1:5" ht="14.25">
      <c r="A6865"/>
      <c r="B6865"/>
      <c r="C6865"/>
      <c r="D6865"/>
      <c r="E6865" s="183"/>
    </row>
    <row r="6866" spans="1:5" ht="14.25">
      <c r="A6866"/>
      <c r="B6866"/>
      <c r="C6866"/>
      <c r="D6866"/>
      <c r="E6866" s="183"/>
    </row>
    <row r="6867" spans="1:5" ht="14.25">
      <c r="A6867"/>
      <c r="B6867"/>
      <c r="C6867"/>
      <c r="D6867"/>
      <c r="E6867" s="183"/>
    </row>
    <row r="6868" spans="1:5" ht="14.25">
      <c r="A6868"/>
      <c r="B6868"/>
      <c r="C6868"/>
      <c r="D6868"/>
      <c r="E6868" s="183"/>
    </row>
    <row r="6869" spans="1:5" ht="14.25">
      <c r="A6869"/>
      <c r="B6869"/>
      <c r="C6869"/>
      <c r="D6869"/>
      <c r="E6869" s="183"/>
    </row>
    <row r="6870" spans="1:5" ht="14.25">
      <c r="A6870"/>
      <c r="B6870"/>
      <c r="C6870"/>
      <c r="D6870"/>
      <c r="E6870" s="183"/>
    </row>
    <row r="6871" spans="1:5" ht="14.25">
      <c r="A6871"/>
      <c r="B6871"/>
      <c r="C6871"/>
      <c r="D6871"/>
      <c r="E6871" s="183"/>
    </row>
    <row r="6872" spans="1:5" ht="14.25">
      <c r="A6872"/>
      <c r="B6872"/>
      <c r="C6872"/>
      <c r="D6872"/>
      <c r="E6872" s="183"/>
    </row>
    <row r="6873" spans="1:5" ht="14.25">
      <c r="A6873"/>
      <c r="B6873"/>
      <c r="C6873"/>
      <c r="D6873"/>
      <c r="E6873" s="183"/>
    </row>
    <row r="6874" spans="1:5" ht="14.25">
      <c r="A6874"/>
      <c r="B6874"/>
      <c r="C6874"/>
      <c r="D6874"/>
      <c r="E6874" s="183"/>
    </row>
    <row r="6875" spans="1:5" ht="14.25">
      <c r="A6875"/>
      <c r="B6875"/>
      <c r="C6875"/>
      <c r="D6875"/>
      <c r="E6875" s="183"/>
    </row>
    <row r="6876" spans="1:5" ht="14.25">
      <c r="A6876"/>
      <c r="B6876"/>
      <c r="C6876"/>
      <c r="D6876"/>
      <c r="E6876" s="183"/>
    </row>
    <row r="6877" spans="1:5" ht="14.25">
      <c r="A6877"/>
      <c r="B6877"/>
      <c r="C6877"/>
      <c r="D6877"/>
      <c r="E6877" s="183"/>
    </row>
    <row r="6878" spans="1:5" ht="14.25">
      <c r="A6878"/>
      <c r="B6878"/>
      <c r="C6878"/>
      <c r="D6878"/>
      <c r="E6878" s="183"/>
    </row>
    <row r="6879" spans="1:5" ht="14.25">
      <c r="A6879"/>
      <c r="B6879"/>
      <c r="C6879"/>
      <c r="D6879"/>
      <c r="E6879" s="183"/>
    </row>
    <row r="6880" spans="1:5" ht="14.25">
      <c r="A6880"/>
      <c r="B6880"/>
      <c r="C6880"/>
      <c r="D6880"/>
      <c r="E6880" s="183"/>
    </row>
    <row r="6881" spans="1:5" ht="14.25">
      <c r="A6881"/>
      <c r="B6881"/>
      <c r="C6881"/>
      <c r="D6881"/>
      <c r="E6881" s="183"/>
    </row>
    <row r="6882" spans="1:5" ht="14.25">
      <c r="A6882"/>
      <c r="B6882"/>
      <c r="C6882"/>
      <c r="D6882"/>
      <c r="E6882" s="183"/>
    </row>
    <row r="6883" spans="1:5" ht="14.25">
      <c r="A6883"/>
      <c r="B6883"/>
      <c r="C6883"/>
      <c r="D6883"/>
      <c r="E6883" s="183"/>
    </row>
    <row r="6884" spans="1:5" ht="14.25">
      <c r="A6884"/>
      <c r="B6884"/>
      <c r="C6884"/>
      <c r="D6884"/>
      <c r="E6884" s="183"/>
    </row>
    <row r="6885" spans="1:5" ht="14.25">
      <c r="A6885"/>
      <c r="B6885"/>
      <c r="C6885"/>
      <c r="D6885"/>
      <c r="E6885" s="183"/>
    </row>
    <row r="6886" spans="1:5" ht="14.25">
      <c r="A6886"/>
      <c r="B6886"/>
      <c r="C6886"/>
      <c r="D6886"/>
      <c r="E6886" s="183"/>
    </row>
    <row r="6887" spans="1:5" ht="14.25">
      <c r="A6887"/>
      <c r="B6887"/>
      <c r="C6887"/>
      <c r="D6887"/>
      <c r="E6887" s="183"/>
    </row>
    <row r="6888" spans="1:5" ht="14.25">
      <c r="A6888"/>
      <c r="B6888"/>
      <c r="C6888"/>
      <c r="D6888"/>
      <c r="E6888" s="183"/>
    </row>
    <row r="6889" spans="1:5" ht="14.25">
      <c r="A6889"/>
      <c r="B6889"/>
      <c r="C6889"/>
      <c r="D6889"/>
      <c r="E6889" s="183"/>
    </row>
    <row r="6890" spans="1:5" ht="14.25">
      <c r="A6890"/>
      <c r="B6890"/>
      <c r="C6890"/>
      <c r="D6890"/>
      <c r="E6890" s="183"/>
    </row>
    <row r="6891" spans="1:5" ht="14.25">
      <c r="A6891"/>
      <c r="B6891"/>
      <c r="C6891"/>
      <c r="D6891"/>
      <c r="E6891" s="184"/>
    </row>
    <row r="6892" spans="1:5" ht="14.25">
      <c r="A6892"/>
      <c r="B6892"/>
      <c r="C6892"/>
      <c r="D6892"/>
      <c r="E6892" s="183"/>
    </row>
    <row r="6893" spans="1:5" ht="14.25">
      <c r="A6893"/>
      <c r="B6893"/>
      <c r="C6893"/>
      <c r="D6893"/>
      <c r="E6893" s="183"/>
    </row>
    <row r="6894" spans="1:5" ht="14.25">
      <c r="A6894"/>
      <c r="B6894"/>
      <c r="C6894"/>
      <c r="D6894"/>
      <c r="E6894" s="183"/>
    </row>
    <row r="6895" spans="1:5" ht="14.25">
      <c r="A6895"/>
      <c r="B6895"/>
      <c r="C6895"/>
      <c r="D6895"/>
      <c r="E6895" s="183"/>
    </row>
    <row r="6896" spans="1:5" ht="14.25">
      <c r="A6896"/>
      <c r="B6896"/>
      <c r="C6896"/>
      <c r="D6896"/>
      <c r="E6896" s="183"/>
    </row>
    <row r="6897" spans="1:5" ht="14.25">
      <c r="A6897"/>
      <c r="B6897"/>
      <c r="C6897"/>
      <c r="D6897"/>
      <c r="E6897" s="183"/>
    </row>
    <row r="6898" spans="1:5" ht="14.25">
      <c r="A6898"/>
      <c r="B6898"/>
      <c r="C6898"/>
      <c r="D6898"/>
      <c r="E6898" s="183"/>
    </row>
    <row r="6899" spans="1:5" ht="14.25">
      <c r="A6899"/>
      <c r="B6899"/>
      <c r="C6899"/>
      <c r="D6899"/>
      <c r="E6899" s="183"/>
    </row>
    <row r="6900" spans="1:5" ht="14.25">
      <c r="A6900"/>
      <c r="B6900"/>
      <c r="C6900"/>
      <c r="D6900"/>
      <c r="E6900" s="183"/>
    </row>
    <row r="6901" spans="1:5" ht="14.25">
      <c r="A6901"/>
      <c r="B6901"/>
      <c r="C6901"/>
      <c r="D6901"/>
      <c r="E6901" s="183"/>
    </row>
    <row r="6902" spans="1:5" ht="14.25">
      <c r="A6902"/>
      <c r="B6902"/>
      <c r="C6902"/>
      <c r="D6902"/>
      <c r="E6902" s="183"/>
    </row>
    <row r="6903" spans="1:5" ht="14.25">
      <c r="A6903"/>
      <c r="B6903"/>
      <c r="C6903"/>
      <c r="D6903"/>
      <c r="E6903" s="183"/>
    </row>
    <row r="6904" spans="1:5" ht="14.25">
      <c r="A6904"/>
      <c r="B6904"/>
      <c r="C6904"/>
      <c r="D6904"/>
      <c r="E6904" s="183"/>
    </row>
    <row r="6905" spans="1:5" ht="14.25">
      <c r="A6905"/>
      <c r="B6905"/>
      <c r="C6905"/>
      <c r="D6905"/>
      <c r="E6905" s="183"/>
    </row>
    <row r="6906" spans="1:5" ht="14.25">
      <c r="A6906"/>
      <c r="B6906"/>
      <c r="C6906"/>
      <c r="D6906"/>
      <c r="E6906" s="183"/>
    </row>
    <row r="6907" spans="1:5" ht="14.25">
      <c r="A6907"/>
      <c r="B6907"/>
      <c r="C6907"/>
      <c r="D6907"/>
      <c r="E6907" s="183"/>
    </row>
    <row r="6908" spans="1:5" ht="14.25">
      <c r="A6908"/>
      <c r="B6908"/>
      <c r="C6908"/>
      <c r="D6908"/>
      <c r="E6908" s="183"/>
    </row>
    <row r="6909" spans="1:5" ht="14.25">
      <c r="A6909"/>
      <c r="B6909"/>
      <c r="C6909"/>
      <c r="D6909"/>
      <c r="E6909" s="183"/>
    </row>
    <row r="6910" spans="1:5" ht="14.25">
      <c r="A6910"/>
      <c r="B6910"/>
      <c r="C6910"/>
      <c r="D6910"/>
      <c r="E6910" s="183"/>
    </row>
    <row r="6911" spans="1:5" ht="14.25">
      <c r="A6911"/>
      <c r="B6911"/>
      <c r="C6911"/>
      <c r="D6911"/>
      <c r="E6911" s="183"/>
    </row>
    <row r="6912" spans="1:5" ht="14.25">
      <c r="A6912"/>
      <c r="B6912"/>
      <c r="C6912"/>
      <c r="D6912"/>
      <c r="E6912" s="183"/>
    </row>
    <row r="6913" spans="1:5" ht="14.25">
      <c r="A6913"/>
      <c r="B6913"/>
      <c r="C6913"/>
      <c r="D6913"/>
      <c r="E6913" s="183"/>
    </row>
    <row r="6914" spans="1:5" ht="14.25">
      <c r="A6914"/>
      <c r="B6914"/>
      <c r="C6914"/>
      <c r="D6914"/>
      <c r="E6914" s="183"/>
    </row>
    <row r="6915" spans="1:5" ht="14.25">
      <c r="A6915"/>
      <c r="B6915"/>
      <c r="C6915"/>
      <c r="D6915"/>
      <c r="E6915" s="183"/>
    </row>
    <row r="6916" spans="1:5" ht="14.25">
      <c r="A6916"/>
      <c r="B6916"/>
      <c r="C6916"/>
      <c r="D6916"/>
      <c r="E6916" s="183"/>
    </row>
    <row r="6917" spans="1:5" ht="14.25">
      <c r="A6917"/>
      <c r="B6917"/>
      <c r="C6917"/>
      <c r="D6917"/>
      <c r="E6917" s="183"/>
    </row>
    <row r="6918" spans="1:5" ht="14.25">
      <c r="A6918"/>
      <c r="B6918"/>
      <c r="C6918"/>
      <c r="D6918"/>
      <c r="E6918" s="183"/>
    </row>
    <row r="6919" spans="1:5" ht="14.25">
      <c r="A6919"/>
      <c r="B6919"/>
      <c r="C6919"/>
      <c r="D6919"/>
      <c r="E6919" s="183"/>
    </row>
    <row r="6920" spans="1:5" ht="14.25">
      <c r="A6920"/>
      <c r="B6920"/>
      <c r="C6920"/>
      <c r="D6920"/>
      <c r="E6920" s="183"/>
    </row>
    <row r="6921" spans="1:5" ht="14.25">
      <c r="A6921"/>
      <c r="B6921"/>
      <c r="C6921"/>
      <c r="D6921"/>
      <c r="E6921" s="183"/>
    </row>
    <row r="6922" spans="1:5" ht="14.25">
      <c r="A6922"/>
      <c r="B6922"/>
      <c r="C6922"/>
      <c r="D6922"/>
      <c r="E6922" s="183"/>
    </row>
    <row r="6923" spans="1:5" ht="14.25">
      <c r="A6923"/>
      <c r="B6923"/>
      <c r="C6923"/>
      <c r="D6923"/>
      <c r="E6923" s="183"/>
    </row>
    <row r="6924" spans="1:5" ht="14.25">
      <c r="A6924"/>
      <c r="B6924"/>
      <c r="C6924"/>
      <c r="D6924"/>
      <c r="E6924" s="183"/>
    </row>
    <row r="6925" spans="1:5" ht="14.25">
      <c r="A6925"/>
      <c r="B6925"/>
      <c r="C6925"/>
      <c r="D6925"/>
      <c r="E6925" s="183"/>
    </row>
    <row r="6926" spans="1:5" ht="14.25">
      <c r="A6926"/>
      <c r="B6926"/>
      <c r="C6926"/>
      <c r="D6926"/>
      <c r="E6926" s="183"/>
    </row>
    <row r="6927" spans="1:5" ht="14.25">
      <c r="A6927"/>
      <c r="B6927"/>
      <c r="C6927"/>
      <c r="D6927"/>
      <c r="E6927" s="183"/>
    </row>
    <row r="6928" spans="1:5" ht="14.25">
      <c r="A6928"/>
      <c r="B6928"/>
      <c r="C6928"/>
      <c r="D6928"/>
      <c r="E6928" s="183"/>
    </row>
    <row r="6929" spans="1:5" ht="14.25">
      <c r="A6929"/>
      <c r="B6929"/>
      <c r="C6929"/>
      <c r="D6929"/>
      <c r="E6929" s="183"/>
    </row>
    <row r="6930" spans="1:5" ht="14.25">
      <c r="A6930"/>
      <c r="B6930"/>
      <c r="C6930"/>
      <c r="D6930"/>
      <c r="E6930" s="183"/>
    </row>
    <row r="6931" spans="1:5" ht="14.25">
      <c r="A6931"/>
      <c r="B6931"/>
      <c r="C6931"/>
      <c r="D6931"/>
      <c r="E6931" s="183"/>
    </row>
    <row r="6932" spans="1:5" ht="14.25">
      <c r="A6932"/>
      <c r="B6932"/>
      <c r="C6932"/>
      <c r="D6932"/>
      <c r="E6932" s="183"/>
    </row>
    <row r="6933" spans="1:5" ht="14.25">
      <c r="A6933"/>
      <c r="B6933"/>
      <c r="C6933"/>
      <c r="D6933"/>
      <c r="E6933" s="183"/>
    </row>
    <row r="6934" spans="1:5" ht="14.25">
      <c r="A6934"/>
      <c r="B6934"/>
      <c r="C6934"/>
      <c r="D6934"/>
      <c r="E6934" s="183"/>
    </row>
    <row r="6935" spans="1:5" ht="14.25">
      <c r="A6935"/>
      <c r="B6935"/>
      <c r="C6935"/>
      <c r="D6935"/>
      <c r="E6935" s="183"/>
    </row>
    <row r="6936" spans="1:5" ht="14.25">
      <c r="A6936"/>
      <c r="B6936"/>
      <c r="C6936"/>
      <c r="D6936"/>
      <c r="E6936" s="183"/>
    </row>
    <row r="6937" spans="1:5" ht="14.25">
      <c r="A6937"/>
      <c r="B6937"/>
      <c r="C6937"/>
      <c r="D6937"/>
      <c r="E6937" s="183"/>
    </row>
    <row r="6938" spans="1:5" ht="14.25">
      <c r="A6938"/>
      <c r="B6938"/>
      <c r="C6938"/>
      <c r="D6938"/>
      <c r="E6938" s="183"/>
    </row>
    <row r="6939" spans="1:5" ht="14.25">
      <c r="A6939"/>
      <c r="B6939"/>
      <c r="C6939"/>
      <c r="D6939"/>
      <c r="E6939" s="183"/>
    </row>
    <row r="6940" spans="1:5" ht="14.25">
      <c r="A6940"/>
      <c r="B6940"/>
      <c r="C6940"/>
      <c r="D6940"/>
      <c r="E6940" s="183"/>
    </row>
    <row r="6941" spans="1:5" ht="14.25">
      <c r="A6941"/>
      <c r="B6941"/>
      <c r="C6941"/>
      <c r="D6941"/>
      <c r="E6941" s="183"/>
    </row>
    <row r="6942" spans="1:5" ht="14.25">
      <c r="A6942"/>
      <c r="B6942"/>
      <c r="C6942"/>
      <c r="D6942"/>
      <c r="E6942" s="183"/>
    </row>
    <row r="6943" spans="1:5" ht="14.25">
      <c r="A6943"/>
      <c r="B6943"/>
      <c r="C6943"/>
      <c r="D6943"/>
      <c r="E6943" s="183"/>
    </row>
    <row r="6944" spans="1:5" ht="14.25">
      <c r="A6944"/>
      <c r="B6944"/>
      <c r="C6944"/>
      <c r="D6944"/>
      <c r="E6944" s="183"/>
    </row>
    <row r="6945" spans="1:5" ht="14.25">
      <c r="A6945"/>
      <c r="B6945"/>
      <c r="C6945"/>
      <c r="D6945"/>
      <c r="E6945" s="183"/>
    </row>
    <row r="6946" spans="1:5" ht="14.25">
      <c r="A6946"/>
      <c r="B6946"/>
      <c r="C6946"/>
      <c r="D6946"/>
      <c r="E6946" s="183"/>
    </row>
    <row r="6947" spans="1:5" ht="14.25">
      <c r="A6947"/>
      <c r="B6947"/>
      <c r="C6947"/>
      <c r="D6947"/>
      <c r="E6947" s="183"/>
    </row>
    <row r="6948" spans="1:5" ht="14.25">
      <c r="A6948"/>
      <c r="B6948"/>
      <c r="C6948"/>
      <c r="D6948"/>
      <c r="E6948" s="183"/>
    </row>
    <row r="6949" spans="1:5" ht="14.25">
      <c r="A6949"/>
      <c r="B6949"/>
      <c r="C6949"/>
      <c r="D6949"/>
      <c r="E6949" s="183"/>
    </row>
    <row r="6950" spans="1:5" ht="14.25">
      <c r="A6950"/>
      <c r="B6950"/>
      <c r="C6950"/>
      <c r="D6950"/>
      <c r="E6950" s="183"/>
    </row>
    <row r="6951" spans="1:5" ht="14.25">
      <c r="A6951"/>
      <c r="B6951"/>
      <c r="C6951"/>
      <c r="D6951"/>
      <c r="E6951" s="183"/>
    </row>
    <row r="6952" spans="1:5" ht="14.25">
      <c r="A6952"/>
      <c r="B6952"/>
      <c r="C6952"/>
      <c r="D6952"/>
      <c r="E6952" s="183"/>
    </row>
    <row r="6953" spans="1:5" ht="14.25">
      <c r="A6953"/>
      <c r="B6953"/>
      <c r="C6953"/>
      <c r="D6953"/>
      <c r="E6953" s="183"/>
    </row>
    <row r="6954" spans="1:5" ht="14.25">
      <c r="A6954"/>
      <c r="B6954"/>
      <c r="C6954"/>
      <c r="D6954"/>
      <c r="E6954" s="183"/>
    </row>
    <row r="6955" spans="1:5" ht="14.25">
      <c r="A6955"/>
      <c r="B6955"/>
      <c r="C6955"/>
      <c r="D6955"/>
      <c r="E6955" s="183"/>
    </row>
    <row r="6956" spans="1:5" ht="14.25">
      <c r="A6956"/>
      <c r="B6956"/>
      <c r="C6956"/>
      <c r="D6956"/>
      <c r="E6956" s="183"/>
    </row>
    <row r="6957" spans="1:5" ht="14.25">
      <c r="A6957"/>
      <c r="B6957"/>
      <c r="C6957"/>
      <c r="D6957"/>
      <c r="E6957" s="183"/>
    </row>
    <row r="6958" spans="1:5" ht="14.25">
      <c r="A6958"/>
      <c r="B6958"/>
      <c r="C6958"/>
      <c r="D6958"/>
      <c r="E6958" s="183"/>
    </row>
    <row r="6959" spans="1:5" ht="14.25">
      <c r="A6959"/>
      <c r="B6959"/>
      <c r="C6959"/>
      <c r="D6959"/>
      <c r="E6959" s="183"/>
    </row>
    <row r="6960" spans="1:5" ht="14.25">
      <c r="A6960"/>
      <c r="B6960"/>
      <c r="C6960"/>
      <c r="D6960"/>
      <c r="E6960" s="183"/>
    </row>
    <row r="6961" spans="1:5" ht="14.25">
      <c r="A6961"/>
      <c r="B6961"/>
      <c r="C6961"/>
      <c r="D6961"/>
      <c r="E6961" s="183"/>
    </row>
    <row r="6962" spans="1:5" ht="14.25">
      <c r="A6962"/>
      <c r="B6962"/>
      <c r="C6962"/>
      <c r="D6962"/>
      <c r="E6962" s="183"/>
    </row>
    <row r="6963" spans="1:5" ht="14.25">
      <c r="A6963"/>
      <c r="B6963"/>
      <c r="C6963"/>
      <c r="D6963"/>
      <c r="E6963" s="183"/>
    </row>
    <row r="6964" spans="1:5" ht="14.25">
      <c r="A6964"/>
      <c r="B6964"/>
      <c r="C6964"/>
      <c r="D6964"/>
      <c r="E6964" s="183"/>
    </row>
    <row r="6965" spans="1:5" ht="14.25">
      <c r="A6965"/>
      <c r="B6965"/>
      <c r="C6965"/>
      <c r="D6965"/>
      <c r="E6965" s="183"/>
    </row>
    <row r="6966" spans="1:5" ht="14.25">
      <c r="A6966"/>
      <c r="B6966"/>
      <c r="C6966"/>
      <c r="D6966"/>
      <c r="E6966" s="183"/>
    </row>
    <row r="6967" spans="1:5" ht="14.25">
      <c r="A6967"/>
      <c r="B6967"/>
      <c r="C6967"/>
      <c r="D6967"/>
      <c r="E6967" s="183"/>
    </row>
    <row r="6968" spans="1:5" ht="14.25">
      <c r="A6968"/>
      <c r="B6968"/>
      <c r="C6968"/>
      <c r="D6968"/>
      <c r="E6968" s="183"/>
    </row>
    <row r="6969" spans="1:5" ht="14.25">
      <c r="A6969"/>
      <c r="B6969"/>
      <c r="C6969"/>
      <c r="D6969"/>
      <c r="E6969" s="183"/>
    </row>
    <row r="6970" spans="1:5" ht="14.25">
      <c r="A6970"/>
      <c r="B6970"/>
      <c r="C6970"/>
      <c r="D6970"/>
      <c r="E6970" s="183"/>
    </row>
    <row r="6971" spans="1:5" ht="14.25">
      <c r="A6971"/>
      <c r="B6971"/>
      <c r="C6971"/>
      <c r="D6971"/>
      <c r="E6971" s="183"/>
    </row>
    <row r="6972" spans="1:5" ht="14.25">
      <c r="A6972"/>
      <c r="B6972"/>
      <c r="C6972"/>
      <c r="D6972"/>
      <c r="E6972" s="183"/>
    </row>
    <row r="6973" spans="1:5" ht="14.25">
      <c r="A6973"/>
      <c r="B6973"/>
      <c r="C6973"/>
      <c r="D6973"/>
      <c r="E6973" s="183"/>
    </row>
    <row r="6974" spans="1:5" ht="14.25">
      <c r="A6974"/>
      <c r="B6974"/>
      <c r="C6974"/>
      <c r="D6974"/>
      <c r="E6974" s="183"/>
    </row>
    <row r="6975" spans="1:5" ht="14.25">
      <c r="A6975"/>
      <c r="B6975"/>
      <c r="C6975"/>
      <c r="D6975"/>
      <c r="E6975" s="183"/>
    </row>
    <row r="6976" spans="1:5" ht="14.25">
      <c r="A6976"/>
      <c r="B6976"/>
      <c r="C6976"/>
      <c r="D6976"/>
      <c r="E6976" s="183"/>
    </row>
    <row r="6977" spans="1:5" ht="14.25">
      <c r="A6977"/>
      <c r="B6977"/>
      <c r="C6977"/>
      <c r="D6977"/>
      <c r="E6977" s="183"/>
    </row>
    <row r="6978" spans="1:5" ht="14.25">
      <c r="A6978"/>
      <c r="B6978"/>
      <c r="C6978"/>
      <c r="D6978"/>
      <c r="E6978" s="183"/>
    </row>
    <row r="6979" spans="1:5" ht="14.25">
      <c r="A6979"/>
      <c r="B6979"/>
      <c r="C6979"/>
      <c r="D6979"/>
      <c r="E6979" s="183"/>
    </row>
    <row r="6980" spans="1:5" ht="14.25">
      <c r="A6980"/>
      <c r="B6980"/>
      <c r="C6980"/>
      <c r="D6980"/>
      <c r="E6980" s="183"/>
    </row>
    <row r="6981" spans="1:5" ht="14.25">
      <c r="A6981"/>
      <c r="B6981"/>
      <c r="C6981"/>
      <c r="D6981"/>
      <c r="E6981" s="183"/>
    </row>
    <row r="6982" spans="1:5" ht="14.25">
      <c r="A6982"/>
      <c r="B6982"/>
      <c r="C6982"/>
      <c r="D6982"/>
      <c r="E6982" s="183"/>
    </row>
    <row r="6983" spans="1:5" ht="14.25">
      <c r="A6983"/>
      <c r="B6983"/>
      <c r="C6983"/>
      <c r="D6983"/>
      <c r="E6983" s="183"/>
    </row>
    <row r="6984" spans="1:5" ht="14.25">
      <c r="A6984"/>
      <c r="B6984"/>
      <c r="C6984"/>
      <c r="D6984"/>
      <c r="E6984" s="183"/>
    </row>
    <row r="6985" spans="1:5" ht="14.25">
      <c r="A6985"/>
      <c r="B6985"/>
      <c r="C6985"/>
      <c r="D6985"/>
      <c r="E6985" s="183"/>
    </row>
    <row r="6986" spans="1:5" ht="14.25">
      <c r="A6986"/>
      <c r="B6986"/>
      <c r="C6986"/>
      <c r="D6986"/>
      <c r="E6986" s="183"/>
    </row>
    <row r="6987" spans="1:5" ht="14.25">
      <c r="A6987"/>
      <c r="B6987"/>
      <c r="C6987"/>
      <c r="D6987"/>
      <c r="E6987" s="183"/>
    </row>
    <row r="6988" spans="1:5" ht="14.25">
      <c r="A6988"/>
      <c r="B6988"/>
      <c r="C6988"/>
      <c r="D6988"/>
      <c r="E6988" s="183"/>
    </row>
    <row r="6989" spans="1:5" ht="14.25">
      <c r="A6989"/>
      <c r="B6989"/>
      <c r="C6989"/>
      <c r="D6989"/>
      <c r="E6989" s="183"/>
    </row>
    <row r="6990" spans="1:5" ht="14.25">
      <c r="A6990"/>
      <c r="B6990"/>
      <c r="C6990"/>
      <c r="D6990"/>
      <c r="E6990" s="183"/>
    </row>
    <row r="6991" spans="1:5" ht="14.25">
      <c r="A6991"/>
      <c r="B6991"/>
      <c r="C6991"/>
      <c r="D6991"/>
      <c r="E6991" s="183"/>
    </row>
    <row r="6992" spans="1:5" ht="14.25">
      <c r="A6992"/>
      <c r="B6992"/>
      <c r="C6992"/>
      <c r="D6992"/>
      <c r="E6992" s="183"/>
    </row>
    <row r="6993" spans="1:5" ht="14.25">
      <c r="A6993"/>
      <c r="B6993"/>
      <c r="C6993"/>
      <c r="D6993"/>
      <c r="E6993" s="183"/>
    </row>
    <row r="6994" spans="1:5" ht="14.25">
      <c r="A6994"/>
      <c r="B6994"/>
      <c r="C6994"/>
      <c r="D6994"/>
      <c r="E6994" s="183"/>
    </row>
    <row r="6995" spans="1:5" ht="14.25">
      <c r="A6995"/>
      <c r="B6995"/>
      <c r="C6995"/>
      <c r="D6995"/>
      <c r="E6995" s="183"/>
    </row>
    <row r="6996" spans="1:5" ht="14.25">
      <c r="A6996"/>
      <c r="B6996"/>
      <c r="C6996"/>
      <c r="D6996"/>
      <c r="E6996" s="183"/>
    </row>
    <row r="6997" spans="1:5" ht="14.25">
      <c r="A6997"/>
      <c r="B6997"/>
      <c r="C6997"/>
      <c r="D6997"/>
      <c r="E6997" s="183"/>
    </row>
    <row r="6998" spans="1:5" ht="14.25">
      <c r="A6998"/>
      <c r="B6998"/>
      <c r="C6998"/>
      <c r="D6998"/>
      <c r="E6998" s="183"/>
    </row>
    <row r="6999" spans="1:5" ht="14.25">
      <c r="A6999"/>
      <c r="B6999"/>
      <c r="C6999"/>
      <c r="D6999"/>
      <c r="E6999" s="183"/>
    </row>
    <row r="7000" spans="1:5" ht="14.25">
      <c r="A7000"/>
      <c r="B7000"/>
      <c r="C7000"/>
      <c r="D7000"/>
      <c r="E7000" s="183"/>
    </row>
    <row r="7001" spans="1:5" ht="14.25">
      <c r="A7001"/>
      <c r="B7001"/>
      <c r="C7001"/>
      <c r="D7001"/>
      <c r="E7001" s="183"/>
    </row>
    <row r="7002" spans="1:5" ht="14.25">
      <c r="A7002"/>
      <c r="B7002"/>
      <c r="C7002"/>
      <c r="D7002"/>
      <c r="E7002" s="183"/>
    </row>
    <row r="7003" spans="1:5" ht="14.25">
      <c r="A7003"/>
      <c r="B7003"/>
      <c r="C7003"/>
      <c r="D7003"/>
      <c r="E7003" s="183"/>
    </row>
    <row r="7004" spans="1:5" ht="14.25">
      <c r="A7004"/>
      <c r="B7004"/>
      <c r="C7004"/>
      <c r="D7004"/>
      <c r="E7004" s="183"/>
    </row>
    <row r="7005" spans="1:5" ht="14.25">
      <c r="A7005"/>
      <c r="B7005"/>
      <c r="C7005"/>
      <c r="D7005"/>
      <c r="E7005" s="183"/>
    </row>
    <row r="7006" spans="1:5" ht="14.25">
      <c r="A7006"/>
      <c r="B7006"/>
      <c r="C7006"/>
      <c r="D7006"/>
      <c r="E7006" s="183"/>
    </row>
    <row r="7007" spans="1:5" ht="14.25">
      <c r="A7007"/>
      <c r="B7007"/>
      <c r="C7007"/>
      <c r="D7007"/>
      <c r="E7007" s="183"/>
    </row>
    <row r="7008" spans="1:5" ht="14.25">
      <c r="A7008"/>
      <c r="B7008"/>
      <c r="C7008"/>
      <c r="D7008"/>
      <c r="E7008" s="183"/>
    </row>
    <row r="7009" spans="1:5" ht="14.25">
      <c r="A7009"/>
      <c r="B7009"/>
      <c r="C7009"/>
      <c r="D7009"/>
      <c r="E7009" s="183"/>
    </row>
    <row r="7010" spans="1:5" ht="14.25">
      <c r="A7010"/>
      <c r="B7010"/>
      <c r="C7010"/>
      <c r="D7010"/>
      <c r="E7010" s="183"/>
    </row>
    <row r="7011" spans="1:5" ht="14.25">
      <c r="A7011"/>
      <c r="B7011"/>
      <c r="C7011"/>
      <c r="D7011"/>
      <c r="E7011" s="183"/>
    </row>
    <row r="7012" spans="1:5" ht="14.25">
      <c r="A7012"/>
      <c r="B7012"/>
      <c r="C7012"/>
      <c r="D7012"/>
      <c r="E7012" s="183"/>
    </row>
    <row r="7013" spans="1:5" ht="14.25">
      <c r="A7013"/>
      <c r="B7013"/>
      <c r="C7013"/>
      <c r="D7013"/>
      <c r="E7013" s="183"/>
    </row>
    <row r="7014" spans="1:5" ht="14.25">
      <c r="A7014"/>
      <c r="B7014"/>
      <c r="C7014"/>
      <c r="D7014"/>
      <c r="E7014" s="183"/>
    </row>
    <row r="7015" spans="1:5" ht="14.25">
      <c r="A7015"/>
      <c r="B7015"/>
      <c r="C7015"/>
      <c r="D7015"/>
      <c r="E7015" s="183"/>
    </row>
    <row r="7016" spans="1:5" ht="14.25">
      <c r="A7016"/>
      <c r="B7016"/>
      <c r="C7016"/>
      <c r="D7016"/>
      <c r="E7016" s="183"/>
    </row>
    <row r="7017" spans="1:5" ht="14.25">
      <c r="A7017"/>
      <c r="B7017"/>
      <c r="C7017"/>
      <c r="D7017"/>
      <c r="E7017" s="183"/>
    </row>
    <row r="7018" spans="1:5" ht="14.25">
      <c r="A7018"/>
      <c r="B7018"/>
      <c r="C7018"/>
      <c r="D7018"/>
      <c r="E7018" s="183"/>
    </row>
    <row r="7019" spans="1:5" ht="14.25">
      <c r="A7019"/>
      <c r="B7019"/>
      <c r="C7019"/>
      <c r="D7019"/>
      <c r="E7019" s="183"/>
    </row>
    <row r="7020" spans="1:5" ht="14.25">
      <c r="A7020"/>
      <c r="B7020"/>
      <c r="C7020"/>
      <c r="D7020"/>
      <c r="E7020" s="183"/>
    </row>
    <row r="7021" spans="1:5" ht="14.25">
      <c r="A7021"/>
      <c r="B7021"/>
      <c r="C7021"/>
      <c r="D7021"/>
      <c r="E7021" s="183"/>
    </row>
    <row r="7022" spans="1:5" ht="14.25">
      <c r="A7022"/>
      <c r="B7022"/>
      <c r="C7022"/>
      <c r="D7022"/>
      <c r="E7022" s="183"/>
    </row>
    <row r="7023" spans="1:5" ht="14.25">
      <c r="A7023"/>
      <c r="B7023"/>
      <c r="C7023"/>
      <c r="D7023"/>
      <c r="E7023" s="183"/>
    </row>
    <row r="7024" spans="1:5" ht="14.25">
      <c r="A7024"/>
      <c r="B7024"/>
      <c r="C7024"/>
      <c r="D7024"/>
      <c r="E7024" s="183"/>
    </row>
    <row r="7025" spans="1:5" ht="14.25">
      <c r="A7025"/>
      <c r="B7025"/>
      <c r="C7025"/>
      <c r="D7025"/>
      <c r="E7025" s="183"/>
    </row>
    <row r="7026" spans="1:5" ht="14.25">
      <c r="A7026"/>
      <c r="B7026"/>
      <c r="C7026"/>
      <c r="D7026"/>
      <c r="E7026" s="183"/>
    </row>
    <row r="7027" spans="1:5" ht="14.25">
      <c r="A7027"/>
      <c r="B7027"/>
      <c r="C7027"/>
      <c r="D7027"/>
      <c r="E7027" s="183"/>
    </row>
    <row r="7028" spans="1:5" ht="14.25">
      <c r="A7028"/>
      <c r="B7028"/>
      <c r="C7028"/>
      <c r="D7028"/>
      <c r="E7028" s="183"/>
    </row>
    <row r="7029" spans="1:5" ht="14.25">
      <c r="A7029"/>
      <c r="B7029"/>
      <c r="C7029"/>
      <c r="D7029"/>
      <c r="E7029" s="183"/>
    </row>
    <row r="7030" spans="1:5" ht="14.25">
      <c r="A7030"/>
      <c r="B7030"/>
      <c r="C7030"/>
      <c r="D7030"/>
      <c r="E7030" s="183"/>
    </row>
    <row r="7031" spans="1:5" ht="14.25">
      <c r="A7031"/>
      <c r="B7031"/>
      <c r="C7031"/>
      <c r="D7031"/>
      <c r="E7031" s="183"/>
    </row>
    <row r="7032" spans="1:5" ht="14.25">
      <c r="A7032"/>
      <c r="B7032"/>
      <c r="C7032"/>
      <c r="D7032"/>
      <c r="E7032" s="183"/>
    </row>
    <row r="7033" spans="1:5" ht="14.25">
      <c r="A7033"/>
      <c r="B7033"/>
      <c r="C7033"/>
      <c r="D7033"/>
      <c r="E7033" s="183"/>
    </row>
    <row r="7034" spans="1:5" ht="14.25">
      <c r="A7034"/>
      <c r="B7034"/>
      <c r="C7034"/>
      <c r="D7034"/>
      <c r="E7034" s="183"/>
    </row>
    <row r="7035" spans="1:5" ht="14.25">
      <c r="A7035"/>
      <c r="B7035"/>
      <c r="C7035"/>
      <c r="D7035"/>
      <c r="E7035" s="183"/>
    </row>
    <row r="7036" spans="1:5" ht="14.25">
      <c r="A7036"/>
      <c r="B7036"/>
      <c r="C7036"/>
      <c r="D7036"/>
      <c r="E7036" s="183"/>
    </row>
    <row r="7037" spans="1:5" ht="14.25">
      <c r="A7037"/>
      <c r="B7037"/>
      <c r="C7037"/>
      <c r="D7037"/>
      <c r="E7037" s="183"/>
    </row>
    <row r="7038" spans="1:5" ht="14.25">
      <c r="A7038"/>
      <c r="B7038"/>
      <c r="C7038"/>
      <c r="D7038"/>
      <c r="E7038" s="183"/>
    </row>
    <row r="7039" spans="1:5" ht="14.25">
      <c r="A7039"/>
      <c r="B7039"/>
      <c r="C7039"/>
      <c r="D7039"/>
      <c r="E7039" s="183"/>
    </row>
    <row r="7040" spans="1:5" ht="14.25">
      <c r="A7040"/>
      <c r="B7040"/>
      <c r="C7040"/>
      <c r="D7040"/>
      <c r="E7040" s="183"/>
    </row>
    <row r="7041" spans="1:5" ht="14.25">
      <c r="A7041"/>
      <c r="B7041"/>
      <c r="C7041"/>
      <c r="D7041"/>
      <c r="E7041" s="183"/>
    </row>
    <row r="7042" spans="1:5" ht="14.25">
      <c r="A7042"/>
      <c r="B7042"/>
      <c r="C7042"/>
      <c r="D7042"/>
      <c r="E7042" s="183"/>
    </row>
    <row r="7043" spans="1:5" ht="14.25">
      <c r="A7043"/>
      <c r="B7043"/>
      <c r="C7043"/>
      <c r="D7043"/>
      <c r="E7043" s="183"/>
    </row>
    <row r="7044" spans="1:5" ht="14.25">
      <c r="A7044"/>
      <c r="B7044"/>
      <c r="C7044"/>
      <c r="D7044"/>
      <c r="E7044" s="183"/>
    </row>
    <row r="7045" spans="1:5" ht="14.25">
      <c r="A7045"/>
      <c r="B7045"/>
      <c r="C7045"/>
      <c r="D7045"/>
      <c r="E7045" s="183"/>
    </row>
    <row r="7046" spans="1:5" ht="14.25">
      <c r="A7046"/>
      <c r="B7046"/>
      <c r="C7046"/>
      <c r="D7046"/>
      <c r="E7046" s="183"/>
    </row>
    <row r="7047" spans="1:5" ht="14.25">
      <c r="A7047"/>
      <c r="B7047"/>
      <c r="C7047"/>
      <c r="D7047"/>
      <c r="E7047" s="183"/>
    </row>
    <row r="7048" spans="1:5" ht="14.25">
      <c r="A7048"/>
      <c r="B7048"/>
      <c r="C7048"/>
      <c r="D7048"/>
      <c r="E7048" s="183"/>
    </row>
    <row r="7049" spans="1:5" ht="14.25">
      <c r="A7049"/>
      <c r="B7049"/>
      <c r="C7049"/>
      <c r="D7049"/>
      <c r="E7049" s="183"/>
    </row>
    <row r="7050" spans="1:5" ht="14.25">
      <c r="A7050"/>
      <c r="B7050"/>
      <c r="C7050"/>
      <c r="D7050"/>
      <c r="E7050" s="183"/>
    </row>
    <row r="7051" spans="1:5" ht="14.25">
      <c r="A7051"/>
      <c r="B7051"/>
      <c r="C7051"/>
      <c r="D7051"/>
      <c r="E7051" s="183"/>
    </row>
    <row r="7052" spans="1:5" ht="14.25">
      <c r="A7052"/>
      <c r="B7052"/>
      <c r="C7052"/>
      <c r="D7052"/>
      <c r="E7052" s="183"/>
    </row>
    <row r="7053" spans="1:5" ht="14.25">
      <c r="A7053"/>
      <c r="B7053"/>
      <c r="C7053"/>
      <c r="D7053"/>
      <c r="E7053" s="183"/>
    </row>
    <row r="7054" spans="1:5" ht="14.25">
      <c r="A7054"/>
      <c r="B7054"/>
      <c r="C7054"/>
      <c r="D7054"/>
      <c r="E7054" s="183"/>
    </row>
    <row r="7055" spans="1:5" ht="14.25">
      <c r="A7055"/>
      <c r="B7055"/>
      <c r="C7055"/>
      <c r="D7055"/>
      <c r="E7055" s="183"/>
    </row>
    <row r="7056" spans="1:5" ht="14.25">
      <c r="A7056"/>
      <c r="B7056"/>
      <c r="C7056"/>
      <c r="D7056"/>
      <c r="E7056" s="183"/>
    </row>
    <row r="7057" spans="1:5" ht="14.25">
      <c r="A7057"/>
      <c r="B7057"/>
      <c r="C7057"/>
      <c r="D7057"/>
      <c r="E7057" s="183"/>
    </row>
    <row r="7058" spans="1:5" ht="14.25">
      <c r="A7058"/>
      <c r="B7058"/>
      <c r="C7058"/>
      <c r="D7058"/>
      <c r="E7058" s="183"/>
    </row>
    <row r="7059" spans="1:5" ht="14.25">
      <c r="A7059"/>
      <c r="B7059"/>
      <c r="C7059"/>
      <c r="D7059"/>
      <c r="E7059" s="183"/>
    </row>
    <row r="7060" spans="1:5" ht="14.25">
      <c r="A7060"/>
      <c r="B7060"/>
      <c r="C7060"/>
      <c r="D7060"/>
      <c r="E7060" s="183"/>
    </row>
    <row r="7061" spans="1:5" ht="14.25">
      <c r="A7061"/>
      <c r="B7061"/>
      <c r="C7061"/>
      <c r="D7061"/>
      <c r="E7061" s="183"/>
    </row>
    <row r="7062" spans="1:5" ht="14.25">
      <c r="A7062"/>
      <c r="B7062"/>
      <c r="C7062"/>
      <c r="D7062"/>
      <c r="E7062" s="183"/>
    </row>
    <row r="7063" spans="1:5" ht="14.25">
      <c r="A7063"/>
      <c r="B7063"/>
      <c r="C7063"/>
      <c r="D7063"/>
      <c r="E7063" s="183"/>
    </row>
    <row r="7064" spans="1:5" ht="14.25">
      <c r="A7064"/>
      <c r="B7064"/>
      <c r="C7064"/>
      <c r="D7064"/>
      <c r="E7064" s="183"/>
    </row>
    <row r="7065" spans="1:5" ht="14.25">
      <c r="A7065"/>
      <c r="B7065"/>
      <c r="C7065"/>
      <c r="D7065"/>
      <c r="E7065" s="183"/>
    </row>
    <row r="7066" spans="1:5" ht="14.25">
      <c r="A7066"/>
      <c r="B7066"/>
      <c r="C7066"/>
      <c r="D7066"/>
      <c r="E7066" s="183"/>
    </row>
    <row r="7067" spans="1:5" ht="14.25">
      <c r="A7067"/>
      <c r="B7067"/>
      <c r="C7067"/>
      <c r="D7067"/>
      <c r="E7067" s="183"/>
    </row>
    <row r="7068" spans="1:5" ht="14.25">
      <c r="A7068"/>
      <c r="B7068"/>
      <c r="C7068"/>
      <c r="D7068"/>
      <c r="E7068" s="183"/>
    </row>
    <row r="7069" spans="1:5" ht="14.25">
      <c r="A7069"/>
      <c r="B7069"/>
      <c r="C7069"/>
      <c r="D7069"/>
      <c r="E7069" s="183"/>
    </row>
    <row r="7070" spans="1:5" ht="14.25">
      <c r="A7070"/>
      <c r="B7070"/>
      <c r="C7070"/>
      <c r="D7070"/>
      <c r="E7070" s="183"/>
    </row>
    <row r="7071" spans="1:5" ht="14.25">
      <c r="A7071"/>
      <c r="B7071"/>
      <c r="C7071"/>
      <c r="D7071"/>
      <c r="E7071" s="183"/>
    </row>
    <row r="7072" spans="1:5" ht="14.25">
      <c r="A7072"/>
      <c r="B7072"/>
      <c r="C7072"/>
      <c r="D7072"/>
      <c r="E7072" s="183"/>
    </row>
    <row r="7073" spans="1:5" ht="14.25">
      <c r="A7073"/>
      <c r="B7073"/>
      <c r="C7073"/>
      <c r="D7073"/>
      <c r="E7073" s="183"/>
    </row>
    <row r="7074" spans="1:5" ht="14.25">
      <c r="A7074"/>
      <c r="B7074"/>
      <c r="C7074"/>
      <c r="D7074"/>
      <c r="E7074" s="183"/>
    </row>
    <row r="7075" spans="1:5" ht="14.25">
      <c r="A7075"/>
      <c r="B7075"/>
      <c r="C7075"/>
      <c r="D7075"/>
      <c r="E7075" s="183"/>
    </row>
    <row r="7076" spans="1:5" ht="14.25">
      <c r="A7076"/>
      <c r="B7076"/>
      <c r="C7076"/>
      <c r="D7076"/>
      <c r="E7076" s="183"/>
    </row>
    <row r="7077" spans="1:5" ht="14.25">
      <c r="A7077"/>
      <c r="B7077"/>
      <c r="C7077"/>
      <c r="D7077"/>
      <c r="E7077" s="183"/>
    </row>
    <row r="7078" spans="1:5" ht="14.25">
      <c r="A7078"/>
      <c r="B7078"/>
      <c r="C7078"/>
      <c r="D7078"/>
      <c r="E7078" s="183"/>
    </row>
    <row r="7079" spans="1:5" ht="14.25">
      <c r="A7079"/>
      <c r="B7079"/>
      <c r="C7079"/>
      <c r="D7079"/>
      <c r="E7079" s="183"/>
    </row>
    <row r="7080" spans="1:5" ht="14.25">
      <c r="A7080"/>
      <c r="B7080"/>
      <c r="C7080"/>
      <c r="D7080"/>
      <c r="E7080" s="183"/>
    </row>
    <row r="7081" spans="1:5" ht="14.25">
      <c r="A7081"/>
      <c r="B7081"/>
      <c r="C7081"/>
      <c r="D7081"/>
      <c r="E7081" s="183"/>
    </row>
    <row r="7082" spans="1:5" ht="14.25">
      <c r="A7082"/>
      <c r="B7082"/>
      <c r="C7082"/>
      <c r="D7082"/>
      <c r="E7082" s="183"/>
    </row>
    <row r="7083" spans="1:5" ht="14.25">
      <c r="A7083"/>
      <c r="B7083"/>
      <c r="C7083"/>
      <c r="D7083"/>
      <c r="E7083" s="183"/>
    </row>
    <row r="7084" spans="1:5" ht="14.25">
      <c r="A7084"/>
      <c r="B7084"/>
      <c r="C7084"/>
      <c r="D7084"/>
      <c r="E7084" s="183"/>
    </row>
    <row r="7085" spans="1:5" ht="14.25">
      <c r="A7085"/>
      <c r="B7085"/>
      <c r="C7085"/>
      <c r="D7085"/>
      <c r="E7085" s="183"/>
    </row>
    <row r="7086" spans="1:5" ht="14.25">
      <c r="A7086"/>
      <c r="B7086"/>
      <c r="C7086"/>
      <c r="D7086"/>
      <c r="E7086" s="183"/>
    </row>
    <row r="7087" spans="1:5" ht="14.25">
      <c r="A7087"/>
      <c r="B7087"/>
      <c r="C7087"/>
      <c r="D7087"/>
      <c r="E7087" s="183"/>
    </row>
    <row r="7088" spans="1:5" ht="14.25">
      <c r="A7088"/>
      <c r="B7088"/>
      <c r="C7088"/>
      <c r="D7088"/>
      <c r="E7088" s="183"/>
    </row>
    <row r="7089" spans="1:5" ht="14.25">
      <c r="A7089"/>
      <c r="B7089"/>
      <c r="C7089"/>
      <c r="D7089"/>
      <c r="E7089" s="183"/>
    </row>
    <row r="7090" spans="1:5" ht="14.25">
      <c r="A7090"/>
      <c r="B7090"/>
      <c r="C7090"/>
      <c r="D7090"/>
      <c r="E7090" s="183"/>
    </row>
    <row r="7091" spans="1:5" ht="14.25">
      <c r="A7091"/>
      <c r="B7091"/>
      <c r="C7091"/>
      <c r="D7091"/>
      <c r="E7091" s="183"/>
    </row>
    <row r="7092" spans="1:5" ht="14.25">
      <c r="A7092"/>
      <c r="B7092"/>
      <c r="C7092"/>
      <c r="D7092"/>
      <c r="E7092" s="183"/>
    </row>
    <row r="7093" spans="1:5" ht="14.25">
      <c r="A7093"/>
      <c r="B7093"/>
      <c r="C7093"/>
      <c r="D7093"/>
      <c r="E7093" s="183"/>
    </row>
    <row r="7094" spans="1:5" ht="14.25">
      <c r="A7094"/>
      <c r="B7094"/>
      <c r="C7094"/>
      <c r="D7094"/>
      <c r="E7094" s="183"/>
    </row>
    <row r="7095" spans="1:5" ht="14.25">
      <c r="A7095"/>
      <c r="B7095"/>
      <c r="C7095"/>
      <c r="D7095"/>
      <c r="E7095" s="183"/>
    </row>
    <row r="7096" spans="1:5" ht="14.25">
      <c r="A7096"/>
      <c r="B7096"/>
      <c r="C7096"/>
      <c r="D7096"/>
      <c r="E7096" s="183"/>
    </row>
    <row r="7097" spans="1:5" ht="14.25">
      <c r="A7097"/>
      <c r="B7097"/>
      <c r="C7097"/>
      <c r="D7097"/>
      <c r="E7097" s="183"/>
    </row>
    <row r="7098" spans="1:5" ht="14.25">
      <c r="A7098"/>
      <c r="B7098"/>
      <c r="C7098"/>
      <c r="D7098"/>
      <c r="E7098" s="183"/>
    </row>
    <row r="7099" spans="1:5" ht="14.25">
      <c r="A7099"/>
      <c r="B7099"/>
      <c r="C7099"/>
      <c r="D7099"/>
      <c r="E7099" s="183"/>
    </row>
    <row r="7100" spans="1:5" ht="14.25">
      <c r="A7100"/>
      <c r="B7100"/>
      <c r="C7100"/>
      <c r="D7100"/>
      <c r="E7100" s="183"/>
    </row>
    <row r="7101" spans="1:5" ht="14.25">
      <c r="A7101"/>
      <c r="B7101"/>
      <c r="C7101"/>
      <c r="D7101"/>
      <c r="E7101" s="183"/>
    </row>
    <row r="7102" spans="1:5" ht="14.25">
      <c r="A7102"/>
      <c r="B7102"/>
      <c r="C7102"/>
      <c r="D7102"/>
      <c r="E7102" s="183"/>
    </row>
    <row r="7103" spans="1:5" ht="14.25">
      <c r="A7103"/>
      <c r="B7103"/>
      <c r="C7103"/>
      <c r="D7103"/>
      <c r="E7103" s="183"/>
    </row>
    <row r="7104" spans="1:5" ht="14.25">
      <c r="A7104"/>
      <c r="B7104"/>
      <c r="C7104"/>
      <c r="D7104"/>
      <c r="E7104" s="183"/>
    </row>
    <row r="7105" spans="1:5" ht="14.25">
      <c r="A7105"/>
      <c r="B7105"/>
      <c r="C7105"/>
      <c r="D7105"/>
      <c r="E7105" s="183"/>
    </row>
    <row r="7106" spans="1:5" ht="14.25">
      <c r="A7106"/>
      <c r="B7106"/>
      <c r="C7106"/>
      <c r="D7106"/>
      <c r="E7106" s="183"/>
    </row>
    <row r="7107" spans="1:5" ht="14.25">
      <c r="A7107"/>
      <c r="B7107"/>
      <c r="C7107"/>
      <c r="D7107"/>
      <c r="E7107" s="183"/>
    </row>
    <row r="7108" spans="1:5" ht="14.25">
      <c r="A7108"/>
      <c r="B7108"/>
      <c r="C7108"/>
      <c r="D7108"/>
      <c r="E7108" s="183"/>
    </row>
    <row r="7109" spans="1:5" ht="14.25">
      <c r="A7109"/>
      <c r="B7109"/>
      <c r="C7109"/>
      <c r="D7109"/>
      <c r="E7109" s="183"/>
    </row>
    <row r="7110" spans="1:5" ht="14.25">
      <c r="A7110"/>
      <c r="B7110"/>
      <c r="C7110"/>
      <c r="D7110"/>
      <c r="E7110" s="183"/>
    </row>
    <row r="7111" spans="1:5" ht="14.25">
      <c r="A7111"/>
      <c r="B7111"/>
      <c r="C7111"/>
      <c r="D7111"/>
      <c r="E7111" s="183"/>
    </row>
    <row r="7112" spans="1:5" ht="14.25">
      <c r="A7112"/>
      <c r="B7112"/>
      <c r="C7112"/>
      <c r="D7112"/>
      <c r="E7112" s="183"/>
    </row>
    <row r="7113" spans="1:5" ht="14.25">
      <c r="A7113"/>
      <c r="B7113"/>
      <c r="C7113"/>
      <c r="D7113"/>
      <c r="E7113" s="183"/>
    </row>
    <row r="7114" spans="1:5" ht="14.25">
      <c r="A7114"/>
      <c r="B7114"/>
      <c r="C7114"/>
      <c r="D7114"/>
      <c r="E7114" s="183"/>
    </row>
    <row r="7115" spans="1:5" ht="14.25">
      <c r="A7115"/>
      <c r="B7115"/>
      <c r="C7115"/>
      <c r="D7115"/>
      <c r="E7115" s="183"/>
    </row>
    <row r="7116" spans="1:5" ht="14.25">
      <c r="A7116"/>
      <c r="B7116"/>
      <c r="C7116"/>
      <c r="D7116"/>
      <c r="E7116" s="183"/>
    </row>
    <row r="7117" spans="1:5" ht="14.25">
      <c r="A7117"/>
      <c r="B7117"/>
      <c r="C7117"/>
      <c r="D7117"/>
      <c r="E7117" s="183"/>
    </row>
    <row r="7118" spans="1:5" ht="14.25">
      <c r="A7118"/>
      <c r="B7118"/>
      <c r="C7118"/>
      <c r="D7118"/>
      <c r="E7118" s="183"/>
    </row>
    <row r="7119" spans="1:5" ht="14.25">
      <c r="A7119"/>
      <c r="B7119"/>
      <c r="C7119"/>
      <c r="D7119"/>
      <c r="E7119" s="183"/>
    </row>
    <row r="7120" spans="1:5" ht="14.25">
      <c r="A7120"/>
      <c r="B7120"/>
      <c r="C7120"/>
      <c r="D7120"/>
      <c r="E7120" s="183"/>
    </row>
    <row r="7121" spans="1:5" ht="14.25">
      <c r="A7121"/>
      <c r="B7121"/>
      <c r="C7121"/>
      <c r="D7121"/>
      <c r="E7121" s="183"/>
    </row>
    <row r="7122" spans="1:5" ht="14.25">
      <c r="A7122"/>
      <c r="B7122"/>
      <c r="C7122"/>
      <c r="D7122"/>
      <c r="E7122" s="183"/>
    </row>
    <row r="7123" spans="1:5" ht="14.25">
      <c r="A7123"/>
      <c r="B7123"/>
      <c r="C7123"/>
      <c r="D7123"/>
      <c r="E7123" s="183"/>
    </row>
    <row r="7124" spans="1:5" ht="14.25">
      <c r="A7124"/>
      <c r="B7124"/>
      <c r="C7124"/>
      <c r="D7124"/>
      <c r="E7124" s="183"/>
    </row>
    <row r="7125" spans="1:5" ht="14.25">
      <c r="A7125"/>
      <c r="B7125"/>
      <c r="C7125"/>
      <c r="D7125"/>
      <c r="E7125" s="183"/>
    </row>
    <row r="7126" spans="1:5" ht="14.25">
      <c r="A7126"/>
      <c r="B7126"/>
      <c r="C7126"/>
      <c r="D7126"/>
      <c r="E7126" s="183"/>
    </row>
    <row r="7127" spans="1:5" ht="14.25">
      <c r="A7127"/>
      <c r="B7127"/>
      <c r="C7127"/>
      <c r="D7127"/>
      <c r="E7127" s="183"/>
    </row>
    <row r="7128" spans="1:5" ht="14.25">
      <c r="A7128"/>
      <c r="B7128"/>
      <c r="C7128"/>
      <c r="D7128"/>
      <c r="E7128" s="183"/>
    </row>
    <row r="7129" spans="1:5" ht="14.25">
      <c r="A7129"/>
      <c r="B7129"/>
      <c r="C7129"/>
      <c r="D7129"/>
      <c r="E7129" s="183"/>
    </row>
    <row r="7130" spans="1:5" ht="14.25">
      <c r="A7130"/>
      <c r="B7130"/>
      <c r="C7130"/>
      <c r="D7130"/>
      <c r="E7130" s="183"/>
    </row>
    <row r="7131" spans="1:5" ht="14.25">
      <c r="A7131"/>
      <c r="B7131"/>
      <c r="C7131"/>
      <c r="D7131"/>
      <c r="E7131" s="184"/>
    </row>
    <row r="7132" spans="1:5" ht="14.25">
      <c r="A7132"/>
      <c r="B7132"/>
      <c r="C7132"/>
      <c r="D7132"/>
      <c r="E7132" s="183"/>
    </row>
    <row r="7133" spans="1:5" ht="14.25">
      <c r="A7133"/>
      <c r="B7133"/>
      <c r="C7133"/>
      <c r="D7133"/>
      <c r="E7133" s="183"/>
    </row>
    <row r="7134" spans="1:5" ht="14.25">
      <c r="A7134"/>
      <c r="B7134"/>
      <c r="C7134"/>
      <c r="D7134"/>
      <c r="E7134" s="183"/>
    </row>
    <row r="7135" spans="1:5" ht="14.25">
      <c r="A7135"/>
      <c r="B7135"/>
      <c r="C7135"/>
      <c r="D7135"/>
      <c r="E7135" s="183"/>
    </row>
    <row r="7136" spans="1:5" ht="14.25">
      <c r="A7136"/>
      <c r="B7136"/>
      <c r="C7136"/>
      <c r="D7136"/>
      <c r="E7136" s="183"/>
    </row>
    <row r="7137" spans="1:5" ht="14.25">
      <c r="A7137"/>
      <c r="B7137"/>
      <c r="C7137"/>
      <c r="D7137"/>
      <c r="E7137" s="183"/>
    </row>
    <row r="7138" spans="1:5" ht="14.25">
      <c r="A7138"/>
      <c r="B7138"/>
      <c r="C7138"/>
      <c r="D7138"/>
      <c r="E7138" s="183"/>
    </row>
    <row r="7139" spans="1:5" ht="14.25">
      <c r="A7139"/>
      <c r="B7139"/>
      <c r="C7139"/>
      <c r="D7139"/>
      <c r="E7139" s="183"/>
    </row>
    <row r="7140" spans="1:5" ht="14.25">
      <c r="A7140"/>
      <c r="B7140"/>
      <c r="C7140"/>
      <c r="D7140"/>
      <c r="E7140" s="183"/>
    </row>
    <row r="7141" spans="1:5" ht="14.25">
      <c r="A7141"/>
      <c r="B7141"/>
      <c r="C7141"/>
      <c r="D7141"/>
      <c r="E7141" s="183"/>
    </row>
    <row r="7142" spans="1:5" ht="14.25">
      <c r="A7142"/>
      <c r="B7142"/>
      <c r="C7142"/>
      <c r="D7142"/>
      <c r="E7142" s="184"/>
    </row>
    <row r="7143" spans="1:5" ht="14.25">
      <c r="A7143"/>
      <c r="B7143"/>
      <c r="C7143"/>
      <c r="D7143"/>
      <c r="E7143" s="183"/>
    </row>
    <row r="7144" spans="1:5" ht="14.25">
      <c r="A7144"/>
      <c r="B7144"/>
      <c r="C7144"/>
      <c r="D7144"/>
      <c r="E7144" s="183"/>
    </row>
    <row r="7145" spans="1:5" ht="14.25">
      <c r="A7145"/>
      <c r="B7145"/>
      <c r="C7145"/>
      <c r="D7145"/>
      <c r="E7145" s="183"/>
    </row>
    <row r="7146" spans="1:5" ht="14.25">
      <c r="A7146"/>
      <c r="B7146"/>
      <c r="C7146"/>
      <c r="D7146"/>
      <c r="E7146" s="183"/>
    </row>
    <row r="7147" spans="1:5" ht="14.25">
      <c r="A7147"/>
      <c r="B7147"/>
      <c r="C7147"/>
      <c r="D7147"/>
      <c r="E7147" s="184"/>
    </row>
    <row r="7148" spans="1:5" ht="14.25">
      <c r="A7148"/>
      <c r="B7148"/>
      <c r="C7148"/>
      <c r="D7148"/>
      <c r="E7148" s="183"/>
    </row>
    <row r="7149" spans="1:5" ht="14.25">
      <c r="A7149"/>
      <c r="B7149"/>
      <c r="C7149"/>
      <c r="D7149"/>
      <c r="E7149" s="183"/>
    </row>
    <row r="7150" spans="1:5" ht="14.25">
      <c r="A7150"/>
      <c r="B7150"/>
      <c r="C7150"/>
      <c r="D7150"/>
      <c r="E7150" s="183"/>
    </row>
    <row r="7151" spans="1:5" ht="14.25">
      <c r="A7151"/>
      <c r="B7151"/>
      <c r="C7151"/>
      <c r="D7151"/>
      <c r="E7151" s="183"/>
    </row>
    <row r="7152" spans="1:5" ht="14.25">
      <c r="A7152"/>
      <c r="B7152"/>
      <c r="C7152"/>
      <c r="D7152"/>
      <c r="E7152" s="183"/>
    </row>
    <row r="7153" spans="1:5" ht="14.25">
      <c r="A7153"/>
      <c r="B7153"/>
      <c r="C7153"/>
      <c r="D7153"/>
      <c r="E7153" s="183"/>
    </row>
    <row r="7154" spans="1:5" ht="14.25">
      <c r="A7154"/>
      <c r="B7154"/>
      <c r="C7154"/>
      <c r="D7154"/>
      <c r="E7154" s="183"/>
    </row>
    <row r="7155" spans="1:5" ht="14.25">
      <c r="A7155"/>
      <c r="B7155"/>
      <c r="C7155"/>
      <c r="D7155"/>
      <c r="E7155" s="183"/>
    </row>
    <row r="7156" spans="1:5" ht="14.25">
      <c r="A7156"/>
      <c r="B7156"/>
      <c r="C7156"/>
      <c r="D7156"/>
      <c r="E7156" s="183"/>
    </row>
    <row r="7157" spans="1:5" ht="14.25">
      <c r="A7157"/>
      <c r="B7157"/>
      <c r="C7157"/>
      <c r="D7157"/>
      <c r="E7157" s="183"/>
    </row>
    <row r="7158" spans="1:5" ht="14.25">
      <c r="A7158"/>
      <c r="B7158"/>
      <c r="C7158"/>
      <c r="D7158"/>
      <c r="E7158" s="183"/>
    </row>
    <row r="7159" spans="1:5" ht="14.25">
      <c r="A7159"/>
      <c r="B7159"/>
      <c r="C7159"/>
      <c r="D7159"/>
      <c r="E7159" s="183"/>
    </row>
    <row r="7160" spans="1:5" ht="14.25">
      <c r="A7160"/>
      <c r="B7160"/>
      <c r="C7160"/>
      <c r="D7160"/>
      <c r="E7160" s="183"/>
    </row>
    <row r="7161" spans="1:5" ht="14.25">
      <c r="A7161"/>
      <c r="B7161"/>
      <c r="C7161"/>
      <c r="D7161"/>
      <c r="E7161" s="183"/>
    </row>
    <row r="7162" spans="1:5" ht="14.25">
      <c r="A7162"/>
      <c r="B7162"/>
      <c r="C7162"/>
      <c r="D7162"/>
      <c r="E7162" s="183"/>
    </row>
    <row r="7163" spans="1:5" ht="14.25">
      <c r="A7163"/>
      <c r="B7163"/>
      <c r="C7163"/>
      <c r="D7163"/>
      <c r="E7163" s="183"/>
    </row>
    <row r="7164" spans="1:5" ht="14.25">
      <c r="A7164"/>
      <c r="B7164"/>
      <c r="C7164"/>
      <c r="D7164"/>
      <c r="E7164" s="183"/>
    </row>
    <row r="7165" spans="1:5" ht="14.25">
      <c r="A7165"/>
      <c r="B7165"/>
      <c r="C7165"/>
      <c r="D7165"/>
      <c r="E7165" s="183"/>
    </row>
    <row r="7166" spans="1:5" ht="14.25">
      <c r="A7166"/>
      <c r="B7166"/>
      <c r="C7166"/>
      <c r="D7166"/>
      <c r="E7166" s="183"/>
    </row>
    <row r="7167" spans="1:5" ht="14.25">
      <c r="A7167"/>
      <c r="B7167"/>
      <c r="C7167"/>
      <c r="D7167"/>
      <c r="E7167" s="184"/>
    </row>
    <row r="7168" spans="1:5" ht="14.25">
      <c r="A7168"/>
      <c r="B7168"/>
      <c r="C7168"/>
      <c r="D7168"/>
      <c r="E7168" s="184"/>
    </row>
    <row r="7169" spans="1:5" ht="14.25">
      <c r="A7169"/>
      <c r="B7169"/>
      <c r="C7169"/>
      <c r="D7169"/>
      <c r="E7169" s="183"/>
    </row>
    <row r="7170" spans="1:5" ht="14.25">
      <c r="A7170"/>
      <c r="B7170"/>
      <c r="C7170"/>
      <c r="D7170"/>
      <c r="E7170" s="183"/>
    </row>
    <row r="7171" spans="1:5" ht="14.25">
      <c r="A7171"/>
      <c r="B7171"/>
      <c r="C7171"/>
      <c r="D7171"/>
      <c r="E7171" s="184"/>
    </row>
    <row r="7172" spans="1:5" ht="14.25">
      <c r="A7172"/>
      <c r="B7172"/>
      <c r="C7172"/>
      <c r="D7172"/>
      <c r="E7172" s="184"/>
    </row>
    <row r="7173" spans="1:5" ht="14.25">
      <c r="A7173"/>
      <c r="B7173"/>
      <c r="C7173"/>
      <c r="D7173"/>
      <c r="E7173" s="183"/>
    </row>
    <row r="7174" spans="1:5" ht="14.25">
      <c r="A7174"/>
      <c r="B7174"/>
      <c r="C7174"/>
      <c r="D7174"/>
      <c r="E7174" s="183"/>
    </row>
    <row r="7175" spans="1:5" ht="14.25">
      <c r="A7175"/>
      <c r="B7175"/>
      <c r="C7175"/>
      <c r="D7175"/>
      <c r="E7175" s="183"/>
    </row>
    <row r="7176" spans="1:5" ht="14.25">
      <c r="A7176"/>
      <c r="B7176"/>
      <c r="C7176"/>
      <c r="D7176"/>
      <c r="E7176" s="183"/>
    </row>
    <row r="7177" spans="1:5" ht="14.25">
      <c r="A7177"/>
      <c r="B7177"/>
      <c r="C7177"/>
      <c r="D7177"/>
      <c r="E7177" s="183"/>
    </row>
    <row r="7178" spans="1:5" ht="14.25">
      <c r="A7178"/>
      <c r="B7178"/>
      <c r="C7178"/>
      <c r="D7178"/>
      <c r="E7178" s="183"/>
    </row>
    <row r="7179" spans="1:5" ht="14.25">
      <c r="A7179"/>
      <c r="B7179"/>
      <c r="C7179"/>
      <c r="D7179"/>
      <c r="E7179" s="183"/>
    </row>
    <row r="7180" spans="1:5" ht="14.25">
      <c r="A7180"/>
      <c r="B7180"/>
      <c r="C7180"/>
      <c r="D7180"/>
      <c r="E7180" s="183"/>
    </row>
    <row r="7181" spans="1:5" ht="14.25">
      <c r="A7181"/>
      <c r="B7181"/>
      <c r="C7181"/>
      <c r="D7181"/>
      <c r="E7181" s="183"/>
    </row>
    <row r="7182" spans="1:5" ht="14.25">
      <c r="A7182"/>
      <c r="B7182"/>
      <c r="C7182"/>
      <c r="D7182"/>
      <c r="E7182" s="183"/>
    </row>
    <row r="7183" spans="1:5" ht="14.25">
      <c r="A7183"/>
      <c r="B7183"/>
      <c r="C7183"/>
      <c r="D7183"/>
      <c r="E7183" s="183"/>
    </row>
    <row r="7184" spans="1:5" ht="14.25">
      <c r="A7184"/>
      <c r="B7184"/>
      <c r="C7184"/>
      <c r="D7184"/>
      <c r="E7184" s="183"/>
    </row>
    <row r="7185" spans="1:5" ht="14.25">
      <c r="A7185"/>
      <c r="B7185"/>
      <c r="C7185"/>
      <c r="D7185"/>
      <c r="E7185" s="183"/>
    </row>
    <row r="7186" spans="1:5" ht="14.25">
      <c r="A7186"/>
      <c r="B7186"/>
      <c r="C7186"/>
      <c r="D7186"/>
      <c r="E7186" s="183"/>
    </row>
    <row r="7187" spans="1:5" ht="14.25">
      <c r="A7187"/>
      <c r="B7187"/>
      <c r="C7187"/>
      <c r="D7187"/>
      <c r="E7187" s="183"/>
    </row>
    <row r="7188" spans="1:5" ht="14.25">
      <c r="A7188"/>
      <c r="B7188"/>
      <c r="C7188"/>
      <c r="D7188"/>
      <c r="E7188" s="183"/>
    </row>
    <row r="7189" spans="1:5" ht="14.25">
      <c r="A7189"/>
      <c r="B7189"/>
      <c r="C7189"/>
      <c r="D7189"/>
      <c r="E7189" s="183"/>
    </row>
    <row r="7190" spans="1:5" ht="14.25">
      <c r="A7190"/>
      <c r="B7190"/>
      <c r="C7190"/>
      <c r="D7190"/>
      <c r="E7190" s="183"/>
    </row>
    <row r="7191" spans="1:5" ht="14.25">
      <c r="A7191"/>
      <c r="B7191"/>
      <c r="C7191"/>
      <c r="D7191"/>
      <c r="E7191" s="183"/>
    </row>
    <row r="7192" spans="1:5" ht="14.25">
      <c r="A7192"/>
      <c r="B7192"/>
      <c r="C7192"/>
      <c r="D7192"/>
      <c r="E7192" s="183"/>
    </row>
    <row r="7193" spans="1:5" ht="14.25">
      <c r="A7193"/>
      <c r="B7193"/>
      <c r="C7193"/>
      <c r="D7193"/>
      <c r="E7193" s="183"/>
    </row>
    <row r="7194" spans="1:5" ht="14.25">
      <c r="A7194"/>
      <c r="B7194"/>
      <c r="C7194"/>
      <c r="D7194"/>
      <c r="E7194" s="183"/>
    </row>
    <row r="7195" spans="1:5" ht="14.25">
      <c r="A7195"/>
      <c r="B7195"/>
      <c r="C7195"/>
      <c r="D7195"/>
      <c r="E7195" s="183"/>
    </row>
    <row r="7196" spans="1:5" ht="14.25">
      <c r="A7196"/>
      <c r="B7196"/>
      <c r="C7196"/>
      <c r="D7196"/>
      <c r="E7196" s="183"/>
    </row>
    <row r="7197" spans="1:5" ht="14.25">
      <c r="A7197"/>
      <c r="B7197"/>
      <c r="C7197"/>
      <c r="D7197"/>
      <c r="E7197" s="183"/>
    </row>
    <row r="7198" spans="1:5" ht="14.25">
      <c r="A7198"/>
      <c r="B7198"/>
      <c r="C7198"/>
      <c r="D7198"/>
      <c r="E7198" s="183"/>
    </row>
    <row r="7199" spans="1:5" ht="14.25">
      <c r="A7199"/>
      <c r="B7199"/>
      <c r="C7199"/>
      <c r="D7199"/>
      <c r="E7199" s="183"/>
    </row>
    <row r="7200" spans="1:5" ht="14.25">
      <c r="A7200"/>
      <c r="B7200"/>
      <c r="C7200"/>
      <c r="D7200"/>
      <c r="E7200" s="183"/>
    </row>
    <row r="7201" spans="1:5" ht="14.25">
      <c r="A7201"/>
      <c r="B7201"/>
      <c r="C7201"/>
      <c r="D7201"/>
      <c r="E7201" s="183"/>
    </row>
    <row r="7202" spans="1:5" ht="14.25">
      <c r="A7202"/>
      <c r="B7202"/>
      <c r="C7202"/>
      <c r="D7202"/>
      <c r="E7202" s="183"/>
    </row>
    <row r="7203" spans="1:5" ht="14.25">
      <c r="A7203"/>
      <c r="B7203"/>
      <c r="C7203"/>
      <c r="D7203"/>
      <c r="E7203" s="183"/>
    </row>
    <row r="7204" spans="1:5" ht="14.25">
      <c r="A7204"/>
      <c r="B7204"/>
      <c r="C7204"/>
      <c r="D7204"/>
      <c r="E7204" s="183"/>
    </row>
    <row r="7205" spans="1:5" ht="14.25">
      <c r="A7205"/>
      <c r="B7205"/>
      <c r="C7205"/>
      <c r="D7205"/>
      <c r="E7205" s="183"/>
    </row>
    <row r="7206" spans="1:5" ht="14.25">
      <c r="A7206"/>
      <c r="B7206"/>
      <c r="C7206"/>
      <c r="D7206"/>
      <c r="E7206" s="183"/>
    </row>
    <row r="7207" spans="1:5" ht="14.25">
      <c r="A7207"/>
      <c r="B7207"/>
      <c r="C7207"/>
      <c r="D7207"/>
      <c r="E7207" s="183"/>
    </row>
    <row r="7208" spans="1:5" ht="14.25">
      <c r="A7208"/>
      <c r="B7208"/>
      <c r="C7208"/>
      <c r="D7208"/>
      <c r="E7208" s="183"/>
    </row>
    <row r="7209" spans="1:5" ht="14.25">
      <c r="A7209"/>
      <c r="B7209"/>
      <c r="C7209"/>
      <c r="D7209"/>
      <c r="E7209" s="184"/>
    </row>
    <row r="7210" spans="1:5" ht="14.25">
      <c r="A7210"/>
      <c r="B7210"/>
      <c r="C7210"/>
      <c r="D7210"/>
      <c r="E7210" s="184"/>
    </row>
    <row r="7211" spans="1:5" ht="14.25">
      <c r="A7211"/>
      <c r="B7211"/>
      <c r="C7211"/>
      <c r="D7211"/>
      <c r="E7211" s="184"/>
    </row>
    <row r="7212" spans="1:5" ht="14.25">
      <c r="A7212"/>
      <c r="B7212"/>
      <c r="C7212"/>
      <c r="D7212"/>
      <c r="E7212" s="184"/>
    </row>
    <row r="7213" spans="1:5" ht="14.25">
      <c r="A7213"/>
      <c r="B7213"/>
      <c r="C7213"/>
      <c r="D7213"/>
      <c r="E7213" s="184"/>
    </row>
    <row r="7214" spans="1:5" ht="14.25">
      <c r="A7214"/>
      <c r="B7214"/>
      <c r="C7214"/>
      <c r="D7214"/>
      <c r="E7214" s="184"/>
    </row>
    <row r="7215" spans="1:5" ht="14.25">
      <c r="A7215"/>
      <c r="B7215"/>
      <c r="C7215"/>
      <c r="D7215"/>
      <c r="E7215" s="183"/>
    </row>
    <row r="7216" spans="1:5" ht="14.25">
      <c r="A7216"/>
      <c r="B7216"/>
      <c r="C7216"/>
      <c r="D7216"/>
      <c r="E7216" s="183"/>
    </row>
    <row r="7217" spans="1:5" ht="14.25">
      <c r="A7217"/>
      <c r="B7217"/>
      <c r="C7217"/>
      <c r="D7217"/>
      <c r="E7217" s="184"/>
    </row>
    <row r="7218" spans="1:5" ht="14.25">
      <c r="A7218"/>
      <c r="B7218"/>
      <c r="C7218"/>
      <c r="D7218"/>
      <c r="E7218" s="183"/>
    </row>
    <row r="7219" spans="1:5" ht="14.25">
      <c r="A7219"/>
      <c r="B7219"/>
      <c r="C7219"/>
      <c r="D7219"/>
      <c r="E7219" s="184"/>
    </row>
    <row r="7220" spans="1:5" ht="14.25">
      <c r="A7220"/>
      <c r="B7220"/>
      <c r="C7220"/>
      <c r="D7220"/>
      <c r="E7220" s="183"/>
    </row>
    <row r="7221" spans="1:5" ht="14.25">
      <c r="A7221"/>
      <c r="B7221"/>
      <c r="C7221"/>
      <c r="D7221"/>
      <c r="E7221" s="184"/>
    </row>
    <row r="7222" spans="1:5" ht="14.25">
      <c r="A7222"/>
      <c r="B7222"/>
      <c r="C7222"/>
      <c r="D7222"/>
      <c r="E7222" s="184"/>
    </row>
    <row r="7223" spans="1:5" ht="14.25">
      <c r="A7223"/>
      <c r="B7223"/>
      <c r="C7223"/>
      <c r="D7223"/>
      <c r="E7223" s="184"/>
    </row>
    <row r="7224" spans="1:5" ht="14.25">
      <c r="A7224"/>
      <c r="B7224"/>
      <c r="C7224"/>
      <c r="D7224"/>
      <c r="E7224" s="184"/>
    </row>
    <row r="7225" spans="1:5" ht="14.25">
      <c r="A7225"/>
      <c r="B7225"/>
      <c r="C7225"/>
      <c r="D7225"/>
      <c r="E7225" s="184"/>
    </row>
    <row r="7226" spans="1:5" ht="14.25">
      <c r="A7226"/>
      <c r="B7226"/>
      <c r="C7226"/>
      <c r="D7226"/>
      <c r="E7226" s="184"/>
    </row>
    <row r="7227" spans="1:5" ht="14.25">
      <c r="A7227"/>
      <c r="B7227"/>
      <c r="C7227"/>
      <c r="D7227"/>
      <c r="E7227" s="184"/>
    </row>
    <row r="7228" spans="1:5" ht="14.25">
      <c r="A7228"/>
      <c r="B7228"/>
      <c r="C7228"/>
      <c r="D7228"/>
      <c r="E7228" s="184"/>
    </row>
    <row r="7229" spans="1:5" ht="14.25">
      <c r="A7229"/>
      <c r="B7229"/>
      <c r="C7229"/>
      <c r="D7229"/>
      <c r="E7229" s="183"/>
    </row>
    <row r="7230" spans="1:5" ht="14.25">
      <c r="A7230"/>
      <c r="B7230"/>
      <c r="C7230"/>
      <c r="D7230"/>
      <c r="E7230" s="183"/>
    </row>
    <row r="7231" spans="1:5" ht="14.25">
      <c r="A7231"/>
      <c r="B7231"/>
      <c r="C7231"/>
      <c r="D7231"/>
      <c r="E7231" s="183"/>
    </row>
    <row r="7232" spans="1:5" ht="14.25">
      <c r="A7232"/>
      <c r="B7232"/>
      <c r="C7232"/>
      <c r="D7232"/>
      <c r="E7232" s="183"/>
    </row>
    <row r="7233" spans="1:5" ht="14.25">
      <c r="A7233"/>
      <c r="B7233"/>
      <c r="C7233"/>
      <c r="D7233"/>
      <c r="E7233" s="183"/>
    </row>
    <row r="7234" spans="1:5" ht="14.25">
      <c r="A7234"/>
      <c r="B7234"/>
      <c r="C7234"/>
      <c r="D7234"/>
      <c r="E7234" s="183"/>
    </row>
    <row r="7235" spans="1:5" ht="14.25">
      <c r="A7235"/>
      <c r="B7235"/>
      <c r="C7235"/>
      <c r="D7235"/>
      <c r="E7235" s="183"/>
    </row>
    <row r="7236" spans="1:5" ht="14.25">
      <c r="A7236"/>
      <c r="B7236"/>
      <c r="C7236"/>
      <c r="D7236"/>
      <c r="E7236" s="183"/>
    </row>
    <row r="7237" spans="1:5" ht="14.25">
      <c r="A7237"/>
      <c r="B7237"/>
      <c r="C7237"/>
      <c r="D7237"/>
      <c r="E7237" s="183"/>
    </row>
    <row r="7238" spans="1:5" ht="14.25">
      <c r="A7238"/>
      <c r="B7238"/>
      <c r="C7238"/>
      <c r="D7238"/>
      <c r="E7238" s="183"/>
    </row>
    <row r="7239" spans="1:5" ht="14.25">
      <c r="A7239"/>
      <c r="B7239"/>
      <c r="C7239"/>
      <c r="D7239"/>
      <c r="E7239" s="183"/>
    </row>
    <row r="7240" spans="1:5" ht="14.25">
      <c r="A7240"/>
      <c r="B7240"/>
      <c r="C7240"/>
      <c r="D7240"/>
      <c r="E7240" s="183"/>
    </row>
    <row r="7241" spans="1:5" ht="14.25">
      <c r="A7241"/>
      <c r="B7241"/>
      <c r="C7241"/>
      <c r="D7241"/>
      <c r="E7241" s="183"/>
    </row>
    <row r="7242" spans="1:5" ht="14.25">
      <c r="A7242"/>
      <c r="B7242"/>
      <c r="C7242"/>
      <c r="D7242"/>
      <c r="E7242" s="183"/>
    </row>
    <row r="7243" spans="1:5" ht="14.25">
      <c r="A7243"/>
      <c r="B7243"/>
      <c r="C7243"/>
      <c r="D7243"/>
      <c r="E7243" s="183"/>
    </row>
    <row r="7244" spans="1:5" ht="14.25">
      <c r="A7244"/>
      <c r="B7244"/>
      <c r="C7244"/>
      <c r="D7244"/>
      <c r="E7244" s="183"/>
    </row>
    <row r="7245" spans="1:5" ht="14.25">
      <c r="A7245"/>
      <c r="B7245"/>
      <c r="C7245"/>
      <c r="D7245"/>
      <c r="E7245" s="183"/>
    </row>
    <row r="7246" spans="1:5" ht="14.25">
      <c r="A7246"/>
      <c r="B7246"/>
      <c r="C7246"/>
      <c r="D7246"/>
      <c r="E7246" s="183"/>
    </row>
    <row r="7247" spans="1:5" ht="14.25">
      <c r="A7247"/>
      <c r="B7247"/>
      <c r="C7247"/>
      <c r="D7247"/>
      <c r="E7247" s="184"/>
    </row>
    <row r="7248" spans="1:5" ht="14.25">
      <c r="A7248"/>
      <c r="B7248"/>
      <c r="C7248"/>
      <c r="D7248"/>
      <c r="E7248" s="184"/>
    </row>
    <row r="7249" spans="1:5" ht="14.25">
      <c r="A7249"/>
      <c r="B7249"/>
      <c r="C7249"/>
      <c r="D7249"/>
      <c r="E7249" s="183"/>
    </row>
    <row r="7250" spans="1:5" ht="14.25">
      <c r="A7250"/>
      <c r="B7250"/>
      <c r="C7250"/>
      <c r="D7250"/>
      <c r="E7250" s="184"/>
    </row>
    <row r="7251" spans="1:5" ht="14.25">
      <c r="A7251"/>
      <c r="B7251"/>
      <c r="C7251"/>
      <c r="D7251"/>
      <c r="E7251" s="183"/>
    </row>
    <row r="7252" spans="1:5" ht="14.25">
      <c r="A7252"/>
      <c r="B7252"/>
      <c r="C7252"/>
      <c r="D7252"/>
      <c r="E7252" s="184"/>
    </row>
    <row r="7253" spans="1:5" ht="14.25">
      <c r="A7253"/>
      <c r="B7253"/>
      <c r="C7253"/>
      <c r="D7253"/>
      <c r="E7253" s="184"/>
    </row>
    <row r="7254" spans="1:5" ht="14.25">
      <c r="A7254"/>
      <c r="B7254"/>
      <c r="C7254"/>
      <c r="D7254"/>
      <c r="E7254" s="183"/>
    </row>
    <row r="7255" spans="1:5" ht="14.25">
      <c r="A7255"/>
      <c r="B7255"/>
      <c r="C7255"/>
      <c r="D7255"/>
      <c r="E7255" s="183"/>
    </row>
    <row r="7256" spans="1:5" ht="14.25">
      <c r="A7256"/>
      <c r="B7256"/>
      <c r="C7256"/>
      <c r="D7256"/>
      <c r="E7256" s="183"/>
    </row>
    <row r="7257" spans="1:5" ht="14.25">
      <c r="A7257"/>
      <c r="B7257"/>
      <c r="C7257"/>
      <c r="D7257"/>
      <c r="E7257" s="183"/>
    </row>
    <row r="7258" spans="1:5" ht="14.25">
      <c r="A7258"/>
      <c r="B7258"/>
      <c r="C7258"/>
      <c r="D7258"/>
      <c r="E7258" s="183"/>
    </row>
    <row r="7259" spans="1:5" ht="14.25">
      <c r="A7259"/>
      <c r="B7259"/>
      <c r="C7259"/>
      <c r="D7259"/>
      <c r="E7259" s="183"/>
    </row>
    <row r="7260" spans="1:5" ht="14.25">
      <c r="A7260"/>
      <c r="B7260"/>
      <c r="C7260"/>
      <c r="D7260"/>
      <c r="E7260" s="183"/>
    </row>
    <row r="7261" spans="1:5" ht="14.25">
      <c r="A7261"/>
      <c r="B7261"/>
      <c r="C7261"/>
      <c r="D7261"/>
      <c r="E7261" s="183"/>
    </row>
    <row r="7262" spans="1:5" ht="14.25">
      <c r="A7262"/>
      <c r="B7262"/>
      <c r="C7262"/>
      <c r="D7262"/>
      <c r="E7262" s="183"/>
    </row>
    <row r="7263" spans="1:5" ht="14.25">
      <c r="A7263"/>
      <c r="B7263"/>
      <c r="C7263"/>
      <c r="D7263"/>
      <c r="E7263" s="183"/>
    </row>
    <row r="7264" spans="1:5" ht="14.25">
      <c r="A7264"/>
      <c r="B7264"/>
      <c r="C7264"/>
      <c r="D7264"/>
      <c r="E7264" s="183"/>
    </row>
    <row r="7265" spans="1:5" ht="14.25">
      <c r="A7265"/>
      <c r="B7265"/>
      <c r="C7265"/>
      <c r="D7265"/>
      <c r="E7265" s="183"/>
    </row>
    <row r="7266" spans="1:5" ht="14.25">
      <c r="A7266"/>
      <c r="B7266"/>
      <c r="C7266"/>
      <c r="D7266"/>
      <c r="E7266" s="183"/>
    </row>
    <row r="7267" spans="1:5" ht="14.25">
      <c r="A7267"/>
      <c r="B7267"/>
      <c r="C7267"/>
      <c r="D7267"/>
      <c r="E7267" s="183"/>
    </row>
    <row r="7268" spans="1:5" ht="14.25">
      <c r="A7268"/>
      <c r="B7268"/>
      <c r="C7268"/>
      <c r="D7268"/>
      <c r="E7268" s="183"/>
    </row>
    <row r="7269" spans="1:5" ht="14.25">
      <c r="A7269"/>
      <c r="B7269"/>
      <c r="C7269"/>
      <c r="D7269"/>
      <c r="E7269" s="183"/>
    </row>
    <row r="7270" spans="1:5" ht="14.25">
      <c r="A7270"/>
      <c r="B7270"/>
      <c r="C7270"/>
      <c r="D7270"/>
      <c r="E7270" s="183"/>
    </row>
    <row r="7271" spans="1:5" ht="14.25">
      <c r="A7271"/>
      <c r="B7271"/>
      <c r="C7271"/>
      <c r="D7271"/>
      <c r="E7271" s="183"/>
    </row>
    <row r="7272" spans="1:5" ht="14.25">
      <c r="A7272"/>
      <c r="B7272"/>
      <c r="C7272"/>
      <c r="D7272"/>
      <c r="E7272" s="183"/>
    </row>
    <row r="7273" spans="1:5" ht="14.25">
      <c r="A7273"/>
      <c r="B7273"/>
      <c r="C7273"/>
      <c r="D7273"/>
      <c r="E7273" s="183"/>
    </row>
    <row r="7274" spans="1:5" ht="14.25">
      <c r="A7274"/>
      <c r="B7274"/>
      <c r="C7274"/>
      <c r="D7274"/>
      <c r="E7274" s="183"/>
    </row>
    <row r="7275" spans="1:5" ht="14.25">
      <c r="A7275"/>
      <c r="B7275"/>
      <c r="C7275"/>
      <c r="D7275"/>
      <c r="E7275" s="183"/>
    </row>
    <row r="7276" spans="1:5" ht="14.25">
      <c r="A7276"/>
      <c r="B7276"/>
      <c r="C7276"/>
      <c r="D7276"/>
      <c r="E7276" s="183"/>
    </row>
    <row r="7277" spans="1:5" ht="14.25">
      <c r="A7277"/>
      <c r="B7277"/>
      <c r="C7277"/>
      <c r="D7277"/>
      <c r="E7277" s="183"/>
    </row>
    <row r="7278" spans="1:5" ht="14.25">
      <c r="A7278"/>
      <c r="B7278"/>
      <c r="C7278"/>
      <c r="D7278"/>
      <c r="E7278" s="183"/>
    </row>
    <row r="7279" spans="1:5" ht="14.25">
      <c r="A7279"/>
      <c r="B7279"/>
      <c r="C7279"/>
      <c r="D7279"/>
      <c r="E7279" s="183"/>
    </row>
    <row r="7280" spans="1:5" ht="14.25">
      <c r="A7280"/>
      <c r="B7280"/>
      <c r="C7280"/>
      <c r="D7280"/>
      <c r="E7280" s="183"/>
    </row>
    <row r="7281" spans="1:5" ht="14.25">
      <c r="A7281"/>
      <c r="B7281"/>
      <c r="C7281"/>
      <c r="D7281"/>
      <c r="E7281" s="183"/>
    </row>
    <row r="7282" spans="1:5" ht="14.25">
      <c r="A7282"/>
      <c r="B7282"/>
      <c r="C7282"/>
      <c r="D7282"/>
      <c r="E7282" s="183"/>
    </row>
    <row r="7283" spans="1:5" ht="14.25">
      <c r="A7283"/>
      <c r="B7283"/>
      <c r="C7283"/>
      <c r="D7283"/>
      <c r="E7283" s="184"/>
    </row>
    <row r="7284" spans="1:5" ht="14.25">
      <c r="A7284"/>
      <c r="B7284"/>
      <c r="C7284"/>
      <c r="D7284"/>
      <c r="E7284" s="183"/>
    </row>
    <row r="7285" spans="1:5" ht="14.25">
      <c r="A7285"/>
      <c r="B7285"/>
      <c r="C7285"/>
      <c r="D7285"/>
      <c r="E7285" s="184"/>
    </row>
    <row r="7286" spans="1:5" ht="14.25">
      <c r="A7286"/>
      <c r="B7286"/>
      <c r="C7286"/>
      <c r="D7286"/>
      <c r="E7286" s="183"/>
    </row>
    <row r="7287" spans="1:5" ht="14.25">
      <c r="A7287"/>
      <c r="B7287"/>
      <c r="C7287"/>
      <c r="D7287"/>
      <c r="E7287" s="184"/>
    </row>
    <row r="7288" spans="1:5" ht="14.25">
      <c r="A7288"/>
      <c r="B7288"/>
      <c r="C7288"/>
      <c r="D7288"/>
      <c r="E7288" s="183"/>
    </row>
    <row r="7289" spans="1:5" ht="14.25">
      <c r="A7289"/>
      <c r="B7289"/>
      <c r="C7289"/>
      <c r="D7289"/>
      <c r="E7289" s="183"/>
    </row>
    <row r="7290" spans="1:5" ht="14.25">
      <c r="A7290"/>
      <c r="B7290"/>
      <c r="C7290"/>
      <c r="D7290"/>
      <c r="E7290" s="183"/>
    </row>
    <row r="7291" spans="1:5" ht="14.25">
      <c r="A7291"/>
      <c r="B7291"/>
      <c r="C7291"/>
      <c r="D7291"/>
      <c r="E7291" s="183"/>
    </row>
    <row r="7292" spans="1:5" ht="14.25">
      <c r="A7292"/>
      <c r="B7292"/>
      <c r="C7292"/>
      <c r="D7292"/>
      <c r="E7292" s="183"/>
    </row>
    <row r="7293" spans="1:5" ht="14.25">
      <c r="A7293"/>
      <c r="B7293"/>
      <c r="C7293"/>
      <c r="D7293"/>
      <c r="E7293" s="183"/>
    </row>
    <row r="7294" spans="1:5" ht="14.25">
      <c r="A7294"/>
      <c r="B7294"/>
      <c r="C7294"/>
      <c r="D7294"/>
      <c r="E7294" s="183"/>
    </row>
    <row r="7295" spans="1:5" ht="14.25">
      <c r="A7295"/>
      <c r="B7295"/>
      <c r="C7295"/>
      <c r="D7295"/>
      <c r="E7295" s="183"/>
    </row>
    <row r="7296" spans="1:5" ht="14.25">
      <c r="A7296"/>
      <c r="B7296"/>
      <c r="C7296"/>
      <c r="D7296"/>
      <c r="E7296" s="183"/>
    </row>
    <row r="7297" spans="1:5" ht="14.25">
      <c r="A7297"/>
      <c r="B7297"/>
      <c r="C7297"/>
      <c r="D7297"/>
      <c r="E7297" s="183"/>
    </row>
    <row r="7298" spans="1:5" ht="14.25">
      <c r="A7298"/>
      <c r="B7298"/>
      <c r="C7298"/>
      <c r="D7298"/>
      <c r="E7298" s="183"/>
    </row>
    <row r="7299" spans="1:5" ht="14.25">
      <c r="A7299"/>
      <c r="B7299"/>
      <c r="C7299"/>
      <c r="D7299"/>
      <c r="E7299" s="183"/>
    </row>
    <row r="7300" spans="1:5" ht="14.25">
      <c r="A7300"/>
      <c r="B7300"/>
      <c r="C7300"/>
      <c r="D7300"/>
      <c r="E7300" s="183"/>
    </row>
    <row r="7301" spans="1:5" ht="14.25">
      <c r="A7301"/>
      <c r="B7301"/>
      <c r="C7301"/>
      <c r="D7301"/>
      <c r="E7301" s="183"/>
    </row>
    <row r="7302" spans="1:5" ht="14.25">
      <c r="A7302"/>
      <c r="B7302"/>
      <c r="C7302"/>
      <c r="D7302"/>
      <c r="E7302" s="183"/>
    </row>
    <row r="7303" spans="1:5" ht="14.25">
      <c r="A7303"/>
      <c r="B7303"/>
      <c r="C7303"/>
      <c r="D7303"/>
      <c r="E7303" s="184"/>
    </row>
    <row r="7304" spans="1:5" ht="14.25">
      <c r="A7304"/>
      <c r="B7304"/>
      <c r="C7304"/>
      <c r="D7304"/>
      <c r="E7304" s="184"/>
    </row>
    <row r="7305" spans="1:5" ht="14.25">
      <c r="A7305"/>
      <c r="B7305"/>
      <c r="C7305"/>
      <c r="D7305"/>
      <c r="E7305" s="184"/>
    </row>
    <row r="7306" spans="1:5" ht="14.25">
      <c r="A7306"/>
      <c r="B7306"/>
      <c r="C7306"/>
      <c r="D7306"/>
      <c r="E7306" s="184"/>
    </row>
    <row r="7307" spans="1:5" ht="14.25">
      <c r="A7307"/>
      <c r="B7307"/>
      <c r="C7307"/>
      <c r="D7307"/>
      <c r="E7307" s="184"/>
    </row>
    <row r="7308" spans="1:5" ht="14.25">
      <c r="A7308"/>
      <c r="B7308"/>
      <c r="C7308"/>
      <c r="D7308"/>
      <c r="E7308" s="183"/>
    </row>
    <row r="7309" spans="1:5" ht="14.25">
      <c r="A7309"/>
      <c r="B7309"/>
      <c r="C7309"/>
      <c r="D7309"/>
      <c r="E7309" s="183"/>
    </row>
    <row r="7310" spans="1:5" ht="14.25">
      <c r="A7310"/>
      <c r="B7310"/>
      <c r="C7310"/>
      <c r="D7310"/>
      <c r="E7310" s="183"/>
    </row>
    <row r="7311" spans="1:5" ht="14.25">
      <c r="A7311"/>
      <c r="B7311"/>
      <c r="C7311"/>
      <c r="D7311"/>
      <c r="E7311" s="183"/>
    </row>
    <row r="7312" spans="1:5" ht="14.25">
      <c r="A7312"/>
      <c r="B7312"/>
      <c r="C7312"/>
      <c r="D7312"/>
      <c r="E7312" s="184"/>
    </row>
    <row r="7313" spans="1:5" ht="14.25">
      <c r="A7313"/>
      <c r="B7313"/>
      <c r="C7313"/>
      <c r="D7313"/>
      <c r="E7313" s="184"/>
    </row>
    <row r="7314" spans="1:5" ht="14.25">
      <c r="A7314"/>
      <c r="B7314"/>
      <c r="C7314"/>
      <c r="D7314"/>
      <c r="E7314" s="184"/>
    </row>
    <row r="7315" spans="1:5" ht="14.25">
      <c r="A7315"/>
      <c r="B7315"/>
      <c r="C7315"/>
      <c r="D7315"/>
      <c r="E7315" s="183"/>
    </row>
    <row r="7316" spans="1:5" ht="14.25">
      <c r="A7316"/>
      <c r="B7316"/>
      <c r="C7316"/>
      <c r="D7316"/>
      <c r="E7316" s="184"/>
    </row>
    <row r="7317" spans="1:5" ht="14.25">
      <c r="A7317"/>
      <c r="B7317"/>
      <c r="C7317"/>
      <c r="D7317"/>
      <c r="E7317" s="183"/>
    </row>
    <row r="7318" spans="1:5" ht="14.25">
      <c r="A7318"/>
      <c r="B7318"/>
      <c r="C7318"/>
      <c r="D7318"/>
      <c r="E7318" s="183"/>
    </row>
    <row r="7319" spans="1:5" ht="14.25">
      <c r="A7319"/>
      <c r="B7319"/>
      <c r="C7319"/>
      <c r="D7319"/>
      <c r="E7319" s="183"/>
    </row>
    <row r="7320" spans="1:5" ht="14.25">
      <c r="A7320"/>
      <c r="B7320"/>
      <c r="C7320"/>
      <c r="D7320"/>
      <c r="E7320" s="183"/>
    </row>
    <row r="7321" spans="1:5" ht="14.25">
      <c r="A7321"/>
      <c r="B7321"/>
      <c r="C7321"/>
      <c r="D7321"/>
      <c r="E7321" s="183"/>
    </row>
    <row r="7322" spans="1:5" ht="14.25">
      <c r="A7322"/>
      <c r="B7322"/>
      <c r="C7322"/>
      <c r="D7322"/>
      <c r="E7322" s="183"/>
    </row>
    <row r="7323" spans="1:5" ht="14.25">
      <c r="A7323"/>
      <c r="B7323"/>
      <c r="C7323"/>
      <c r="D7323"/>
      <c r="E7323" s="183"/>
    </row>
    <row r="7324" spans="1:5" ht="14.25">
      <c r="A7324"/>
      <c r="B7324"/>
      <c r="C7324"/>
      <c r="D7324"/>
      <c r="E7324" s="184"/>
    </row>
    <row r="7325" spans="1:5" ht="14.25">
      <c r="A7325"/>
      <c r="B7325"/>
      <c r="C7325"/>
      <c r="D7325"/>
      <c r="E7325" s="183"/>
    </row>
    <row r="7326" spans="1:5" ht="14.25">
      <c r="A7326"/>
      <c r="B7326"/>
      <c r="C7326"/>
      <c r="D7326"/>
      <c r="E7326" s="184"/>
    </row>
    <row r="7327" spans="1:5" ht="14.25">
      <c r="A7327"/>
      <c r="B7327"/>
      <c r="C7327"/>
      <c r="D7327"/>
      <c r="E7327" s="183"/>
    </row>
    <row r="7328" spans="1:5" ht="14.25">
      <c r="A7328"/>
      <c r="B7328"/>
      <c r="C7328"/>
      <c r="D7328"/>
      <c r="E7328" s="184"/>
    </row>
    <row r="7329" spans="1:5" ht="14.25">
      <c r="A7329"/>
      <c r="B7329"/>
      <c r="C7329"/>
      <c r="D7329"/>
      <c r="E7329" s="184"/>
    </row>
    <row r="7330" spans="1:5" ht="14.25">
      <c r="A7330"/>
      <c r="B7330"/>
      <c r="C7330"/>
      <c r="D7330"/>
      <c r="E7330" s="184"/>
    </row>
    <row r="7331" spans="1:5" ht="14.25">
      <c r="A7331"/>
      <c r="B7331"/>
      <c r="C7331"/>
      <c r="D7331"/>
      <c r="E7331" s="184"/>
    </row>
    <row r="7332" spans="1:5" ht="14.25">
      <c r="A7332"/>
      <c r="B7332"/>
      <c r="C7332"/>
      <c r="D7332"/>
      <c r="E7332" s="184"/>
    </row>
    <row r="7333" spans="1:5" ht="14.25">
      <c r="A7333"/>
      <c r="B7333"/>
      <c r="C7333"/>
      <c r="D7333"/>
      <c r="E7333" s="184"/>
    </row>
    <row r="7334" spans="1:5" ht="14.25">
      <c r="A7334"/>
      <c r="B7334"/>
      <c r="C7334"/>
      <c r="D7334"/>
      <c r="E7334" s="184"/>
    </row>
    <row r="7335" spans="1:5" ht="14.25">
      <c r="A7335"/>
      <c r="B7335"/>
      <c r="C7335"/>
      <c r="D7335"/>
      <c r="E7335" s="184"/>
    </row>
    <row r="7336" spans="1:5" ht="14.25">
      <c r="A7336"/>
      <c r="B7336"/>
      <c r="C7336"/>
      <c r="D7336"/>
      <c r="E7336" s="184"/>
    </row>
    <row r="7337" spans="1:5" ht="14.25">
      <c r="A7337"/>
      <c r="B7337"/>
      <c r="C7337"/>
      <c r="D7337"/>
      <c r="E7337" s="184"/>
    </row>
    <row r="7338" spans="1:5" ht="14.25">
      <c r="A7338"/>
      <c r="B7338"/>
      <c r="C7338"/>
      <c r="D7338"/>
      <c r="E7338" s="184"/>
    </row>
    <row r="7339" spans="1:5" ht="14.25">
      <c r="A7339"/>
      <c r="B7339"/>
      <c r="C7339"/>
      <c r="D7339"/>
      <c r="E7339" s="184"/>
    </row>
    <row r="7340" spans="1:5" ht="14.25">
      <c r="A7340"/>
      <c r="B7340"/>
      <c r="C7340"/>
      <c r="D7340"/>
      <c r="E7340" s="184"/>
    </row>
    <row r="7341" spans="1:5" ht="14.25">
      <c r="A7341"/>
      <c r="B7341"/>
      <c r="C7341"/>
      <c r="D7341"/>
      <c r="E7341" s="183"/>
    </row>
    <row r="7342" spans="1:5" ht="14.25">
      <c r="A7342"/>
      <c r="B7342"/>
      <c r="C7342"/>
      <c r="D7342"/>
      <c r="E7342" s="184"/>
    </row>
    <row r="7343" spans="1:5" ht="14.25">
      <c r="A7343"/>
      <c r="B7343"/>
      <c r="C7343"/>
      <c r="D7343"/>
      <c r="E7343" s="183"/>
    </row>
    <row r="7344" spans="1:5" ht="14.25">
      <c r="A7344"/>
      <c r="B7344"/>
      <c r="C7344"/>
      <c r="D7344"/>
      <c r="E7344" s="184"/>
    </row>
    <row r="7345" spans="1:5" ht="14.25">
      <c r="A7345"/>
      <c r="B7345"/>
      <c r="C7345"/>
      <c r="D7345"/>
      <c r="E7345" s="183"/>
    </row>
    <row r="7346" spans="1:5" ht="14.25">
      <c r="A7346"/>
      <c r="B7346"/>
      <c r="C7346"/>
      <c r="D7346"/>
      <c r="E7346" s="184"/>
    </row>
    <row r="7347" spans="1:5" ht="14.25">
      <c r="A7347"/>
      <c r="B7347"/>
      <c r="C7347"/>
      <c r="D7347"/>
      <c r="E7347" s="183"/>
    </row>
    <row r="7348" spans="1:5" ht="14.25">
      <c r="A7348"/>
      <c r="B7348"/>
      <c r="C7348"/>
      <c r="D7348"/>
      <c r="E7348" s="184"/>
    </row>
    <row r="7349" spans="1:5" ht="14.25">
      <c r="A7349"/>
      <c r="B7349"/>
      <c r="C7349"/>
      <c r="D7349"/>
      <c r="E7349" s="183"/>
    </row>
    <row r="7350" spans="1:5" ht="14.25">
      <c r="A7350"/>
      <c r="B7350"/>
      <c r="C7350"/>
      <c r="D7350"/>
      <c r="E7350" s="184"/>
    </row>
    <row r="7351" spans="1:5" ht="14.25">
      <c r="A7351"/>
      <c r="B7351"/>
      <c r="C7351"/>
      <c r="D7351"/>
      <c r="E7351" s="183"/>
    </row>
    <row r="7352" spans="1:5" ht="14.25">
      <c r="A7352"/>
      <c r="B7352"/>
      <c r="C7352"/>
      <c r="D7352"/>
      <c r="E7352" s="184"/>
    </row>
    <row r="7353" spans="1:5" ht="14.25">
      <c r="A7353"/>
      <c r="B7353"/>
      <c r="C7353"/>
      <c r="D7353"/>
      <c r="E7353" s="184"/>
    </row>
    <row r="7354" spans="1:5" ht="14.25">
      <c r="A7354"/>
      <c r="B7354"/>
      <c r="C7354"/>
      <c r="D7354"/>
      <c r="E7354" s="183"/>
    </row>
    <row r="7355" spans="1:5" ht="14.25">
      <c r="A7355"/>
      <c r="B7355"/>
      <c r="C7355"/>
      <c r="D7355"/>
      <c r="E7355" s="183"/>
    </row>
    <row r="7356" spans="1:5" ht="14.25">
      <c r="A7356"/>
      <c r="B7356"/>
      <c r="C7356"/>
      <c r="D7356"/>
      <c r="E7356" s="183"/>
    </row>
    <row r="7357" spans="1:5" ht="14.25">
      <c r="A7357"/>
      <c r="B7357"/>
      <c r="C7357"/>
      <c r="D7357"/>
      <c r="E7357" s="183"/>
    </row>
    <row r="7358" spans="1:5" ht="14.25">
      <c r="A7358"/>
      <c r="B7358"/>
      <c r="C7358"/>
      <c r="D7358"/>
      <c r="E7358" s="183"/>
    </row>
    <row r="7359" spans="1:5" ht="14.25">
      <c r="A7359"/>
      <c r="B7359"/>
      <c r="C7359"/>
      <c r="D7359"/>
      <c r="E7359" s="183"/>
    </row>
    <row r="7360" spans="1:5" ht="14.25">
      <c r="A7360"/>
      <c r="B7360"/>
      <c r="C7360"/>
      <c r="D7360"/>
      <c r="E7360" s="183"/>
    </row>
    <row r="7361" spans="1:5" ht="14.25">
      <c r="A7361"/>
      <c r="B7361"/>
      <c r="C7361"/>
      <c r="D7361"/>
      <c r="E7361" s="183"/>
    </row>
    <row r="7362" spans="1:5" ht="14.25">
      <c r="A7362"/>
      <c r="B7362"/>
      <c r="C7362"/>
      <c r="D7362"/>
      <c r="E7362" s="183"/>
    </row>
    <row r="7363" spans="1:5" ht="14.25">
      <c r="A7363"/>
      <c r="B7363"/>
      <c r="C7363"/>
      <c r="D7363"/>
      <c r="E7363" s="183"/>
    </row>
    <row r="7364" spans="1:5" ht="14.25">
      <c r="A7364"/>
      <c r="B7364"/>
      <c r="C7364"/>
      <c r="D7364"/>
      <c r="E7364" s="183"/>
    </row>
    <row r="7365" spans="1:5" ht="14.25">
      <c r="A7365"/>
      <c r="B7365"/>
      <c r="C7365"/>
      <c r="D7365"/>
      <c r="E7365" s="183"/>
    </row>
    <row r="7366" spans="1:5" ht="14.25">
      <c r="A7366"/>
      <c r="B7366"/>
      <c r="C7366"/>
      <c r="D7366"/>
      <c r="E7366" s="183"/>
    </row>
    <row r="7367" spans="1:5" ht="14.25">
      <c r="A7367"/>
      <c r="B7367"/>
      <c r="C7367"/>
      <c r="D7367"/>
      <c r="E7367" s="183"/>
    </row>
    <row r="7368" spans="1:5" ht="14.25">
      <c r="A7368"/>
      <c r="B7368"/>
      <c r="C7368"/>
      <c r="D7368"/>
      <c r="E7368" s="183"/>
    </row>
    <row r="7369" spans="1:5" ht="14.25">
      <c r="A7369"/>
      <c r="B7369"/>
      <c r="C7369"/>
      <c r="D7369"/>
      <c r="E7369" s="184"/>
    </row>
    <row r="7370" spans="1:5" ht="14.25">
      <c r="A7370"/>
      <c r="B7370"/>
      <c r="C7370"/>
      <c r="D7370"/>
      <c r="E7370" s="183"/>
    </row>
    <row r="7371" spans="1:5" ht="14.25">
      <c r="A7371"/>
      <c r="B7371"/>
      <c r="C7371"/>
      <c r="D7371"/>
      <c r="E7371" s="183"/>
    </row>
    <row r="7372" spans="1:5" ht="14.25">
      <c r="A7372"/>
      <c r="B7372"/>
      <c r="C7372"/>
      <c r="D7372"/>
      <c r="E7372" s="183"/>
    </row>
    <row r="7373" spans="1:5" ht="14.25">
      <c r="A7373"/>
      <c r="B7373"/>
      <c r="C7373"/>
      <c r="D7373"/>
      <c r="E7373" s="183"/>
    </row>
    <row r="7374" spans="1:5" ht="14.25">
      <c r="A7374"/>
      <c r="B7374"/>
      <c r="C7374"/>
      <c r="D7374"/>
      <c r="E7374" s="183"/>
    </row>
    <row r="7375" spans="1:5" ht="14.25">
      <c r="A7375"/>
      <c r="B7375"/>
      <c r="C7375"/>
      <c r="D7375"/>
      <c r="E7375" s="183"/>
    </row>
    <row r="7376" spans="1:5" ht="14.25">
      <c r="A7376"/>
      <c r="B7376"/>
      <c r="C7376"/>
      <c r="D7376"/>
      <c r="E7376" s="183"/>
    </row>
    <row r="7377" spans="1:5" ht="14.25">
      <c r="A7377"/>
      <c r="B7377"/>
      <c r="C7377"/>
      <c r="D7377"/>
      <c r="E7377" s="183"/>
    </row>
    <row r="7378" spans="1:5" ht="14.25">
      <c r="A7378"/>
      <c r="B7378"/>
      <c r="C7378"/>
      <c r="D7378"/>
      <c r="E7378" s="183"/>
    </row>
    <row r="7379" spans="1:5" ht="14.25">
      <c r="A7379"/>
      <c r="B7379"/>
      <c r="C7379"/>
      <c r="D7379"/>
      <c r="E7379" s="183"/>
    </row>
    <row r="7380" spans="1:5" ht="14.25">
      <c r="A7380"/>
      <c r="B7380"/>
      <c r="C7380"/>
      <c r="D7380"/>
      <c r="E7380" s="183"/>
    </row>
    <row r="7381" spans="1:5" ht="14.25">
      <c r="A7381"/>
      <c r="B7381"/>
      <c r="C7381"/>
      <c r="D7381"/>
      <c r="E7381" s="183"/>
    </row>
    <row r="7382" spans="1:5" ht="14.25">
      <c r="A7382"/>
      <c r="B7382"/>
      <c r="C7382"/>
      <c r="D7382"/>
      <c r="E7382" s="183"/>
    </row>
    <row r="7383" spans="1:5" ht="14.25">
      <c r="A7383"/>
      <c r="B7383"/>
      <c r="C7383"/>
      <c r="D7383"/>
      <c r="E7383" s="183"/>
    </row>
    <row r="7384" spans="1:5" ht="14.25">
      <c r="A7384"/>
      <c r="B7384"/>
      <c r="C7384"/>
      <c r="D7384"/>
      <c r="E7384" s="183"/>
    </row>
    <row r="7385" spans="1:5" ht="14.25">
      <c r="A7385"/>
      <c r="B7385"/>
      <c r="C7385"/>
      <c r="D7385"/>
      <c r="E7385" s="183"/>
    </row>
    <row r="7386" spans="1:5" ht="14.25">
      <c r="A7386"/>
      <c r="B7386"/>
      <c r="C7386"/>
      <c r="D7386"/>
      <c r="E7386" s="183"/>
    </row>
    <row r="7387" spans="1:5" ht="14.25">
      <c r="A7387"/>
      <c r="B7387"/>
      <c r="C7387"/>
      <c r="D7387"/>
      <c r="E7387" s="183"/>
    </row>
    <row r="7388" spans="1:5" ht="14.25">
      <c r="A7388"/>
      <c r="B7388"/>
      <c r="C7388"/>
      <c r="D7388"/>
      <c r="E7388" s="183"/>
    </row>
    <row r="7389" spans="1:5" ht="14.25">
      <c r="A7389"/>
      <c r="B7389"/>
      <c r="C7389"/>
      <c r="D7389"/>
      <c r="E7389" s="183"/>
    </row>
    <row r="7390" spans="1:5" ht="14.25">
      <c r="A7390"/>
      <c r="B7390"/>
      <c r="C7390"/>
      <c r="D7390"/>
      <c r="E7390" s="183"/>
    </row>
    <row r="7391" spans="1:5" ht="14.25">
      <c r="A7391"/>
      <c r="B7391"/>
      <c r="C7391"/>
      <c r="D7391"/>
      <c r="E7391" s="183"/>
    </row>
    <row r="7392" spans="1:5" ht="14.25">
      <c r="A7392"/>
      <c r="B7392"/>
      <c r="C7392"/>
      <c r="D7392"/>
      <c r="E7392" s="183"/>
    </row>
    <row r="7393" spans="1:5" ht="14.25">
      <c r="A7393"/>
      <c r="B7393"/>
      <c r="C7393"/>
      <c r="D7393"/>
      <c r="E7393" s="183"/>
    </row>
    <row r="7394" spans="1:5" ht="14.25">
      <c r="A7394"/>
      <c r="B7394"/>
      <c r="C7394"/>
      <c r="D7394"/>
      <c r="E7394" s="183"/>
    </row>
    <row r="7395" spans="1:5" ht="14.25">
      <c r="A7395"/>
      <c r="B7395"/>
      <c r="C7395"/>
      <c r="D7395"/>
      <c r="E7395" s="183"/>
    </row>
    <row r="7396" spans="1:5" ht="14.25">
      <c r="A7396"/>
      <c r="B7396"/>
      <c r="C7396"/>
      <c r="D7396"/>
      <c r="E7396" s="183"/>
    </row>
    <row r="7397" spans="1:5" ht="14.25">
      <c r="A7397"/>
      <c r="B7397"/>
      <c r="C7397"/>
      <c r="D7397"/>
      <c r="E7397" s="183"/>
    </row>
    <row r="7398" spans="1:5" ht="14.25">
      <c r="A7398"/>
      <c r="B7398"/>
      <c r="C7398"/>
      <c r="D7398"/>
      <c r="E7398" s="183"/>
    </row>
    <row r="7399" spans="1:5" ht="14.25">
      <c r="A7399"/>
      <c r="B7399"/>
      <c r="C7399"/>
      <c r="D7399"/>
      <c r="E7399" s="183"/>
    </row>
    <row r="7400" spans="1:5" ht="14.25">
      <c r="A7400"/>
      <c r="B7400"/>
      <c r="C7400"/>
      <c r="D7400"/>
      <c r="E7400" s="183"/>
    </row>
    <row r="7401" spans="1:5" ht="14.25">
      <c r="A7401"/>
      <c r="B7401"/>
      <c r="C7401"/>
      <c r="D7401"/>
      <c r="E7401" s="183"/>
    </row>
    <row r="7402" spans="1:5" ht="14.25">
      <c r="A7402"/>
      <c r="B7402"/>
      <c r="C7402"/>
      <c r="D7402"/>
      <c r="E7402" s="183"/>
    </row>
    <row r="7403" spans="1:5" ht="14.25">
      <c r="A7403"/>
      <c r="B7403"/>
      <c r="C7403"/>
      <c r="D7403"/>
      <c r="E7403" s="183"/>
    </row>
    <row r="7404" spans="1:5" ht="14.25">
      <c r="A7404"/>
      <c r="B7404"/>
      <c r="C7404"/>
      <c r="D7404"/>
      <c r="E7404" s="183"/>
    </row>
    <row r="7405" spans="1:5" ht="14.25">
      <c r="A7405"/>
      <c r="B7405"/>
      <c r="C7405"/>
      <c r="D7405"/>
      <c r="E7405" s="183"/>
    </row>
    <row r="7406" spans="1:5" ht="14.25">
      <c r="A7406"/>
      <c r="B7406"/>
      <c r="C7406"/>
      <c r="D7406"/>
      <c r="E7406" s="183"/>
    </row>
    <row r="7407" spans="1:5" ht="14.25">
      <c r="A7407"/>
      <c r="B7407"/>
      <c r="C7407"/>
      <c r="D7407"/>
      <c r="E7407" s="183"/>
    </row>
    <row r="7408" spans="1:5" ht="14.25">
      <c r="A7408"/>
      <c r="B7408"/>
      <c r="C7408"/>
      <c r="D7408"/>
      <c r="E7408" s="183"/>
    </row>
    <row r="7409" spans="1:5" ht="14.25">
      <c r="A7409"/>
      <c r="B7409"/>
      <c r="C7409"/>
      <c r="D7409"/>
      <c r="E7409" s="183"/>
    </row>
    <row r="7410" spans="1:5" ht="14.25">
      <c r="A7410"/>
      <c r="B7410"/>
      <c r="C7410"/>
      <c r="D7410"/>
      <c r="E7410" s="183"/>
    </row>
    <row r="7411" spans="1:5" ht="14.25">
      <c r="A7411"/>
      <c r="B7411"/>
      <c r="C7411"/>
      <c r="D7411"/>
      <c r="E7411" s="184"/>
    </row>
    <row r="7412" spans="1:5" ht="14.25">
      <c r="A7412"/>
      <c r="B7412"/>
      <c r="C7412"/>
      <c r="D7412"/>
      <c r="E7412" s="184"/>
    </row>
    <row r="7413" spans="1:5" ht="14.25">
      <c r="A7413"/>
      <c r="B7413"/>
      <c r="C7413"/>
      <c r="D7413"/>
      <c r="E7413" s="184"/>
    </row>
    <row r="7414" spans="1:5" ht="14.25">
      <c r="A7414"/>
      <c r="B7414"/>
      <c r="C7414"/>
      <c r="D7414"/>
      <c r="E7414" s="184"/>
    </row>
    <row r="7415" spans="1:5" ht="14.25">
      <c r="A7415"/>
      <c r="B7415"/>
      <c r="C7415"/>
      <c r="D7415"/>
      <c r="E7415" s="184"/>
    </row>
    <row r="7416" spans="1:5" ht="14.25">
      <c r="A7416"/>
      <c r="B7416"/>
      <c r="C7416"/>
      <c r="D7416"/>
      <c r="E7416" s="184"/>
    </row>
    <row r="7417" spans="1:5" ht="14.25">
      <c r="A7417"/>
      <c r="B7417"/>
      <c r="C7417"/>
      <c r="D7417"/>
      <c r="E7417" s="183"/>
    </row>
    <row r="7418" spans="1:5" ht="14.25">
      <c r="A7418"/>
      <c r="B7418"/>
      <c r="C7418"/>
      <c r="D7418"/>
      <c r="E7418" s="183"/>
    </row>
    <row r="7419" spans="1:5" ht="14.25">
      <c r="A7419"/>
      <c r="B7419"/>
      <c r="C7419"/>
      <c r="D7419"/>
      <c r="E7419" s="183"/>
    </row>
    <row r="7420" spans="1:5" ht="14.25">
      <c r="A7420"/>
      <c r="B7420"/>
      <c r="C7420"/>
      <c r="D7420"/>
      <c r="E7420" s="183"/>
    </row>
    <row r="7421" spans="1:5" ht="14.25">
      <c r="A7421"/>
      <c r="B7421"/>
      <c r="C7421"/>
      <c r="D7421"/>
      <c r="E7421" s="183"/>
    </row>
    <row r="7422" spans="1:5" ht="14.25">
      <c r="A7422"/>
      <c r="B7422"/>
      <c r="C7422"/>
      <c r="D7422"/>
      <c r="E7422" s="183"/>
    </row>
    <row r="7423" spans="1:5" ht="14.25">
      <c r="A7423"/>
      <c r="B7423"/>
      <c r="C7423"/>
      <c r="D7423"/>
      <c r="E7423" s="183"/>
    </row>
    <row r="7424" spans="1:5" ht="14.25">
      <c r="A7424"/>
      <c r="B7424"/>
      <c r="C7424"/>
      <c r="D7424"/>
      <c r="E7424" s="183"/>
    </row>
    <row r="7425" spans="1:5" ht="14.25">
      <c r="A7425"/>
      <c r="B7425"/>
      <c r="C7425"/>
      <c r="D7425"/>
      <c r="E7425" s="184"/>
    </row>
    <row r="7426" spans="1:5" ht="14.25">
      <c r="A7426"/>
      <c r="B7426"/>
      <c r="C7426"/>
      <c r="D7426"/>
      <c r="E7426" s="183"/>
    </row>
    <row r="7427" spans="1:5" ht="14.25">
      <c r="A7427"/>
      <c r="B7427"/>
      <c r="C7427"/>
      <c r="D7427"/>
      <c r="E7427" s="184"/>
    </row>
    <row r="7428" spans="1:5" ht="14.25">
      <c r="A7428"/>
      <c r="B7428"/>
      <c r="C7428"/>
      <c r="D7428"/>
      <c r="E7428" s="183"/>
    </row>
    <row r="7429" spans="1:5" ht="14.25">
      <c r="A7429"/>
      <c r="B7429"/>
      <c r="C7429"/>
      <c r="D7429"/>
      <c r="E7429" s="184"/>
    </row>
    <row r="7430" spans="1:5" ht="14.25">
      <c r="A7430"/>
      <c r="B7430"/>
      <c r="C7430"/>
      <c r="D7430"/>
      <c r="E7430" s="183"/>
    </row>
    <row r="7431" spans="1:5" ht="14.25">
      <c r="A7431"/>
      <c r="B7431"/>
      <c r="C7431"/>
      <c r="D7431"/>
      <c r="E7431" s="184"/>
    </row>
    <row r="7432" spans="1:5" ht="14.25">
      <c r="A7432"/>
      <c r="B7432"/>
      <c r="C7432"/>
      <c r="D7432"/>
      <c r="E7432" s="183"/>
    </row>
    <row r="7433" spans="1:5" ht="14.25">
      <c r="A7433"/>
      <c r="B7433"/>
      <c r="C7433"/>
      <c r="D7433"/>
      <c r="E7433" s="184"/>
    </row>
    <row r="7434" spans="1:5" ht="14.25">
      <c r="A7434"/>
      <c r="B7434"/>
      <c r="C7434"/>
      <c r="D7434"/>
      <c r="E7434" s="183"/>
    </row>
    <row r="7435" spans="1:5" ht="14.25">
      <c r="A7435"/>
      <c r="B7435"/>
      <c r="C7435"/>
      <c r="D7435"/>
      <c r="E7435" s="184"/>
    </row>
    <row r="7436" spans="1:5" ht="14.25">
      <c r="A7436"/>
      <c r="B7436"/>
      <c r="C7436"/>
      <c r="D7436"/>
      <c r="E7436" s="183"/>
    </row>
    <row r="7437" spans="1:5" ht="14.25">
      <c r="A7437"/>
      <c r="B7437"/>
      <c r="C7437"/>
      <c r="D7437"/>
      <c r="E7437" s="184"/>
    </row>
    <row r="7438" spans="1:5" ht="14.25">
      <c r="A7438"/>
      <c r="B7438"/>
      <c r="C7438"/>
      <c r="D7438"/>
      <c r="E7438" s="183"/>
    </row>
    <row r="7439" spans="1:5" ht="14.25">
      <c r="A7439"/>
      <c r="B7439"/>
      <c r="C7439"/>
      <c r="D7439"/>
      <c r="E7439" s="184"/>
    </row>
    <row r="7440" spans="1:5" ht="14.25">
      <c r="A7440"/>
      <c r="B7440"/>
      <c r="C7440"/>
      <c r="D7440"/>
      <c r="E7440" s="183"/>
    </row>
    <row r="7441" spans="1:5" ht="14.25">
      <c r="A7441"/>
      <c r="B7441"/>
      <c r="C7441"/>
      <c r="D7441"/>
      <c r="E7441" s="184"/>
    </row>
    <row r="7442" spans="1:5" ht="14.25">
      <c r="A7442"/>
      <c r="B7442"/>
      <c r="C7442"/>
      <c r="D7442"/>
      <c r="E7442" s="183"/>
    </row>
    <row r="7443" spans="1:5" ht="14.25">
      <c r="A7443"/>
      <c r="B7443"/>
      <c r="C7443"/>
      <c r="D7443"/>
      <c r="E7443" s="184"/>
    </row>
    <row r="7444" spans="1:5" ht="14.25">
      <c r="A7444"/>
      <c r="B7444"/>
      <c r="C7444"/>
      <c r="D7444"/>
      <c r="E7444" s="183"/>
    </row>
    <row r="7445" spans="1:5" ht="14.25">
      <c r="A7445"/>
      <c r="B7445"/>
      <c r="C7445"/>
      <c r="D7445"/>
      <c r="E7445" s="184"/>
    </row>
    <row r="7446" spans="1:5" ht="14.25">
      <c r="A7446"/>
      <c r="B7446"/>
      <c r="C7446"/>
      <c r="D7446"/>
      <c r="E7446" s="183"/>
    </row>
    <row r="7447" spans="1:5" ht="14.25">
      <c r="A7447"/>
      <c r="B7447"/>
      <c r="C7447"/>
      <c r="D7447"/>
      <c r="E7447" s="184"/>
    </row>
    <row r="7448" spans="1:5" ht="14.25">
      <c r="A7448"/>
      <c r="B7448"/>
      <c r="C7448"/>
      <c r="D7448"/>
      <c r="E7448" s="183"/>
    </row>
    <row r="7449" spans="1:5" ht="14.25">
      <c r="A7449"/>
      <c r="B7449"/>
      <c r="C7449"/>
      <c r="D7449"/>
      <c r="E7449" s="184"/>
    </row>
    <row r="7450" spans="1:5" ht="14.25">
      <c r="A7450"/>
      <c r="B7450"/>
      <c r="C7450"/>
      <c r="D7450"/>
      <c r="E7450" s="183"/>
    </row>
    <row r="7451" spans="1:5" ht="14.25">
      <c r="A7451"/>
      <c r="B7451"/>
      <c r="C7451"/>
      <c r="D7451"/>
      <c r="E7451" s="184"/>
    </row>
    <row r="7452" spans="1:5" ht="14.25">
      <c r="A7452"/>
      <c r="B7452"/>
      <c r="C7452"/>
      <c r="D7452"/>
      <c r="E7452" s="183"/>
    </row>
    <row r="7453" spans="1:5" ht="14.25">
      <c r="A7453"/>
      <c r="B7453"/>
      <c r="C7453"/>
      <c r="D7453"/>
      <c r="E7453" s="184"/>
    </row>
    <row r="7454" spans="1:5" ht="14.25">
      <c r="A7454"/>
      <c r="B7454"/>
      <c r="C7454"/>
      <c r="D7454"/>
      <c r="E7454" s="183"/>
    </row>
    <row r="7455" spans="1:5" ht="14.25">
      <c r="A7455"/>
      <c r="B7455"/>
      <c r="C7455"/>
      <c r="D7455"/>
      <c r="E7455" s="184"/>
    </row>
    <row r="7456" spans="1:5" ht="14.25">
      <c r="A7456"/>
      <c r="B7456"/>
      <c r="C7456"/>
      <c r="D7456"/>
      <c r="E7456" s="183"/>
    </row>
    <row r="7457" spans="1:5" ht="14.25">
      <c r="A7457"/>
      <c r="B7457"/>
      <c r="C7457"/>
      <c r="D7457"/>
      <c r="E7457" s="184"/>
    </row>
    <row r="7458" spans="1:5" ht="14.25">
      <c r="A7458"/>
      <c r="B7458"/>
      <c r="C7458"/>
      <c r="D7458"/>
      <c r="E7458" s="183"/>
    </row>
    <row r="7459" spans="1:5" ht="14.25">
      <c r="A7459"/>
      <c r="B7459"/>
      <c r="C7459"/>
      <c r="D7459"/>
      <c r="E7459" s="184"/>
    </row>
    <row r="7460" spans="1:5" ht="14.25">
      <c r="A7460"/>
      <c r="B7460"/>
      <c r="C7460"/>
      <c r="D7460"/>
      <c r="E7460" s="183"/>
    </row>
    <row r="7461" spans="1:5" ht="14.25">
      <c r="A7461"/>
      <c r="B7461"/>
      <c r="C7461"/>
      <c r="D7461"/>
      <c r="E7461" s="184"/>
    </row>
    <row r="7462" spans="1:5" ht="14.25">
      <c r="A7462"/>
      <c r="B7462"/>
      <c r="C7462"/>
      <c r="D7462"/>
      <c r="E7462" s="184"/>
    </row>
    <row r="7463" spans="1:5" ht="14.25">
      <c r="A7463"/>
      <c r="B7463"/>
      <c r="C7463"/>
      <c r="D7463"/>
      <c r="E7463" s="184"/>
    </row>
    <row r="7464" spans="1:5" ht="14.25">
      <c r="A7464"/>
      <c r="B7464"/>
      <c r="C7464"/>
      <c r="D7464"/>
      <c r="E7464" s="184"/>
    </row>
    <row r="7465" spans="1:5" ht="14.25">
      <c r="A7465"/>
      <c r="B7465"/>
      <c r="C7465"/>
      <c r="D7465"/>
      <c r="E7465" s="184"/>
    </row>
    <row r="7466" spans="1:5" ht="14.25">
      <c r="A7466"/>
      <c r="B7466"/>
      <c r="C7466"/>
      <c r="D7466"/>
      <c r="E7466" s="183"/>
    </row>
    <row r="7467" spans="1:5" ht="14.25">
      <c r="A7467"/>
      <c r="B7467"/>
      <c r="C7467"/>
      <c r="D7467"/>
      <c r="E7467" s="183"/>
    </row>
    <row r="7468" spans="1:5" ht="14.25">
      <c r="A7468"/>
      <c r="B7468"/>
      <c r="C7468"/>
      <c r="D7468"/>
      <c r="E7468" s="183"/>
    </row>
    <row r="7469" spans="1:5" ht="14.25">
      <c r="A7469"/>
      <c r="B7469"/>
      <c r="C7469"/>
      <c r="D7469"/>
      <c r="E7469" s="183"/>
    </row>
    <row r="7470" spans="1:5" ht="14.25">
      <c r="A7470"/>
      <c r="B7470"/>
      <c r="C7470"/>
      <c r="D7470"/>
      <c r="E7470" s="183"/>
    </row>
    <row r="7471" spans="1:5" ht="14.25">
      <c r="A7471"/>
      <c r="B7471"/>
      <c r="C7471"/>
      <c r="D7471"/>
      <c r="E7471" s="183"/>
    </row>
    <row r="7472" spans="1:5" ht="14.25">
      <c r="A7472"/>
      <c r="B7472"/>
      <c r="C7472"/>
      <c r="D7472"/>
      <c r="E7472" s="183"/>
    </row>
    <row r="7473" spans="1:5" ht="14.25">
      <c r="A7473"/>
      <c r="B7473"/>
      <c r="C7473"/>
      <c r="D7473"/>
      <c r="E7473" s="183"/>
    </row>
    <row r="7474" spans="1:5" ht="14.25">
      <c r="A7474"/>
      <c r="B7474"/>
      <c r="C7474"/>
      <c r="D7474"/>
      <c r="E7474" s="183"/>
    </row>
    <row r="7475" spans="1:5" ht="14.25">
      <c r="A7475"/>
      <c r="B7475"/>
      <c r="C7475"/>
      <c r="D7475"/>
      <c r="E7475" s="183"/>
    </row>
    <row r="7476" spans="1:5" ht="14.25">
      <c r="A7476"/>
      <c r="B7476"/>
      <c r="C7476"/>
      <c r="D7476"/>
      <c r="E7476" s="183"/>
    </row>
    <row r="7477" spans="1:5" ht="14.25">
      <c r="A7477"/>
      <c r="B7477"/>
      <c r="C7477"/>
      <c r="D7477"/>
      <c r="E7477" s="183"/>
    </row>
    <row r="7478" spans="1:5" ht="14.25">
      <c r="A7478"/>
      <c r="B7478"/>
      <c r="C7478"/>
      <c r="D7478"/>
      <c r="E7478" s="183"/>
    </row>
    <row r="7479" spans="1:5" ht="14.25">
      <c r="A7479"/>
      <c r="B7479"/>
      <c r="C7479"/>
      <c r="D7479"/>
      <c r="E7479" s="184"/>
    </row>
    <row r="7480" spans="1:5" ht="14.25">
      <c r="A7480"/>
      <c r="B7480"/>
      <c r="C7480"/>
      <c r="D7480"/>
      <c r="E7480" s="183"/>
    </row>
    <row r="7481" spans="1:5" ht="14.25">
      <c r="A7481"/>
      <c r="B7481"/>
      <c r="C7481"/>
      <c r="D7481"/>
      <c r="E7481" s="183"/>
    </row>
    <row r="7482" spans="1:5" ht="14.25">
      <c r="A7482"/>
      <c r="B7482"/>
      <c r="C7482"/>
      <c r="D7482"/>
      <c r="E7482" s="183"/>
    </row>
    <row r="7483" spans="1:5" ht="14.25">
      <c r="A7483"/>
      <c r="B7483"/>
      <c r="C7483"/>
      <c r="D7483"/>
      <c r="E7483" s="183"/>
    </row>
    <row r="7484" spans="1:5" ht="14.25">
      <c r="A7484"/>
      <c r="B7484"/>
      <c r="C7484"/>
      <c r="D7484"/>
      <c r="E7484" s="183"/>
    </row>
    <row r="7485" spans="1:5" ht="14.25">
      <c r="A7485"/>
      <c r="B7485"/>
      <c r="C7485"/>
      <c r="D7485"/>
      <c r="E7485" s="183"/>
    </row>
    <row r="7486" spans="1:5" ht="14.25">
      <c r="A7486"/>
      <c r="B7486"/>
      <c r="C7486"/>
      <c r="D7486"/>
      <c r="E7486" s="183"/>
    </row>
    <row r="7487" spans="1:5" ht="14.25">
      <c r="A7487"/>
      <c r="B7487"/>
      <c r="C7487"/>
      <c r="D7487"/>
      <c r="E7487" s="183"/>
    </row>
    <row r="7488" spans="1:5" ht="14.25">
      <c r="A7488"/>
      <c r="B7488"/>
      <c r="C7488"/>
      <c r="D7488"/>
      <c r="E7488" s="183"/>
    </row>
    <row r="7489" spans="1:5" ht="14.25">
      <c r="A7489"/>
      <c r="B7489"/>
      <c r="C7489"/>
      <c r="D7489"/>
      <c r="E7489" s="183"/>
    </row>
    <row r="7490" spans="1:5" ht="14.25">
      <c r="A7490"/>
      <c r="B7490"/>
      <c r="C7490"/>
      <c r="D7490"/>
      <c r="E7490" s="183"/>
    </row>
    <row r="7491" spans="1:5" ht="14.25">
      <c r="A7491"/>
      <c r="B7491"/>
      <c r="C7491"/>
      <c r="D7491"/>
      <c r="E7491" s="183"/>
    </row>
    <row r="7492" spans="1:5" ht="14.25">
      <c r="A7492"/>
      <c r="B7492"/>
      <c r="C7492"/>
      <c r="D7492"/>
      <c r="E7492" s="183"/>
    </row>
    <row r="7493" spans="1:5" ht="14.25">
      <c r="A7493"/>
      <c r="B7493"/>
      <c r="C7493"/>
      <c r="D7493"/>
      <c r="E7493" s="183"/>
    </row>
    <row r="7494" spans="1:5" ht="14.25">
      <c r="A7494"/>
      <c r="B7494"/>
      <c r="C7494"/>
      <c r="D7494"/>
      <c r="E7494" s="183"/>
    </row>
    <row r="7495" spans="1:5" ht="14.25">
      <c r="A7495"/>
      <c r="B7495"/>
      <c r="C7495"/>
      <c r="D7495"/>
      <c r="E7495" s="183"/>
    </row>
    <row r="7496" spans="1:5" ht="14.25">
      <c r="A7496"/>
      <c r="B7496"/>
      <c r="C7496"/>
      <c r="D7496"/>
      <c r="E7496" s="183"/>
    </row>
    <row r="7497" spans="1:5" ht="14.25">
      <c r="A7497"/>
      <c r="B7497"/>
      <c r="C7497"/>
      <c r="D7497"/>
      <c r="E7497" s="183"/>
    </row>
    <row r="7498" spans="1:5" ht="14.25">
      <c r="A7498"/>
      <c r="B7498"/>
      <c r="C7498"/>
      <c r="D7498"/>
      <c r="E7498" s="183"/>
    </row>
    <row r="7499" spans="1:5" ht="14.25">
      <c r="A7499"/>
      <c r="B7499"/>
      <c r="C7499"/>
      <c r="D7499"/>
      <c r="E7499" s="183"/>
    </row>
    <row r="7500" spans="1:5" ht="14.25">
      <c r="A7500"/>
      <c r="B7500"/>
      <c r="C7500"/>
      <c r="D7500"/>
      <c r="E7500" s="183"/>
    </row>
    <row r="7501" spans="1:5" ht="14.25">
      <c r="A7501"/>
      <c r="B7501"/>
      <c r="C7501"/>
      <c r="D7501"/>
      <c r="E7501" s="183"/>
    </row>
    <row r="7502" spans="1:5" ht="14.25">
      <c r="A7502"/>
      <c r="B7502"/>
      <c r="C7502"/>
      <c r="D7502"/>
      <c r="E7502" s="183"/>
    </row>
    <row r="7503" spans="1:5" ht="14.25">
      <c r="A7503"/>
      <c r="B7503"/>
      <c r="C7503"/>
      <c r="D7503"/>
      <c r="E7503" s="183"/>
    </row>
    <row r="7504" spans="1:5" ht="14.25">
      <c r="A7504"/>
      <c r="B7504"/>
      <c r="C7504"/>
      <c r="D7504"/>
      <c r="E7504" s="183"/>
    </row>
    <row r="7505" spans="1:5" ht="14.25">
      <c r="A7505"/>
      <c r="B7505"/>
      <c r="C7505"/>
      <c r="D7505"/>
      <c r="E7505" s="183"/>
    </row>
    <row r="7506" spans="1:5" ht="14.25">
      <c r="A7506"/>
      <c r="B7506"/>
      <c r="C7506"/>
      <c r="D7506"/>
      <c r="E7506" s="183"/>
    </row>
    <row r="7507" spans="1:5" ht="14.25">
      <c r="A7507"/>
      <c r="B7507"/>
      <c r="C7507"/>
      <c r="D7507"/>
      <c r="E7507" s="183"/>
    </row>
    <row r="7508" spans="1:5" ht="14.25">
      <c r="A7508"/>
      <c r="B7508"/>
      <c r="C7508"/>
      <c r="D7508"/>
      <c r="E7508" s="183"/>
    </row>
    <row r="7509" spans="1:5" ht="14.25">
      <c r="A7509"/>
      <c r="B7509"/>
      <c r="C7509"/>
      <c r="D7509"/>
      <c r="E7509" s="183"/>
    </row>
    <row r="7510" spans="1:5" ht="14.25">
      <c r="A7510"/>
      <c r="B7510"/>
      <c r="C7510"/>
      <c r="D7510"/>
      <c r="E7510" s="183"/>
    </row>
    <row r="7511" spans="1:5" ht="14.25">
      <c r="A7511"/>
      <c r="B7511"/>
      <c r="C7511"/>
      <c r="D7511"/>
      <c r="E7511" s="183"/>
    </row>
    <row r="7512" spans="1:5" ht="14.25">
      <c r="A7512"/>
      <c r="B7512"/>
      <c r="C7512"/>
      <c r="D7512"/>
      <c r="E7512" s="183"/>
    </row>
    <row r="7513" spans="1:5" ht="14.25">
      <c r="A7513"/>
      <c r="B7513"/>
      <c r="C7513"/>
      <c r="D7513"/>
      <c r="E7513" s="183"/>
    </row>
    <row r="7514" spans="1:5" ht="14.25">
      <c r="A7514"/>
      <c r="B7514"/>
      <c r="C7514"/>
      <c r="D7514"/>
      <c r="E7514" s="183"/>
    </row>
    <row r="7515" spans="1:5" ht="14.25">
      <c r="A7515"/>
      <c r="B7515"/>
      <c r="C7515"/>
      <c r="D7515"/>
      <c r="E7515" s="183"/>
    </row>
    <row r="7516" spans="1:5" ht="14.25">
      <c r="A7516"/>
      <c r="B7516"/>
      <c r="C7516"/>
      <c r="D7516"/>
      <c r="E7516" s="183"/>
    </row>
    <row r="7517" spans="1:5" ht="14.25">
      <c r="A7517"/>
      <c r="B7517"/>
      <c r="C7517"/>
      <c r="D7517"/>
      <c r="E7517" s="183"/>
    </row>
    <row r="7518" spans="1:5" ht="14.25">
      <c r="A7518"/>
      <c r="B7518"/>
      <c r="C7518"/>
      <c r="D7518"/>
      <c r="E7518" s="183"/>
    </row>
    <row r="7519" spans="1:5" ht="14.25">
      <c r="A7519"/>
      <c r="B7519"/>
      <c r="C7519"/>
      <c r="D7519"/>
      <c r="E7519" s="183"/>
    </row>
    <row r="7520" spans="1:5" ht="14.25">
      <c r="A7520"/>
      <c r="B7520"/>
      <c r="C7520"/>
      <c r="D7520"/>
      <c r="E7520" s="183"/>
    </row>
    <row r="7521" spans="1:5" ht="14.25">
      <c r="A7521"/>
      <c r="B7521"/>
      <c r="C7521"/>
      <c r="D7521"/>
      <c r="E7521" s="183"/>
    </row>
    <row r="7522" spans="1:5" ht="14.25">
      <c r="A7522"/>
      <c r="B7522"/>
      <c r="C7522"/>
      <c r="D7522"/>
      <c r="E7522" s="183"/>
    </row>
    <row r="7523" spans="1:5" ht="14.25">
      <c r="A7523"/>
      <c r="B7523"/>
      <c r="C7523"/>
      <c r="D7523"/>
      <c r="E7523" s="183"/>
    </row>
    <row r="7524" spans="1:5" ht="14.25">
      <c r="A7524"/>
      <c r="B7524"/>
      <c r="C7524"/>
      <c r="D7524"/>
      <c r="E7524" s="183"/>
    </row>
    <row r="7525" spans="1:5" ht="14.25">
      <c r="A7525"/>
      <c r="B7525"/>
      <c r="C7525"/>
      <c r="D7525"/>
      <c r="E7525" s="183"/>
    </row>
    <row r="7526" spans="1:5" ht="14.25">
      <c r="A7526"/>
      <c r="B7526"/>
      <c r="C7526"/>
      <c r="D7526"/>
      <c r="E7526" s="183"/>
    </row>
    <row r="7527" spans="1:5" ht="14.25">
      <c r="A7527"/>
      <c r="B7527"/>
      <c r="C7527"/>
      <c r="D7527"/>
      <c r="E7527" s="183"/>
    </row>
    <row r="7528" spans="1:5" ht="14.25">
      <c r="A7528"/>
      <c r="B7528"/>
      <c r="C7528"/>
      <c r="D7528"/>
      <c r="E7528" s="183"/>
    </row>
    <row r="7529" spans="1:5" ht="14.25">
      <c r="A7529"/>
      <c r="B7529"/>
      <c r="C7529"/>
      <c r="D7529"/>
      <c r="E7529" s="183"/>
    </row>
    <row r="7530" spans="1:5" ht="14.25">
      <c r="A7530"/>
      <c r="B7530"/>
      <c r="C7530"/>
      <c r="D7530"/>
      <c r="E7530" s="183"/>
    </row>
    <row r="7531" spans="1:5" ht="14.25">
      <c r="A7531"/>
      <c r="B7531"/>
      <c r="C7531"/>
      <c r="D7531"/>
      <c r="E7531" s="183"/>
    </row>
    <row r="7532" spans="1:5" ht="14.25">
      <c r="A7532"/>
      <c r="B7532"/>
      <c r="C7532"/>
      <c r="D7532"/>
      <c r="E7532" s="183"/>
    </row>
    <row r="7533" spans="1:5" ht="14.25">
      <c r="A7533"/>
      <c r="B7533"/>
      <c r="C7533"/>
      <c r="D7533"/>
      <c r="E7533" s="183"/>
    </row>
    <row r="7534" spans="1:5" ht="14.25">
      <c r="A7534"/>
      <c r="B7534"/>
      <c r="C7534"/>
      <c r="D7534"/>
      <c r="E7534" s="183"/>
    </row>
    <row r="7535" spans="1:5" ht="14.25">
      <c r="A7535"/>
      <c r="B7535"/>
      <c r="C7535"/>
      <c r="D7535"/>
      <c r="E7535" s="183"/>
    </row>
    <row r="7536" spans="1:5" ht="14.25">
      <c r="A7536"/>
      <c r="B7536"/>
      <c r="C7536"/>
      <c r="D7536"/>
      <c r="E7536" s="183"/>
    </row>
    <row r="7537" spans="1:5" ht="14.25">
      <c r="A7537"/>
      <c r="B7537"/>
      <c r="C7537"/>
      <c r="D7537"/>
      <c r="E7537" s="183"/>
    </row>
    <row r="7538" spans="1:5" ht="14.25">
      <c r="A7538"/>
      <c r="B7538"/>
      <c r="C7538"/>
      <c r="D7538"/>
      <c r="E7538" s="183"/>
    </row>
    <row r="7539" spans="1:5" ht="14.25">
      <c r="A7539"/>
      <c r="B7539"/>
      <c r="C7539"/>
      <c r="D7539"/>
      <c r="E7539" s="183"/>
    </row>
    <row r="7540" spans="1:5" ht="14.25">
      <c r="A7540"/>
      <c r="B7540"/>
      <c r="C7540"/>
      <c r="D7540"/>
      <c r="E7540" s="183"/>
    </row>
    <row r="7541" spans="1:5" ht="14.25">
      <c r="A7541"/>
      <c r="B7541"/>
      <c r="C7541"/>
      <c r="D7541"/>
      <c r="E7541" s="183"/>
    </row>
    <row r="7542" spans="1:5" ht="14.25">
      <c r="A7542"/>
      <c r="B7542"/>
      <c r="C7542"/>
      <c r="D7542"/>
      <c r="E7542" s="183"/>
    </row>
    <row r="7543" spans="1:5" ht="14.25">
      <c r="A7543"/>
      <c r="B7543"/>
      <c r="C7543"/>
      <c r="D7543"/>
      <c r="E7543" s="183"/>
    </row>
    <row r="7544" spans="1:5" ht="14.25">
      <c r="A7544"/>
      <c r="B7544"/>
      <c r="C7544"/>
      <c r="D7544"/>
      <c r="E7544" s="183"/>
    </row>
    <row r="7545" spans="1:5" ht="14.25">
      <c r="A7545"/>
      <c r="B7545"/>
      <c r="C7545"/>
      <c r="D7545"/>
      <c r="E7545" s="183"/>
    </row>
    <row r="7546" spans="1:5" ht="14.25">
      <c r="A7546"/>
      <c r="B7546"/>
      <c r="C7546"/>
      <c r="D7546"/>
      <c r="E7546" s="183"/>
    </row>
    <row r="7547" spans="1:5" ht="14.25">
      <c r="A7547"/>
      <c r="B7547"/>
      <c r="C7547"/>
      <c r="D7547"/>
      <c r="E7547" s="183"/>
    </row>
    <row r="7548" spans="1:5" ht="14.25">
      <c r="A7548"/>
      <c r="B7548"/>
      <c r="C7548"/>
      <c r="D7548"/>
      <c r="E7548" s="183"/>
    </row>
    <row r="7549" spans="1:5" ht="14.25">
      <c r="A7549"/>
      <c r="B7549"/>
      <c r="C7549"/>
      <c r="D7549"/>
      <c r="E7549" s="183"/>
    </row>
    <row r="7550" spans="1:5" ht="14.25">
      <c r="A7550"/>
      <c r="B7550"/>
      <c r="C7550"/>
      <c r="D7550"/>
      <c r="E7550" s="183"/>
    </row>
    <row r="7551" spans="1:5" ht="14.25">
      <c r="A7551"/>
      <c r="B7551"/>
      <c r="C7551"/>
      <c r="D7551"/>
      <c r="E7551" s="183"/>
    </row>
    <row r="7552" spans="1:5" ht="14.25">
      <c r="A7552"/>
      <c r="B7552"/>
      <c r="C7552"/>
      <c r="D7552"/>
      <c r="E7552" s="183"/>
    </row>
    <row r="7553" spans="1:5" ht="14.25">
      <c r="A7553"/>
      <c r="B7553"/>
      <c r="C7553"/>
      <c r="D7553"/>
      <c r="E7553" s="184"/>
    </row>
    <row r="7554" spans="1:5" ht="14.25">
      <c r="A7554"/>
      <c r="B7554"/>
      <c r="C7554"/>
      <c r="D7554"/>
      <c r="E7554" s="183"/>
    </row>
    <row r="7555" spans="1:5" ht="14.25">
      <c r="A7555"/>
      <c r="B7555"/>
      <c r="C7555"/>
      <c r="D7555"/>
      <c r="E7555" s="183"/>
    </row>
    <row r="7556" spans="1:5" ht="14.25">
      <c r="A7556"/>
      <c r="B7556"/>
      <c r="C7556"/>
      <c r="D7556"/>
      <c r="E7556" s="183"/>
    </row>
    <row r="7557" spans="1:5" ht="14.25">
      <c r="A7557"/>
      <c r="B7557"/>
      <c r="C7557"/>
      <c r="D7557"/>
      <c r="E7557" s="183"/>
    </row>
    <row r="7558" spans="1:5" ht="14.25">
      <c r="A7558"/>
      <c r="B7558"/>
      <c r="C7558"/>
      <c r="D7558"/>
      <c r="E7558" s="183"/>
    </row>
    <row r="7559" spans="1:5" ht="14.25">
      <c r="A7559"/>
      <c r="B7559"/>
      <c r="C7559"/>
      <c r="D7559"/>
      <c r="E7559" s="183"/>
    </row>
    <row r="7560" spans="1:5" ht="14.25">
      <c r="A7560"/>
      <c r="B7560"/>
      <c r="C7560"/>
      <c r="D7560"/>
      <c r="E7560" s="183"/>
    </row>
    <row r="7561" spans="1:5" ht="14.25">
      <c r="A7561"/>
      <c r="B7561"/>
      <c r="C7561"/>
      <c r="D7561"/>
      <c r="E7561" s="183"/>
    </row>
    <row r="7562" spans="1:5" ht="14.25">
      <c r="A7562"/>
      <c r="B7562"/>
      <c r="C7562"/>
      <c r="D7562"/>
      <c r="E7562" s="184"/>
    </row>
    <row r="7563" spans="1:5" ht="14.25">
      <c r="A7563"/>
      <c r="B7563"/>
      <c r="C7563"/>
      <c r="D7563"/>
      <c r="E7563" s="183"/>
    </row>
    <row r="7564" spans="1:5" ht="14.25">
      <c r="A7564"/>
      <c r="B7564"/>
      <c r="C7564"/>
      <c r="D7564"/>
      <c r="E7564" s="183"/>
    </row>
    <row r="7565" spans="1:5" ht="14.25">
      <c r="A7565"/>
      <c r="B7565"/>
      <c r="C7565"/>
      <c r="D7565"/>
      <c r="E7565" s="183"/>
    </row>
    <row r="7566" spans="1:5" ht="14.25">
      <c r="A7566"/>
      <c r="B7566"/>
      <c r="C7566"/>
      <c r="D7566"/>
      <c r="E7566" s="183"/>
    </row>
    <row r="7567" spans="1:5" ht="14.25">
      <c r="A7567"/>
      <c r="B7567"/>
      <c r="C7567"/>
      <c r="D7567"/>
      <c r="E7567" s="183"/>
    </row>
    <row r="7568" spans="1:5" ht="14.25">
      <c r="A7568"/>
      <c r="B7568"/>
      <c r="C7568"/>
      <c r="D7568"/>
      <c r="E7568" s="183"/>
    </row>
    <row r="7569" spans="1:5" ht="14.25">
      <c r="A7569"/>
      <c r="B7569"/>
      <c r="C7569"/>
      <c r="D7569"/>
      <c r="E7569" s="183"/>
    </row>
    <row r="7570" spans="1:5" ht="14.25">
      <c r="A7570"/>
      <c r="B7570"/>
      <c r="C7570"/>
      <c r="D7570"/>
      <c r="E7570" s="184"/>
    </row>
    <row r="7571" spans="1:5" ht="14.25">
      <c r="A7571"/>
      <c r="B7571"/>
      <c r="C7571"/>
      <c r="D7571"/>
      <c r="E7571" s="183"/>
    </row>
    <row r="7572" spans="1:5" ht="14.25">
      <c r="A7572"/>
      <c r="B7572"/>
      <c r="C7572"/>
      <c r="D7572"/>
      <c r="E7572" s="183"/>
    </row>
    <row r="7573" spans="1:5" ht="14.25">
      <c r="A7573"/>
      <c r="B7573"/>
      <c r="C7573"/>
      <c r="D7573"/>
      <c r="E7573" s="183"/>
    </row>
    <row r="7574" spans="1:5" ht="14.25">
      <c r="A7574"/>
      <c r="B7574"/>
      <c r="C7574"/>
      <c r="D7574"/>
      <c r="E7574" s="183"/>
    </row>
    <row r="7575" spans="1:5" ht="14.25">
      <c r="A7575"/>
      <c r="B7575"/>
      <c r="C7575"/>
      <c r="D7575"/>
      <c r="E7575" s="183"/>
    </row>
    <row r="7576" spans="1:5" ht="14.25">
      <c r="A7576"/>
      <c r="B7576"/>
      <c r="C7576"/>
      <c r="D7576"/>
      <c r="E7576" s="183"/>
    </row>
    <row r="7577" spans="1:5" ht="14.25">
      <c r="A7577"/>
      <c r="B7577"/>
      <c r="C7577"/>
      <c r="D7577"/>
      <c r="E7577" s="183"/>
    </row>
    <row r="7578" spans="1:5" ht="14.25">
      <c r="A7578"/>
      <c r="B7578"/>
      <c r="C7578"/>
      <c r="D7578"/>
      <c r="E7578" s="183"/>
    </row>
    <row r="7579" spans="1:5" ht="14.25">
      <c r="A7579"/>
      <c r="B7579"/>
      <c r="C7579"/>
      <c r="D7579"/>
      <c r="E7579" s="183"/>
    </row>
    <row r="7580" spans="1:5" ht="14.25">
      <c r="A7580"/>
      <c r="B7580"/>
      <c r="C7580"/>
      <c r="D7580"/>
      <c r="E7580" s="183"/>
    </row>
    <row r="7581" spans="1:5" ht="14.25">
      <c r="A7581"/>
      <c r="B7581"/>
      <c r="C7581"/>
      <c r="D7581"/>
      <c r="E7581" s="183"/>
    </row>
    <row r="7582" spans="1:5" ht="14.25">
      <c r="A7582"/>
      <c r="B7582"/>
      <c r="C7582"/>
      <c r="D7582"/>
      <c r="E7582" s="183"/>
    </row>
    <row r="7583" spans="1:5" ht="14.25">
      <c r="A7583"/>
      <c r="B7583"/>
      <c r="C7583"/>
      <c r="D7583"/>
      <c r="E7583" s="183"/>
    </row>
    <row r="7584" spans="1:5" ht="14.25">
      <c r="A7584"/>
      <c r="B7584"/>
      <c r="C7584"/>
      <c r="D7584"/>
      <c r="E7584" s="183"/>
    </row>
    <row r="7585" spans="1:5" ht="14.25">
      <c r="A7585"/>
      <c r="B7585"/>
      <c r="C7585"/>
      <c r="D7585"/>
      <c r="E7585" s="183"/>
    </row>
    <row r="7586" spans="1:5" ht="14.25">
      <c r="A7586"/>
      <c r="B7586"/>
      <c r="C7586"/>
      <c r="D7586"/>
      <c r="E7586" s="183"/>
    </row>
    <row r="7587" spans="1:5" ht="14.25">
      <c r="A7587"/>
      <c r="B7587"/>
      <c r="C7587"/>
      <c r="D7587"/>
      <c r="E7587" s="183"/>
    </row>
    <row r="7588" spans="1:5" ht="14.25">
      <c r="A7588"/>
      <c r="B7588"/>
      <c r="C7588"/>
      <c r="D7588"/>
      <c r="E7588" s="183"/>
    </row>
    <row r="7589" spans="1:5" ht="14.25">
      <c r="A7589"/>
      <c r="B7589"/>
      <c r="C7589"/>
      <c r="D7589"/>
      <c r="E7589" s="183"/>
    </row>
    <row r="7590" spans="1:5" ht="14.25">
      <c r="A7590"/>
      <c r="B7590"/>
      <c r="C7590"/>
      <c r="D7590"/>
      <c r="E7590" s="183"/>
    </row>
    <row r="7591" spans="1:5" ht="14.25">
      <c r="A7591"/>
      <c r="B7591"/>
      <c r="C7591"/>
      <c r="D7591"/>
      <c r="E7591" s="184"/>
    </row>
    <row r="7592" spans="1:5" ht="14.25">
      <c r="A7592"/>
      <c r="B7592"/>
      <c r="C7592"/>
      <c r="D7592"/>
      <c r="E7592" s="183"/>
    </row>
    <row r="7593" spans="1:5" ht="14.25">
      <c r="A7593"/>
      <c r="B7593"/>
      <c r="C7593"/>
      <c r="D7593"/>
      <c r="E7593" s="183"/>
    </row>
    <row r="7594" spans="1:5" ht="14.25">
      <c r="A7594"/>
      <c r="B7594"/>
      <c r="C7594"/>
      <c r="D7594"/>
      <c r="E7594" s="183"/>
    </row>
    <row r="7595" spans="1:5" ht="14.25">
      <c r="A7595"/>
      <c r="B7595"/>
      <c r="C7595"/>
      <c r="D7595"/>
      <c r="E7595" s="183"/>
    </row>
    <row r="7596" spans="1:5" ht="14.25">
      <c r="A7596"/>
      <c r="B7596"/>
      <c r="C7596"/>
      <c r="D7596"/>
      <c r="E7596" s="183"/>
    </row>
    <row r="7597" spans="1:5" ht="14.25">
      <c r="A7597"/>
      <c r="B7597"/>
      <c r="C7597"/>
      <c r="D7597"/>
      <c r="E7597" s="183"/>
    </row>
    <row r="7598" spans="1:5" ht="14.25">
      <c r="A7598"/>
      <c r="B7598"/>
      <c r="C7598"/>
      <c r="D7598"/>
      <c r="E7598" s="183"/>
    </row>
    <row r="7599" spans="1:5" ht="14.25">
      <c r="A7599"/>
      <c r="B7599"/>
      <c r="C7599"/>
      <c r="D7599"/>
      <c r="E7599" s="184"/>
    </row>
    <row r="7600" spans="1:5" ht="14.25">
      <c r="A7600"/>
      <c r="B7600"/>
      <c r="C7600"/>
      <c r="D7600"/>
      <c r="E7600" s="183"/>
    </row>
    <row r="7601" spans="1:5" ht="14.25">
      <c r="A7601"/>
      <c r="B7601"/>
      <c r="C7601"/>
      <c r="D7601"/>
      <c r="E7601" s="183"/>
    </row>
    <row r="7602" spans="1:5" ht="14.25">
      <c r="A7602"/>
      <c r="B7602"/>
      <c r="C7602"/>
      <c r="D7602"/>
      <c r="E7602" s="183"/>
    </row>
    <row r="7603" spans="1:5" ht="14.25">
      <c r="A7603"/>
      <c r="B7603"/>
      <c r="C7603"/>
      <c r="D7603"/>
      <c r="E7603" s="183"/>
    </row>
    <row r="7604" spans="1:5" ht="14.25">
      <c r="A7604"/>
      <c r="B7604"/>
      <c r="C7604"/>
      <c r="D7604"/>
      <c r="E7604" s="183"/>
    </row>
    <row r="7605" spans="1:5" ht="14.25">
      <c r="A7605"/>
      <c r="B7605"/>
      <c r="C7605"/>
      <c r="D7605"/>
      <c r="E7605" s="183"/>
    </row>
    <row r="7606" spans="1:5" ht="14.25">
      <c r="A7606"/>
      <c r="B7606"/>
      <c r="C7606"/>
      <c r="D7606"/>
      <c r="E7606" s="183"/>
    </row>
    <row r="7607" spans="1:5" ht="14.25">
      <c r="A7607"/>
      <c r="B7607"/>
      <c r="C7607"/>
      <c r="D7607"/>
      <c r="E7607" s="183"/>
    </row>
    <row r="7608" spans="1:5" ht="14.25">
      <c r="A7608"/>
      <c r="B7608"/>
      <c r="C7608"/>
      <c r="D7608"/>
      <c r="E7608" s="183"/>
    </row>
    <row r="7609" spans="1:5" ht="14.25">
      <c r="A7609"/>
      <c r="B7609"/>
      <c r="C7609"/>
      <c r="D7609"/>
      <c r="E7609" s="183"/>
    </row>
    <row r="7610" spans="1:5" ht="14.25">
      <c r="A7610"/>
      <c r="B7610"/>
      <c r="C7610"/>
      <c r="D7610"/>
      <c r="E7610" s="183"/>
    </row>
    <row r="7611" spans="1:5" ht="14.25">
      <c r="A7611"/>
      <c r="B7611"/>
      <c r="C7611"/>
      <c r="D7611"/>
      <c r="E7611" s="183"/>
    </row>
    <row r="7612" spans="1:5" ht="14.25">
      <c r="A7612"/>
      <c r="B7612"/>
      <c r="C7612"/>
      <c r="D7612"/>
      <c r="E7612" s="183"/>
    </row>
    <row r="7613" spans="1:5" ht="14.25">
      <c r="A7613"/>
      <c r="B7613"/>
      <c r="C7613"/>
      <c r="D7613"/>
      <c r="E7613" s="183"/>
    </row>
    <row r="7614" spans="1:5" ht="14.25">
      <c r="A7614"/>
      <c r="B7614"/>
      <c r="C7614"/>
      <c r="D7614"/>
      <c r="E7614" s="183"/>
    </row>
    <row r="7615" spans="1:5" ht="14.25">
      <c r="A7615"/>
      <c r="B7615"/>
      <c r="C7615"/>
      <c r="D7615"/>
      <c r="E7615" s="183"/>
    </row>
    <row r="7616" spans="1:5" ht="14.25">
      <c r="A7616"/>
      <c r="B7616"/>
      <c r="C7616"/>
      <c r="D7616"/>
      <c r="E7616" s="183"/>
    </row>
    <row r="7617" spans="1:5" ht="14.25">
      <c r="A7617"/>
      <c r="B7617"/>
      <c r="C7617"/>
      <c r="D7617"/>
      <c r="E7617" s="183"/>
    </row>
    <row r="7618" spans="1:5" ht="14.25">
      <c r="A7618"/>
      <c r="B7618"/>
      <c r="C7618"/>
      <c r="D7618"/>
      <c r="E7618" s="183"/>
    </row>
    <row r="7619" spans="1:5" ht="14.25">
      <c r="A7619"/>
      <c r="B7619"/>
      <c r="C7619"/>
      <c r="D7619"/>
      <c r="E7619" s="183"/>
    </row>
    <row r="7620" spans="1:5" ht="14.25">
      <c r="A7620"/>
      <c r="B7620"/>
      <c r="C7620"/>
      <c r="D7620"/>
      <c r="E7620" s="183"/>
    </row>
    <row r="7621" spans="1:5" ht="14.25">
      <c r="A7621"/>
      <c r="B7621"/>
      <c r="C7621"/>
      <c r="D7621"/>
      <c r="E7621" s="183"/>
    </row>
    <row r="7622" spans="1:5" ht="14.25">
      <c r="A7622"/>
      <c r="B7622"/>
      <c r="C7622"/>
      <c r="D7622"/>
      <c r="E7622" s="183"/>
    </row>
    <row r="7623" spans="1:5" ht="14.25">
      <c r="A7623"/>
      <c r="B7623"/>
      <c r="C7623"/>
      <c r="D7623"/>
      <c r="E7623" s="183"/>
    </row>
    <row r="7624" spans="1:5" ht="14.25">
      <c r="A7624"/>
      <c r="B7624"/>
      <c r="C7624"/>
      <c r="D7624"/>
      <c r="E7624" s="183"/>
    </row>
    <row r="7625" spans="1:5" ht="14.25">
      <c r="A7625"/>
      <c r="B7625"/>
      <c r="C7625"/>
      <c r="D7625"/>
      <c r="E7625" s="183"/>
    </row>
    <row r="7626" spans="1:5" ht="14.25">
      <c r="A7626"/>
      <c r="B7626"/>
      <c r="C7626"/>
      <c r="D7626"/>
      <c r="E7626" s="183"/>
    </row>
    <row r="7627" spans="1:5" ht="14.25">
      <c r="A7627"/>
      <c r="B7627"/>
      <c r="C7627"/>
      <c r="D7627"/>
      <c r="E7627" s="183"/>
    </row>
    <row r="7628" spans="1:5" ht="14.25">
      <c r="A7628"/>
      <c r="B7628"/>
      <c r="C7628"/>
      <c r="D7628"/>
      <c r="E7628" s="183"/>
    </row>
    <row r="7629" spans="1:5" ht="14.25">
      <c r="A7629"/>
      <c r="B7629"/>
      <c r="C7629"/>
      <c r="D7629"/>
      <c r="E7629" s="183"/>
    </row>
    <row r="7630" spans="1:5" ht="14.25">
      <c r="A7630"/>
      <c r="B7630"/>
      <c r="C7630"/>
      <c r="D7630"/>
      <c r="E7630" s="183"/>
    </row>
    <row r="7631" spans="1:5" ht="14.25">
      <c r="A7631"/>
      <c r="B7631"/>
      <c r="C7631"/>
      <c r="D7631"/>
      <c r="E7631" s="183"/>
    </row>
    <row r="7632" spans="1:5" ht="14.25">
      <c r="A7632"/>
      <c r="B7632"/>
      <c r="C7632"/>
      <c r="D7632"/>
      <c r="E7632" s="183"/>
    </row>
    <row r="7633" spans="1:5" ht="14.25">
      <c r="A7633"/>
      <c r="B7633"/>
      <c r="C7633"/>
      <c r="D7633"/>
      <c r="E7633" s="183"/>
    </row>
    <row r="7634" spans="1:5" ht="14.25">
      <c r="A7634"/>
      <c r="B7634"/>
      <c r="C7634"/>
      <c r="D7634"/>
      <c r="E7634" s="183"/>
    </row>
    <row r="7635" spans="1:5" ht="14.25">
      <c r="A7635"/>
      <c r="B7635"/>
      <c r="C7635"/>
      <c r="D7635"/>
      <c r="E7635" s="183"/>
    </row>
    <row r="7636" spans="1:5" ht="14.25">
      <c r="A7636"/>
      <c r="B7636"/>
      <c r="C7636"/>
      <c r="D7636"/>
      <c r="E7636" s="183"/>
    </row>
    <row r="7637" spans="1:5" ht="14.25">
      <c r="A7637"/>
      <c r="B7637"/>
      <c r="C7637"/>
      <c r="D7637"/>
      <c r="E7637" s="183"/>
    </row>
    <row r="7638" spans="1:5" ht="14.25">
      <c r="A7638"/>
      <c r="B7638"/>
      <c r="C7638"/>
      <c r="D7638"/>
      <c r="E7638" s="184"/>
    </row>
    <row r="7639" spans="1:5" ht="14.25">
      <c r="A7639"/>
      <c r="B7639"/>
      <c r="C7639"/>
      <c r="D7639"/>
      <c r="E7639" s="184"/>
    </row>
    <row r="7640" spans="1:5" ht="14.25">
      <c r="A7640"/>
      <c r="B7640"/>
      <c r="C7640"/>
      <c r="D7640"/>
      <c r="E7640" s="184"/>
    </row>
    <row r="7641" spans="1:5" ht="14.25">
      <c r="A7641"/>
      <c r="B7641"/>
      <c r="C7641"/>
      <c r="D7641"/>
      <c r="E7641" s="184"/>
    </row>
    <row r="7642" spans="1:5" ht="14.25">
      <c r="A7642"/>
      <c r="B7642"/>
      <c r="C7642"/>
      <c r="D7642"/>
      <c r="E7642" s="184"/>
    </row>
    <row r="7643" spans="1:5" ht="14.25">
      <c r="A7643"/>
      <c r="B7643"/>
      <c r="C7643"/>
      <c r="D7643"/>
      <c r="E7643" s="184"/>
    </row>
    <row r="7644" spans="1:5" ht="14.25">
      <c r="A7644"/>
      <c r="B7644"/>
      <c r="C7644"/>
      <c r="D7644"/>
      <c r="E7644" s="184"/>
    </row>
    <row r="7645" spans="1:5" ht="14.25">
      <c r="A7645"/>
      <c r="B7645"/>
      <c r="C7645"/>
      <c r="D7645"/>
      <c r="E7645" s="184"/>
    </row>
    <row r="7646" spans="1:5" ht="14.25">
      <c r="A7646"/>
      <c r="B7646"/>
      <c r="C7646"/>
      <c r="D7646"/>
      <c r="E7646" s="184"/>
    </row>
    <row r="7647" spans="1:5" ht="14.25">
      <c r="A7647"/>
      <c r="B7647"/>
      <c r="C7647"/>
      <c r="D7647"/>
      <c r="E7647" s="184"/>
    </row>
    <row r="7648" spans="1:5" ht="14.25">
      <c r="A7648"/>
      <c r="B7648"/>
      <c r="C7648"/>
      <c r="D7648"/>
      <c r="E7648" s="183"/>
    </row>
    <row r="7649" spans="1:5" ht="14.25">
      <c r="A7649"/>
      <c r="B7649"/>
      <c r="C7649"/>
      <c r="D7649"/>
      <c r="E7649" s="183"/>
    </row>
    <row r="7650" spans="1:5" ht="14.25">
      <c r="A7650"/>
      <c r="B7650"/>
      <c r="C7650"/>
      <c r="D7650"/>
      <c r="E7650" s="183"/>
    </row>
    <row r="7651" spans="1:5" ht="14.25">
      <c r="A7651"/>
      <c r="B7651"/>
      <c r="C7651"/>
      <c r="D7651"/>
      <c r="E7651" s="183"/>
    </row>
    <row r="7652" spans="1:5" ht="14.25">
      <c r="A7652"/>
      <c r="B7652"/>
      <c r="C7652"/>
      <c r="D7652"/>
      <c r="E7652" s="183"/>
    </row>
    <row r="7653" spans="1:5" ht="14.25">
      <c r="A7653"/>
      <c r="B7653"/>
      <c r="C7653"/>
      <c r="D7653"/>
      <c r="E7653" s="183"/>
    </row>
    <row r="7654" spans="1:5" ht="14.25">
      <c r="A7654"/>
      <c r="B7654"/>
      <c r="C7654"/>
      <c r="D7654"/>
      <c r="E7654" s="183"/>
    </row>
    <row r="7655" spans="1:5" ht="14.25">
      <c r="A7655"/>
      <c r="B7655"/>
      <c r="C7655"/>
      <c r="D7655"/>
      <c r="E7655" s="183"/>
    </row>
    <row r="7656" spans="1:5" ht="14.25">
      <c r="A7656"/>
      <c r="B7656"/>
      <c r="C7656"/>
      <c r="D7656"/>
      <c r="E7656" s="183"/>
    </row>
    <row r="7657" spans="1:5" ht="14.25">
      <c r="A7657"/>
      <c r="B7657"/>
      <c r="C7657"/>
      <c r="D7657"/>
      <c r="E7657" s="183"/>
    </row>
    <row r="7658" spans="1:5" ht="14.25">
      <c r="A7658"/>
      <c r="B7658"/>
      <c r="C7658"/>
      <c r="D7658"/>
      <c r="E7658" s="183"/>
    </row>
    <row r="7659" spans="1:5" ht="14.25">
      <c r="A7659"/>
      <c r="B7659"/>
      <c r="C7659"/>
      <c r="D7659"/>
      <c r="E7659" s="183"/>
    </row>
    <row r="7660" spans="1:5" ht="14.25">
      <c r="A7660"/>
      <c r="B7660"/>
      <c r="C7660"/>
      <c r="D7660"/>
      <c r="E7660" s="183"/>
    </row>
    <row r="7661" spans="1:5" ht="14.25">
      <c r="A7661"/>
      <c r="B7661"/>
      <c r="C7661"/>
      <c r="D7661"/>
      <c r="E7661" s="183"/>
    </row>
    <row r="7662" spans="1:5" ht="14.25">
      <c r="A7662"/>
      <c r="B7662"/>
      <c r="C7662"/>
      <c r="D7662"/>
      <c r="E7662" s="184"/>
    </row>
    <row r="7663" spans="1:5" ht="14.25">
      <c r="A7663"/>
      <c r="B7663"/>
      <c r="C7663"/>
      <c r="D7663"/>
      <c r="E7663" s="183"/>
    </row>
    <row r="7664" spans="1:5" ht="14.25">
      <c r="A7664"/>
      <c r="B7664"/>
      <c r="C7664"/>
      <c r="D7664"/>
      <c r="E7664" s="184"/>
    </row>
    <row r="7665" spans="1:5" ht="14.25">
      <c r="A7665"/>
      <c r="B7665"/>
      <c r="C7665"/>
      <c r="D7665"/>
      <c r="E7665" s="183"/>
    </row>
    <row r="7666" spans="1:5" ht="14.25">
      <c r="A7666"/>
      <c r="B7666"/>
      <c r="C7666"/>
      <c r="D7666"/>
      <c r="E7666" s="184"/>
    </row>
    <row r="7667" spans="1:5" ht="14.25">
      <c r="A7667"/>
      <c r="B7667"/>
      <c r="C7667"/>
      <c r="D7667"/>
      <c r="E7667" s="183"/>
    </row>
    <row r="7668" spans="1:5" ht="14.25">
      <c r="A7668"/>
      <c r="B7668"/>
      <c r="C7668"/>
      <c r="D7668"/>
      <c r="E7668" s="183"/>
    </row>
    <row r="7669" spans="1:5" ht="14.25">
      <c r="A7669"/>
      <c r="B7669"/>
      <c r="C7669"/>
      <c r="D7669"/>
      <c r="E7669" s="183"/>
    </row>
    <row r="7670" spans="1:5" ht="14.25">
      <c r="A7670"/>
      <c r="B7670"/>
      <c r="C7670"/>
      <c r="D7670"/>
      <c r="E7670" s="183"/>
    </row>
    <row r="7671" spans="1:5" ht="14.25">
      <c r="A7671"/>
      <c r="B7671"/>
      <c r="C7671"/>
      <c r="D7671"/>
      <c r="E7671" s="183"/>
    </row>
    <row r="7672" spans="1:5" ht="14.25">
      <c r="A7672"/>
      <c r="B7672"/>
      <c r="C7672"/>
      <c r="D7672"/>
      <c r="E7672" s="183"/>
    </row>
    <row r="7673" spans="1:5" ht="14.25">
      <c r="A7673"/>
      <c r="B7673"/>
      <c r="C7673"/>
      <c r="D7673"/>
      <c r="E7673" s="183"/>
    </row>
    <row r="7674" spans="1:5" ht="14.25">
      <c r="A7674"/>
      <c r="B7674"/>
      <c r="C7674"/>
      <c r="D7674"/>
      <c r="E7674" s="183"/>
    </row>
    <row r="7675" spans="1:5" ht="14.25">
      <c r="A7675"/>
      <c r="B7675"/>
      <c r="C7675"/>
      <c r="D7675"/>
      <c r="E7675" s="183"/>
    </row>
    <row r="7676" spans="1:5" ht="14.25">
      <c r="A7676"/>
      <c r="B7676"/>
      <c r="C7676"/>
      <c r="D7676"/>
      <c r="E7676" s="183"/>
    </row>
    <row r="7677" spans="1:5" ht="14.25">
      <c r="A7677"/>
      <c r="B7677"/>
      <c r="C7677"/>
      <c r="D7677"/>
      <c r="E7677" s="183"/>
    </row>
    <row r="7678" spans="1:5" ht="14.25">
      <c r="A7678"/>
      <c r="B7678"/>
      <c r="C7678"/>
      <c r="D7678"/>
      <c r="E7678" s="183"/>
    </row>
    <row r="7679" spans="1:5" ht="14.25">
      <c r="A7679"/>
      <c r="B7679"/>
      <c r="C7679"/>
      <c r="D7679"/>
      <c r="E7679" s="183"/>
    </row>
    <row r="7680" spans="1:5" ht="14.25">
      <c r="A7680"/>
      <c r="B7680"/>
      <c r="C7680"/>
      <c r="D7680"/>
      <c r="E7680" s="183"/>
    </row>
    <row r="7681" spans="1:5" ht="14.25">
      <c r="A7681"/>
      <c r="B7681"/>
      <c r="C7681"/>
      <c r="D7681"/>
      <c r="E7681" s="183"/>
    </row>
    <row r="7682" spans="1:5" ht="14.25">
      <c r="A7682"/>
      <c r="B7682"/>
      <c r="C7682"/>
      <c r="D7682"/>
      <c r="E7682" s="183"/>
    </row>
    <row r="7683" spans="1:5" ht="14.25">
      <c r="A7683"/>
      <c r="B7683"/>
      <c r="C7683"/>
      <c r="D7683"/>
      <c r="E7683" s="183"/>
    </row>
    <row r="7684" spans="1:5" ht="14.25">
      <c r="A7684"/>
      <c r="B7684"/>
      <c r="C7684"/>
      <c r="D7684"/>
      <c r="E7684" s="183"/>
    </row>
    <row r="7685" spans="1:5" ht="14.25">
      <c r="A7685"/>
      <c r="B7685"/>
      <c r="C7685"/>
      <c r="D7685"/>
      <c r="E7685" s="183"/>
    </row>
    <row r="7686" spans="1:5" ht="14.25">
      <c r="A7686"/>
      <c r="B7686"/>
      <c r="C7686"/>
      <c r="D7686"/>
      <c r="E7686" s="183"/>
    </row>
    <row r="7687" spans="1:5" ht="14.25">
      <c r="A7687"/>
      <c r="B7687"/>
      <c r="C7687"/>
      <c r="D7687"/>
      <c r="E7687" s="183"/>
    </row>
    <row r="7688" spans="1:5" ht="14.25">
      <c r="A7688"/>
      <c r="B7688"/>
      <c r="C7688"/>
      <c r="D7688"/>
      <c r="E7688" s="183"/>
    </row>
    <row r="7689" spans="1:5" ht="14.25">
      <c r="A7689"/>
      <c r="B7689"/>
      <c r="C7689"/>
      <c r="D7689"/>
      <c r="E7689" s="183"/>
    </row>
    <row r="7690" spans="1:5" ht="14.25">
      <c r="A7690"/>
      <c r="B7690"/>
      <c r="C7690"/>
      <c r="D7690"/>
      <c r="E7690" s="183"/>
    </row>
    <row r="7691" spans="1:5" ht="14.25">
      <c r="A7691"/>
      <c r="B7691"/>
      <c r="C7691"/>
      <c r="D7691"/>
      <c r="E7691" s="183"/>
    </row>
    <row r="7692" spans="1:5" ht="14.25">
      <c r="A7692"/>
      <c r="B7692"/>
      <c r="C7692"/>
      <c r="D7692"/>
      <c r="E7692" s="183"/>
    </row>
    <row r="7693" spans="1:5" ht="14.25">
      <c r="A7693"/>
      <c r="B7693"/>
      <c r="C7693"/>
      <c r="D7693"/>
      <c r="E7693" s="183"/>
    </row>
    <row r="7694" spans="1:5" ht="14.25">
      <c r="A7694"/>
      <c r="B7694"/>
      <c r="C7694"/>
      <c r="D7694"/>
      <c r="E7694" s="183"/>
    </row>
    <row r="7695" spans="1:5" ht="14.25">
      <c r="A7695"/>
      <c r="B7695"/>
      <c r="C7695"/>
      <c r="D7695"/>
      <c r="E7695" s="183"/>
    </row>
    <row r="7696" spans="1:5" ht="14.25">
      <c r="A7696"/>
      <c r="B7696"/>
      <c r="C7696"/>
      <c r="D7696"/>
      <c r="E7696" s="183"/>
    </row>
    <row r="7697" spans="1:5" ht="14.25">
      <c r="A7697"/>
      <c r="B7697"/>
      <c r="C7697"/>
      <c r="D7697"/>
      <c r="E7697" s="183"/>
    </row>
    <row r="7698" spans="1:5" ht="14.25">
      <c r="A7698"/>
      <c r="B7698"/>
      <c r="C7698"/>
      <c r="D7698"/>
      <c r="E7698" s="183"/>
    </row>
    <row r="7699" spans="1:5" ht="14.25">
      <c r="A7699"/>
      <c r="B7699"/>
      <c r="C7699"/>
      <c r="D7699"/>
      <c r="E7699" s="183"/>
    </row>
    <row r="7700" spans="1:5" ht="14.25">
      <c r="A7700"/>
      <c r="B7700"/>
      <c r="C7700"/>
      <c r="D7700"/>
      <c r="E7700" s="183"/>
    </row>
    <row r="7701" spans="1:5" ht="14.25">
      <c r="A7701"/>
      <c r="B7701"/>
      <c r="C7701"/>
      <c r="D7701"/>
      <c r="E7701" s="183"/>
    </row>
    <row r="7702" spans="1:5" ht="14.25">
      <c r="A7702"/>
      <c r="B7702"/>
      <c r="C7702"/>
      <c r="D7702"/>
      <c r="E7702" s="183"/>
    </row>
    <row r="7703" spans="1:5" ht="14.25">
      <c r="A7703"/>
      <c r="B7703"/>
      <c r="C7703"/>
      <c r="D7703"/>
      <c r="E7703" s="183"/>
    </row>
    <row r="7704" spans="1:5" ht="14.25">
      <c r="A7704"/>
      <c r="B7704"/>
      <c r="C7704"/>
      <c r="D7704"/>
      <c r="E7704" s="183"/>
    </row>
    <row r="7705" spans="1:5" ht="14.25">
      <c r="A7705"/>
      <c r="B7705"/>
      <c r="C7705"/>
      <c r="D7705"/>
      <c r="E7705" s="183"/>
    </row>
    <row r="7706" spans="1:5" ht="14.25">
      <c r="A7706"/>
      <c r="B7706"/>
      <c r="C7706"/>
      <c r="D7706"/>
      <c r="E7706" s="183"/>
    </row>
    <row r="7707" spans="1:5" ht="14.25">
      <c r="A7707"/>
      <c r="B7707"/>
      <c r="C7707"/>
      <c r="D7707"/>
      <c r="E7707" s="183"/>
    </row>
    <row r="7708" spans="1:5" ht="14.25">
      <c r="A7708"/>
      <c r="B7708"/>
      <c r="C7708"/>
      <c r="D7708"/>
      <c r="E7708" s="183"/>
    </row>
    <row r="7709" spans="1:5" ht="14.25">
      <c r="A7709"/>
      <c r="B7709"/>
      <c r="C7709"/>
      <c r="D7709"/>
      <c r="E7709" s="183"/>
    </row>
    <row r="7710" spans="1:5" ht="14.25">
      <c r="A7710"/>
      <c r="B7710"/>
      <c r="C7710"/>
      <c r="D7710"/>
      <c r="E7710" s="183"/>
    </row>
    <row r="7711" spans="1:5" ht="14.25">
      <c r="A7711"/>
      <c r="B7711"/>
      <c r="C7711"/>
      <c r="D7711"/>
      <c r="E7711" s="183"/>
    </row>
    <row r="7712" spans="1:5" ht="14.25">
      <c r="A7712"/>
      <c r="B7712"/>
      <c r="C7712"/>
      <c r="D7712"/>
      <c r="E7712" s="183"/>
    </row>
    <row r="7713" spans="1:5" ht="14.25">
      <c r="A7713"/>
      <c r="B7713"/>
      <c r="C7713"/>
      <c r="D7713"/>
      <c r="E7713" s="183"/>
    </row>
    <row r="7714" spans="1:5" ht="14.25">
      <c r="A7714"/>
      <c r="B7714"/>
      <c r="C7714"/>
      <c r="D7714"/>
      <c r="E7714" s="183"/>
    </row>
    <row r="7715" spans="1:5" ht="14.25">
      <c r="A7715"/>
      <c r="B7715"/>
      <c r="C7715"/>
      <c r="D7715"/>
      <c r="E7715" s="183"/>
    </row>
    <row r="7716" spans="1:5" ht="14.25">
      <c r="A7716"/>
      <c r="B7716"/>
      <c r="C7716"/>
      <c r="D7716"/>
      <c r="E7716" s="184"/>
    </row>
    <row r="7717" spans="1:5" ht="14.25">
      <c r="A7717"/>
      <c r="B7717"/>
      <c r="C7717"/>
      <c r="D7717"/>
      <c r="E7717" s="183"/>
    </row>
    <row r="7718" spans="1:5" ht="14.25">
      <c r="A7718"/>
      <c r="B7718"/>
      <c r="C7718"/>
      <c r="D7718"/>
      <c r="E7718" s="183"/>
    </row>
    <row r="7719" spans="1:5" ht="14.25">
      <c r="A7719"/>
      <c r="B7719"/>
      <c r="C7719"/>
      <c r="D7719"/>
      <c r="E7719" s="183"/>
    </row>
    <row r="7720" spans="1:5" ht="14.25">
      <c r="A7720"/>
      <c r="B7720"/>
      <c r="C7720"/>
      <c r="D7720"/>
      <c r="E7720" s="183"/>
    </row>
    <row r="7721" spans="1:5" ht="14.25">
      <c r="A7721"/>
      <c r="B7721"/>
      <c r="C7721"/>
      <c r="D7721"/>
      <c r="E7721" s="183"/>
    </row>
    <row r="7722" spans="1:5" ht="14.25">
      <c r="A7722"/>
      <c r="B7722"/>
      <c r="C7722"/>
      <c r="D7722"/>
      <c r="E7722" s="183"/>
    </row>
    <row r="7723" spans="1:5" ht="14.25">
      <c r="A7723"/>
      <c r="B7723"/>
      <c r="C7723"/>
      <c r="D7723"/>
      <c r="E7723" s="183"/>
    </row>
    <row r="7724" spans="1:5" ht="14.25">
      <c r="A7724"/>
      <c r="B7724"/>
      <c r="C7724"/>
      <c r="D7724"/>
      <c r="E7724" s="183"/>
    </row>
    <row r="7725" spans="1:5" ht="14.25">
      <c r="A7725"/>
      <c r="B7725"/>
      <c r="C7725"/>
      <c r="D7725"/>
      <c r="E7725" s="183"/>
    </row>
    <row r="7726" spans="1:5" ht="14.25">
      <c r="A7726"/>
      <c r="B7726"/>
      <c r="C7726"/>
      <c r="D7726"/>
      <c r="E7726" s="183"/>
    </row>
    <row r="7727" spans="1:5" ht="14.25">
      <c r="A7727"/>
      <c r="B7727"/>
      <c r="C7727"/>
      <c r="D7727"/>
      <c r="E7727" s="183"/>
    </row>
    <row r="7728" spans="1:5" ht="14.25">
      <c r="A7728"/>
      <c r="B7728"/>
      <c r="C7728"/>
      <c r="D7728"/>
      <c r="E7728" s="183"/>
    </row>
    <row r="7729" spans="1:5" ht="14.25">
      <c r="A7729"/>
      <c r="B7729"/>
      <c r="C7729"/>
      <c r="D7729"/>
      <c r="E7729" s="183"/>
    </row>
    <row r="7730" spans="1:5" ht="14.25">
      <c r="A7730"/>
      <c r="B7730"/>
      <c r="C7730"/>
      <c r="D7730"/>
      <c r="E7730" s="184"/>
    </row>
    <row r="7731" spans="1:5" ht="14.25">
      <c r="A7731"/>
      <c r="B7731"/>
      <c r="C7731"/>
      <c r="D7731"/>
      <c r="E7731" s="183"/>
    </row>
    <row r="7732" spans="1:5" ht="14.25">
      <c r="A7732"/>
      <c r="B7732"/>
      <c r="C7732"/>
      <c r="D7732"/>
      <c r="E7732" s="183"/>
    </row>
    <row r="7733" spans="1:5" ht="14.25">
      <c r="A7733"/>
      <c r="B7733"/>
      <c r="C7733"/>
      <c r="D7733"/>
      <c r="E7733" s="183"/>
    </row>
    <row r="7734" spans="1:5" ht="14.25">
      <c r="A7734"/>
      <c r="B7734"/>
      <c r="C7734"/>
      <c r="D7734"/>
      <c r="E7734" s="183"/>
    </row>
    <row r="7735" spans="1:5" ht="14.25">
      <c r="A7735"/>
      <c r="B7735"/>
      <c r="C7735"/>
      <c r="D7735"/>
      <c r="E7735" s="183"/>
    </row>
    <row r="7736" spans="1:5" ht="14.25">
      <c r="A7736"/>
      <c r="B7736"/>
      <c r="C7736"/>
      <c r="D7736"/>
      <c r="E7736" s="183"/>
    </row>
    <row r="7737" spans="1:5" ht="14.25">
      <c r="A7737"/>
      <c r="B7737"/>
      <c r="C7737"/>
      <c r="D7737"/>
      <c r="E7737" s="183"/>
    </row>
    <row r="7738" spans="1:5" ht="14.25">
      <c r="A7738"/>
      <c r="B7738"/>
      <c r="C7738"/>
      <c r="D7738"/>
      <c r="E7738" s="183"/>
    </row>
    <row r="7739" spans="1:5" ht="14.25">
      <c r="A7739"/>
      <c r="B7739"/>
      <c r="C7739"/>
      <c r="D7739"/>
      <c r="E7739" s="183"/>
    </row>
    <row r="7740" spans="1:5" ht="14.25">
      <c r="A7740"/>
      <c r="B7740"/>
      <c r="C7740"/>
      <c r="D7740"/>
      <c r="E7740" s="183"/>
    </row>
    <row r="7741" spans="1:5" ht="14.25">
      <c r="A7741"/>
      <c r="B7741"/>
      <c r="C7741"/>
      <c r="D7741"/>
      <c r="E7741" s="183"/>
    </row>
    <row r="7742" spans="1:5" ht="14.25">
      <c r="A7742"/>
      <c r="B7742"/>
      <c r="C7742"/>
      <c r="D7742"/>
      <c r="E7742" s="183"/>
    </row>
    <row r="7743" spans="1:5" ht="14.25">
      <c r="A7743"/>
      <c r="B7743"/>
      <c r="C7743"/>
      <c r="D7743"/>
      <c r="E7743" s="183"/>
    </row>
    <row r="7744" spans="1:5" ht="14.25">
      <c r="A7744"/>
      <c r="B7744"/>
      <c r="C7744"/>
      <c r="D7744"/>
      <c r="E7744" s="183"/>
    </row>
    <row r="7745" spans="1:5" ht="14.25">
      <c r="A7745"/>
      <c r="B7745"/>
      <c r="C7745"/>
      <c r="D7745"/>
      <c r="E7745" s="183"/>
    </row>
    <row r="7746" spans="1:5" ht="14.25">
      <c r="A7746"/>
      <c r="B7746"/>
      <c r="C7746"/>
      <c r="D7746"/>
      <c r="E7746" s="183"/>
    </row>
    <row r="7747" spans="1:5" ht="14.25">
      <c r="A7747"/>
      <c r="B7747"/>
      <c r="C7747"/>
      <c r="D7747"/>
      <c r="E7747" s="183"/>
    </row>
    <row r="7748" spans="1:5" ht="14.25">
      <c r="A7748"/>
      <c r="B7748"/>
      <c r="C7748"/>
      <c r="D7748"/>
      <c r="E7748" s="183"/>
    </row>
    <row r="7749" spans="1:5" ht="14.25">
      <c r="A7749"/>
      <c r="B7749"/>
      <c r="C7749"/>
      <c r="D7749"/>
      <c r="E7749" s="183"/>
    </row>
    <row r="7750" spans="1:5" ht="14.25">
      <c r="A7750"/>
      <c r="B7750"/>
      <c r="C7750"/>
      <c r="D7750"/>
      <c r="E7750" s="183"/>
    </row>
    <row r="7751" spans="1:5" ht="14.25">
      <c r="A7751"/>
      <c r="B7751"/>
      <c r="C7751"/>
      <c r="D7751"/>
      <c r="E7751" s="183"/>
    </row>
    <row r="7752" spans="1:5" ht="14.25">
      <c r="A7752"/>
      <c r="B7752"/>
      <c r="C7752"/>
      <c r="D7752"/>
      <c r="E7752" s="183"/>
    </row>
    <row r="7753" spans="1:5" ht="14.25">
      <c r="A7753"/>
      <c r="B7753"/>
      <c r="C7753"/>
      <c r="D7753"/>
      <c r="E7753" s="183"/>
    </row>
    <row r="7754" spans="1:5" ht="14.25">
      <c r="A7754"/>
      <c r="B7754"/>
      <c r="C7754"/>
      <c r="D7754"/>
      <c r="E7754" s="183"/>
    </row>
    <row r="7755" spans="1:5" ht="14.25">
      <c r="A7755"/>
      <c r="B7755"/>
      <c r="C7755"/>
      <c r="D7755"/>
      <c r="E7755" s="183"/>
    </row>
    <row r="7756" spans="1:5" ht="14.25">
      <c r="A7756"/>
      <c r="B7756"/>
      <c r="C7756"/>
      <c r="D7756"/>
      <c r="E7756" s="183"/>
    </row>
    <row r="7757" spans="1:5" ht="14.25">
      <c r="A7757"/>
      <c r="B7757"/>
      <c r="C7757"/>
      <c r="D7757"/>
      <c r="E7757" s="183"/>
    </row>
    <row r="7758" spans="1:5" ht="14.25">
      <c r="A7758"/>
      <c r="B7758"/>
      <c r="C7758"/>
      <c r="D7758"/>
      <c r="E7758" s="183"/>
    </row>
    <row r="7759" spans="1:5" ht="14.25">
      <c r="A7759"/>
      <c r="B7759"/>
      <c r="C7759"/>
      <c r="D7759"/>
      <c r="E7759" s="183"/>
    </row>
    <row r="7760" spans="1:5" ht="14.25">
      <c r="A7760"/>
      <c r="B7760"/>
      <c r="C7760"/>
      <c r="D7760"/>
      <c r="E7760" s="183"/>
    </row>
    <row r="7761" spans="1:5" ht="14.25">
      <c r="A7761"/>
      <c r="B7761"/>
      <c r="C7761"/>
      <c r="D7761"/>
      <c r="E7761" s="184"/>
    </row>
    <row r="7762" spans="1:5" ht="14.25">
      <c r="A7762"/>
      <c r="B7762"/>
      <c r="C7762"/>
      <c r="D7762"/>
      <c r="E7762" s="184"/>
    </row>
    <row r="7763" spans="1:5" ht="14.25">
      <c r="A7763"/>
      <c r="B7763"/>
      <c r="C7763"/>
      <c r="D7763"/>
      <c r="E7763" s="183"/>
    </row>
    <row r="7764" spans="1:5" ht="14.25">
      <c r="A7764"/>
      <c r="B7764"/>
      <c r="C7764"/>
      <c r="D7764"/>
      <c r="E7764" s="183"/>
    </row>
    <row r="7765" spans="1:5" ht="14.25">
      <c r="A7765"/>
      <c r="B7765"/>
      <c r="C7765"/>
      <c r="D7765"/>
      <c r="E7765" s="183"/>
    </row>
    <row r="7766" spans="1:5" ht="14.25">
      <c r="A7766"/>
      <c r="B7766"/>
      <c r="C7766"/>
      <c r="D7766"/>
      <c r="E7766" s="183"/>
    </row>
    <row r="7767" spans="1:5" ht="14.25">
      <c r="A7767"/>
      <c r="B7767"/>
      <c r="C7767"/>
      <c r="D7767"/>
      <c r="E7767" s="183"/>
    </row>
    <row r="7768" spans="1:5" ht="14.25">
      <c r="A7768"/>
      <c r="B7768"/>
      <c r="C7768"/>
      <c r="D7768"/>
      <c r="E7768" s="183"/>
    </row>
    <row r="7769" spans="1:5" ht="14.25">
      <c r="A7769"/>
      <c r="B7769"/>
      <c r="C7769"/>
      <c r="D7769"/>
      <c r="E7769" s="183"/>
    </row>
    <row r="7770" spans="1:5" ht="14.25">
      <c r="A7770"/>
      <c r="B7770"/>
      <c r="C7770"/>
      <c r="D7770"/>
      <c r="E7770" s="183"/>
    </row>
    <row r="7771" spans="1:5" ht="14.25">
      <c r="A7771"/>
      <c r="B7771"/>
      <c r="C7771"/>
      <c r="D7771"/>
      <c r="E7771" s="183"/>
    </row>
    <row r="7772" spans="1:5" ht="14.25">
      <c r="A7772"/>
      <c r="B7772"/>
      <c r="C7772"/>
      <c r="D7772"/>
      <c r="E7772" s="183"/>
    </row>
    <row r="7773" spans="1:5" ht="14.25">
      <c r="A7773"/>
      <c r="B7773"/>
      <c r="C7773"/>
      <c r="D7773"/>
      <c r="E7773" s="183"/>
    </row>
    <row r="7774" spans="1:5" ht="14.25">
      <c r="A7774"/>
      <c r="B7774"/>
      <c r="C7774"/>
      <c r="D7774"/>
      <c r="E7774" s="183"/>
    </row>
    <row r="7775" spans="1:5" ht="14.25">
      <c r="A7775"/>
      <c r="B7775"/>
      <c r="C7775"/>
      <c r="D7775"/>
      <c r="E7775" s="183"/>
    </row>
    <row r="7776" spans="1:5" ht="14.25">
      <c r="A7776"/>
      <c r="B7776"/>
      <c r="C7776"/>
      <c r="D7776"/>
      <c r="E7776" s="183"/>
    </row>
    <row r="7777" spans="1:5" ht="14.25">
      <c r="A7777"/>
      <c r="B7777"/>
      <c r="C7777"/>
      <c r="D7777"/>
      <c r="E7777" s="183"/>
    </row>
    <row r="7778" spans="1:5" ht="14.25">
      <c r="A7778"/>
      <c r="B7778"/>
      <c r="C7778"/>
      <c r="D7778"/>
      <c r="E7778" s="183"/>
    </row>
    <row r="7779" spans="1:5" ht="14.25">
      <c r="A7779"/>
      <c r="B7779"/>
      <c r="C7779"/>
      <c r="D7779"/>
      <c r="E7779" s="183"/>
    </row>
    <row r="7780" spans="1:5" ht="14.25">
      <c r="A7780"/>
      <c r="B7780"/>
      <c r="C7780"/>
      <c r="D7780"/>
      <c r="E7780" s="183"/>
    </row>
    <row r="7781" spans="1:5" ht="14.25">
      <c r="A7781"/>
      <c r="B7781"/>
      <c r="C7781"/>
      <c r="D7781"/>
      <c r="E7781" s="183"/>
    </row>
    <row r="7782" spans="1:5" ht="14.25">
      <c r="A7782"/>
      <c r="B7782"/>
      <c r="C7782"/>
      <c r="D7782"/>
      <c r="E7782" s="183"/>
    </row>
    <row r="7783" spans="1:5" ht="14.25">
      <c r="A7783"/>
      <c r="B7783"/>
      <c r="C7783"/>
      <c r="D7783"/>
      <c r="E7783" s="183"/>
    </row>
    <row r="7784" spans="1:5" ht="14.25">
      <c r="A7784"/>
      <c r="B7784"/>
      <c r="C7784"/>
      <c r="D7784"/>
      <c r="E7784" s="183"/>
    </row>
    <row r="7785" spans="1:5" ht="14.25">
      <c r="A7785"/>
      <c r="B7785"/>
      <c r="C7785"/>
      <c r="D7785"/>
      <c r="E7785" s="183"/>
    </row>
    <row r="7786" spans="1:5" ht="14.25">
      <c r="A7786"/>
      <c r="B7786"/>
      <c r="C7786"/>
      <c r="D7786"/>
      <c r="E7786" s="183"/>
    </row>
    <row r="7787" spans="1:5" ht="14.25">
      <c r="A7787"/>
      <c r="B7787"/>
      <c r="C7787"/>
      <c r="D7787"/>
      <c r="E7787" s="183"/>
    </row>
    <row r="7788" spans="1:5" ht="14.25">
      <c r="A7788"/>
      <c r="B7788"/>
      <c r="C7788"/>
      <c r="D7788"/>
      <c r="E7788" s="183"/>
    </row>
    <row r="7789" spans="1:5" ht="14.25">
      <c r="A7789"/>
      <c r="B7789"/>
      <c r="C7789"/>
      <c r="D7789"/>
      <c r="E7789" s="183"/>
    </row>
    <row r="7790" spans="1:5" ht="14.25">
      <c r="A7790"/>
      <c r="B7790"/>
      <c r="C7790"/>
      <c r="D7790"/>
      <c r="E7790" s="183"/>
    </row>
    <row r="7791" spans="1:5" ht="14.25">
      <c r="A7791"/>
      <c r="B7791"/>
      <c r="C7791"/>
      <c r="D7791"/>
      <c r="E7791" s="183"/>
    </row>
    <row r="7792" spans="1:5" ht="14.25">
      <c r="A7792"/>
      <c r="B7792"/>
      <c r="C7792"/>
      <c r="D7792"/>
      <c r="E7792" s="183"/>
    </row>
    <row r="7793" spans="1:5" ht="14.25">
      <c r="A7793"/>
      <c r="B7793"/>
      <c r="C7793"/>
      <c r="D7793"/>
      <c r="E7793" s="183"/>
    </row>
    <row r="7794" spans="1:5" ht="14.25">
      <c r="A7794"/>
      <c r="B7794"/>
      <c r="C7794"/>
      <c r="D7794"/>
      <c r="E7794" s="183"/>
    </row>
    <row r="7795" spans="1:5" ht="14.25">
      <c r="A7795"/>
      <c r="B7795"/>
      <c r="C7795"/>
      <c r="D7795"/>
      <c r="E7795" s="183"/>
    </row>
    <row r="7796" spans="1:5" ht="14.25">
      <c r="A7796"/>
      <c r="B7796"/>
      <c r="C7796"/>
      <c r="D7796"/>
      <c r="E7796" s="183"/>
    </row>
    <row r="7797" spans="1:5" ht="14.25">
      <c r="A7797"/>
      <c r="B7797"/>
      <c r="C7797"/>
      <c r="D7797"/>
      <c r="E7797" s="183"/>
    </row>
    <row r="7798" spans="1:5" ht="14.25">
      <c r="A7798"/>
      <c r="B7798"/>
      <c r="C7798"/>
      <c r="D7798"/>
      <c r="E7798" s="183"/>
    </row>
    <row r="7799" spans="1:5" ht="14.25">
      <c r="A7799"/>
      <c r="B7799"/>
      <c r="C7799"/>
      <c r="D7799"/>
      <c r="E7799" s="183"/>
    </row>
    <row r="7800" spans="1:5" ht="14.25">
      <c r="A7800"/>
      <c r="B7800"/>
      <c r="C7800"/>
      <c r="D7800"/>
      <c r="E7800" s="183"/>
    </row>
    <row r="7801" spans="1:5" ht="14.25">
      <c r="A7801"/>
      <c r="B7801"/>
      <c r="C7801"/>
      <c r="D7801"/>
      <c r="E7801" s="183"/>
    </row>
    <row r="7802" spans="1:5" ht="14.25">
      <c r="A7802"/>
      <c r="B7802"/>
      <c r="C7802"/>
      <c r="D7802"/>
      <c r="E7802" s="183"/>
    </row>
    <row r="7803" spans="1:5" ht="14.25">
      <c r="A7803"/>
      <c r="B7803"/>
      <c r="C7803"/>
      <c r="D7803"/>
      <c r="E7803" s="183"/>
    </row>
    <row r="7804" spans="1:5" ht="14.25">
      <c r="A7804"/>
      <c r="B7804"/>
      <c r="C7804"/>
      <c r="D7804"/>
      <c r="E7804" s="184"/>
    </row>
    <row r="7805" spans="1:5" ht="14.25">
      <c r="A7805"/>
      <c r="B7805"/>
      <c r="C7805"/>
      <c r="D7805"/>
      <c r="E7805" s="183"/>
    </row>
    <row r="7806" spans="1:5" ht="14.25">
      <c r="A7806"/>
      <c r="B7806"/>
      <c r="C7806"/>
      <c r="D7806"/>
      <c r="E7806" s="183"/>
    </row>
    <row r="7807" spans="1:5" ht="14.25">
      <c r="A7807"/>
      <c r="B7807"/>
      <c r="C7807"/>
      <c r="D7807"/>
      <c r="E7807" s="183"/>
    </row>
    <row r="7808" spans="1:5" ht="14.25">
      <c r="A7808"/>
      <c r="B7808"/>
      <c r="C7808"/>
      <c r="D7808"/>
      <c r="E7808" s="183"/>
    </row>
    <row r="7809" spans="1:5" ht="14.25">
      <c r="A7809"/>
      <c r="B7809"/>
      <c r="C7809"/>
      <c r="D7809"/>
      <c r="E7809" s="183"/>
    </row>
    <row r="7810" spans="1:5" ht="14.25">
      <c r="A7810"/>
      <c r="B7810"/>
      <c r="C7810"/>
      <c r="D7810"/>
      <c r="E7810" s="183"/>
    </row>
    <row r="7811" spans="1:5" ht="14.25">
      <c r="A7811"/>
      <c r="B7811"/>
      <c r="C7811"/>
      <c r="D7811"/>
      <c r="E7811" s="183"/>
    </row>
    <row r="7812" spans="1:5" ht="14.25">
      <c r="A7812"/>
      <c r="B7812"/>
      <c r="C7812"/>
      <c r="D7812"/>
      <c r="E7812" s="183"/>
    </row>
    <row r="7813" spans="1:5" ht="14.25">
      <c r="A7813"/>
      <c r="B7813"/>
      <c r="C7813"/>
      <c r="D7813"/>
      <c r="E7813" s="183"/>
    </row>
    <row r="7814" spans="1:5" ht="14.25">
      <c r="A7814"/>
      <c r="B7814"/>
      <c r="C7814"/>
      <c r="D7814"/>
      <c r="E7814" s="183"/>
    </row>
    <row r="7815" spans="1:5" ht="14.25">
      <c r="A7815"/>
      <c r="B7815"/>
      <c r="C7815"/>
      <c r="D7815"/>
      <c r="E7815" s="183"/>
    </row>
    <row r="7816" spans="1:5" ht="14.25">
      <c r="A7816"/>
      <c r="B7816"/>
      <c r="C7816"/>
      <c r="D7816"/>
      <c r="E7816" s="183"/>
    </row>
    <row r="7817" spans="1:5" ht="14.25">
      <c r="A7817"/>
      <c r="B7817"/>
      <c r="C7817"/>
      <c r="D7817"/>
      <c r="E7817" s="183"/>
    </row>
    <row r="7818" spans="1:5" ht="14.25">
      <c r="A7818"/>
      <c r="B7818"/>
      <c r="C7818"/>
      <c r="D7818"/>
      <c r="E7818" s="183"/>
    </row>
    <row r="7819" spans="1:5" ht="14.25">
      <c r="A7819"/>
      <c r="B7819"/>
      <c r="C7819"/>
      <c r="D7819"/>
      <c r="E7819" s="183"/>
    </row>
    <row r="7820" spans="1:5" ht="14.25">
      <c r="A7820"/>
      <c r="B7820"/>
      <c r="C7820"/>
      <c r="D7820"/>
      <c r="E7820" s="183"/>
    </row>
    <row r="7821" spans="1:5" ht="14.25">
      <c r="A7821"/>
      <c r="B7821"/>
      <c r="C7821"/>
      <c r="D7821"/>
      <c r="E7821" s="183"/>
    </row>
    <row r="7822" spans="1:5" ht="14.25">
      <c r="A7822"/>
      <c r="B7822"/>
      <c r="C7822"/>
      <c r="D7822"/>
      <c r="E7822" s="183"/>
    </row>
    <row r="7823" spans="1:5" ht="14.25">
      <c r="A7823"/>
      <c r="B7823"/>
      <c r="C7823"/>
      <c r="D7823"/>
      <c r="E7823" s="183"/>
    </row>
    <row r="7824" spans="1:5" ht="14.25">
      <c r="A7824"/>
      <c r="B7824"/>
      <c r="C7824"/>
      <c r="D7824"/>
      <c r="E7824" s="183"/>
    </row>
    <row r="7825" spans="1:5" ht="14.25">
      <c r="A7825"/>
      <c r="B7825"/>
      <c r="C7825"/>
      <c r="D7825"/>
      <c r="E7825" s="184"/>
    </row>
    <row r="7826" spans="1:5" ht="14.25">
      <c r="A7826"/>
      <c r="B7826"/>
      <c r="C7826"/>
      <c r="D7826"/>
      <c r="E7826" s="183"/>
    </row>
    <row r="7827" spans="1:5" ht="14.25">
      <c r="A7827"/>
      <c r="B7827"/>
      <c r="C7827"/>
      <c r="D7827"/>
      <c r="E7827" s="183"/>
    </row>
    <row r="7828" spans="1:5" ht="14.25">
      <c r="A7828"/>
      <c r="B7828"/>
      <c r="C7828"/>
      <c r="D7828"/>
      <c r="E7828" s="183"/>
    </row>
    <row r="7829" spans="1:5" ht="14.25">
      <c r="A7829"/>
      <c r="B7829"/>
      <c r="C7829"/>
      <c r="D7829"/>
      <c r="E7829" s="183"/>
    </row>
    <row r="7830" spans="1:5" ht="14.25">
      <c r="A7830"/>
      <c r="B7830"/>
      <c r="C7830"/>
      <c r="D7830"/>
      <c r="E7830" s="183"/>
    </row>
    <row r="7831" spans="1:5" ht="14.25">
      <c r="A7831"/>
      <c r="B7831"/>
      <c r="C7831"/>
      <c r="D7831"/>
      <c r="E7831" s="183"/>
    </row>
    <row r="7832" spans="1:5" ht="14.25">
      <c r="A7832"/>
      <c r="B7832"/>
      <c r="C7832"/>
      <c r="D7832"/>
      <c r="E7832" s="183"/>
    </row>
    <row r="7833" spans="1:5" ht="14.25">
      <c r="A7833"/>
      <c r="B7833"/>
      <c r="C7833"/>
      <c r="D7833"/>
      <c r="E7833" s="183"/>
    </row>
    <row r="7834" spans="1:5" ht="14.25">
      <c r="A7834"/>
      <c r="B7834"/>
      <c r="C7834"/>
      <c r="D7834"/>
      <c r="E7834" s="184"/>
    </row>
    <row r="7835" spans="1:5" ht="14.25">
      <c r="A7835"/>
      <c r="B7835"/>
      <c r="C7835"/>
      <c r="D7835"/>
      <c r="E7835" s="184"/>
    </row>
    <row r="7836" spans="1:5" ht="14.25">
      <c r="A7836"/>
      <c r="B7836"/>
      <c r="C7836"/>
      <c r="D7836"/>
      <c r="E7836" s="184"/>
    </row>
    <row r="7837" spans="1:5" ht="14.25">
      <c r="A7837"/>
      <c r="B7837"/>
      <c r="C7837"/>
      <c r="D7837"/>
      <c r="E7837" s="184"/>
    </row>
    <row r="7838" spans="1:5" ht="14.25">
      <c r="A7838"/>
      <c r="B7838"/>
      <c r="C7838"/>
      <c r="D7838"/>
      <c r="E7838" s="184"/>
    </row>
    <row r="7839" spans="1:5" ht="14.25">
      <c r="A7839"/>
      <c r="B7839"/>
      <c r="C7839"/>
      <c r="D7839"/>
      <c r="E7839" s="184"/>
    </row>
    <row r="7840" spans="1:5" ht="14.25">
      <c r="A7840"/>
      <c r="B7840"/>
      <c r="C7840"/>
      <c r="D7840"/>
      <c r="E7840" s="184"/>
    </row>
    <row r="7841" spans="1:5" ht="14.25">
      <c r="A7841"/>
      <c r="B7841"/>
      <c r="C7841"/>
      <c r="D7841"/>
      <c r="E7841" s="183"/>
    </row>
    <row r="7842" spans="1:5" ht="14.25">
      <c r="A7842"/>
      <c r="B7842"/>
      <c r="C7842"/>
      <c r="D7842"/>
      <c r="E7842" s="183"/>
    </row>
    <row r="7843" spans="1:5" ht="14.25">
      <c r="A7843"/>
      <c r="B7843"/>
      <c r="C7843"/>
      <c r="D7843"/>
      <c r="E7843" s="183"/>
    </row>
    <row r="7844" spans="1:5" ht="14.25">
      <c r="A7844"/>
      <c r="B7844"/>
      <c r="C7844"/>
      <c r="D7844"/>
      <c r="E7844" s="183"/>
    </row>
    <row r="7845" spans="1:5" ht="14.25">
      <c r="A7845"/>
      <c r="B7845"/>
      <c r="C7845"/>
      <c r="D7845"/>
      <c r="E7845" s="183"/>
    </row>
    <row r="7846" spans="1:5" ht="14.25">
      <c r="A7846"/>
      <c r="B7846"/>
      <c r="C7846"/>
      <c r="D7846"/>
      <c r="E7846" s="183"/>
    </row>
    <row r="7847" spans="1:5" ht="14.25">
      <c r="A7847"/>
      <c r="B7847"/>
      <c r="C7847"/>
      <c r="D7847"/>
      <c r="E7847" s="184"/>
    </row>
    <row r="7848" spans="1:5" ht="14.25">
      <c r="A7848"/>
      <c r="B7848"/>
      <c r="C7848"/>
      <c r="D7848"/>
      <c r="E7848" s="184"/>
    </row>
    <row r="7849" spans="1:5" ht="14.25">
      <c r="A7849"/>
      <c r="B7849"/>
      <c r="C7849"/>
      <c r="D7849"/>
      <c r="E7849" s="183"/>
    </row>
    <row r="7850" spans="1:5" ht="14.25">
      <c r="A7850"/>
      <c r="B7850"/>
      <c r="C7850"/>
      <c r="D7850"/>
      <c r="E7850" s="183"/>
    </row>
    <row r="7851" spans="1:5" ht="14.25">
      <c r="A7851"/>
      <c r="B7851"/>
      <c r="C7851"/>
      <c r="D7851"/>
      <c r="E7851" s="183"/>
    </row>
    <row r="7852" spans="1:5" ht="14.25">
      <c r="A7852"/>
      <c r="B7852"/>
      <c r="C7852"/>
      <c r="D7852"/>
      <c r="E7852" s="183"/>
    </row>
    <row r="7853" spans="1:5" ht="14.25">
      <c r="A7853"/>
      <c r="B7853"/>
      <c r="C7853"/>
      <c r="D7853"/>
      <c r="E7853" s="183"/>
    </row>
    <row r="7854" spans="1:5" ht="14.25">
      <c r="A7854"/>
      <c r="B7854"/>
      <c r="C7854"/>
      <c r="D7854"/>
      <c r="E7854" s="184"/>
    </row>
    <row r="7855" spans="1:5" ht="14.25">
      <c r="A7855"/>
      <c r="B7855"/>
      <c r="C7855"/>
      <c r="D7855"/>
      <c r="E7855" s="184"/>
    </row>
    <row r="7856" spans="1:5" ht="14.25">
      <c r="A7856"/>
      <c r="B7856"/>
      <c r="C7856"/>
      <c r="D7856"/>
      <c r="E7856" s="183"/>
    </row>
    <row r="7857" spans="1:5" ht="14.25">
      <c r="A7857"/>
      <c r="B7857"/>
      <c r="C7857"/>
      <c r="D7857"/>
      <c r="E7857" s="183"/>
    </row>
    <row r="7858" spans="1:5" ht="14.25">
      <c r="A7858"/>
      <c r="B7858"/>
      <c r="C7858"/>
      <c r="D7858"/>
      <c r="E7858" s="184"/>
    </row>
    <row r="7859" spans="1:5" ht="14.25">
      <c r="A7859"/>
      <c r="B7859"/>
      <c r="C7859"/>
      <c r="D7859"/>
      <c r="E7859" s="183"/>
    </row>
    <row r="7860" spans="1:5" ht="14.25">
      <c r="A7860"/>
      <c r="B7860"/>
      <c r="C7860"/>
      <c r="D7860"/>
      <c r="E7860" s="184"/>
    </row>
    <row r="7861" spans="1:5" ht="14.25">
      <c r="A7861"/>
      <c r="B7861"/>
      <c r="C7861"/>
      <c r="D7861"/>
      <c r="E7861" s="184"/>
    </row>
    <row r="7862" spans="1:5" ht="14.25">
      <c r="A7862"/>
      <c r="B7862"/>
      <c r="C7862"/>
      <c r="D7862"/>
      <c r="E7862" s="184"/>
    </row>
    <row r="7863" spans="1:5" ht="14.25">
      <c r="A7863"/>
      <c r="B7863"/>
      <c r="C7863"/>
      <c r="D7863"/>
      <c r="E7863" s="184"/>
    </row>
    <row r="7864" spans="1:5" ht="14.25">
      <c r="A7864"/>
      <c r="B7864"/>
      <c r="C7864"/>
      <c r="D7864"/>
      <c r="E7864" s="183"/>
    </row>
    <row r="7865" spans="1:5" ht="14.25">
      <c r="A7865"/>
      <c r="B7865"/>
      <c r="C7865"/>
      <c r="D7865"/>
      <c r="E7865" s="183"/>
    </row>
    <row r="7866" spans="1:5" ht="14.25">
      <c r="A7866"/>
      <c r="B7866"/>
      <c r="C7866"/>
      <c r="D7866"/>
      <c r="E7866" s="183"/>
    </row>
    <row r="7867" spans="1:5" ht="14.25">
      <c r="A7867"/>
      <c r="B7867"/>
      <c r="C7867"/>
      <c r="D7867"/>
      <c r="E7867" s="183"/>
    </row>
    <row r="7868" spans="1:5" ht="14.25">
      <c r="A7868"/>
      <c r="B7868"/>
      <c r="C7868"/>
      <c r="D7868"/>
      <c r="E7868" s="183"/>
    </row>
    <row r="7869" spans="1:5" ht="14.25">
      <c r="A7869"/>
      <c r="B7869"/>
      <c r="C7869"/>
      <c r="D7869"/>
      <c r="E7869" s="183"/>
    </row>
    <row r="7870" spans="1:5" ht="14.25">
      <c r="A7870"/>
      <c r="B7870"/>
      <c r="C7870"/>
      <c r="D7870"/>
      <c r="E7870" s="183"/>
    </row>
    <row r="7871" spans="1:5" ht="14.25">
      <c r="A7871"/>
      <c r="B7871"/>
      <c r="C7871"/>
      <c r="D7871"/>
      <c r="E7871" s="183"/>
    </row>
    <row r="7872" spans="1:5" ht="14.25">
      <c r="A7872"/>
      <c r="B7872"/>
      <c r="C7872"/>
      <c r="D7872"/>
      <c r="E7872" s="183"/>
    </row>
    <row r="7873" spans="1:5" ht="14.25">
      <c r="A7873"/>
      <c r="B7873"/>
      <c r="C7873"/>
      <c r="D7873"/>
      <c r="E7873" s="183"/>
    </row>
    <row r="7874" spans="1:5" ht="14.25">
      <c r="A7874"/>
      <c r="B7874"/>
      <c r="C7874"/>
      <c r="D7874"/>
      <c r="E7874" s="183"/>
    </row>
    <row r="7875" spans="1:5" ht="14.25">
      <c r="A7875"/>
      <c r="B7875"/>
      <c r="C7875"/>
      <c r="D7875"/>
      <c r="E7875" s="183"/>
    </row>
    <row r="7876" spans="1:5" ht="14.25">
      <c r="A7876"/>
      <c r="B7876"/>
      <c r="C7876"/>
      <c r="D7876"/>
      <c r="E7876" s="183"/>
    </row>
    <row r="7877" spans="1:5" ht="14.25">
      <c r="A7877"/>
      <c r="B7877"/>
      <c r="C7877"/>
      <c r="D7877"/>
      <c r="E7877" s="183"/>
    </row>
    <row r="7878" spans="1:5" ht="14.25">
      <c r="A7878"/>
      <c r="B7878"/>
      <c r="C7878"/>
      <c r="D7878"/>
      <c r="E7878" s="183"/>
    </row>
    <row r="7879" spans="1:5" ht="14.25">
      <c r="A7879"/>
      <c r="B7879"/>
      <c r="C7879"/>
      <c r="D7879"/>
      <c r="E7879" s="183"/>
    </row>
    <row r="7880" spans="1:5" ht="14.25">
      <c r="A7880"/>
      <c r="B7880"/>
      <c r="C7880"/>
      <c r="D7880"/>
      <c r="E7880" s="183"/>
    </row>
    <row r="7881" spans="1:5" ht="14.25">
      <c r="A7881"/>
      <c r="B7881"/>
      <c r="C7881"/>
      <c r="D7881"/>
      <c r="E7881" s="183"/>
    </row>
    <row r="7882" spans="1:5" ht="14.25">
      <c r="A7882"/>
      <c r="B7882"/>
      <c r="C7882"/>
      <c r="D7882"/>
      <c r="E7882" s="183"/>
    </row>
    <row r="7883" spans="1:5" ht="14.25">
      <c r="A7883"/>
      <c r="B7883"/>
      <c r="C7883"/>
      <c r="D7883"/>
      <c r="E7883" s="183"/>
    </row>
    <row r="7884" spans="1:5" ht="14.25">
      <c r="A7884"/>
      <c r="B7884"/>
      <c r="C7884"/>
      <c r="D7884"/>
      <c r="E7884" s="183"/>
    </row>
    <row r="7885" spans="1:5" ht="14.25">
      <c r="A7885"/>
      <c r="B7885"/>
      <c r="C7885"/>
      <c r="D7885"/>
      <c r="E7885" s="183"/>
    </row>
    <row r="7886" spans="1:5" ht="14.25">
      <c r="A7886"/>
      <c r="B7886"/>
      <c r="C7886"/>
      <c r="D7886"/>
      <c r="E7886" s="183"/>
    </row>
    <row r="7887" spans="1:5" ht="14.25">
      <c r="A7887"/>
      <c r="B7887"/>
      <c r="C7887"/>
      <c r="D7887"/>
      <c r="E7887" s="183"/>
    </row>
    <row r="7888" spans="1:5" ht="14.25">
      <c r="A7888"/>
      <c r="B7888"/>
      <c r="C7888"/>
      <c r="D7888"/>
      <c r="E7888" s="183"/>
    </row>
    <row r="7889" spans="1:5" ht="14.25">
      <c r="A7889"/>
      <c r="B7889"/>
      <c r="C7889"/>
      <c r="D7889"/>
      <c r="E7889" s="183"/>
    </row>
    <row r="7890" spans="1:5" ht="14.25">
      <c r="A7890"/>
      <c r="B7890"/>
      <c r="C7890"/>
      <c r="D7890"/>
      <c r="E7890" s="183"/>
    </row>
    <row r="7891" spans="1:5" ht="14.25">
      <c r="A7891"/>
      <c r="B7891"/>
      <c r="C7891"/>
      <c r="D7891"/>
      <c r="E7891" s="183"/>
    </row>
    <row r="7892" spans="1:5" ht="14.25">
      <c r="A7892"/>
      <c r="B7892"/>
      <c r="C7892"/>
      <c r="D7892"/>
      <c r="E7892" s="183"/>
    </row>
    <row r="7893" spans="1:5" ht="14.25">
      <c r="A7893"/>
      <c r="B7893"/>
      <c r="C7893"/>
      <c r="D7893"/>
      <c r="E7893" s="184"/>
    </row>
    <row r="7894" spans="1:5" ht="14.25">
      <c r="A7894"/>
      <c r="B7894"/>
      <c r="C7894"/>
      <c r="D7894"/>
      <c r="E7894" s="183"/>
    </row>
    <row r="7895" spans="1:5" ht="14.25">
      <c r="A7895"/>
      <c r="B7895"/>
      <c r="C7895"/>
      <c r="D7895"/>
      <c r="E7895" s="183"/>
    </row>
    <row r="7896" spans="1:5" ht="14.25">
      <c r="A7896"/>
      <c r="B7896"/>
      <c r="C7896"/>
      <c r="D7896"/>
      <c r="E7896" s="183"/>
    </row>
    <row r="7897" spans="1:5" ht="14.25">
      <c r="A7897"/>
      <c r="B7897"/>
      <c r="C7897"/>
      <c r="D7897"/>
      <c r="E7897" s="184"/>
    </row>
    <row r="7898" spans="1:5" ht="14.25">
      <c r="A7898"/>
      <c r="B7898"/>
      <c r="C7898"/>
      <c r="D7898"/>
      <c r="E7898" s="184"/>
    </row>
    <row r="7899" spans="1:5" ht="14.25">
      <c r="A7899"/>
      <c r="B7899"/>
      <c r="C7899"/>
      <c r="D7899"/>
      <c r="E7899" s="183"/>
    </row>
    <row r="7900" spans="1:5" ht="14.25">
      <c r="A7900"/>
      <c r="B7900"/>
      <c r="C7900"/>
      <c r="D7900"/>
      <c r="E7900" s="183"/>
    </row>
    <row r="7901" spans="1:5" ht="14.25">
      <c r="A7901"/>
      <c r="B7901"/>
      <c r="C7901"/>
      <c r="D7901"/>
      <c r="E7901" s="183"/>
    </row>
    <row r="7902" spans="1:5" ht="14.25">
      <c r="A7902"/>
      <c r="B7902"/>
      <c r="C7902"/>
      <c r="D7902"/>
      <c r="E7902" s="183"/>
    </row>
    <row r="7903" spans="1:5" ht="14.25">
      <c r="A7903"/>
      <c r="B7903"/>
      <c r="C7903"/>
      <c r="D7903"/>
      <c r="E7903" s="183"/>
    </row>
    <row r="7904" spans="1:5" ht="14.25">
      <c r="A7904"/>
      <c r="B7904"/>
      <c r="C7904"/>
      <c r="D7904"/>
      <c r="E7904" s="183"/>
    </row>
    <row r="7905" spans="1:5" ht="14.25">
      <c r="A7905"/>
      <c r="B7905"/>
      <c r="C7905"/>
      <c r="D7905"/>
      <c r="E7905" s="183"/>
    </row>
    <row r="7906" spans="1:5" ht="14.25">
      <c r="A7906"/>
      <c r="B7906"/>
      <c r="C7906"/>
      <c r="D7906"/>
      <c r="E7906" s="183"/>
    </row>
    <row r="7907" spans="1:5" ht="14.25">
      <c r="A7907"/>
      <c r="B7907"/>
      <c r="C7907"/>
      <c r="D7907"/>
      <c r="E7907" s="183"/>
    </row>
    <row r="7908" spans="1:5" ht="14.25">
      <c r="A7908"/>
      <c r="B7908"/>
      <c r="C7908"/>
      <c r="D7908"/>
      <c r="E7908" s="183"/>
    </row>
    <row r="7909" spans="1:5" ht="14.25">
      <c r="A7909"/>
      <c r="B7909"/>
      <c r="C7909"/>
      <c r="D7909"/>
      <c r="E7909" s="183"/>
    </row>
    <row r="7910" spans="1:5" ht="14.25">
      <c r="A7910"/>
      <c r="B7910"/>
      <c r="C7910"/>
      <c r="D7910"/>
      <c r="E7910" s="183"/>
    </row>
    <row r="7911" spans="1:5" ht="14.25">
      <c r="A7911"/>
      <c r="B7911"/>
      <c r="C7911"/>
      <c r="D7911"/>
      <c r="E7911" s="183"/>
    </row>
    <row r="7912" spans="1:5" ht="14.25">
      <c r="A7912"/>
      <c r="B7912"/>
      <c r="C7912"/>
      <c r="D7912"/>
      <c r="E7912" s="183"/>
    </row>
    <row r="7913" spans="1:5" ht="14.25">
      <c r="A7913"/>
      <c r="B7913"/>
      <c r="C7913"/>
      <c r="D7913"/>
      <c r="E7913" s="183"/>
    </row>
    <row r="7914" spans="1:5" ht="14.25">
      <c r="A7914"/>
      <c r="B7914"/>
      <c r="C7914"/>
      <c r="D7914"/>
      <c r="E7914" s="183"/>
    </row>
    <row r="7915" spans="1:5" ht="14.25">
      <c r="A7915"/>
      <c r="B7915"/>
      <c r="C7915"/>
      <c r="D7915"/>
      <c r="E7915" s="183"/>
    </row>
    <row r="7916" spans="1:5" ht="14.25">
      <c r="A7916"/>
      <c r="B7916"/>
      <c r="C7916"/>
      <c r="D7916"/>
      <c r="E7916" s="183"/>
    </row>
    <row r="7917" spans="1:5" ht="14.25">
      <c r="A7917"/>
      <c r="B7917"/>
      <c r="C7917"/>
      <c r="D7917"/>
      <c r="E7917" s="183"/>
    </row>
    <row r="7918" spans="1:5" ht="14.25">
      <c r="A7918"/>
      <c r="B7918"/>
      <c r="C7918"/>
      <c r="D7918"/>
      <c r="E7918" s="183"/>
    </row>
    <row r="7919" spans="1:5" ht="14.25">
      <c r="A7919"/>
      <c r="B7919"/>
      <c r="C7919"/>
      <c r="D7919"/>
      <c r="E7919" s="183"/>
    </row>
    <row r="7920" spans="1:5" ht="14.25">
      <c r="A7920"/>
      <c r="B7920"/>
      <c r="C7920"/>
      <c r="D7920"/>
      <c r="E7920" s="183"/>
    </row>
    <row r="7921" spans="1:5" ht="14.25">
      <c r="A7921"/>
      <c r="B7921"/>
      <c r="C7921"/>
      <c r="D7921"/>
      <c r="E7921" s="183"/>
    </row>
    <row r="7922" spans="1:5" ht="14.25">
      <c r="A7922"/>
      <c r="B7922"/>
      <c r="C7922"/>
      <c r="D7922"/>
      <c r="E7922" s="183"/>
    </row>
    <row r="7923" spans="1:5" ht="14.25">
      <c r="A7923"/>
      <c r="B7923"/>
      <c r="C7923"/>
      <c r="D7923"/>
      <c r="E7923" s="184"/>
    </row>
    <row r="7924" spans="1:5" ht="14.25">
      <c r="A7924"/>
      <c r="B7924"/>
      <c r="C7924"/>
      <c r="D7924"/>
      <c r="E7924" s="183"/>
    </row>
    <row r="7925" spans="1:5" ht="14.25">
      <c r="A7925"/>
      <c r="B7925"/>
      <c r="C7925"/>
      <c r="D7925"/>
      <c r="E7925" s="184"/>
    </row>
    <row r="7926" spans="1:5" ht="14.25">
      <c r="A7926"/>
      <c r="B7926"/>
      <c r="C7926"/>
      <c r="D7926"/>
      <c r="E7926" s="183"/>
    </row>
    <row r="7927" spans="1:5" ht="14.25">
      <c r="A7927"/>
      <c r="B7927"/>
      <c r="C7927"/>
      <c r="D7927"/>
      <c r="E7927" s="184"/>
    </row>
    <row r="7928" spans="1:5" ht="14.25">
      <c r="A7928"/>
      <c r="B7928"/>
      <c r="C7928"/>
      <c r="D7928"/>
      <c r="E7928" s="184"/>
    </row>
    <row r="7929" spans="1:5" ht="14.25">
      <c r="A7929"/>
      <c r="B7929"/>
      <c r="C7929"/>
      <c r="D7929"/>
      <c r="E7929" s="184"/>
    </row>
    <row r="7930" spans="1:5" ht="14.25">
      <c r="A7930"/>
      <c r="B7930"/>
      <c r="C7930"/>
      <c r="D7930"/>
      <c r="E7930" s="183"/>
    </row>
    <row r="7931" spans="1:5" ht="14.25">
      <c r="A7931"/>
      <c r="B7931"/>
      <c r="C7931"/>
      <c r="D7931"/>
      <c r="E7931" s="183"/>
    </row>
    <row r="7932" spans="1:5" ht="14.25">
      <c r="A7932"/>
      <c r="B7932"/>
      <c r="C7932"/>
      <c r="D7932"/>
      <c r="E7932" s="183"/>
    </row>
    <row r="7933" spans="1:5" ht="14.25">
      <c r="A7933"/>
      <c r="B7933"/>
      <c r="C7933"/>
      <c r="D7933"/>
      <c r="E7933" s="183"/>
    </row>
    <row r="7934" spans="1:5" ht="14.25">
      <c r="A7934"/>
      <c r="B7934"/>
      <c r="C7934"/>
      <c r="D7934"/>
      <c r="E7934" s="184"/>
    </row>
    <row r="7935" spans="1:5" ht="14.25">
      <c r="A7935"/>
      <c r="B7935"/>
      <c r="C7935"/>
      <c r="D7935"/>
      <c r="E7935" s="184"/>
    </row>
    <row r="7936" spans="1:5" ht="14.25">
      <c r="A7936"/>
      <c r="B7936"/>
      <c r="C7936"/>
      <c r="D7936"/>
      <c r="E7936" s="183"/>
    </row>
    <row r="7937" spans="1:5" ht="14.25">
      <c r="A7937"/>
      <c r="B7937"/>
      <c r="C7937"/>
      <c r="D7937"/>
      <c r="E7937" s="183"/>
    </row>
    <row r="7938" spans="1:5" ht="14.25">
      <c r="A7938"/>
      <c r="B7938"/>
      <c r="C7938"/>
      <c r="D7938"/>
      <c r="E7938" s="183"/>
    </row>
    <row r="7939" spans="1:5" ht="14.25">
      <c r="A7939"/>
      <c r="B7939"/>
      <c r="C7939"/>
      <c r="D7939"/>
      <c r="E7939" s="183"/>
    </row>
    <row r="7940" spans="1:5" ht="14.25">
      <c r="A7940"/>
      <c r="B7940"/>
      <c r="C7940"/>
      <c r="D7940"/>
      <c r="E7940" s="183"/>
    </row>
    <row r="7941" spans="1:5" ht="14.25">
      <c r="A7941"/>
      <c r="B7941"/>
      <c r="C7941"/>
      <c r="D7941"/>
      <c r="E7941" s="183"/>
    </row>
    <row r="7942" spans="1:5" ht="14.25">
      <c r="A7942"/>
      <c r="B7942"/>
      <c r="C7942"/>
      <c r="D7942"/>
      <c r="E7942" s="183"/>
    </row>
    <row r="7943" spans="1:5" ht="14.25">
      <c r="A7943"/>
      <c r="B7943"/>
      <c r="C7943"/>
      <c r="D7943"/>
      <c r="E7943" s="183"/>
    </row>
    <row r="7944" spans="1:5" ht="14.25">
      <c r="A7944"/>
      <c r="B7944"/>
      <c r="C7944"/>
      <c r="D7944"/>
      <c r="E7944" s="183"/>
    </row>
    <row r="7945" spans="1:5" ht="14.25">
      <c r="A7945"/>
      <c r="B7945"/>
      <c r="C7945"/>
      <c r="D7945"/>
      <c r="E7945" s="183"/>
    </row>
    <row r="7946" spans="1:5" ht="14.25">
      <c r="A7946"/>
      <c r="B7946"/>
      <c r="C7946"/>
      <c r="D7946"/>
      <c r="E7946" s="183"/>
    </row>
    <row r="7947" spans="1:5" ht="14.25">
      <c r="A7947"/>
      <c r="B7947"/>
      <c r="C7947"/>
      <c r="D7947"/>
      <c r="E7947" s="183"/>
    </row>
    <row r="7948" spans="1:5" ht="14.25">
      <c r="A7948"/>
      <c r="B7948"/>
      <c r="C7948"/>
      <c r="D7948"/>
      <c r="E7948" s="183"/>
    </row>
    <row r="7949" spans="1:5" ht="14.25">
      <c r="A7949"/>
      <c r="B7949"/>
      <c r="C7949"/>
      <c r="D7949"/>
      <c r="E7949" s="183"/>
    </row>
    <row r="7950" spans="1:5" ht="14.25">
      <c r="A7950"/>
      <c r="B7950"/>
      <c r="C7950"/>
      <c r="D7950"/>
      <c r="E7950" s="183"/>
    </row>
    <row r="7951" spans="1:5" ht="14.25">
      <c r="A7951"/>
      <c r="B7951"/>
      <c r="C7951"/>
      <c r="D7951"/>
      <c r="E7951" s="183"/>
    </row>
    <row r="7952" spans="1:5" ht="14.25">
      <c r="A7952"/>
      <c r="B7952"/>
      <c r="C7952"/>
      <c r="D7952"/>
      <c r="E7952" s="183"/>
    </row>
    <row r="7953" spans="1:5" ht="14.25">
      <c r="A7953"/>
      <c r="B7953"/>
      <c r="C7953"/>
      <c r="D7953"/>
      <c r="E7953" s="183"/>
    </row>
    <row r="7954" spans="1:5" ht="14.25">
      <c r="A7954"/>
      <c r="B7954"/>
      <c r="C7954"/>
      <c r="D7954"/>
      <c r="E7954" s="183"/>
    </row>
    <row r="7955" spans="1:5" ht="14.25">
      <c r="A7955"/>
      <c r="B7955"/>
      <c r="C7955"/>
      <c r="D7955"/>
      <c r="E7955" s="183"/>
    </row>
    <row r="7956" spans="1:5" ht="14.25">
      <c r="A7956"/>
      <c r="B7956"/>
      <c r="C7956"/>
      <c r="D7956"/>
      <c r="E7956" s="183"/>
    </row>
    <row r="7957" spans="1:5" ht="14.25">
      <c r="A7957"/>
      <c r="B7957"/>
      <c r="C7957"/>
      <c r="D7957"/>
      <c r="E7957" s="183"/>
    </row>
    <row r="7958" spans="1:5" ht="14.25">
      <c r="A7958"/>
      <c r="B7958"/>
      <c r="C7958"/>
      <c r="D7958"/>
      <c r="E7958" s="183"/>
    </row>
    <row r="7959" spans="1:5" ht="14.25">
      <c r="A7959"/>
      <c r="B7959"/>
      <c r="C7959"/>
      <c r="D7959"/>
      <c r="E7959" s="183"/>
    </row>
    <row r="7960" spans="1:5" ht="14.25">
      <c r="A7960"/>
      <c r="B7960"/>
      <c r="C7960"/>
      <c r="D7960"/>
      <c r="E7960" s="183"/>
    </row>
    <row r="7961" spans="1:5" ht="14.25">
      <c r="A7961"/>
      <c r="B7961"/>
      <c r="C7961"/>
      <c r="D7961"/>
      <c r="E7961" s="183"/>
    </row>
    <row r="7962" spans="1:5" ht="14.25">
      <c r="A7962"/>
      <c r="B7962"/>
      <c r="C7962"/>
      <c r="D7962"/>
      <c r="E7962" s="183"/>
    </row>
    <row r="7963" spans="1:5" ht="14.25">
      <c r="A7963"/>
      <c r="B7963"/>
      <c r="C7963"/>
      <c r="D7963"/>
      <c r="E7963" s="183"/>
    </row>
    <row r="7964" spans="1:5" ht="14.25">
      <c r="A7964"/>
      <c r="B7964"/>
      <c r="C7964"/>
      <c r="D7964"/>
      <c r="E7964" s="183"/>
    </row>
    <row r="7965" spans="1:5" ht="14.25">
      <c r="A7965"/>
      <c r="B7965"/>
      <c r="C7965"/>
      <c r="D7965"/>
      <c r="E7965" s="183"/>
    </row>
    <row r="7966" spans="1:5" ht="14.25">
      <c r="A7966"/>
      <c r="B7966"/>
      <c r="C7966"/>
      <c r="D7966"/>
      <c r="E7966" s="183"/>
    </row>
    <row r="7967" spans="1:5" ht="14.25">
      <c r="A7967"/>
      <c r="B7967"/>
      <c r="C7967"/>
      <c r="D7967"/>
      <c r="E7967" s="184"/>
    </row>
    <row r="7968" spans="1:5" ht="14.25">
      <c r="A7968"/>
      <c r="B7968"/>
      <c r="C7968"/>
      <c r="D7968"/>
      <c r="E7968" s="183"/>
    </row>
    <row r="7969" spans="1:5" ht="14.25">
      <c r="A7969"/>
      <c r="B7969"/>
      <c r="C7969"/>
      <c r="D7969"/>
      <c r="E7969" s="183"/>
    </row>
    <row r="7970" spans="1:5" ht="14.25">
      <c r="A7970"/>
      <c r="B7970"/>
      <c r="C7970"/>
      <c r="D7970"/>
      <c r="E7970" s="183"/>
    </row>
    <row r="7971" spans="1:5" ht="14.25">
      <c r="A7971"/>
      <c r="B7971"/>
      <c r="C7971"/>
      <c r="D7971"/>
      <c r="E7971" s="183"/>
    </row>
    <row r="7972" spans="1:5" ht="14.25">
      <c r="A7972"/>
      <c r="B7972"/>
      <c r="C7972"/>
      <c r="D7972"/>
      <c r="E7972" s="183"/>
    </row>
    <row r="7973" spans="1:5" ht="14.25">
      <c r="A7973"/>
      <c r="B7973"/>
      <c r="C7973"/>
      <c r="D7973"/>
      <c r="E7973" s="183"/>
    </row>
    <row r="7974" spans="1:5" ht="14.25">
      <c r="A7974"/>
      <c r="B7974"/>
      <c r="C7974"/>
      <c r="D7974"/>
      <c r="E7974" s="183"/>
    </row>
    <row r="7975" spans="1:5" ht="14.25">
      <c r="A7975"/>
      <c r="B7975"/>
      <c r="C7975"/>
      <c r="D7975"/>
      <c r="E7975" s="183"/>
    </row>
    <row r="7976" spans="1:5" ht="14.25">
      <c r="A7976"/>
      <c r="B7976"/>
      <c r="C7976"/>
      <c r="D7976"/>
      <c r="E7976" s="183"/>
    </row>
    <row r="7977" spans="1:5" ht="14.25">
      <c r="A7977"/>
      <c r="B7977"/>
      <c r="C7977"/>
      <c r="D7977"/>
      <c r="E7977" s="183"/>
    </row>
    <row r="7978" spans="1:5" ht="14.25">
      <c r="A7978"/>
      <c r="B7978"/>
      <c r="C7978"/>
      <c r="D7978"/>
      <c r="E7978" s="183"/>
    </row>
    <row r="7979" spans="1:5" ht="14.25">
      <c r="A7979"/>
      <c r="B7979"/>
      <c r="C7979"/>
      <c r="D7979"/>
      <c r="E7979" s="183"/>
    </row>
    <row r="7980" spans="1:5" ht="14.25">
      <c r="A7980"/>
      <c r="B7980"/>
      <c r="C7980"/>
      <c r="D7980"/>
      <c r="E7980" s="183"/>
    </row>
    <row r="7981" spans="1:5" ht="14.25">
      <c r="A7981"/>
      <c r="B7981"/>
      <c r="C7981"/>
      <c r="D7981"/>
      <c r="E7981" s="184"/>
    </row>
    <row r="7982" spans="1:5" ht="14.25">
      <c r="A7982"/>
      <c r="B7982"/>
      <c r="C7982"/>
      <c r="D7982"/>
      <c r="E7982" s="183"/>
    </row>
    <row r="7983" spans="1:5" ht="14.25">
      <c r="A7983"/>
      <c r="B7983"/>
      <c r="C7983"/>
      <c r="D7983"/>
      <c r="E7983" s="183"/>
    </row>
    <row r="7984" spans="1:5" ht="14.25">
      <c r="A7984"/>
      <c r="B7984"/>
      <c r="C7984"/>
      <c r="D7984"/>
      <c r="E7984" s="183"/>
    </row>
    <row r="7985" spans="1:5" ht="14.25">
      <c r="A7985"/>
      <c r="B7985"/>
      <c r="C7985"/>
      <c r="D7985"/>
      <c r="E7985" s="183"/>
    </row>
    <row r="7986" spans="1:5" ht="14.25">
      <c r="A7986"/>
      <c r="B7986"/>
      <c r="C7986"/>
      <c r="D7986"/>
      <c r="E7986" s="183"/>
    </row>
    <row r="7987" spans="1:5" ht="14.25">
      <c r="A7987"/>
      <c r="B7987"/>
      <c r="C7987"/>
      <c r="D7987"/>
      <c r="E7987" s="183"/>
    </row>
    <row r="7988" spans="1:5" ht="14.25">
      <c r="A7988"/>
      <c r="B7988"/>
      <c r="C7988"/>
      <c r="D7988"/>
      <c r="E7988" s="183"/>
    </row>
    <row r="7989" spans="1:5" ht="14.25">
      <c r="A7989"/>
      <c r="B7989"/>
      <c r="C7989"/>
      <c r="D7989"/>
      <c r="E7989" s="183"/>
    </row>
    <row r="7990" spans="1:5" ht="14.25">
      <c r="A7990"/>
      <c r="B7990"/>
      <c r="C7990"/>
      <c r="D7990"/>
      <c r="E7990" s="183"/>
    </row>
    <row r="7991" spans="1:5" ht="14.25">
      <c r="A7991"/>
      <c r="B7991"/>
      <c r="C7991"/>
      <c r="D7991"/>
      <c r="E7991" s="183"/>
    </row>
    <row r="7992" spans="1:5" ht="14.25">
      <c r="A7992"/>
      <c r="B7992"/>
      <c r="C7992"/>
      <c r="D7992"/>
      <c r="E7992" s="183"/>
    </row>
    <row r="7993" spans="1:5" ht="14.25">
      <c r="A7993"/>
      <c r="B7993"/>
      <c r="C7993"/>
      <c r="D7993"/>
      <c r="E7993" s="183"/>
    </row>
    <row r="7994" spans="1:5" ht="14.25">
      <c r="A7994"/>
      <c r="B7994"/>
      <c r="C7994"/>
      <c r="D7994"/>
      <c r="E7994" s="183"/>
    </row>
    <row r="7995" spans="1:5" ht="14.25">
      <c r="A7995"/>
      <c r="B7995"/>
      <c r="C7995"/>
      <c r="D7995"/>
      <c r="E7995" s="183"/>
    </row>
    <row r="7996" spans="1:5" ht="14.25">
      <c r="A7996"/>
      <c r="B7996"/>
      <c r="C7996"/>
      <c r="D7996"/>
      <c r="E7996" s="183"/>
    </row>
    <row r="7997" spans="1:5" ht="14.25">
      <c r="A7997"/>
      <c r="B7997"/>
      <c r="C7997"/>
      <c r="D7997"/>
      <c r="E7997" s="183"/>
    </row>
    <row r="7998" spans="1:5" ht="14.25">
      <c r="A7998"/>
      <c r="B7998"/>
      <c r="C7998"/>
      <c r="D7998"/>
      <c r="E7998" s="183"/>
    </row>
    <row r="7999" spans="1:5" ht="14.25">
      <c r="A7999"/>
      <c r="B7999"/>
      <c r="C7999"/>
      <c r="D7999"/>
      <c r="E7999" s="183"/>
    </row>
    <row r="8000" spans="1:5" ht="14.25">
      <c r="A8000"/>
      <c r="B8000"/>
      <c r="C8000"/>
      <c r="D8000"/>
      <c r="E8000" s="183"/>
    </row>
    <row r="8001" spans="1:5" ht="14.25">
      <c r="A8001"/>
      <c r="B8001"/>
      <c r="C8001"/>
      <c r="D8001"/>
      <c r="E8001" s="183"/>
    </row>
    <row r="8002" spans="1:5" ht="14.25">
      <c r="A8002"/>
      <c r="B8002"/>
      <c r="C8002"/>
      <c r="D8002"/>
      <c r="E8002" s="183"/>
    </row>
    <row r="8003" spans="1:5" ht="14.25">
      <c r="A8003"/>
      <c r="B8003"/>
      <c r="C8003"/>
      <c r="D8003"/>
      <c r="E8003" s="183"/>
    </row>
    <row r="8004" spans="1:5" ht="14.25">
      <c r="A8004"/>
      <c r="B8004"/>
      <c r="C8004"/>
      <c r="D8004"/>
      <c r="E8004" s="183"/>
    </row>
    <row r="8005" spans="1:5" ht="14.25">
      <c r="A8005"/>
      <c r="B8005"/>
      <c r="C8005"/>
      <c r="D8005"/>
      <c r="E8005" s="183"/>
    </row>
    <row r="8006" spans="1:5" ht="14.25">
      <c r="A8006"/>
      <c r="B8006"/>
      <c r="C8006"/>
      <c r="D8006"/>
      <c r="E8006" s="183"/>
    </row>
    <row r="8007" spans="1:5" ht="14.25">
      <c r="A8007"/>
      <c r="B8007"/>
      <c r="C8007"/>
      <c r="D8007"/>
      <c r="E8007" s="183"/>
    </row>
    <row r="8008" spans="1:5" ht="14.25">
      <c r="A8008"/>
      <c r="B8008"/>
      <c r="C8008"/>
      <c r="D8008"/>
      <c r="E8008" s="183"/>
    </row>
    <row r="8009" spans="1:5" ht="14.25">
      <c r="A8009"/>
      <c r="B8009"/>
      <c r="C8009"/>
      <c r="D8009"/>
      <c r="E8009" s="183"/>
    </row>
    <row r="8010" spans="1:5" ht="14.25">
      <c r="A8010"/>
      <c r="B8010"/>
      <c r="C8010"/>
      <c r="D8010"/>
      <c r="E8010" s="183"/>
    </row>
    <row r="8011" spans="1:5" ht="14.25">
      <c r="A8011"/>
      <c r="B8011"/>
      <c r="C8011"/>
      <c r="D8011"/>
      <c r="E8011" s="183"/>
    </row>
    <row r="8012" spans="1:5" ht="14.25">
      <c r="A8012"/>
      <c r="B8012"/>
      <c r="C8012"/>
      <c r="D8012"/>
      <c r="E8012" s="183"/>
    </row>
    <row r="8013" spans="1:5" ht="14.25">
      <c r="A8013"/>
      <c r="B8013"/>
      <c r="C8013"/>
      <c r="D8013"/>
      <c r="E8013" s="183"/>
    </row>
    <row r="8014" spans="1:5" ht="14.25">
      <c r="A8014"/>
      <c r="B8014"/>
      <c r="C8014"/>
      <c r="D8014"/>
      <c r="E8014" s="183"/>
    </row>
    <row r="8015" spans="1:5" ht="14.25">
      <c r="A8015"/>
      <c r="B8015"/>
      <c r="C8015"/>
      <c r="D8015"/>
      <c r="E8015" s="183"/>
    </row>
    <row r="8016" spans="1:5" ht="14.25">
      <c r="A8016"/>
      <c r="B8016"/>
      <c r="C8016"/>
      <c r="D8016"/>
      <c r="E8016" s="183"/>
    </row>
    <row r="8017" spans="1:5" ht="14.25">
      <c r="A8017"/>
      <c r="B8017"/>
      <c r="C8017"/>
      <c r="D8017"/>
      <c r="E8017" s="183"/>
    </row>
    <row r="8018" spans="1:5" ht="14.25">
      <c r="A8018"/>
      <c r="B8018"/>
      <c r="C8018"/>
      <c r="D8018"/>
      <c r="E8018" s="183"/>
    </row>
    <row r="8019" spans="1:5" ht="14.25">
      <c r="A8019"/>
      <c r="B8019"/>
      <c r="C8019"/>
      <c r="D8019"/>
      <c r="E8019" s="183"/>
    </row>
    <row r="8020" spans="1:5" ht="14.25">
      <c r="A8020"/>
      <c r="B8020"/>
      <c r="C8020"/>
      <c r="D8020"/>
      <c r="E8020" s="183"/>
    </row>
    <row r="8021" spans="1:5" ht="14.25">
      <c r="A8021"/>
      <c r="B8021"/>
      <c r="C8021"/>
      <c r="D8021"/>
      <c r="E8021" s="183"/>
    </row>
    <row r="8022" spans="1:5" ht="14.25">
      <c r="A8022"/>
      <c r="B8022"/>
      <c r="C8022"/>
      <c r="D8022"/>
      <c r="E8022" s="183"/>
    </row>
    <row r="8023" spans="1:5" ht="14.25">
      <c r="A8023"/>
      <c r="B8023"/>
      <c r="C8023"/>
      <c r="D8023"/>
      <c r="E8023" s="183"/>
    </row>
    <row r="8024" spans="1:5" ht="14.25">
      <c r="A8024"/>
      <c r="B8024"/>
      <c r="C8024"/>
      <c r="D8024"/>
      <c r="E8024" s="183"/>
    </row>
    <row r="8025" spans="1:5" ht="14.25">
      <c r="A8025"/>
      <c r="B8025"/>
      <c r="C8025"/>
      <c r="D8025"/>
      <c r="E8025" s="183"/>
    </row>
    <row r="8026" spans="1:5" ht="14.25">
      <c r="A8026"/>
      <c r="B8026"/>
      <c r="C8026"/>
      <c r="D8026"/>
      <c r="E8026" s="183"/>
    </row>
    <row r="8027" spans="1:5" ht="14.25">
      <c r="A8027"/>
      <c r="B8027"/>
      <c r="C8027"/>
      <c r="D8027"/>
      <c r="E8027" s="183"/>
    </row>
    <row r="8028" spans="1:5" ht="14.25">
      <c r="A8028"/>
      <c r="B8028"/>
      <c r="C8028"/>
      <c r="D8028"/>
      <c r="E8028" s="183"/>
    </row>
    <row r="8029" spans="1:5" ht="14.25">
      <c r="A8029"/>
      <c r="B8029"/>
      <c r="C8029"/>
      <c r="D8029"/>
      <c r="E8029" s="183"/>
    </row>
    <row r="8030" spans="1:5" ht="14.25">
      <c r="A8030"/>
      <c r="B8030"/>
      <c r="C8030"/>
      <c r="D8030"/>
      <c r="E8030" s="183"/>
    </row>
    <row r="8031" spans="1:5" ht="14.25">
      <c r="A8031"/>
      <c r="B8031"/>
      <c r="C8031"/>
      <c r="D8031"/>
      <c r="E8031" s="183"/>
    </row>
    <row r="8032" spans="1:5" ht="14.25">
      <c r="A8032"/>
      <c r="B8032"/>
      <c r="C8032"/>
      <c r="D8032"/>
      <c r="E8032" s="183"/>
    </row>
    <row r="8033" spans="1:5" ht="14.25">
      <c r="A8033"/>
      <c r="B8033"/>
      <c r="C8033"/>
      <c r="D8033"/>
      <c r="E8033" s="183"/>
    </row>
    <row r="8034" spans="1:5" ht="14.25">
      <c r="A8034"/>
      <c r="B8034"/>
      <c r="C8034"/>
      <c r="D8034"/>
      <c r="E8034" s="183"/>
    </row>
    <row r="8035" spans="1:5" ht="14.25">
      <c r="A8035"/>
      <c r="B8035"/>
      <c r="C8035"/>
      <c r="D8035"/>
      <c r="E8035" s="183"/>
    </row>
    <row r="8036" spans="1:5" ht="14.25">
      <c r="A8036"/>
      <c r="B8036"/>
      <c r="C8036"/>
      <c r="D8036"/>
      <c r="E8036" s="183"/>
    </row>
    <row r="8037" spans="1:5" ht="14.25">
      <c r="A8037"/>
      <c r="B8037"/>
      <c r="C8037"/>
      <c r="D8037"/>
      <c r="E8037" s="183"/>
    </row>
    <row r="8038" spans="1:5" ht="14.25">
      <c r="A8038"/>
      <c r="B8038"/>
      <c r="C8038"/>
      <c r="D8038"/>
      <c r="E8038" s="183"/>
    </row>
    <row r="8039" spans="1:5" ht="14.25">
      <c r="A8039"/>
      <c r="B8039"/>
      <c r="C8039"/>
      <c r="D8039"/>
      <c r="E8039" s="184"/>
    </row>
    <row r="8040" spans="1:5" ht="14.25">
      <c r="A8040"/>
      <c r="B8040"/>
      <c r="C8040"/>
      <c r="D8040"/>
      <c r="E8040" s="184"/>
    </row>
    <row r="8041" spans="1:5" ht="14.25">
      <c r="A8041"/>
      <c r="B8041"/>
      <c r="C8041"/>
      <c r="D8041"/>
      <c r="E8041" s="183"/>
    </row>
    <row r="8042" spans="1:5" ht="14.25">
      <c r="A8042"/>
      <c r="B8042"/>
      <c r="C8042"/>
      <c r="D8042"/>
      <c r="E8042" s="183"/>
    </row>
    <row r="8043" spans="1:5" ht="14.25">
      <c r="A8043"/>
      <c r="B8043"/>
      <c r="C8043"/>
      <c r="D8043"/>
      <c r="E8043" s="183"/>
    </row>
    <row r="8044" spans="1:5" ht="14.25">
      <c r="A8044"/>
      <c r="B8044"/>
      <c r="C8044"/>
      <c r="D8044"/>
      <c r="E8044" s="183"/>
    </row>
    <row r="8045" spans="1:5" ht="14.25">
      <c r="A8045"/>
      <c r="B8045"/>
      <c r="C8045"/>
      <c r="D8045"/>
      <c r="E8045" s="183"/>
    </row>
    <row r="8046" spans="1:5" ht="14.25">
      <c r="A8046"/>
      <c r="B8046"/>
      <c r="C8046"/>
      <c r="D8046"/>
      <c r="E8046" s="183"/>
    </row>
    <row r="8047" spans="1:5" ht="14.25">
      <c r="A8047"/>
      <c r="B8047"/>
      <c r="C8047"/>
      <c r="D8047"/>
      <c r="E8047" s="183"/>
    </row>
    <row r="8048" spans="1:5" ht="14.25">
      <c r="A8048"/>
      <c r="B8048"/>
      <c r="C8048"/>
      <c r="D8048"/>
      <c r="E8048" s="183"/>
    </row>
    <row r="8049" spans="1:5" ht="14.25">
      <c r="A8049"/>
      <c r="B8049"/>
      <c r="C8049"/>
      <c r="D8049"/>
      <c r="E8049" s="184"/>
    </row>
    <row r="8050" spans="1:5" ht="14.25">
      <c r="A8050"/>
      <c r="B8050"/>
      <c r="C8050"/>
      <c r="D8050"/>
      <c r="E8050" s="184"/>
    </row>
    <row r="8051" spans="1:5" ht="14.25">
      <c r="A8051"/>
      <c r="B8051"/>
      <c r="C8051"/>
      <c r="D8051"/>
      <c r="E8051" s="184"/>
    </row>
    <row r="8052" spans="1:5" ht="14.25">
      <c r="A8052"/>
      <c r="B8052"/>
      <c r="C8052"/>
      <c r="D8052"/>
      <c r="E8052" s="183"/>
    </row>
    <row r="8053" spans="1:5" ht="14.25">
      <c r="A8053"/>
      <c r="B8053"/>
      <c r="C8053"/>
      <c r="D8053"/>
      <c r="E8053" s="183"/>
    </row>
    <row r="8054" spans="1:5" ht="14.25">
      <c r="A8054"/>
      <c r="B8054"/>
      <c r="C8054"/>
      <c r="D8054"/>
      <c r="E8054" s="183"/>
    </row>
    <row r="8055" spans="1:5" ht="14.25">
      <c r="A8055"/>
      <c r="B8055"/>
      <c r="C8055"/>
      <c r="D8055"/>
      <c r="E8055" s="183"/>
    </row>
    <row r="8056" spans="1:5" ht="14.25">
      <c r="A8056"/>
      <c r="B8056"/>
      <c r="C8056"/>
      <c r="D8056"/>
      <c r="E8056" s="183"/>
    </row>
    <row r="8057" spans="1:5" ht="14.25">
      <c r="A8057"/>
      <c r="B8057"/>
      <c r="C8057"/>
      <c r="D8057"/>
      <c r="E8057" s="183"/>
    </row>
    <row r="8058" spans="1:5" ht="14.25">
      <c r="A8058"/>
      <c r="B8058"/>
      <c r="C8058"/>
      <c r="D8058"/>
      <c r="E8058" s="183"/>
    </row>
    <row r="8059" spans="1:5" ht="14.25">
      <c r="A8059"/>
      <c r="B8059"/>
      <c r="C8059"/>
      <c r="D8059"/>
      <c r="E8059" s="183"/>
    </row>
    <row r="8060" spans="1:5" ht="14.25">
      <c r="A8060"/>
      <c r="B8060"/>
      <c r="C8060"/>
      <c r="D8060"/>
      <c r="E8060" s="183"/>
    </row>
    <row r="8061" spans="1:5" ht="14.25">
      <c r="A8061"/>
      <c r="B8061"/>
      <c r="C8061"/>
      <c r="D8061"/>
      <c r="E8061" s="183"/>
    </row>
    <row r="8062" spans="1:5" ht="14.25">
      <c r="A8062"/>
      <c r="B8062"/>
      <c r="C8062"/>
      <c r="D8062"/>
      <c r="E8062" s="184"/>
    </row>
    <row r="8063" spans="1:5" ht="14.25">
      <c r="A8063"/>
      <c r="B8063"/>
      <c r="C8063"/>
      <c r="D8063"/>
      <c r="E8063" s="184"/>
    </row>
    <row r="8064" spans="1:5" ht="14.25">
      <c r="A8064"/>
      <c r="B8064"/>
      <c r="C8064"/>
      <c r="D8064"/>
      <c r="E8064" s="183"/>
    </row>
    <row r="8065" spans="1:5" ht="14.25">
      <c r="A8065"/>
      <c r="B8065"/>
      <c r="C8065"/>
      <c r="D8065"/>
      <c r="E8065" s="183"/>
    </row>
    <row r="8066" spans="1:5" ht="14.25">
      <c r="A8066"/>
      <c r="B8066"/>
      <c r="C8066"/>
      <c r="D8066"/>
      <c r="E8066" s="183"/>
    </row>
    <row r="8067" spans="1:5" ht="14.25">
      <c r="A8067"/>
      <c r="B8067"/>
      <c r="C8067"/>
      <c r="D8067"/>
      <c r="E8067" s="183"/>
    </row>
    <row r="8068" spans="1:5" ht="14.25">
      <c r="A8068"/>
      <c r="B8068"/>
      <c r="C8068"/>
      <c r="D8068"/>
      <c r="E8068" s="183"/>
    </row>
    <row r="8069" spans="1:5" ht="14.25">
      <c r="A8069"/>
      <c r="B8069"/>
      <c r="C8069"/>
      <c r="D8069"/>
      <c r="E8069" s="183"/>
    </row>
    <row r="8070" spans="1:5" ht="14.25">
      <c r="A8070"/>
      <c r="B8070"/>
      <c r="C8070"/>
      <c r="D8070"/>
      <c r="E8070" s="183"/>
    </row>
    <row r="8071" spans="1:5" ht="14.25">
      <c r="A8071"/>
      <c r="B8071"/>
      <c r="C8071"/>
      <c r="D8071"/>
      <c r="E8071" s="183"/>
    </row>
    <row r="8072" spans="1:5" ht="14.25">
      <c r="A8072"/>
      <c r="B8072"/>
      <c r="C8072"/>
      <c r="D8072"/>
      <c r="E8072" s="183"/>
    </row>
    <row r="8073" spans="1:5" ht="14.25">
      <c r="A8073"/>
      <c r="B8073"/>
      <c r="C8073"/>
      <c r="D8073"/>
      <c r="E8073" s="183"/>
    </row>
    <row r="8074" spans="1:5" ht="14.25">
      <c r="A8074"/>
      <c r="B8074"/>
      <c r="C8074"/>
      <c r="D8074"/>
      <c r="E8074" s="183"/>
    </row>
    <row r="8075" spans="1:5" ht="14.25">
      <c r="A8075"/>
      <c r="B8075"/>
      <c r="C8075"/>
      <c r="D8075"/>
      <c r="E8075" s="183"/>
    </row>
    <row r="8076" spans="1:5" ht="14.25">
      <c r="A8076"/>
      <c r="B8076"/>
      <c r="C8076"/>
      <c r="D8076"/>
      <c r="E8076" s="183"/>
    </row>
    <row r="8077" spans="1:5" ht="14.25">
      <c r="A8077"/>
      <c r="B8077"/>
      <c r="C8077"/>
      <c r="D8077"/>
      <c r="E8077" s="183"/>
    </row>
    <row r="8078" spans="1:5" ht="14.25">
      <c r="A8078"/>
      <c r="B8078"/>
      <c r="C8078"/>
      <c r="D8078"/>
      <c r="E8078" s="184"/>
    </row>
    <row r="8079" spans="1:5" ht="14.25">
      <c r="A8079"/>
      <c r="B8079"/>
      <c r="C8079"/>
      <c r="D8079"/>
      <c r="E8079" s="184"/>
    </row>
    <row r="8080" spans="1:5" ht="14.25">
      <c r="A8080"/>
      <c r="B8080"/>
      <c r="C8080"/>
      <c r="D8080"/>
      <c r="E8080" s="184"/>
    </row>
    <row r="8081" spans="1:5" ht="14.25">
      <c r="A8081"/>
      <c r="B8081"/>
      <c r="C8081"/>
      <c r="D8081"/>
      <c r="E8081" s="184"/>
    </row>
    <row r="8082" spans="1:5" ht="14.25">
      <c r="A8082"/>
      <c r="B8082"/>
      <c r="C8082"/>
      <c r="D8082"/>
      <c r="E8082" s="184"/>
    </row>
    <row r="8083" spans="1:5" ht="14.25">
      <c r="A8083"/>
      <c r="B8083"/>
      <c r="C8083"/>
      <c r="D8083"/>
      <c r="E8083" s="184"/>
    </row>
    <row r="8084" spans="1:5" ht="14.25">
      <c r="A8084"/>
      <c r="B8084"/>
      <c r="C8084"/>
      <c r="D8084"/>
      <c r="E8084" s="184"/>
    </row>
    <row r="8085" spans="1:5" ht="14.25">
      <c r="A8085"/>
      <c r="B8085"/>
      <c r="C8085"/>
      <c r="D8085"/>
      <c r="E8085" s="184"/>
    </row>
    <row r="8086" spans="1:5" ht="14.25">
      <c r="A8086"/>
      <c r="B8086"/>
      <c r="C8086"/>
      <c r="D8086"/>
      <c r="E8086" s="184"/>
    </row>
    <row r="8087" spans="1:5" ht="14.25">
      <c r="A8087"/>
      <c r="B8087"/>
      <c r="C8087"/>
      <c r="D8087"/>
      <c r="E8087" s="184"/>
    </row>
    <row r="8088" spans="1:5" ht="14.25">
      <c r="A8088"/>
      <c r="B8088"/>
      <c r="C8088"/>
      <c r="D8088"/>
      <c r="E8088" s="183"/>
    </row>
    <row r="8089" spans="1:5" ht="14.25">
      <c r="A8089"/>
      <c r="B8089"/>
      <c r="C8089"/>
      <c r="D8089"/>
      <c r="E8089" s="183"/>
    </row>
    <row r="8090" spans="1:5" ht="14.25">
      <c r="A8090"/>
      <c r="B8090"/>
      <c r="C8090"/>
      <c r="D8090"/>
      <c r="E8090" s="184"/>
    </row>
    <row r="8091" spans="1:5" ht="14.25">
      <c r="A8091"/>
      <c r="B8091"/>
      <c r="C8091"/>
      <c r="D8091"/>
      <c r="E8091" s="183"/>
    </row>
    <row r="8092" spans="1:5" ht="14.25">
      <c r="A8092"/>
      <c r="B8092"/>
      <c r="C8092"/>
      <c r="D8092"/>
      <c r="E8092" s="183"/>
    </row>
    <row r="8093" spans="1:5" ht="14.25">
      <c r="A8093"/>
      <c r="B8093"/>
      <c r="C8093"/>
      <c r="D8093"/>
      <c r="E8093" s="184"/>
    </row>
    <row r="8094" spans="1:5" ht="14.25">
      <c r="A8094"/>
      <c r="B8094"/>
      <c r="C8094"/>
      <c r="D8094"/>
      <c r="E8094" s="184"/>
    </row>
    <row r="8095" spans="1:5" ht="14.25">
      <c r="A8095"/>
      <c r="B8095"/>
      <c r="C8095"/>
      <c r="D8095"/>
      <c r="E8095" s="183"/>
    </row>
    <row r="8096" spans="1:5" ht="14.25">
      <c r="A8096"/>
      <c r="B8096"/>
      <c r="C8096"/>
      <c r="D8096"/>
      <c r="E8096" s="183"/>
    </row>
    <row r="8097" spans="1:5" ht="14.25">
      <c r="A8097"/>
      <c r="B8097"/>
      <c r="C8097"/>
      <c r="D8097"/>
      <c r="E8097" s="183"/>
    </row>
    <row r="8098" spans="1:5" ht="14.25">
      <c r="A8098"/>
      <c r="B8098"/>
      <c r="C8098"/>
      <c r="D8098"/>
      <c r="E8098" s="183"/>
    </row>
    <row r="8099" spans="1:5" ht="14.25">
      <c r="A8099"/>
      <c r="B8099"/>
      <c r="C8099"/>
      <c r="D8099"/>
      <c r="E8099" s="183"/>
    </row>
    <row r="8100" spans="1:5" ht="14.25">
      <c r="A8100"/>
      <c r="B8100"/>
      <c r="C8100"/>
      <c r="D8100"/>
      <c r="E8100" s="183"/>
    </row>
    <row r="8101" spans="1:5" ht="14.25">
      <c r="A8101"/>
      <c r="B8101"/>
      <c r="C8101"/>
      <c r="D8101"/>
      <c r="E8101" s="183"/>
    </row>
    <row r="8102" spans="1:5" ht="14.25">
      <c r="A8102"/>
      <c r="B8102"/>
      <c r="C8102"/>
      <c r="D8102"/>
      <c r="E8102" s="183"/>
    </row>
    <row r="8103" spans="1:5" ht="14.25">
      <c r="A8103"/>
      <c r="B8103"/>
      <c r="C8103"/>
      <c r="D8103"/>
      <c r="E8103" s="183"/>
    </row>
    <row r="8104" spans="1:5" ht="14.25">
      <c r="A8104"/>
      <c r="B8104"/>
      <c r="C8104"/>
      <c r="D8104"/>
      <c r="E8104" s="183"/>
    </row>
    <row r="8105" spans="1:5" ht="14.25">
      <c r="A8105"/>
      <c r="B8105"/>
      <c r="C8105"/>
      <c r="D8105"/>
      <c r="E8105" s="183"/>
    </row>
    <row r="8106" spans="1:5" ht="14.25">
      <c r="A8106"/>
      <c r="B8106"/>
      <c r="C8106"/>
      <c r="D8106"/>
      <c r="E8106" s="183"/>
    </row>
    <row r="8107" spans="1:5" ht="14.25">
      <c r="A8107"/>
      <c r="B8107"/>
      <c r="C8107"/>
      <c r="D8107"/>
      <c r="E8107" s="183"/>
    </row>
    <row r="8108" spans="1:5" ht="14.25">
      <c r="A8108"/>
      <c r="B8108"/>
      <c r="C8108"/>
      <c r="D8108"/>
      <c r="E8108" s="183"/>
    </row>
    <row r="8109" spans="1:5" ht="14.25">
      <c r="A8109"/>
      <c r="B8109"/>
      <c r="C8109"/>
      <c r="D8109"/>
      <c r="E8109" s="183"/>
    </row>
    <row r="8110" spans="1:5" ht="14.25">
      <c r="A8110"/>
      <c r="B8110"/>
      <c r="C8110"/>
      <c r="D8110"/>
      <c r="E8110" s="183"/>
    </row>
    <row r="8111" spans="1:5" ht="14.25">
      <c r="A8111"/>
      <c r="B8111"/>
      <c r="C8111"/>
      <c r="D8111"/>
      <c r="E8111" s="183"/>
    </row>
    <row r="8112" spans="1:5" ht="14.25">
      <c r="A8112"/>
      <c r="B8112"/>
      <c r="C8112"/>
      <c r="D8112"/>
      <c r="E8112" s="183"/>
    </row>
    <row r="8113" spans="1:5" ht="14.25">
      <c r="A8113"/>
      <c r="B8113"/>
      <c r="C8113"/>
      <c r="D8113"/>
      <c r="E8113" s="183"/>
    </row>
    <row r="8114" spans="1:5" ht="14.25">
      <c r="A8114"/>
      <c r="B8114"/>
      <c r="C8114"/>
      <c r="D8114"/>
      <c r="E8114" s="183"/>
    </row>
    <row r="8115" spans="1:5" ht="14.25">
      <c r="A8115"/>
      <c r="B8115"/>
      <c r="C8115"/>
      <c r="D8115"/>
      <c r="E8115" s="183"/>
    </row>
    <row r="8116" spans="1:5" ht="14.25">
      <c r="A8116"/>
      <c r="B8116"/>
      <c r="C8116"/>
      <c r="D8116"/>
      <c r="E8116" s="183"/>
    </row>
    <row r="8117" spans="1:5" ht="14.25">
      <c r="A8117"/>
      <c r="B8117"/>
      <c r="C8117"/>
      <c r="D8117"/>
      <c r="E8117" s="183"/>
    </row>
    <row r="8118" spans="1:5" ht="14.25">
      <c r="A8118"/>
      <c r="B8118"/>
      <c r="C8118"/>
      <c r="D8118"/>
      <c r="E8118" s="183"/>
    </row>
    <row r="8119" spans="1:5" ht="14.25">
      <c r="A8119"/>
      <c r="B8119"/>
      <c r="C8119"/>
      <c r="D8119"/>
      <c r="E8119" s="183"/>
    </row>
    <row r="8120" spans="1:5" ht="14.25">
      <c r="A8120"/>
      <c r="B8120"/>
      <c r="C8120"/>
      <c r="D8120"/>
      <c r="E8120" s="183"/>
    </row>
    <row r="8121" spans="1:5" ht="14.25">
      <c r="A8121"/>
      <c r="B8121"/>
      <c r="C8121"/>
      <c r="D8121"/>
      <c r="E8121" s="183"/>
    </row>
    <row r="8122" spans="1:5" ht="14.25">
      <c r="A8122"/>
      <c r="B8122"/>
      <c r="C8122"/>
      <c r="D8122"/>
      <c r="E8122" s="183"/>
    </row>
    <row r="8123" spans="1:5" ht="14.25">
      <c r="A8123"/>
      <c r="B8123"/>
      <c r="C8123"/>
      <c r="D8123"/>
      <c r="E8123" s="183"/>
    </row>
    <row r="8124" spans="1:5" ht="14.25">
      <c r="A8124"/>
      <c r="B8124"/>
      <c r="C8124"/>
      <c r="D8124"/>
      <c r="E8124" s="183"/>
    </row>
    <row r="8125" spans="1:5" ht="14.25">
      <c r="A8125"/>
      <c r="B8125"/>
      <c r="C8125"/>
      <c r="D8125"/>
      <c r="E8125" s="183"/>
    </row>
    <row r="8126" spans="1:5" ht="14.25">
      <c r="A8126"/>
      <c r="B8126"/>
      <c r="C8126"/>
      <c r="D8126"/>
      <c r="E8126" s="183"/>
    </row>
    <row r="8127" spans="1:5" ht="14.25">
      <c r="A8127"/>
      <c r="B8127"/>
      <c r="C8127"/>
      <c r="D8127"/>
      <c r="E8127" s="183"/>
    </row>
    <row r="8128" spans="1:5" ht="14.25">
      <c r="A8128"/>
      <c r="B8128"/>
      <c r="C8128"/>
      <c r="D8128"/>
      <c r="E8128" s="183"/>
    </row>
    <row r="8129" spans="1:5" ht="14.25">
      <c r="A8129"/>
      <c r="B8129"/>
      <c r="C8129"/>
      <c r="D8129"/>
      <c r="E8129" s="183"/>
    </row>
    <row r="8130" spans="1:5" ht="14.25">
      <c r="A8130"/>
      <c r="B8130"/>
      <c r="C8130"/>
      <c r="D8130"/>
      <c r="E8130" s="183"/>
    </row>
    <row r="8131" spans="1:5" ht="14.25">
      <c r="A8131"/>
      <c r="B8131"/>
      <c r="C8131"/>
      <c r="D8131"/>
      <c r="E8131" s="183"/>
    </row>
    <row r="8132" spans="1:5" ht="14.25">
      <c r="A8132"/>
      <c r="B8132"/>
      <c r="C8132"/>
      <c r="D8132"/>
      <c r="E8132" s="183"/>
    </row>
    <row r="8133" spans="1:5" ht="14.25">
      <c r="A8133"/>
      <c r="B8133"/>
      <c r="C8133"/>
      <c r="D8133"/>
      <c r="E8133" s="184"/>
    </row>
    <row r="8134" spans="1:5" ht="14.25">
      <c r="A8134"/>
      <c r="B8134"/>
      <c r="C8134"/>
      <c r="D8134"/>
      <c r="E8134" s="184"/>
    </row>
    <row r="8135" spans="1:5" ht="14.25">
      <c r="A8135"/>
      <c r="B8135"/>
      <c r="C8135"/>
      <c r="D8135"/>
      <c r="E8135" s="184"/>
    </row>
    <row r="8136" spans="1:5" ht="14.25">
      <c r="A8136"/>
      <c r="B8136"/>
      <c r="C8136"/>
      <c r="D8136"/>
      <c r="E8136" s="183"/>
    </row>
    <row r="8137" spans="1:5" ht="14.25">
      <c r="A8137"/>
      <c r="B8137"/>
      <c r="C8137"/>
      <c r="D8137"/>
      <c r="E8137" s="183"/>
    </row>
    <row r="8138" spans="1:5" ht="14.25">
      <c r="A8138"/>
      <c r="B8138"/>
      <c r="C8138"/>
      <c r="D8138"/>
      <c r="E8138" s="183"/>
    </row>
    <row r="8139" spans="1:5" ht="14.25">
      <c r="A8139"/>
      <c r="B8139"/>
      <c r="C8139"/>
      <c r="D8139"/>
      <c r="E8139" s="183"/>
    </row>
    <row r="8140" spans="1:5" ht="14.25">
      <c r="A8140"/>
      <c r="B8140"/>
      <c r="C8140"/>
      <c r="D8140"/>
      <c r="E8140" s="183"/>
    </row>
    <row r="8141" spans="1:5" ht="14.25">
      <c r="A8141"/>
      <c r="B8141"/>
      <c r="C8141"/>
      <c r="D8141"/>
      <c r="E8141" s="184"/>
    </row>
    <row r="8142" spans="1:5" ht="14.25">
      <c r="A8142"/>
      <c r="B8142"/>
      <c r="C8142"/>
      <c r="D8142"/>
      <c r="E8142" s="184"/>
    </row>
    <row r="8143" spans="1:5" ht="14.25">
      <c r="A8143"/>
      <c r="B8143"/>
      <c r="C8143"/>
      <c r="D8143"/>
      <c r="E8143" s="183"/>
    </row>
    <row r="8144" spans="1:5" ht="14.25">
      <c r="A8144"/>
      <c r="B8144"/>
      <c r="C8144"/>
      <c r="D8144"/>
      <c r="E8144" s="184"/>
    </row>
    <row r="8145" spans="1:5" ht="14.25">
      <c r="A8145"/>
      <c r="B8145"/>
      <c r="C8145"/>
      <c r="D8145"/>
      <c r="E8145" s="183"/>
    </row>
    <row r="8146" spans="1:5" ht="14.25">
      <c r="A8146"/>
      <c r="B8146"/>
      <c r="C8146"/>
      <c r="D8146"/>
      <c r="E8146" s="184"/>
    </row>
    <row r="8147" spans="1:5" ht="14.25">
      <c r="A8147"/>
      <c r="B8147"/>
      <c r="C8147"/>
      <c r="D8147"/>
      <c r="E8147" s="183"/>
    </row>
    <row r="8148" spans="1:5" ht="14.25">
      <c r="A8148"/>
      <c r="B8148"/>
      <c r="C8148"/>
      <c r="D8148"/>
      <c r="E8148" s="183"/>
    </row>
    <row r="8149" spans="1:5" ht="14.25">
      <c r="A8149"/>
      <c r="B8149"/>
      <c r="C8149"/>
      <c r="D8149"/>
      <c r="E8149" s="183"/>
    </row>
    <row r="8150" spans="1:5" ht="14.25">
      <c r="A8150"/>
      <c r="B8150"/>
      <c r="C8150"/>
      <c r="D8150"/>
      <c r="E8150" s="183"/>
    </row>
    <row r="8151" spans="1:5" ht="14.25">
      <c r="A8151"/>
      <c r="B8151"/>
      <c r="C8151"/>
      <c r="D8151"/>
      <c r="E8151" s="183"/>
    </row>
    <row r="8152" spans="1:5" ht="14.25">
      <c r="A8152"/>
      <c r="B8152"/>
      <c r="C8152"/>
      <c r="D8152"/>
      <c r="E8152" s="183"/>
    </row>
    <row r="8153" spans="1:5" ht="14.25">
      <c r="A8153"/>
      <c r="B8153"/>
      <c r="C8153"/>
      <c r="D8153"/>
      <c r="E8153" s="183"/>
    </row>
    <row r="8154" spans="1:5" ht="14.25">
      <c r="A8154"/>
      <c r="B8154"/>
      <c r="C8154"/>
      <c r="D8154"/>
      <c r="E8154" s="183"/>
    </row>
    <row r="8155" spans="1:5" ht="14.25">
      <c r="A8155"/>
      <c r="B8155"/>
      <c r="C8155"/>
      <c r="D8155"/>
      <c r="E8155" s="183"/>
    </row>
    <row r="8156" spans="1:5" ht="14.25">
      <c r="A8156"/>
      <c r="B8156"/>
      <c r="C8156"/>
      <c r="D8156"/>
      <c r="E8156" s="183"/>
    </row>
    <row r="8157" spans="1:5" ht="14.25">
      <c r="A8157"/>
      <c r="B8157"/>
      <c r="C8157"/>
      <c r="D8157"/>
      <c r="E8157" s="183"/>
    </row>
    <row r="8158" spans="1:5" ht="14.25">
      <c r="A8158"/>
      <c r="B8158"/>
      <c r="C8158"/>
      <c r="D8158"/>
      <c r="E8158" s="183"/>
    </row>
    <row r="8159" spans="1:5" ht="14.25">
      <c r="A8159"/>
      <c r="B8159"/>
      <c r="C8159"/>
      <c r="D8159"/>
      <c r="E8159" s="184"/>
    </row>
    <row r="8160" spans="1:5" ht="14.25">
      <c r="A8160"/>
      <c r="B8160"/>
      <c r="C8160"/>
      <c r="D8160"/>
      <c r="E8160" s="184"/>
    </row>
    <row r="8161" spans="1:5" ht="14.25">
      <c r="A8161"/>
      <c r="B8161"/>
      <c r="C8161"/>
      <c r="D8161"/>
      <c r="E8161" s="184"/>
    </row>
    <row r="8162" spans="1:5" ht="14.25">
      <c r="A8162"/>
      <c r="B8162"/>
      <c r="C8162"/>
      <c r="D8162"/>
      <c r="E8162" s="183"/>
    </row>
    <row r="8163" spans="1:5" ht="14.25">
      <c r="A8163"/>
      <c r="B8163"/>
      <c r="C8163"/>
      <c r="D8163"/>
      <c r="E8163" s="183"/>
    </row>
    <row r="8164" spans="1:5" ht="14.25">
      <c r="A8164"/>
      <c r="B8164"/>
      <c r="C8164"/>
      <c r="D8164"/>
      <c r="E8164" s="183"/>
    </row>
    <row r="8165" spans="1:5" ht="14.25">
      <c r="A8165"/>
      <c r="B8165"/>
      <c r="C8165"/>
      <c r="D8165"/>
      <c r="E8165" s="183"/>
    </row>
    <row r="8166" spans="1:5" ht="14.25">
      <c r="A8166"/>
      <c r="B8166"/>
      <c r="C8166"/>
      <c r="D8166"/>
      <c r="E8166" s="183"/>
    </row>
    <row r="8167" spans="1:5" ht="14.25">
      <c r="A8167"/>
      <c r="B8167"/>
      <c r="C8167"/>
      <c r="D8167"/>
      <c r="E8167" s="183"/>
    </row>
    <row r="8168" spans="1:5" ht="14.25">
      <c r="A8168"/>
      <c r="B8168"/>
      <c r="C8168"/>
      <c r="D8168"/>
      <c r="E8168" s="184"/>
    </row>
    <row r="8169" spans="1:5" ht="14.25">
      <c r="A8169"/>
      <c r="B8169"/>
      <c r="C8169"/>
      <c r="D8169"/>
      <c r="E8169" s="183"/>
    </row>
    <row r="8170" spans="1:5" ht="14.25">
      <c r="A8170"/>
      <c r="B8170"/>
      <c r="C8170"/>
      <c r="D8170"/>
      <c r="E8170" s="184"/>
    </row>
    <row r="8171" spans="1:5" ht="14.25">
      <c r="A8171"/>
      <c r="B8171"/>
      <c r="C8171"/>
      <c r="D8171"/>
      <c r="E8171" s="183"/>
    </row>
    <row r="8172" spans="1:5" ht="14.25">
      <c r="A8172"/>
      <c r="B8172"/>
      <c r="C8172"/>
      <c r="D8172"/>
      <c r="E8172" s="183"/>
    </row>
    <row r="8173" spans="1:5" ht="14.25">
      <c r="A8173"/>
      <c r="B8173"/>
      <c r="C8173"/>
      <c r="D8173"/>
      <c r="E8173" s="183"/>
    </row>
    <row r="8174" spans="1:5" ht="14.25">
      <c r="A8174"/>
      <c r="B8174"/>
      <c r="C8174"/>
      <c r="D8174"/>
      <c r="E8174" s="183"/>
    </row>
    <row r="8175" spans="1:5" ht="14.25">
      <c r="A8175"/>
      <c r="B8175"/>
      <c r="C8175"/>
      <c r="D8175"/>
      <c r="E8175" s="183"/>
    </row>
    <row r="8176" spans="1:5" ht="14.25">
      <c r="A8176"/>
      <c r="B8176"/>
      <c r="C8176"/>
      <c r="D8176"/>
      <c r="E8176" s="183"/>
    </row>
    <row r="8177" spans="1:5" ht="14.25">
      <c r="A8177"/>
      <c r="B8177"/>
      <c r="C8177"/>
      <c r="D8177"/>
      <c r="E8177" s="183"/>
    </row>
    <row r="8178" spans="1:5" ht="14.25">
      <c r="A8178"/>
      <c r="B8178"/>
      <c r="C8178"/>
      <c r="D8178"/>
      <c r="E8178" s="183"/>
    </row>
    <row r="8179" spans="1:5" ht="14.25">
      <c r="A8179"/>
      <c r="B8179"/>
      <c r="C8179"/>
      <c r="D8179"/>
      <c r="E8179" s="183"/>
    </row>
    <row r="8180" spans="1:5" ht="14.25">
      <c r="A8180"/>
      <c r="B8180"/>
      <c r="C8180"/>
      <c r="D8180"/>
      <c r="E8180" s="183"/>
    </row>
    <row r="8181" spans="1:5" ht="14.25">
      <c r="A8181"/>
      <c r="B8181"/>
      <c r="C8181"/>
      <c r="D8181"/>
      <c r="E8181" s="183"/>
    </row>
    <row r="8182" spans="1:5" ht="14.25">
      <c r="A8182"/>
      <c r="B8182"/>
      <c r="C8182"/>
      <c r="D8182"/>
      <c r="E8182" s="183"/>
    </row>
    <row r="8183" spans="1:5" ht="14.25">
      <c r="A8183"/>
      <c r="B8183"/>
      <c r="C8183"/>
      <c r="D8183"/>
      <c r="E8183" s="183"/>
    </row>
    <row r="8184" spans="1:5" ht="14.25">
      <c r="A8184"/>
      <c r="B8184"/>
      <c r="C8184"/>
      <c r="D8184"/>
      <c r="E8184" s="183"/>
    </row>
    <row r="8185" spans="1:5" ht="14.25">
      <c r="A8185"/>
      <c r="B8185"/>
      <c r="C8185"/>
      <c r="D8185"/>
      <c r="E8185" s="183"/>
    </row>
    <row r="8186" spans="1:5" ht="14.25">
      <c r="A8186"/>
      <c r="B8186"/>
      <c r="C8186"/>
      <c r="D8186"/>
      <c r="E8186" s="183"/>
    </row>
    <row r="8187" spans="1:5" ht="14.25">
      <c r="A8187"/>
      <c r="B8187"/>
      <c r="C8187"/>
      <c r="D8187"/>
      <c r="E8187" s="183"/>
    </row>
    <row r="8188" spans="1:5" ht="14.25">
      <c r="A8188"/>
      <c r="B8188"/>
      <c r="C8188"/>
      <c r="D8188"/>
      <c r="E8188" s="183"/>
    </row>
    <row r="8189" spans="1:5" ht="14.25">
      <c r="A8189"/>
      <c r="B8189"/>
      <c r="C8189"/>
      <c r="D8189"/>
      <c r="E8189" s="183"/>
    </row>
    <row r="8190" spans="1:5" ht="14.25">
      <c r="A8190"/>
      <c r="B8190"/>
      <c r="C8190"/>
      <c r="D8190"/>
      <c r="E8190" s="183"/>
    </row>
    <row r="8191" spans="1:5" ht="14.25">
      <c r="A8191"/>
      <c r="B8191"/>
      <c r="C8191"/>
      <c r="D8191"/>
      <c r="E8191" s="183"/>
    </row>
    <row r="8192" spans="1:5" ht="14.25">
      <c r="A8192"/>
      <c r="B8192"/>
      <c r="C8192"/>
      <c r="D8192"/>
      <c r="E8192" s="183"/>
    </row>
    <row r="8193" spans="1:5" ht="14.25">
      <c r="A8193"/>
      <c r="B8193"/>
      <c r="C8193"/>
      <c r="D8193"/>
      <c r="E8193" s="183"/>
    </row>
    <row r="8194" spans="1:5" ht="14.25">
      <c r="A8194"/>
      <c r="B8194"/>
      <c r="C8194"/>
      <c r="D8194"/>
      <c r="E8194" s="183"/>
    </row>
    <row r="8195" spans="1:5" ht="14.25">
      <c r="A8195"/>
      <c r="B8195"/>
      <c r="C8195"/>
      <c r="D8195"/>
      <c r="E8195" s="183"/>
    </row>
    <row r="8196" spans="1:5" ht="14.25">
      <c r="A8196"/>
      <c r="B8196"/>
      <c r="C8196"/>
      <c r="D8196"/>
      <c r="E8196" s="183"/>
    </row>
    <row r="8197" spans="1:5" ht="14.25">
      <c r="A8197"/>
      <c r="B8197"/>
      <c r="C8197"/>
      <c r="D8197"/>
      <c r="E8197" s="183"/>
    </row>
    <row r="8198" spans="1:5" ht="14.25">
      <c r="A8198"/>
      <c r="B8198"/>
      <c r="C8198"/>
      <c r="D8198"/>
      <c r="E8198" s="183"/>
    </row>
    <row r="8199" spans="1:5" ht="14.25">
      <c r="A8199"/>
      <c r="B8199"/>
      <c r="C8199"/>
      <c r="D8199"/>
      <c r="E8199" s="183"/>
    </row>
    <row r="8200" spans="1:5" ht="14.25">
      <c r="A8200"/>
      <c r="B8200"/>
      <c r="C8200"/>
      <c r="D8200"/>
      <c r="E8200" s="183"/>
    </row>
    <row r="8201" spans="1:5" ht="14.25">
      <c r="A8201"/>
      <c r="B8201"/>
      <c r="C8201"/>
      <c r="D8201"/>
      <c r="E8201" s="183"/>
    </row>
    <row r="8202" spans="1:5" ht="14.25">
      <c r="A8202"/>
      <c r="B8202"/>
      <c r="C8202"/>
      <c r="D8202"/>
      <c r="E8202" s="183"/>
    </row>
    <row r="8203" spans="1:5" ht="14.25">
      <c r="A8203"/>
      <c r="B8203"/>
      <c r="C8203"/>
      <c r="D8203"/>
      <c r="E8203" s="183"/>
    </row>
    <row r="8204" spans="1:5" ht="14.25">
      <c r="A8204"/>
      <c r="B8204"/>
      <c r="C8204"/>
      <c r="D8204"/>
      <c r="E8204" s="184"/>
    </row>
    <row r="8205" spans="1:5" ht="14.25">
      <c r="A8205"/>
      <c r="B8205"/>
      <c r="C8205"/>
      <c r="D8205"/>
      <c r="E8205" s="183"/>
    </row>
    <row r="8206" spans="1:5" ht="14.25">
      <c r="A8206"/>
      <c r="B8206"/>
      <c r="C8206"/>
      <c r="D8206"/>
      <c r="E8206" s="183"/>
    </row>
    <row r="8207" spans="1:5" ht="14.25">
      <c r="A8207"/>
      <c r="B8207"/>
      <c r="C8207"/>
      <c r="D8207"/>
      <c r="E8207" s="183"/>
    </row>
    <row r="8208" spans="1:5" ht="14.25">
      <c r="A8208"/>
      <c r="B8208"/>
      <c r="C8208"/>
      <c r="D8208"/>
      <c r="E8208" s="183"/>
    </row>
    <row r="8209" spans="1:5" ht="14.25">
      <c r="A8209"/>
      <c r="B8209"/>
      <c r="C8209"/>
      <c r="D8209"/>
      <c r="E8209" s="183"/>
    </row>
    <row r="8210" spans="1:5" ht="14.25">
      <c r="A8210"/>
      <c r="B8210"/>
      <c r="C8210"/>
      <c r="D8210"/>
      <c r="E8210" s="183"/>
    </row>
    <row r="8211" spans="1:5" ht="14.25">
      <c r="A8211"/>
      <c r="B8211"/>
      <c r="C8211"/>
      <c r="D8211"/>
      <c r="E8211" s="183"/>
    </row>
    <row r="8212" spans="1:5" ht="14.25">
      <c r="A8212"/>
      <c r="B8212"/>
      <c r="C8212"/>
      <c r="D8212"/>
      <c r="E8212" s="183"/>
    </row>
    <row r="8213" spans="1:5" ht="14.25">
      <c r="A8213"/>
      <c r="B8213"/>
      <c r="C8213"/>
      <c r="D8213"/>
      <c r="E8213" s="183"/>
    </row>
    <row r="8214" spans="1:5" ht="14.25">
      <c r="A8214"/>
      <c r="B8214"/>
      <c r="C8214"/>
      <c r="D8214"/>
      <c r="E8214" s="183"/>
    </row>
    <row r="8215" spans="1:5" ht="14.25">
      <c r="A8215"/>
      <c r="B8215"/>
      <c r="C8215"/>
      <c r="D8215"/>
      <c r="E8215" s="183"/>
    </row>
    <row r="8216" spans="1:5" ht="14.25">
      <c r="A8216"/>
      <c r="B8216"/>
      <c r="C8216"/>
      <c r="D8216"/>
      <c r="E8216" s="183"/>
    </row>
    <row r="8217" spans="1:5" ht="14.25">
      <c r="A8217"/>
      <c r="B8217"/>
      <c r="C8217"/>
      <c r="D8217"/>
      <c r="E8217" s="183"/>
    </row>
    <row r="8218" spans="1:5" ht="14.25">
      <c r="A8218"/>
      <c r="B8218"/>
      <c r="C8218"/>
      <c r="D8218"/>
      <c r="E8218" s="183"/>
    </row>
    <row r="8219" spans="1:5" ht="14.25">
      <c r="A8219"/>
      <c r="B8219"/>
      <c r="C8219"/>
      <c r="D8219"/>
      <c r="E8219" s="184"/>
    </row>
    <row r="8220" spans="1:5" ht="14.25">
      <c r="A8220"/>
      <c r="B8220"/>
      <c r="C8220"/>
      <c r="D8220"/>
      <c r="E8220" s="183"/>
    </row>
    <row r="8221" spans="1:5" ht="14.25">
      <c r="A8221"/>
      <c r="B8221"/>
      <c r="C8221"/>
      <c r="D8221"/>
      <c r="E8221" s="184"/>
    </row>
    <row r="8222" spans="1:5" ht="14.25">
      <c r="A8222"/>
      <c r="B8222"/>
      <c r="C8222"/>
      <c r="D8222"/>
      <c r="E8222" s="183"/>
    </row>
    <row r="8223" spans="1:5" ht="14.25">
      <c r="A8223"/>
      <c r="B8223"/>
      <c r="C8223"/>
      <c r="D8223"/>
      <c r="E8223" s="183"/>
    </row>
    <row r="8224" spans="1:5" ht="14.25">
      <c r="A8224"/>
      <c r="B8224"/>
      <c r="C8224"/>
      <c r="D8224"/>
      <c r="E8224" s="184"/>
    </row>
    <row r="8225" spans="1:5" ht="14.25">
      <c r="A8225"/>
      <c r="B8225"/>
      <c r="C8225"/>
      <c r="D8225"/>
      <c r="E8225" s="183"/>
    </row>
    <row r="8226" spans="1:5" ht="14.25">
      <c r="A8226"/>
      <c r="B8226"/>
      <c r="C8226"/>
      <c r="D8226"/>
      <c r="E8226" s="183"/>
    </row>
    <row r="8227" spans="1:5" ht="14.25">
      <c r="A8227"/>
      <c r="B8227"/>
      <c r="C8227"/>
      <c r="D8227"/>
      <c r="E8227" s="183"/>
    </row>
    <row r="8228" spans="1:5" ht="14.25">
      <c r="A8228"/>
      <c r="B8228"/>
      <c r="C8228"/>
      <c r="D8228"/>
      <c r="E8228" s="183"/>
    </row>
    <row r="8229" spans="1:5" ht="14.25">
      <c r="A8229"/>
      <c r="B8229"/>
      <c r="C8229"/>
      <c r="D8229"/>
      <c r="E8229" s="183"/>
    </row>
    <row r="8230" spans="1:5" ht="14.25">
      <c r="A8230"/>
      <c r="B8230"/>
      <c r="C8230"/>
      <c r="D8230"/>
      <c r="E8230" s="183"/>
    </row>
    <row r="8231" spans="1:5" ht="14.25">
      <c r="A8231"/>
      <c r="B8231"/>
      <c r="C8231"/>
      <c r="D8231"/>
      <c r="E8231" s="184"/>
    </row>
    <row r="8232" spans="1:5" ht="14.25">
      <c r="A8232"/>
      <c r="B8232"/>
      <c r="C8232"/>
      <c r="D8232"/>
      <c r="E8232" s="183"/>
    </row>
    <row r="8233" spans="1:5" ht="14.25">
      <c r="A8233"/>
      <c r="B8233"/>
      <c r="C8233"/>
      <c r="D8233"/>
      <c r="E8233" s="183"/>
    </row>
    <row r="8234" spans="1:5" ht="14.25">
      <c r="A8234"/>
      <c r="B8234"/>
      <c r="C8234"/>
      <c r="D8234"/>
      <c r="E8234" s="183"/>
    </row>
    <row r="8235" spans="1:5" ht="14.25">
      <c r="A8235"/>
      <c r="B8235"/>
      <c r="C8235"/>
      <c r="D8235"/>
      <c r="E8235" s="183"/>
    </row>
    <row r="8236" spans="1:5" ht="14.25">
      <c r="A8236"/>
      <c r="B8236"/>
      <c r="C8236"/>
      <c r="D8236"/>
      <c r="E8236" s="183"/>
    </row>
    <row r="8237" spans="1:5" ht="14.25">
      <c r="A8237"/>
      <c r="B8237"/>
      <c r="C8237"/>
      <c r="D8237"/>
      <c r="E8237" s="183"/>
    </row>
    <row r="8238" spans="1:5" ht="14.25">
      <c r="A8238"/>
      <c r="B8238"/>
      <c r="C8238"/>
      <c r="D8238"/>
      <c r="E8238" s="183"/>
    </row>
    <row r="8239" spans="1:5" ht="14.25">
      <c r="A8239"/>
      <c r="B8239"/>
      <c r="C8239"/>
      <c r="D8239"/>
      <c r="E8239" s="183"/>
    </row>
    <row r="8240" spans="1:5" ht="14.25">
      <c r="A8240"/>
      <c r="B8240"/>
      <c r="C8240"/>
      <c r="D8240"/>
      <c r="E8240" s="183"/>
    </row>
    <row r="8241" spans="1:5" ht="14.25">
      <c r="A8241"/>
      <c r="B8241"/>
      <c r="C8241"/>
      <c r="D8241"/>
      <c r="E8241" s="183"/>
    </row>
    <row r="8242" spans="1:5" ht="14.25">
      <c r="A8242"/>
      <c r="B8242"/>
      <c r="C8242"/>
      <c r="D8242"/>
      <c r="E8242" s="183"/>
    </row>
    <row r="8243" spans="1:5" ht="14.25">
      <c r="A8243"/>
      <c r="B8243"/>
      <c r="C8243"/>
      <c r="D8243"/>
      <c r="E8243" s="183"/>
    </row>
    <row r="8244" spans="1:5" ht="14.25">
      <c r="A8244"/>
      <c r="B8244"/>
      <c r="C8244"/>
      <c r="D8244"/>
      <c r="E8244" s="183"/>
    </row>
    <row r="8245" spans="1:5" ht="14.25">
      <c r="A8245"/>
      <c r="B8245"/>
      <c r="C8245"/>
      <c r="D8245"/>
      <c r="E8245" s="183"/>
    </row>
    <row r="8246" spans="1:5" ht="14.25">
      <c r="A8246"/>
      <c r="B8246"/>
      <c r="C8246"/>
      <c r="D8246"/>
      <c r="E8246" s="183"/>
    </row>
    <row r="8247" spans="1:5" ht="14.25">
      <c r="A8247"/>
      <c r="B8247"/>
      <c r="C8247"/>
      <c r="D8247"/>
      <c r="E8247" s="183"/>
    </row>
    <row r="8248" spans="1:5" ht="14.25">
      <c r="A8248"/>
      <c r="B8248"/>
      <c r="C8248"/>
      <c r="D8248"/>
      <c r="E8248" s="183"/>
    </row>
    <row r="8249" spans="1:5" ht="14.25">
      <c r="A8249"/>
      <c r="B8249"/>
      <c r="C8249"/>
      <c r="D8249"/>
      <c r="E8249" s="183"/>
    </row>
    <row r="8250" spans="1:5" ht="14.25">
      <c r="A8250"/>
      <c r="B8250"/>
      <c r="C8250"/>
      <c r="D8250"/>
      <c r="E8250" s="183"/>
    </row>
    <row r="8251" spans="1:5" ht="14.25">
      <c r="A8251"/>
      <c r="B8251"/>
      <c r="C8251"/>
      <c r="D8251"/>
      <c r="E8251" s="183"/>
    </row>
    <row r="8252" spans="1:5" ht="14.25">
      <c r="A8252"/>
      <c r="B8252"/>
      <c r="C8252"/>
      <c r="D8252"/>
      <c r="E8252" s="183"/>
    </row>
    <row r="8253" spans="1:5" ht="14.25">
      <c r="A8253"/>
      <c r="B8253"/>
      <c r="C8253"/>
      <c r="D8253"/>
      <c r="E8253" s="183"/>
    </row>
    <row r="8254" spans="1:5" ht="14.25">
      <c r="A8254"/>
      <c r="B8254"/>
      <c r="C8254"/>
      <c r="D8254"/>
      <c r="E8254" s="183"/>
    </row>
    <row r="8255" spans="1:5" ht="14.25">
      <c r="A8255"/>
      <c r="B8255"/>
      <c r="C8255"/>
      <c r="D8255"/>
      <c r="E8255" s="183"/>
    </row>
    <row r="8256" spans="1:5" ht="14.25">
      <c r="A8256"/>
      <c r="B8256"/>
      <c r="C8256"/>
      <c r="D8256"/>
      <c r="E8256" s="183"/>
    </row>
    <row r="8257" spans="1:5" ht="14.25">
      <c r="A8257"/>
      <c r="B8257"/>
      <c r="C8257"/>
      <c r="D8257"/>
      <c r="E8257" s="183"/>
    </row>
    <row r="8258" spans="1:5" ht="14.25">
      <c r="A8258"/>
      <c r="B8258"/>
      <c r="C8258"/>
      <c r="D8258"/>
      <c r="E8258" s="183"/>
    </row>
    <row r="8259" spans="1:5" ht="14.25">
      <c r="A8259"/>
      <c r="B8259"/>
      <c r="C8259"/>
      <c r="D8259"/>
      <c r="E8259" s="183"/>
    </row>
    <row r="8260" spans="1:5" ht="14.25">
      <c r="A8260"/>
      <c r="B8260"/>
      <c r="C8260"/>
      <c r="D8260"/>
      <c r="E8260" s="183"/>
    </row>
    <row r="8261" spans="1:5" ht="14.25">
      <c r="A8261"/>
      <c r="B8261"/>
      <c r="C8261"/>
      <c r="D8261"/>
      <c r="E8261" s="183"/>
    </row>
    <row r="8262" spans="1:5" ht="14.25">
      <c r="A8262"/>
      <c r="B8262"/>
      <c r="C8262"/>
      <c r="D8262"/>
      <c r="E8262" s="183"/>
    </row>
    <row r="8263" spans="1:5" ht="14.25">
      <c r="A8263"/>
      <c r="B8263"/>
      <c r="C8263"/>
      <c r="D8263"/>
      <c r="E8263" s="183"/>
    </row>
    <row r="8264" spans="1:5" ht="14.25">
      <c r="A8264"/>
      <c r="B8264"/>
      <c r="C8264"/>
      <c r="D8264"/>
      <c r="E8264" s="183"/>
    </row>
    <row r="8265" spans="1:5" ht="14.25">
      <c r="A8265"/>
      <c r="B8265"/>
      <c r="C8265"/>
      <c r="D8265"/>
      <c r="E8265" s="183"/>
    </row>
    <row r="8266" spans="1:5" ht="14.25">
      <c r="A8266"/>
      <c r="B8266"/>
      <c r="C8266"/>
      <c r="D8266"/>
      <c r="E8266" s="183"/>
    </row>
    <row r="8267" spans="1:5" ht="14.25">
      <c r="A8267"/>
      <c r="B8267"/>
      <c r="C8267"/>
      <c r="D8267"/>
      <c r="E8267" s="184"/>
    </row>
    <row r="8268" spans="1:5" ht="14.25">
      <c r="A8268"/>
      <c r="B8268"/>
      <c r="C8268"/>
      <c r="D8268"/>
      <c r="E8268" s="183"/>
    </row>
    <row r="8269" spans="1:5" ht="14.25">
      <c r="A8269"/>
      <c r="B8269"/>
      <c r="C8269"/>
      <c r="D8269"/>
      <c r="E8269" s="183"/>
    </row>
    <row r="8270" spans="1:5" ht="14.25">
      <c r="A8270"/>
      <c r="B8270"/>
      <c r="C8270"/>
      <c r="D8270"/>
      <c r="E8270" s="183"/>
    </row>
    <row r="8271" spans="1:5" ht="14.25">
      <c r="A8271"/>
      <c r="B8271"/>
      <c r="C8271"/>
      <c r="D8271"/>
      <c r="E8271" s="183"/>
    </row>
    <row r="8272" spans="1:5" ht="14.25">
      <c r="A8272"/>
      <c r="B8272"/>
      <c r="C8272"/>
      <c r="D8272"/>
      <c r="E8272" s="184"/>
    </row>
    <row r="8273" spans="1:5" ht="14.25">
      <c r="A8273"/>
      <c r="B8273"/>
      <c r="C8273"/>
      <c r="D8273"/>
      <c r="E8273" s="184"/>
    </row>
    <row r="8274" spans="1:5" ht="14.25">
      <c r="A8274"/>
      <c r="B8274"/>
      <c r="C8274"/>
      <c r="D8274"/>
      <c r="E8274" s="184"/>
    </row>
    <row r="8275" spans="1:5" ht="14.25">
      <c r="A8275"/>
      <c r="B8275"/>
      <c r="C8275"/>
      <c r="D8275"/>
      <c r="E8275" s="184"/>
    </row>
    <row r="8276" spans="1:5" ht="14.25">
      <c r="A8276"/>
      <c r="B8276"/>
      <c r="C8276"/>
      <c r="D8276"/>
      <c r="E8276" s="184"/>
    </row>
    <row r="8277" spans="1:5" ht="14.25">
      <c r="A8277"/>
      <c r="B8277"/>
      <c r="C8277"/>
      <c r="D8277"/>
      <c r="E8277" s="184"/>
    </row>
    <row r="8278" spans="1:5" ht="14.25">
      <c r="A8278"/>
      <c r="B8278"/>
      <c r="C8278"/>
      <c r="D8278"/>
      <c r="E8278" s="184"/>
    </row>
    <row r="8279" spans="1:5" ht="14.25">
      <c r="A8279"/>
      <c r="B8279"/>
      <c r="C8279"/>
      <c r="D8279"/>
      <c r="E8279" s="184"/>
    </row>
    <row r="8280" spans="1:5" ht="14.25">
      <c r="A8280"/>
      <c r="B8280"/>
      <c r="C8280"/>
      <c r="D8280"/>
      <c r="E8280" s="183"/>
    </row>
    <row r="8281" spans="1:5" ht="14.25">
      <c r="A8281"/>
      <c r="B8281"/>
      <c r="C8281"/>
      <c r="D8281"/>
      <c r="E8281" s="183"/>
    </row>
    <row r="8282" spans="1:5" ht="14.25">
      <c r="A8282"/>
      <c r="B8282"/>
      <c r="C8282"/>
      <c r="D8282"/>
      <c r="E8282" s="183"/>
    </row>
    <row r="8283" spans="1:5" ht="14.25">
      <c r="A8283"/>
      <c r="B8283"/>
      <c r="C8283"/>
      <c r="D8283"/>
      <c r="E8283" s="183"/>
    </row>
    <row r="8284" spans="1:5" ht="14.25">
      <c r="A8284"/>
      <c r="B8284"/>
      <c r="C8284"/>
      <c r="D8284"/>
      <c r="E8284" s="183"/>
    </row>
    <row r="8285" spans="1:5" ht="14.25">
      <c r="A8285"/>
      <c r="B8285"/>
      <c r="C8285"/>
      <c r="D8285"/>
      <c r="E8285" s="183"/>
    </row>
    <row r="8286" spans="1:5" ht="14.25">
      <c r="A8286"/>
      <c r="B8286"/>
      <c r="C8286"/>
      <c r="D8286"/>
      <c r="E8286" s="183"/>
    </row>
    <row r="8287" spans="1:5" ht="14.25">
      <c r="A8287"/>
      <c r="B8287"/>
      <c r="C8287"/>
      <c r="D8287"/>
      <c r="E8287" s="184"/>
    </row>
    <row r="8288" spans="1:5" ht="14.25">
      <c r="A8288"/>
      <c r="B8288"/>
      <c r="C8288"/>
      <c r="D8288"/>
      <c r="E8288" s="183"/>
    </row>
    <row r="8289" spans="1:5" ht="14.25">
      <c r="A8289"/>
      <c r="B8289"/>
      <c r="C8289"/>
      <c r="D8289"/>
      <c r="E8289" s="183"/>
    </row>
    <row r="8290" spans="1:5" ht="14.25">
      <c r="A8290"/>
      <c r="B8290"/>
      <c r="C8290"/>
      <c r="D8290"/>
      <c r="E8290" s="183"/>
    </row>
    <row r="8291" spans="1:5" ht="14.25">
      <c r="A8291"/>
      <c r="B8291"/>
      <c r="C8291"/>
      <c r="D8291"/>
      <c r="E8291" s="183"/>
    </row>
    <row r="8292" spans="1:5" ht="14.25">
      <c r="A8292"/>
      <c r="B8292"/>
      <c r="C8292"/>
      <c r="D8292"/>
      <c r="E8292" s="183"/>
    </row>
    <row r="8293" spans="1:5" ht="14.25">
      <c r="A8293"/>
      <c r="B8293"/>
      <c r="C8293"/>
      <c r="D8293"/>
      <c r="E8293" s="183"/>
    </row>
    <row r="8294" spans="1:5" ht="14.25">
      <c r="A8294"/>
      <c r="B8294"/>
      <c r="C8294"/>
      <c r="D8294"/>
      <c r="E8294" s="183"/>
    </row>
    <row r="8295" spans="1:5" ht="14.25">
      <c r="A8295"/>
      <c r="B8295"/>
      <c r="C8295"/>
      <c r="D8295"/>
      <c r="E8295" s="183"/>
    </row>
    <row r="8296" spans="1:5" ht="14.25">
      <c r="A8296"/>
      <c r="B8296"/>
      <c r="C8296"/>
      <c r="D8296"/>
      <c r="E8296" s="183"/>
    </row>
    <row r="8297" spans="1:5" ht="14.25">
      <c r="A8297"/>
      <c r="B8297"/>
      <c r="C8297"/>
      <c r="D8297"/>
      <c r="E8297" s="183"/>
    </row>
    <row r="8298" spans="1:5" ht="14.25">
      <c r="A8298"/>
      <c r="B8298"/>
      <c r="C8298"/>
      <c r="D8298"/>
      <c r="E8298" s="184"/>
    </row>
    <row r="8299" spans="1:5" ht="14.25">
      <c r="A8299"/>
      <c r="B8299"/>
      <c r="C8299"/>
      <c r="D8299"/>
      <c r="E8299" s="183"/>
    </row>
    <row r="8300" spans="1:5" ht="14.25">
      <c r="A8300"/>
      <c r="B8300"/>
      <c r="C8300"/>
      <c r="D8300"/>
      <c r="E8300" s="183"/>
    </row>
    <row r="8301" spans="1:5" ht="14.25">
      <c r="A8301"/>
      <c r="B8301"/>
      <c r="C8301"/>
      <c r="D8301"/>
      <c r="E8301" s="183"/>
    </row>
    <row r="8302" spans="1:5" ht="14.25">
      <c r="A8302"/>
      <c r="B8302"/>
      <c r="C8302"/>
      <c r="D8302"/>
      <c r="E8302" s="183"/>
    </row>
    <row r="8303" spans="1:5" ht="14.25">
      <c r="A8303"/>
      <c r="B8303"/>
      <c r="C8303"/>
      <c r="D8303"/>
      <c r="E8303" s="183"/>
    </row>
    <row r="8304" spans="1:5" ht="14.25">
      <c r="A8304"/>
      <c r="B8304"/>
      <c r="C8304"/>
      <c r="D8304"/>
      <c r="E8304" s="183"/>
    </row>
    <row r="8305" spans="1:5" ht="14.25">
      <c r="A8305"/>
      <c r="B8305"/>
      <c r="C8305"/>
      <c r="D8305"/>
      <c r="E8305" s="183"/>
    </row>
    <row r="8306" spans="1:5" ht="14.25">
      <c r="A8306"/>
      <c r="B8306"/>
      <c r="C8306"/>
      <c r="D8306"/>
      <c r="E8306" s="183"/>
    </row>
    <row r="8307" spans="1:5" ht="14.25">
      <c r="A8307"/>
      <c r="B8307"/>
      <c r="C8307"/>
      <c r="D8307"/>
      <c r="E8307" s="183"/>
    </row>
    <row r="8308" spans="1:5" ht="14.25">
      <c r="A8308"/>
      <c r="B8308"/>
      <c r="C8308"/>
      <c r="D8308"/>
      <c r="E8308" s="183"/>
    </row>
    <row r="8309" spans="1:5" ht="14.25">
      <c r="A8309"/>
      <c r="B8309"/>
      <c r="C8309"/>
      <c r="D8309"/>
      <c r="E8309" s="183"/>
    </row>
    <row r="8310" spans="1:5" ht="14.25">
      <c r="A8310"/>
      <c r="B8310"/>
      <c r="C8310"/>
      <c r="D8310"/>
      <c r="E8310" s="183"/>
    </row>
    <row r="8311" spans="1:5" ht="14.25">
      <c r="A8311"/>
      <c r="B8311"/>
      <c r="C8311"/>
      <c r="D8311"/>
      <c r="E8311" s="183"/>
    </row>
    <row r="8312" spans="1:5" ht="14.25">
      <c r="A8312"/>
      <c r="B8312"/>
      <c r="C8312"/>
      <c r="D8312"/>
      <c r="E8312" s="183"/>
    </row>
    <row r="8313" spans="1:5" ht="14.25">
      <c r="A8313"/>
      <c r="B8313"/>
      <c r="C8313"/>
      <c r="D8313"/>
      <c r="E8313" s="183"/>
    </row>
    <row r="8314" spans="1:5" ht="14.25">
      <c r="A8314"/>
      <c r="B8314"/>
      <c r="C8314"/>
      <c r="D8314"/>
      <c r="E8314" s="183"/>
    </row>
    <row r="8315" spans="1:5" ht="14.25">
      <c r="A8315"/>
      <c r="B8315"/>
      <c r="C8315"/>
      <c r="D8315"/>
      <c r="E8315" s="183"/>
    </row>
    <row r="8316" spans="1:5" ht="14.25">
      <c r="A8316"/>
      <c r="B8316"/>
      <c r="C8316"/>
      <c r="D8316"/>
      <c r="E8316" s="183"/>
    </row>
    <row r="8317" spans="1:5" ht="14.25">
      <c r="A8317"/>
      <c r="B8317"/>
      <c r="C8317"/>
      <c r="D8317"/>
      <c r="E8317" s="183"/>
    </row>
    <row r="8318" spans="1:5" ht="14.25">
      <c r="A8318"/>
      <c r="B8318"/>
      <c r="C8318"/>
      <c r="D8318"/>
      <c r="E8318" s="183"/>
    </row>
    <row r="8319" spans="1:5" ht="14.25">
      <c r="A8319"/>
      <c r="B8319"/>
      <c r="C8319"/>
      <c r="D8319"/>
      <c r="E8319" s="183"/>
    </row>
    <row r="8320" spans="1:5" ht="14.25">
      <c r="A8320"/>
      <c r="B8320"/>
      <c r="C8320"/>
      <c r="D8320"/>
      <c r="E8320" s="183"/>
    </row>
    <row r="8321" spans="1:5" ht="14.25">
      <c r="A8321"/>
      <c r="B8321"/>
      <c r="C8321"/>
      <c r="D8321"/>
      <c r="E8321" s="183"/>
    </row>
    <row r="8322" spans="1:5" ht="14.25">
      <c r="A8322"/>
      <c r="B8322"/>
      <c r="C8322"/>
      <c r="D8322"/>
      <c r="E8322" s="183"/>
    </row>
    <row r="8323" spans="1:5" ht="14.25">
      <c r="A8323"/>
      <c r="B8323"/>
      <c r="C8323"/>
      <c r="D8323"/>
      <c r="E8323" s="183"/>
    </row>
    <row r="8324" spans="1:5" ht="14.25">
      <c r="A8324"/>
      <c r="B8324"/>
      <c r="C8324"/>
      <c r="D8324"/>
      <c r="E8324" s="183"/>
    </row>
    <row r="8325" spans="1:5" ht="14.25">
      <c r="A8325"/>
      <c r="B8325"/>
      <c r="C8325"/>
      <c r="D8325"/>
      <c r="E8325" s="183"/>
    </row>
    <row r="8326" spans="1:5" ht="14.25">
      <c r="A8326"/>
      <c r="B8326"/>
      <c r="C8326"/>
      <c r="D8326"/>
      <c r="E8326" s="183"/>
    </row>
    <row r="8327" spans="1:5" ht="14.25">
      <c r="A8327"/>
      <c r="B8327"/>
      <c r="C8327"/>
      <c r="D8327"/>
      <c r="E8327" s="183"/>
    </row>
    <row r="8328" spans="1:5" ht="14.25">
      <c r="A8328"/>
      <c r="B8328"/>
      <c r="C8328"/>
      <c r="D8328"/>
      <c r="E8328" s="183"/>
    </row>
    <row r="8329" spans="1:5" ht="14.25">
      <c r="A8329"/>
      <c r="B8329"/>
      <c r="C8329"/>
      <c r="D8329"/>
      <c r="E8329" s="183"/>
    </row>
    <row r="8330" spans="1:5" ht="14.25">
      <c r="A8330"/>
      <c r="B8330"/>
      <c r="C8330"/>
      <c r="D8330"/>
      <c r="E8330" s="183"/>
    </row>
    <row r="8331" spans="1:5" ht="14.25">
      <c r="A8331"/>
      <c r="B8331"/>
      <c r="C8331"/>
      <c r="D8331"/>
      <c r="E8331" s="183"/>
    </row>
    <row r="8332" spans="1:5" ht="14.25">
      <c r="A8332"/>
      <c r="B8332"/>
      <c r="C8332"/>
      <c r="D8332"/>
      <c r="E8332" s="183"/>
    </row>
    <row r="8333" spans="1:5" ht="14.25">
      <c r="A8333"/>
      <c r="B8333"/>
      <c r="C8333"/>
      <c r="D8333"/>
      <c r="E8333" s="183"/>
    </row>
    <row r="8334" spans="1:5" ht="14.25">
      <c r="A8334"/>
      <c r="B8334"/>
      <c r="C8334"/>
      <c r="D8334"/>
      <c r="E8334" s="183"/>
    </row>
    <row r="8335" spans="1:5" ht="14.25">
      <c r="A8335"/>
      <c r="B8335"/>
      <c r="C8335"/>
      <c r="D8335"/>
      <c r="E8335" s="183"/>
    </row>
    <row r="8336" spans="1:5" ht="14.25">
      <c r="A8336"/>
      <c r="B8336"/>
      <c r="C8336"/>
      <c r="D8336"/>
      <c r="E8336" s="183"/>
    </row>
    <row r="8337" spans="1:5" ht="14.25">
      <c r="A8337"/>
      <c r="B8337"/>
      <c r="C8337"/>
      <c r="D8337"/>
      <c r="E8337" s="183"/>
    </row>
    <row r="8338" spans="1:5" ht="14.25">
      <c r="A8338"/>
      <c r="B8338"/>
      <c r="C8338"/>
      <c r="D8338"/>
      <c r="E8338" s="183"/>
    </row>
    <row r="8339" spans="1:5" ht="14.25">
      <c r="A8339"/>
      <c r="B8339"/>
      <c r="C8339"/>
      <c r="D8339"/>
      <c r="E8339" s="183"/>
    </row>
    <row r="8340" spans="1:5" ht="14.25">
      <c r="A8340"/>
      <c r="B8340"/>
      <c r="C8340"/>
      <c r="D8340"/>
      <c r="E8340" s="183"/>
    </row>
    <row r="8341" spans="1:5" ht="14.25">
      <c r="A8341"/>
      <c r="B8341"/>
      <c r="C8341"/>
      <c r="D8341"/>
      <c r="E8341" s="183"/>
    </row>
    <row r="8342" spans="1:5" ht="14.25">
      <c r="A8342"/>
      <c r="B8342"/>
      <c r="C8342"/>
      <c r="D8342"/>
      <c r="E8342" s="183"/>
    </row>
    <row r="8343" spans="1:5" ht="14.25">
      <c r="A8343"/>
      <c r="B8343"/>
      <c r="C8343"/>
      <c r="D8343"/>
      <c r="E8343" s="183"/>
    </row>
    <row r="8344" spans="1:5" ht="14.25">
      <c r="A8344"/>
      <c r="B8344"/>
      <c r="C8344"/>
      <c r="D8344"/>
      <c r="E8344" s="183"/>
    </row>
    <row r="8345" spans="1:5" ht="14.25">
      <c r="A8345"/>
      <c r="B8345"/>
      <c r="C8345"/>
      <c r="D8345"/>
      <c r="E8345" s="183"/>
    </row>
    <row r="8346" spans="1:5" ht="14.25">
      <c r="A8346"/>
      <c r="B8346"/>
      <c r="C8346"/>
      <c r="D8346"/>
      <c r="E8346" s="183"/>
    </row>
    <row r="8347" spans="1:5" ht="14.25">
      <c r="A8347"/>
      <c r="B8347"/>
      <c r="C8347"/>
      <c r="D8347"/>
      <c r="E8347" s="183"/>
    </row>
    <row r="8348" spans="1:5" ht="14.25">
      <c r="A8348"/>
      <c r="B8348"/>
      <c r="C8348"/>
      <c r="D8348"/>
      <c r="E8348" s="183"/>
    </row>
    <row r="8349" spans="1:5" ht="14.25">
      <c r="A8349"/>
      <c r="B8349"/>
      <c r="C8349"/>
      <c r="D8349"/>
      <c r="E8349" s="183"/>
    </row>
    <row r="8350" spans="1:5" ht="14.25">
      <c r="A8350"/>
      <c r="B8350"/>
      <c r="C8350"/>
      <c r="D8350"/>
      <c r="E8350" s="183"/>
    </row>
    <row r="8351" spans="1:5" ht="14.25">
      <c r="A8351"/>
      <c r="B8351"/>
      <c r="C8351"/>
      <c r="D8351"/>
      <c r="E8351" s="183"/>
    </row>
    <row r="8352" spans="1:5" ht="14.25">
      <c r="A8352"/>
      <c r="B8352"/>
      <c r="C8352"/>
      <c r="D8352"/>
      <c r="E8352" s="183"/>
    </row>
    <row r="8353" spans="1:5" ht="14.25">
      <c r="A8353"/>
      <c r="B8353"/>
      <c r="C8353"/>
      <c r="D8353"/>
      <c r="E8353" s="183"/>
    </row>
    <row r="8354" spans="1:5" ht="14.25">
      <c r="A8354"/>
      <c r="B8354"/>
      <c r="C8354"/>
      <c r="D8354"/>
      <c r="E8354" s="183"/>
    </row>
    <row r="8355" spans="1:5" ht="14.25">
      <c r="A8355"/>
      <c r="B8355"/>
      <c r="C8355"/>
      <c r="D8355"/>
      <c r="E8355" s="183"/>
    </row>
    <row r="8356" spans="1:5" ht="14.25">
      <c r="A8356"/>
      <c r="B8356"/>
      <c r="C8356"/>
      <c r="D8356"/>
      <c r="E8356" s="183"/>
    </row>
    <row r="8357" spans="1:5" ht="14.25">
      <c r="A8357"/>
      <c r="B8357"/>
      <c r="C8357"/>
      <c r="D8357"/>
      <c r="E8357" s="183"/>
    </row>
    <row r="8358" spans="1:5" ht="14.25">
      <c r="A8358"/>
      <c r="B8358"/>
      <c r="C8358"/>
      <c r="D8358"/>
      <c r="E8358" s="183"/>
    </row>
    <row r="8359" spans="1:5" ht="14.25">
      <c r="A8359"/>
      <c r="B8359"/>
      <c r="C8359"/>
      <c r="D8359"/>
      <c r="E8359" s="183"/>
    </row>
    <row r="8360" spans="1:5" ht="14.25">
      <c r="A8360"/>
      <c r="B8360"/>
      <c r="C8360"/>
      <c r="D8360"/>
      <c r="E8360" s="183"/>
    </row>
    <row r="8361" spans="1:5" ht="14.25">
      <c r="A8361"/>
      <c r="B8361"/>
      <c r="C8361"/>
      <c r="D8361"/>
      <c r="E8361" s="183"/>
    </row>
    <row r="8362" spans="1:5" ht="14.25">
      <c r="A8362"/>
      <c r="B8362"/>
      <c r="C8362"/>
      <c r="D8362"/>
      <c r="E8362" s="183"/>
    </row>
    <row r="8363" spans="1:5" ht="14.25">
      <c r="A8363"/>
      <c r="B8363"/>
      <c r="C8363"/>
      <c r="D8363"/>
      <c r="E8363" s="183"/>
    </row>
    <row r="8364" spans="1:5" ht="14.25">
      <c r="A8364"/>
      <c r="B8364"/>
      <c r="C8364"/>
      <c r="D8364"/>
      <c r="E8364" s="183"/>
    </row>
    <row r="8365" spans="1:5" ht="14.25">
      <c r="A8365"/>
      <c r="B8365"/>
      <c r="C8365"/>
      <c r="D8365"/>
      <c r="E8365" s="183"/>
    </row>
    <row r="8366" spans="1:5" ht="14.25">
      <c r="A8366"/>
      <c r="B8366"/>
      <c r="C8366"/>
      <c r="D8366"/>
      <c r="E8366" s="183"/>
    </row>
    <row r="8367" spans="1:5" ht="14.25">
      <c r="A8367"/>
      <c r="B8367"/>
      <c r="C8367"/>
      <c r="D8367"/>
      <c r="E8367" s="183"/>
    </row>
    <row r="8368" spans="1:5" ht="14.25">
      <c r="A8368"/>
      <c r="B8368"/>
      <c r="C8368"/>
      <c r="D8368"/>
      <c r="E8368" s="183"/>
    </row>
    <row r="8369" spans="1:5" ht="14.25">
      <c r="A8369"/>
      <c r="B8369"/>
      <c r="C8369"/>
      <c r="D8369"/>
      <c r="E8369" s="183"/>
    </row>
    <row r="8370" spans="1:5" ht="14.25">
      <c r="A8370"/>
      <c r="B8370"/>
      <c r="C8370"/>
      <c r="D8370"/>
      <c r="E8370" s="183"/>
    </row>
    <row r="8371" spans="1:5" ht="14.25">
      <c r="A8371"/>
      <c r="B8371"/>
      <c r="C8371"/>
      <c r="D8371"/>
      <c r="E8371" s="183"/>
    </row>
    <row r="8372" spans="1:5" ht="14.25">
      <c r="A8372"/>
      <c r="B8372"/>
      <c r="C8372"/>
      <c r="D8372"/>
      <c r="E8372" s="183"/>
    </row>
    <row r="8373" spans="1:5" ht="14.25">
      <c r="A8373"/>
      <c r="B8373"/>
      <c r="C8373"/>
      <c r="D8373"/>
      <c r="E8373" s="183"/>
    </row>
    <row r="8374" spans="1:5" ht="14.25">
      <c r="A8374"/>
      <c r="B8374"/>
      <c r="C8374"/>
      <c r="D8374"/>
      <c r="E8374" s="183"/>
    </row>
    <row r="8375" spans="1:5" ht="14.25">
      <c r="A8375"/>
      <c r="B8375"/>
      <c r="C8375"/>
      <c r="D8375"/>
      <c r="E8375" s="183"/>
    </row>
    <row r="8376" spans="1:5" ht="14.25">
      <c r="A8376"/>
      <c r="B8376"/>
      <c r="C8376"/>
      <c r="D8376"/>
      <c r="E8376" s="183"/>
    </row>
    <row r="8377" spans="1:5" ht="14.25">
      <c r="A8377"/>
      <c r="B8377"/>
      <c r="C8377"/>
      <c r="D8377"/>
      <c r="E8377" s="183"/>
    </row>
    <row r="8378" spans="1:5" ht="14.25">
      <c r="A8378"/>
      <c r="B8378"/>
      <c r="C8378"/>
      <c r="D8378"/>
      <c r="E8378" s="183"/>
    </row>
    <row r="8379" spans="1:5" ht="14.25">
      <c r="A8379"/>
      <c r="B8379"/>
      <c r="C8379"/>
      <c r="D8379"/>
      <c r="E8379" s="183"/>
    </row>
    <row r="8380" spans="1:5" ht="14.25">
      <c r="A8380"/>
      <c r="B8380"/>
      <c r="C8380"/>
      <c r="D8380"/>
      <c r="E8380" s="183"/>
    </row>
    <row r="8381" spans="1:5" ht="14.25">
      <c r="A8381"/>
      <c r="B8381"/>
      <c r="C8381"/>
      <c r="D8381"/>
      <c r="E8381" s="183"/>
    </row>
    <row r="8382" spans="1:5" ht="14.25">
      <c r="A8382"/>
      <c r="B8382"/>
      <c r="C8382"/>
      <c r="D8382"/>
      <c r="E8382" s="183"/>
    </row>
    <row r="8383" spans="1:5" ht="14.25">
      <c r="A8383"/>
      <c r="B8383"/>
      <c r="C8383"/>
      <c r="D8383"/>
      <c r="E8383" s="183"/>
    </row>
    <row r="8384" spans="1:5" ht="14.25">
      <c r="A8384"/>
      <c r="B8384"/>
      <c r="C8384"/>
      <c r="D8384"/>
      <c r="E8384" s="183"/>
    </row>
    <row r="8385" spans="1:5" ht="14.25">
      <c r="A8385"/>
      <c r="B8385"/>
      <c r="C8385"/>
      <c r="D8385"/>
      <c r="E8385" s="183"/>
    </row>
    <row r="8386" spans="1:5" ht="14.25">
      <c r="A8386"/>
      <c r="B8386"/>
      <c r="C8386"/>
      <c r="D8386"/>
      <c r="E8386" s="183"/>
    </row>
    <row r="8387" spans="1:5" ht="14.25">
      <c r="A8387"/>
      <c r="B8387"/>
      <c r="C8387"/>
      <c r="D8387"/>
      <c r="E8387" s="183"/>
    </row>
    <row r="8388" spans="1:5" ht="14.25">
      <c r="A8388"/>
      <c r="B8388"/>
      <c r="C8388"/>
      <c r="D8388"/>
      <c r="E8388" s="183"/>
    </row>
    <row r="8389" spans="1:5" ht="14.25">
      <c r="A8389"/>
      <c r="B8389"/>
      <c r="C8389"/>
      <c r="D8389"/>
      <c r="E8389" s="183"/>
    </row>
    <row r="8390" spans="1:5" ht="14.25">
      <c r="A8390"/>
      <c r="B8390"/>
      <c r="C8390"/>
      <c r="D8390"/>
      <c r="E8390" s="183"/>
    </row>
    <row r="8391" spans="1:5" ht="14.25">
      <c r="A8391"/>
      <c r="B8391"/>
      <c r="C8391"/>
      <c r="D8391"/>
      <c r="E8391" s="183"/>
    </row>
    <row r="8392" spans="1:5" ht="14.25">
      <c r="A8392"/>
      <c r="B8392"/>
      <c r="C8392"/>
      <c r="D8392"/>
      <c r="E8392" s="183"/>
    </row>
    <row r="8393" spans="1:5" ht="14.25">
      <c r="A8393"/>
      <c r="B8393"/>
      <c r="C8393"/>
      <c r="D8393"/>
      <c r="E8393" s="183"/>
    </row>
    <row r="8394" spans="1:5" ht="14.25">
      <c r="A8394"/>
      <c r="B8394"/>
      <c r="C8394"/>
      <c r="D8394"/>
      <c r="E8394" s="183"/>
    </row>
    <row r="8395" spans="1:5" ht="14.25">
      <c r="A8395"/>
      <c r="B8395"/>
      <c r="C8395"/>
      <c r="D8395"/>
      <c r="E8395" s="183"/>
    </row>
    <row r="8396" spans="1:5" ht="14.25">
      <c r="A8396"/>
      <c r="B8396"/>
      <c r="C8396"/>
      <c r="D8396"/>
      <c r="E8396" s="183"/>
    </row>
    <row r="8397" spans="1:5" ht="14.25">
      <c r="A8397"/>
      <c r="B8397"/>
      <c r="C8397"/>
      <c r="D8397"/>
      <c r="E8397" s="183"/>
    </row>
    <row r="8398" spans="1:5" ht="14.25">
      <c r="A8398"/>
      <c r="B8398"/>
      <c r="C8398"/>
      <c r="D8398"/>
      <c r="E8398" s="183"/>
    </row>
    <row r="8399" spans="1:5" ht="14.25">
      <c r="A8399"/>
      <c r="B8399"/>
      <c r="C8399"/>
      <c r="D8399"/>
      <c r="E8399" s="183"/>
    </row>
    <row r="8400" spans="1:5" ht="14.25">
      <c r="A8400"/>
      <c r="B8400"/>
      <c r="C8400"/>
      <c r="D8400"/>
      <c r="E8400" s="183"/>
    </row>
    <row r="8401" spans="1:5" ht="14.25">
      <c r="A8401"/>
      <c r="B8401"/>
      <c r="C8401"/>
      <c r="D8401"/>
      <c r="E8401" s="183"/>
    </row>
    <row r="8402" spans="1:5" ht="14.25">
      <c r="A8402"/>
      <c r="B8402"/>
      <c r="C8402"/>
      <c r="D8402"/>
      <c r="E8402" s="183"/>
    </row>
    <row r="8403" spans="1:5" ht="14.25">
      <c r="A8403"/>
      <c r="B8403"/>
      <c r="C8403"/>
      <c r="D8403"/>
      <c r="E8403" s="183"/>
    </row>
    <row r="8404" spans="1:5" ht="14.25">
      <c r="A8404"/>
      <c r="B8404"/>
      <c r="C8404"/>
      <c r="D8404"/>
      <c r="E8404" s="183"/>
    </row>
    <row r="8405" spans="1:5" ht="14.25">
      <c r="A8405"/>
      <c r="B8405"/>
      <c r="C8405"/>
      <c r="D8405"/>
      <c r="E8405" s="183"/>
    </row>
    <row r="8406" spans="1:5" ht="14.25">
      <c r="A8406"/>
      <c r="B8406"/>
      <c r="C8406"/>
      <c r="D8406"/>
      <c r="E8406" s="183"/>
    </row>
    <row r="8407" spans="1:5" ht="14.25">
      <c r="A8407"/>
      <c r="B8407"/>
      <c r="C8407"/>
      <c r="D8407"/>
      <c r="E8407" s="183"/>
    </row>
    <row r="8408" spans="1:5" ht="14.25">
      <c r="A8408"/>
      <c r="B8408"/>
      <c r="C8408"/>
      <c r="D8408"/>
      <c r="E8408" s="183"/>
    </row>
    <row r="8409" spans="1:5" ht="14.25">
      <c r="A8409"/>
      <c r="B8409"/>
      <c r="C8409"/>
      <c r="D8409"/>
      <c r="E8409" s="183"/>
    </row>
    <row r="8410" spans="1:5" ht="14.25">
      <c r="A8410"/>
      <c r="B8410"/>
      <c r="C8410"/>
      <c r="D8410"/>
      <c r="E8410" s="183"/>
    </row>
    <row r="8411" spans="1:5" ht="14.25">
      <c r="A8411"/>
      <c r="B8411"/>
      <c r="C8411"/>
      <c r="D8411"/>
      <c r="E8411" s="183"/>
    </row>
    <row r="8412" spans="1:5" ht="14.25">
      <c r="A8412"/>
      <c r="B8412"/>
      <c r="C8412"/>
      <c r="D8412"/>
      <c r="E8412" s="183"/>
    </row>
    <row r="8413" spans="1:5" ht="14.25">
      <c r="A8413"/>
      <c r="B8413"/>
      <c r="C8413"/>
      <c r="D8413"/>
      <c r="E8413" s="183"/>
    </row>
    <row r="8414" spans="1:5" ht="14.25">
      <c r="A8414"/>
      <c r="B8414"/>
      <c r="C8414"/>
      <c r="D8414"/>
      <c r="E8414" s="183"/>
    </row>
    <row r="8415" spans="1:5" ht="14.25">
      <c r="A8415"/>
      <c r="B8415"/>
      <c r="C8415"/>
      <c r="D8415"/>
      <c r="E8415" s="183"/>
    </row>
    <row r="8416" spans="1:5" ht="14.25">
      <c r="A8416"/>
      <c r="B8416"/>
      <c r="C8416"/>
      <c r="D8416"/>
      <c r="E8416" s="183"/>
    </row>
    <row r="8417" spans="1:5" ht="14.25">
      <c r="A8417"/>
      <c r="B8417"/>
      <c r="C8417"/>
      <c r="D8417"/>
      <c r="E8417" s="183"/>
    </row>
    <row r="8418" spans="1:5" ht="14.25">
      <c r="A8418"/>
      <c r="B8418"/>
      <c r="C8418"/>
      <c r="D8418"/>
      <c r="E8418" s="183"/>
    </row>
    <row r="8419" spans="1:5" ht="14.25">
      <c r="A8419"/>
      <c r="B8419"/>
      <c r="C8419"/>
      <c r="D8419"/>
      <c r="E8419" s="183"/>
    </row>
    <row r="8420" spans="1:5" ht="14.25">
      <c r="A8420"/>
      <c r="B8420"/>
      <c r="C8420"/>
      <c r="D8420"/>
      <c r="E8420" s="183"/>
    </row>
    <row r="8421" spans="1:5" ht="14.25">
      <c r="A8421"/>
      <c r="B8421"/>
      <c r="C8421"/>
      <c r="D8421"/>
      <c r="E8421" s="183"/>
    </row>
    <row r="8422" spans="1:5" ht="14.25">
      <c r="A8422"/>
      <c r="B8422"/>
      <c r="C8422"/>
      <c r="D8422"/>
      <c r="E8422" s="183"/>
    </row>
    <row r="8423" spans="1:5" ht="14.25">
      <c r="A8423"/>
      <c r="B8423"/>
      <c r="C8423"/>
      <c r="D8423"/>
      <c r="E8423" s="183"/>
    </row>
    <row r="8424" spans="1:5" ht="14.25">
      <c r="A8424"/>
      <c r="B8424"/>
      <c r="C8424"/>
      <c r="D8424"/>
      <c r="E8424" s="183"/>
    </row>
    <row r="8425" spans="1:5" ht="14.25">
      <c r="A8425"/>
      <c r="B8425"/>
      <c r="C8425"/>
      <c r="D8425"/>
      <c r="E8425" s="183"/>
    </row>
    <row r="8426" spans="1:5" ht="14.25">
      <c r="A8426"/>
      <c r="B8426"/>
      <c r="C8426"/>
      <c r="D8426"/>
      <c r="E8426" s="183"/>
    </row>
    <row r="8427" spans="1:5" ht="14.25">
      <c r="A8427"/>
      <c r="B8427"/>
      <c r="C8427"/>
      <c r="D8427"/>
      <c r="E8427" s="183"/>
    </row>
    <row r="8428" spans="1:5" ht="14.25">
      <c r="A8428"/>
      <c r="B8428"/>
      <c r="C8428"/>
      <c r="D8428"/>
      <c r="E8428" s="183"/>
    </row>
    <row r="8429" spans="1:5" ht="14.25">
      <c r="A8429"/>
      <c r="B8429"/>
      <c r="C8429"/>
      <c r="D8429"/>
      <c r="E8429" s="183"/>
    </row>
    <row r="8430" spans="1:5" ht="14.25">
      <c r="A8430"/>
      <c r="B8430"/>
      <c r="C8430"/>
      <c r="D8430"/>
      <c r="E8430" s="183"/>
    </row>
    <row r="8431" spans="1:5" ht="14.25">
      <c r="A8431"/>
      <c r="B8431"/>
      <c r="C8431"/>
      <c r="D8431"/>
      <c r="E8431" s="183"/>
    </row>
    <row r="8432" spans="1:5" ht="14.25">
      <c r="A8432"/>
      <c r="B8432"/>
      <c r="C8432"/>
      <c r="D8432"/>
      <c r="E8432" s="183"/>
    </row>
    <row r="8433" spans="1:5" ht="14.25">
      <c r="A8433"/>
      <c r="B8433"/>
      <c r="C8433"/>
      <c r="D8433"/>
      <c r="E8433" s="183"/>
    </row>
    <row r="8434" spans="1:5" ht="14.25">
      <c r="A8434"/>
      <c r="B8434"/>
      <c r="C8434"/>
      <c r="D8434"/>
      <c r="E8434" s="183"/>
    </row>
    <row r="8435" spans="1:5" ht="14.25">
      <c r="A8435"/>
      <c r="B8435"/>
      <c r="C8435"/>
      <c r="D8435"/>
      <c r="E8435" s="183"/>
    </row>
    <row r="8436" spans="1:5" ht="14.25">
      <c r="A8436"/>
      <c r="B8436"/>
      <c r="C8436"/>
      <c r="D8436"/>
      <c r="E8436" s="183"/>
    </row>
    <row r="8437" spans="1:5" ht="14.25">
      <c r="A8437"/>
      <c r="B8437"/>
      <c r="C8437"/>
      <c r="D8437"/>
      <c r="E8437" s="183"/>
    </row>
    <row r="8438" spans="1:5" ht="14.25">
      <c r="A8438"/>
      <c r="B8438"/>
      <c r="C8438"/>
      <c r="D8438"/>
      <c r="E8438" s="183"/>
    </row>
    <row r="8439" spans="1:5" ht="14.25">
      <c r="A8439"/>
      <c r="B8439"/>
      <c r="C8439"/>
      <c r="D8439"/>
      <c r="E8439" s="183"/>
    </row>
    <row r="8440" spans="1:5" ht="14.25">
      <c r="A8440"/>
      <c r="B8440"/>
      <c r="C8440"/>
      <c r="D8440"/>
      <c r="E8440" s="183"/>
    </row>
    <row r="8441" spans="1:5" ht="14.25">
      <c r="A8441"/>
      <c r="B8441"/>
      <c r="C8441"/>
      <c r="D8441"/>
      <c r="E8441" s="183"/>
    </row>
    <row r="8442" spans="1:5" ht="14.25">
      <c r="A8442"/>
      <c r="B8442"/>
      <c r="C8442"/>
      <c r="D8442"/>
      <c r="E8442" s="183"/>
    </row>
    <row r="8443" spans="1:5" ht="14.25">
      <c r="A8443"/>
      <c r="B8443"/>
      <c r="C8443"/>
      <c r="D8443"/>
      <c r="E8443" s="183"/>
    </row>
    <row r="8444" spans="1:5" ht="14.25">
      <c r="A8444"/>
      <c r="B8444"/>
      <c r="C8444"/>
      <c r="D8444"/>
      <c r="E8444" s="183"/>
    </row>
    <row r="8445" spans="1:5" ht="14.25">
      <c r="A8445"/>
      <c r="B8445"/>
      <c r="C8445"/>
      <c r="D8445"/>
      <c r="E8445" s="183"/>
    </row>
    <row r="8446" spans="1:5" ht="14.25">
      <c r="A8446"/>
      <c r="B8446"/>
      <c r="C8446"/>
      <c r="D8446"/>
      <c r="E8446" s="183"/>
    </row>
    <row r="8447" spans="1:5" ht="14.25">
      <c r="A8447"/>
      <c r="B8447"/>
      <c r="C8447"/>
      <c r="D8447"/>
      <c r="E8447" s="183"/>
    </row>
    <row r="8448" spans="1:5" ht="14.25">
      <c r="A8448"/>
      <c r="B8448"/>
      <c r="C8448"/>
      <c r="D8448"/>
      <c r="E8448" s="183"/>
    </row>
    <row r="8449" spans="1:5" ht="14.25">
      <c r="A8449"/>
      <c r="B8449"/>
      <c r="C8449"/>
      <c r="D8449"/>
      <c r="E8449" s="183"/>
    </row>
    <row r="8450" spans="1:5" ht="14.25">
      <c r="A8450"/>
      <c r="B8450"/>
      <c r="C8450"/>
      <c r="D8450"/>
      <c r="E8450" s="183"/>
    </row>
    <row r="8451" spans="1:5" ht="14.25">
      <c r="A8451"/>
      <c r="B8451"/>
      <c r="C8451"/>
      <c r="D8451"/>
      <c r="E8451" s="183"/>
    </row>
    <row r="8452" spans="1:5" ht="14.25">
      <c r="A8452"/>
      <c r="B8452"/>
      <c r="C8452"/>
      <c r="D8452"/>
      <c r="E8452" s="183"/>
    </row>
    <row r="8453" spans="1:5" ht="14.25">
      <c r="A8453"/>
      <c r="B8453"/>
      <c r="C8453"/>
      <c r="D8453"/>
      <c r="E8453" s="183"/>
    </row>
    <row r="8454" spans="1:5" ht="14.25">
      <c r="A8454"/>
      <c r="B8454"/>
      <c r="C8454"/>
      <c r="D8454"/>
      <c r="E8454" s="183"/>
    </row>
    <row r="8455" spans="1:5" ht="14.25">
      <c r="A8455"/>
      <c r="B8455"/>
      <c r="C8455"/>
      <c r="D8455"/>
      <c r="E8455" s="183"/>
    </row>
    <row r="8456" spans="1:5" ht="14.25">
      <c r="A8456"/>
      <c r="B8456"/>
      <c r="C8456"/>
      <c r="D8456"/>
      <c r="E8456" s="183"/>
    </row>
    <row r="8457" spans="1:5" ht="14.25">
      <c r="A8457"/>
      <c r="B8457"/>
      <c r="C8457"/>
      <c r="D8457"/>
      <c r="E8457" s="183"/>
    </row>
    <row r="8458" spans="1:5" ht="14.25">
      <c r="A8458"/>
      <c r="B8458"/>
      <c r="C8458"/>
      <c r="D8458"/>
      <c r="E8458" s="183"/>
    </row>
    <row r="8459" spans="1:5" ht="14.25">
      <c r="A8459"/>
      <c r="B8459"/>
      <c r="C8459"/>
      <c r="D8459"/>
      <c r="E8459" s="183"/>
    </row>
    <row r="8460" spans="1:5" ht="14.25">
      <c r="A8460"/>
      <c r="B8460"/>
      <c r="C8460"/>
      <c r="D8460"/>
      <c r="E8460" s="183"/>
    </row>
    <row r="8461" spans="1:5" ht="14.25">
      <c r="A8461"/>
      <c r="B8461"/>
      <c r="C8461"/>
      <c r="D8461"/>
      <c r="E8461" s="183"/>
    </row>
    <row r="8462" spans="1:5" ht="14.25">
      <c r="A8462"/>
      <c r="B8462"/>
      <c r="C8462"/>
      <c r="D8462"/>
      <c r="E8462" s="183"/>
    </row>
    <row r="8463" spans="1:5" ht="14.25">
      <c r="A8463"/>
      <c r="B8463"/>
      <c r="C8463"/>
      <c r="D8463"/>
      <c r="E8463" s="183"/>
    </row>
    <row r="8464" spans="1:5" ht="14.25">
      <c r="A8464"/>
      <c r="B8464"/>
      <c r="C8464"/>
      <c r="D8464"/>
      <c r="E8464" s="183"/>
    </row>
    <row r="8465" spans="1:5" ht="14.25">
      <c r="A8465"/>
      <c r="B8465"/>
      <c r="C8465"/>
      <c r="D8465"/>
      <c r="E8465" s="183"/>
    </row>
    <row r="8466" spans="1:5" ht="14.25">
      <c r="A8466"/>
      <c r="B8466"/>
      <c r="C8466"/>
      <c r="D8466"/>
      <c r="E8466" s="183"/>
    </row>
    <row r="8467" spans="1:5" ht="14.25">
      <c r="A8467"/>
      <c r="B8467"/>
      <c r="C8467"/>
      <c r="D8467"/>
      <c r="E8467" s="183"/>
    </row>
    <row r="8468" spans="1:5" ht="14.25">
      <c r="A8468"/>
      <c r="B8468"/>
      <c r="C8468"/>
      <c r="D8468"/>
      <c r="E8468" s="183"/>
    </row>
    <row r="8469" spans="1:5" ht="14.25">
      <c r="A8469"/>
      <c r="B8469"/>
      <c r="C8469"/>
      <c r="D8469"/>
      <c r="E8469" s="183"/>
    </row>
    <row r="8470" spans="1:5" ht="14.25">
      <c r="A8470"/>
      <c r="B8470"/>
      <c r="C8470"/>
      <c r="D8470"/>
      <c r="E8470" s="183"/>
    </row>
    <row r="8471" spans="1:5" ht="14.25">
      <c r="A8471"/>
      <c r="B8471"/>
      <c r="C8471"/>
      <c r="D8471"/>
      <c r="E8471" s="183"/>
    </row>
    <row r="8472" spans="1:5" ht="14.25">
      <c r="A8472"/>
      <c r="B8472"/>
      <c r="C8472"/>
      <c r="D8472"/>
      <c r="E8472" s="183"/>
    </row>
    <row r="8473" spans="1:5" ht="14.25">
      <c r="A8473"/>
      <c r="B8473"/>
      <c r="C8473"/>
      <c r="D8473"/>
      <c r="E8473" s="183"/>
    </row>
    <row r="8474" spans="1:5" ht="14.25">
      <c r="A8474"/>
      <c r="B8474"/>
      <c r="C8474"/>
      <c r="D8474"/>
      <c r="E8474" s="183"/>
    </row>
    <row r="8475" spans="1:5" ht="14.25">
      <c r="A8475"/>
      <c r="B8475"/>
      <c r="C8475"/>
      <c r="D8475"/>
      <c r="E8475" s="183"/>
    </row>
    <row r="8476" spans="1:5" ht="14.25">
      <c r="A8476"/>
      <c r="B8476"/>
      <c r="C8476"/>
      <c r="D8476"/>
      <c r="E8476" s="183"/>
    </row>
    <row r="8477" spans="1:5" ht="14.25">
      <c r="A8477"/>
      <c r="B8477"/>
      <c r="C8477"/>
      <c r="D8477"/>
      <c r="E8477" s="183"/>
    </row>
    <row r="8478" spans="1:5" ht="14.25">
      <c r="A8478"/>
      <c r="B8478"/>
      <c r="C8478"/>
      <c r="D8478"/>
      <c r="E8478" s="183"/>
    </row>
    <row r="8479" spans="1:5" ht="14.25">
      <c r="A8479"/>
      <c r="B8479"/>
      <c r="C8479"/>
      <c r="D8479"/>
      <c r="E8479" s="183"/>
    </row>
    <row r="8480" spans="1:5" ht="14.25">
      <c r="A8480"/>
      <c r="B8480"/>
      <c r="C8480"/>
      <c r="D8480"/>
      <c r="E8480" s="183"/>
    </row>
    <row r="8481" spans="1:5" ht="14.25">
      <c r="A8481"/>
      <c r="B8481"/>
      <c r="C8481"/>
      <c r="D8481"/>
      <c r="E8481" s="183"/>
    </row>
    <row r="8482" spans="1:5" ht="14.25">
      <c r="A8482"/>
      <c r="B8482"/>
      <c r="C8482"/>
      <c r="D8482"/>
      <c r="E8482" s="183"/>
    </row>
    <row r="8483" spans="1:5" ht="14.25">
      <c r="A8483"/>
      <c r="B8483"/>
      <c r="C8483"/>
      <c r="D8483"/>
      <c r="E8483" s="183"/>
    </row>
    <row r="8484" spans="1:5" ht="14.25">
      <c r="A8484"/>
      <c r="B8484"/>
      <c r="C8484"/>
      <c r="D8484"/>
      <c r="E8484" s="183"/>
    </row>
    <row r="8485" spans="1:5" ht="14.25">
      <c r="A8485"/>
      <c r="B8485"/>
      <c r="C8485"/>
      <c r="D8485"/>
      <c r="E8485" s="183"/>
    </row>
    <row r="8486" spans="1:5" ht="14.25">
      <c r="A8486"/>
      <c r="B8486"/>
      <c r="C8486"/>
      <c r="D8486"/>
      <c r="E8486" s="183"/>
    </row>
    <row r="8487" spans="1:5" ht="14.25">
      <c r="A8487"/>
      <c r="B8487"/>
      <c r="C8487"/>
      <c r="D8487"/>
      <c r="E8487" s="183"/>
    </row>
    <row r="8488" spans="1:5" ht="14.25">
      <c r="A8488"/>
      <c r="B8488"/>
      <c r="C8488"/>
      <c r="D8488"/>
      <c r="E8488" s="183"/>
    </row>
    <row r="8489" spans="1:5" ht="14.25">
      <c r="A8489"/>
      <c r="B8489"/>
      <c r="C8489"/>
      <c r="D8489"/>
      <c r="E8489" s="183"/>
    </row>
    <row r="8490" spans="1:5" ht="14.25">
      <c r="A8490"/>
      <c r="B8490"/>
      <c r="C8490"/>
      <c r="D8490"/>
      <c r="E8490" s="183"/>
    </row>
    <row r="8491" spans="1:5" ht="14.25">
      <c r="A8491"/>
      <c r="B8491"/>
      <c r="C8491"/>
      <c r="D8491"/>
      <c r="E8491" s="183"/>
    </row>
    <row r="8492" spans="1:5" ht="14.25">
      <c r="A8492"/>
      <c r="B8492"/>
      <c r="C8492"/>
      <c r="D8492"/>
      <c r="E8492" s="183"/>
    </row>
    <row r="8493" spans="1:5" ht="14.25">
      <c r="A8493"/>
      <c r="B8493"/>
      <c r="C8493"/>
      <c r="D8493"/>
      <c r="E8493" s="183"/>
    </row>
    <row r="8494" spans="1:5" ht="14.25">
      <c r="A8494"/>
      <c r="B8494"/>
      <c r="C8494"/>
      <c r="D8494"/>
      <c r="E8494" s="183"/>
    </row>
    <row r="8495" spans="1:5" ht="14.25">
      <c r="A8495"/>
      <c r="B8495"/>
      <c r="C8495"/>
      <c r="D8495"/>
      <c r="E8495" s="183"/>
    </row>
    <row r="8496" spans="1:5" ht="14.25">
      <c r="A8496"/>
      <c r="B8496"/>
      <c r="C8496"/>
      <c r="D8496"/>
      <c r="E8496" s="183"/>
    </row>
    <row r="8497" spans="1:5" ht="14.25">
      <c r="A8497"/>
      <c r="B8497"/>
      <c r="C8497"/>
      <c r="D8497"/>
      <c r="E8497" s="183"/>
    </row>
    <row r="8498" spans="1:5" ht="14.25">
      <c r="A8498"/>
      <c r="B8498"/>
      <c r="C8498"/>
      <c r="D8498"/>
      <c r="E8498" s="184"/>
    </row>
    <row r="8499" spans="1:5" ht="14.25">
      <c r="A8499"/>
      <c r="B8499"/>
      <c r="C8499"/>
      <c r="D8499"/>
      <c r="E8499" s="184"/>
    </row>
    <row r="8500" spans="1:5" ht="14.25">
      <c r="A8500"/>
      <c r="B8500"/>
      <c r="C8500"/>
      <c r="D8500"/>
      <c r="E8500" s="183"/>
    </row>
    <row r="8501" spans="1:5" ht="14.25">
      <c r="A8501"/>
      <c r="B8501"/>
      <c r="C8501"/>
      <c r="D8501"/>
      <c r="E8501" s="183"/>
    </row>
    <row r="8502" spans="1:5" ht="14.25">
      <c r="A8502"/>
      <c r="B8502"/>
      <c r="C8502"/>
      <c r="D8502"/>
      <c r="E8502" s="184"/>
    </row>
    <row r="8503" spans="1:5" ht="14.25">
      <c r="A8503"/>
      <c r="B8503"/>
      <c r="C8503"/>
      <c r="D8503"/>
      <c r="E8503" s="183"/>
    </row>
    <row r="8504" spans="1:5" ht="14.25">
      <c r="A8504"/>
      <c r="B8504"/>
      <c r="C8504"/>
      <c r="D8504"/>
      <c r="E8504" s="184"/>
    </row>
    <row r="8505" spans="1:5" ht="14.25">
      <c r="A8505"/>
      <c r="B8505"/>
      <c r="C8505"/>
      <c r="D8505"/>
      <c r="E8505" s="183"/>
    </row>
    <row r="8506" spans="1:5" ht="14.25">
      <c r="A8506"/>
      <c r="B8506"/>
      <c r="C8506"/>
      <c r="D8506"/>
      <c r="E8506" s="184"/>
    </row>
    <row r="8507" spans="1:5" ht="14.25">
      <c r="A8507"/>
      <c r="B8507"/>
      <c r="C8507"/>
      <c r="D8507"/>
      <c r="E8507" s="183"/>
    </row>
    <row r="8508" spans="1:5" ht="14.25">
      <c r="A8508"/>
      <c r="B8508"/>
      <c r="C8508"/>
      <c r="D8508"/>
      <c r="E8508" s="184"/>
    </row>
    <row r="8509" spans="1:5" ht="14.25">
      <c r="A8509"/>
      <c r="B8509"/>
      <c r="C8509"/>
      <c r="D8509"/>
      <c r="E8509" s="183"/>
    </row>
    <row r="8510" spans="1:5" ht="14.25">
      <c r="A8510"/>
      <c r="B8510"/>
      <c r="C8510"/>
      <c r="D8510"/>
      <c r="E8510" s="183"/>
    </row>
    <row r="8511" spans="1:5" ht="14.25">
      <c r="A8511"/>
      <c r="B8511"/>
      <c r="C8511"/>
      <c r="D8511"/>
      <c r="E8511" s="183"/>
    </row>
    <row r="8512" spans="1:5" ht="14.25">
      <c r="A8512"/>
      <c r="B8512"/>
      <c r="C8512"/>
      <c r="D8512"/>
      <c r="E8512" s="183"/>
    </row>
    <row r="8513" spans="1:5" ht="14.25">
      <c r="A8513"/>
      <c r="B8513"/>
      <c r="C8513"/>
      <c r="D8513"/>
      <c r="E8513" s="183"/>
    </row>
    <row r="8514" spans="1:5" ht="14.25">
      <c r="A8514"/>
      <c r="B8514"/>
      <c r="C8514"/>
      <c r="D8514"/>
      <c r="E8514" s="183"/>
    </row>
    <row r="8515" spans="1:5" ht="14.25">
      <c r="A8515"/>
      <c r="B8515"/>
      <c r="C8515"/>
      <c r="D8515"/>
      <c r="E8515" s="183"/>
    </row>
    <row r="8516" spans="1:5" ht="14.25">
      <c r="A8516"/>
      <c r="B8516"/>
      <c r="C8516"/>
      <c r="D8516"/>
      <c r="E8516" s="183"/>
    </row>
    <row r="8517" spans="1:5" ht="14.25">
      <c r="A8517"/>
      <c r="B8517"/>
      <c r="C8517"/>
      <c r="D8517"/>
      <c r="E8517" s="183"/>
    </row>
    <row r="8518" spans="1:5" ht="14.25">
      <c r="A8518"/>
      <c r="B8518"/>
      <c r="C8518"/>
      <c r="D8518"/>
      <c r="E8518" s="183"/>
    </row>
    <row r="8519" spans="1:5" ht="14.25">
      <c r="A8519"/>
      <c r="B8519"/>
      <c r="C8519"/>
      <c r="D8519"/>
      <c r="E8519" s="183"/>
    </row>
    <row r="8520" spans="1:5" ht="14.25">
      <c r="A8520"/>
      <c r="B8520"/>
      <c r="C8520"/>
      <c r="D8520"/>
      <c r="E8520" s="183"/>
    </row>
    <row r="8521" spans="1:5" ht="14.25">
      <c r="A8521"/>
      <c r="B8521"/>
      <c r="C8521"/>
      <c r="D8521"/>
      <c r="E8521" s="183"/>
    </row>
    <row r="8522" spans="1:5" ht="14.25">
      <c r="A8522"/>
      <c r="B8522"/>
      <c r="C8522"/>
      <c r="D8522"/>
      <c r="E8522" s="183"/>
    </row>
    <row r="8523" spans="1:5" ht="14.25">
      <c r="A8523"/>
      <c r="B8523"/>
      <c r="C8523"/>
      <c r="D8523"/>
      <c r="E8523" s="183"/>
    </row>
    <row r="8524" spans="1:5" ht="14.25">
      <c r="A8524"/>
      <c r="B8524"/>
      <c r="C8524"/>
      <c r="D8524"/>
      <c r="E8524" s="183"/>
    </row>
    <row r="8525" spans="1:5" ht="14.25">
      <c r="A8525"/>
      <c r="B8525"/>
      <c r="C8525"/>
      <c r="D8525"/>
      <c r="E8525" s="183"/>
    </row>
    <row r="8526" spans="1:5" ht="14.25">
      <c r="A8526"/>
      <c r="B8526"/>
      <c r="C8526"/>
      <c r="D8526"/>
      <c r="E8526" s="183"/>
    </row>
    <row r="8527" spans="1:5" ht="14.25">
      <c r="A8527"/>
      <c r="B8527"/>
      <c r="C8527"/>
      <c r="D8527"/>
      <c r="E8527" s="183"/>
    </row>
    <row r="8528" spans="1:5" ht="14.25">
      <c r="A8528"/>
      <c r="B8528"/>
      <c r="C8528"/>
      <c r="D8528"/>
      <c r="E8528" s="183"/>
    </row>
    <row r="8529" spans="1:5" ht="14.25">
      <c r="A8529"/>
      <c r="B8529"/>
      <c r="C8529"/>
      <c r="D8529"/>
      <c r="E8529" s="183"/>
    </row>
    <row r="8530" spans="1:5" ht="14.25">
      <c r="A8530"/>
      <c r="B8530"/>
      <c r="C8530"/>
      <c r="D8530"/>
      <c r="E8530" s="183"/>
    </row>
    <row r="8531" spans="1:5" ht="14.25">
      <c r="A8531"/>
      <c r="B8531"/>
      <c r="C8531"/>
      <c r="D8531"/>
      <c r="E8531" s="183"/>
    </row>
    <row r="8532" spans="1:5" ht="14.25">
      <c r="A8532"/>
      <c r="B8532"/>
      <c r="C8532"/>
      <c r="D8532"/>
      <c r="E8532" s="183"/>
    </row>
    <row r="8533" spans="1:5" ht="14.25">
      <c r="A8533"/>
      <c r="B8533"/>
      <c r="C8533"/>
      <c r="D8533"/>
      <c r="E8533" s="183"/>
    </row>
    <row r="8534" spans="1:5" ht="14.25">
      <c r="A8534"/>
      <c r="B8534"/>
      <c r="C8534"/>
      <c r="D8534"/>
      <c r="E8534" s="183"/>
    </row>
    <row r="8535" spans="1:5" ht="14.25">
      <c r="A8535"/>
      <c r="B8535"/>
      <c r="C8535"/>
      <c r="D8535"/>
      <c r="E8535" s="183"/>
    </row>
    <row r="8536" spans="1:5" ht="14.25">
      <c r="A8536"/>
      <c r="B8536"/>
      <c r="C8536"/>
      <c r="D8536"/>
      <c r="E8536" s="183"/>
    </row>
    <row r="8537" spans="1:5" ht="14.25">
      <c r="A8537"/>
      <c r="B8537"/>
      <c r="C8537"/>
      <c r="D8537"/>
      <c r="E8537" s="183"/>
    </row>
    <row r="8538" spans="1:5" ht="14.25">
      <c r="A8538"/>
      <c r="B8538"/>
      <c r="C8538"/>
      <c r="D8538"/>
      <c r="E8538" s="183"/>
    </row>
    <row r="8539" spans="1:5" ht="14.25">
      <c r="A8539"/>
      <c r="B8539"/>
      <c r="C8539"/>
      <c r="D8539"/>
      <c r="E8539" s="183"/>
    </row>
    <row r="8540" spans="1:5" ht="14.25">
      <c r="A8540"/>
      <c r="B8540"/>
      <c r="C8540"/>
      <c r="D8540"/>
      <c r="E8540" s="183"/>
    </row>
    <row r="8541" spans="1:5" ht="14.25">
      <c r="A8541"/>
      <c r="B8541"/>
      <c r="C8541"/>
      <c r="D8541"/>
      <c r="E8541" s="183"/>
    </row>
    <row r="8542" spans="1:5" ht="14.25">
      <c r="A8542"/>
      <c r="B8542"/>
      <c r="C8542"/>
      <c r="D8542"/>
      <c r="E8542" s="183"/>
    </row>
    <row r="8543" spans="1:5" ht="14.25">
      <c r="A8543"/>
      <c r="B8543"/>
      <c r="C8543"/>
      <c r="D8543"/>
      <c r="E8543" s="183"/>
    </row>
    <row r="8544" spans="1:5" ht="14.25">
      <c r="A8544"/>
      <c r="B8544"/>
      <c r="C8544"/>
      <c r="D8544"/>
      <c r="E8544" s="183"/>
    </row>
    <row r="8545" spans="1:5" ht="14.25">
      <c r="A8545"/>
      <c r="B8545"/>
      <c r="C8545"/>
      <c r="D8545"/>
      <c r="E8545" s="183"/>
    </row>
    <row r="8546" spans="1:5" ht="14.25">
      <c r="A8546"/>
      <c r="B8546"/>
      <c r="C8546"/>
      <c r="D8546"/>
      <c r="E8546" s="183"/>
    </row>
    <row r="8547" spans="1:5" ht="14.25">
      <c r="A8547"/>
      <c r="B8547"/>
      <c r="C8547"/>
      <c r="D8547"/>
      <c r="E8547" s="183"/>
    </row>
    <row r="8548" spans="1:5" ht="14.25">
      <c r="A8548"/>
      <c r="B8548"/>
      <c r="C8548"/>
      <c r="D8548"/>
      <c r="E8548" s="183"/>
    </row>
    <row r="8549" spans="1:5" ht="14.25">
      <c r="A8549"/>
      <c r="B8549"/>
      <c r="C8549"/>
      <c r="D8549"/>
      <c r="E8549" s="183"/>
    </row>
    <row r="8550" spans="1:5" ht="14.25">
      <c r="A8550"/>
      <c r="B8550"/>
      <c r="C8550"/>
      <c r="D8550"/>
      <c r="E8550" s="183"/>
    </row>
    <row r="8551" spans="1:5" ht="14.25">
      <c r="A8551"/>
      <c r="B8551"/>
      <c r="C8551"/>
      <c r="D8551"/>
      <c r="E8551" s="183"/>
    </row>
    <row r="8552" spans="1:5" ht="14.25">
      <c r="A8552"/>
      <c r="B8552"/>
      <c r="C8552"/>
      <c r="D8552"/>
      <c r="E8552" s="183"/>
    </row>
    <row r="8553" spans="1:5" ht="14.25">
      <c r="A8553"/>
      <c r="B8553"/>
      <c r="C8553"/>
      <c r="D8553"/>
      <c r="E8553" s="183"/>
    </row>
    <row r="8554" spans="1:5" ht="14.25">
      <c r="A8554"/>
      <c r="B8554"/>
      <c r="C8554"/>
      <c r="D8554"/>
      <c r="E8554" s="183"/>
    </row>
    <row r="8555" spans="1:5" ht="14.25">
      <c r="A8555"/>
      <c r="B8555"/>
      <c r="C8555"/>
      <c r="D8555"/>
      <c r="E8555" s="183"/>
    </row>
    <row r="8556" spans="1:5" ht="14.25">
      <c r="A8556"/>
      <c r="B8556"/>
      <c r="C8556"/>
      <c r="D8556"/>
      <c r="E8556" s="183"/>
    </row>
    <row r="8557" spans="1:5" ht="14.25">
      <c r="A8557"/>
      <c r="B8557"/>
      <c r="C8557"/>
      <c r="D8557"/>
      <c r="E8557" s="183"/>
    </row>
    <row r="8558" spans="1:5" ht="14.25">
      <c r="A8558"/>
      <c r="B8558"/>
      <c r="C8558"/>
      <c r="D8558"/>
      <c r="E8558" s="183"/>
    </row>
    <row r="8559" spans="1:5" ht="14.25">
      <c r="A8559"/>
      <c r="B8559"/>
      <c r="C8559"/>
      <c r="D8559"/>
      <c r="E8559" s="183"/>
    </row>
    <row r="8560" spans="1:5" ht="14.25">
      <c r="A8560"/>
      <c r="B8560"/>
      <c r="C8560"/>
      <c r="D8560"/>
      <c r="E8560" s="183"/>
    </row>
    <row r="8561" spans="1:5" ht="14.25">
      <c r="A8561"/>
      <c r="B8561"/>
      <c r="C8561"/>
      <c r="D8561"/>
      <c r="E8561" s="183"/>
    </row>
    <row r="8562" spans="1:5" ht="14.25">
      <c r="A8562"/>
      <c r="B8562"/>
      <c r="C8562"/>
      <c r="D8562"/>
      <c r="E8562" s="183"/>
    </row>
    <row r="8563" spans="1:5" ht="14.25">
      <c r="A8563"/>
      <c r="B8563"/>
      <c r="C8563"/>
      <c r="D8563"/>
      <c r="E8563" s="183"/>
    </row>
    <row r="8564" spans="1:5" ht="14.25">
      <c r="A8564"/>
      <c r="B8564"/>
      <c r="C8564"/>
      <c r="D8564"/>
      <c r="E8564" s="183"/>
    </row>
    <row r="8565" spans="1:5" ht="14.25">
      <c r="A8565"/>
      <c r="B8565"/>
      <c r="C8565"/>
      <c r="D8565"/>
      <c r="E8565" s="183"/>
    </row>
    <row r="8566" spans="1:5" ht="14.25">
      <c r="A8566"/>
      <c r="B8566"/>
      <c r="C8566"/>
      <c r="D8566"/>
      <c r="E8566" s="183"/>
    </row>
    <row r="8567" spans="1:5" ht="14.25">
      <c r="A8567"/>
      <c r="B8567"/>
      <c r="C8567"/>
      <c r="D8567"/>
      <c r="E8567" s="183"/>
    </row>
    <row r="8568" spans="1:5" ht="14.25">
      <c r="A8568"/>
      <c r="B8568"/>
      <c r="C8568"/>
      <c r="D8568"/>
      <c r="E8568" s="183"/>
    </row>
    <row r="8569" spans="1:5" ht="14.25">
      <c r="A8569"/>
      <c r="B8569"/>
      <c r="C8569"/>
      <c r="D8569"/>
      <c r="E8569" s="183"/>
    </row>
    <row r="8570" spans="1:5" ht="14.25">
      <c r="A8570"/>
      <c r="B8570"/>
      <c r="C8570"/>
      <c r="D8570"/>
      <c r="E8570" s="183"/>
    </row>
    <row r="8571" spans="1:5" ht="14.25">
      <c r="A8571"/>
      <c r="B8571"/>
      <c r="C8571"/>
      <c r="D8571"/>
      <c r="E8571" s="183"/>
    </row>
    <row r="8572" spans="1:5" ht="14.25">
      <c r="A8572"/>
      <c r="B8572"/>
      <c r="C8572"/>
      <c r="D8572"/>
      <c r="E8572" s="183"/>
    </row>
    <row r="8573" spans="1:5" ht="14.25">
      <c r="A8573"/>
      <c r="B8573"/>
      <c r="C8573"/>
      <c r="D8573"/>
      <c r="E8573" s="183"/>
    </row>
    <row r="8574" spans="1:5" ht="14.25">
      <c r="A8574"/>
      <c r="B8574"/>
      <c r="C8574"/>
      <c r="D8574"/>
      <c r="E8574" s="183"/>
    </row>
    <row r="8575" spans="1:5" ht="14.25">
      <c r="A8575"/>
      <c r="B8575"/>
      <c r="C8575"/>
      <c r="D8575"/>
      <c r="E8575" s="183"/>
    </row>
    <row r="8576" spans="1:5" ht="14.25">
      <c r="A8576"/>
      <c r="B8576"/>
      <c r="C8576"/>
      <c r="D8576"/>
      <c r="E8576" s="183"/>
    </row>
    <row r="8577" spans="1:5" ht="14.25">
      <c r="A8577"/>
      <c r="B8577"/>
      <c r="C8577"/>
      <c r="D8577"/>
      <c r="E8577" s="183"/>
    </row>
    <row r="8578" spans="1:5" ht="14.25">
      <c r="A8578"/>
      <c r="B8578"/>
      <c r="C8578"/>
      <c r="D8578"/>
      <c r="E8578" s="183"/>
    </row>
    <row r="8579" spans="1:5" ht="14.25">
      <c r="A8579"/>
      <c r="B8579"/>
      <c r="C8579"/>
      <c r="D8579"/>
      <c r="E8579" s="183"/>
    </row>
    <row r="8580" spans="1:5" ht="14.25">
      <c r="A8580"/>
      <c r="B8580"/>
      <c r="C8580"/>
      <c r="D8580"/>
      <c r="E8580" s="183"/>
    </row>
    <row r="8581" spans="1:5" ht="14.25">
      <c r="A8581"/>
      <c r="B8581"/>
      <c r="C8581"/>
      <c r="D8581"/>
      <c r="E8581" s="183"/>
    </row>
    <row r="8582" spans="1:5" ht="14.25">
      <c r="A8582"/>
      <c r="B8582"/>
      <c r="C8582"/>
      <c r="D8582"/>
      <c r="E8582" s="183"/>
    </row>
    <row r="8583" spans="1:5" ht="14.25">
      <c r="A8583"/>
      <c r="B8583"/>
      <c r="C8583"/>
      <c r="D8583"/>
      <c r="E8583" s="183"/>
    </row>
    <row r="8584" spans="1:5" ht="14.25">
      <c r="A8584"/>
      <c r="B8584"/>
      <c r="C8584"/>
      <c r="D8584"/>
      <c r="E8584" s="183"/>
    </row>
    <row r="8585" spans="1:5" ht="14.25">
      <c r="A8585"/>
      <c r="B8585"/>
      <c r="C8585"/>
      <c r="D8585"/>
      <c r="E8585" s="183"/>
    </row>
    <row r="8586" spans="1:5" ht="14.25">
      <c r="A8586"/>
      <c r="B8586"/>
      <c r="C8586"/>
      <c r="D8586"/>
      <c r="E8586" s="183"/>
    </row>
    <row r="8587" spans="1:5" ht="14.25">
      <c r="A8587"/>
      <c r="B8587"/>
      <c r="C8587"/>
      <c r="D8587"/>
      <c r="E8587" s="183"/>
    </row>
    <row r="8588" spans="1:5" ht="14.25">
      <c r="A8588"/>
      <c r="B8588"/>
      <c r="C8588"/>
      <c r="D8588"/>
      <c r="E8588" s="183"/>
    </row>
    <row r="8589" spans="1:5" ht="14.25">
      <c r="A8589"/>
      <c r="B8589"/>
      <c r="C8589"/>
      <c r="D8589"/>
      <c r="E8589" s="183"/>
    </row>
    <row r="8590" spans="1:5" ht="14.25">
      <c r="A8590"/>
      <c r="B8590"/>
      <c r="C8590"/>
      <c r="D8590"/>
      <c r="E8590" s="183"/>
    </row>
    <row r="8591" spans="1:5" ht="14.25">
      <c r="A8591"/>
      <c r="B8591"/>
      <c r="C8591"/>
      <c r="D8591"/>
      <c r="E8591" s="183"/>
    </row>
    <row r="8592" spans="1:5" ht="14.25">
      <c r="A8592"/>
      <c r="B8592"/>
      <c r="C8592"/>
      <c r="D8592"/>
      <c r="E8592" s="183"/>
    </row>
    <row r="8593" spans="1:5" ht="14.25">
      <c r="A8593"/>
      <c r="B8593"/>
      <c r="C8593"/>
      <c r="D8593"/>
      <c r="E8593" s="183"/>
    </row>
    <row r="8594" spans="1:5" ht="14.25">
      <c r="A8594"/>
      <c r="B8594"/>
      <c r="C8594"/>
      <c r="D8594"/>
      <c r="E8594" s="183"/>
    </row>
    <row r="8595" spans="1:5" ht="14.25">
      <c r="A8595"/>
      <c r="B8595"/>
      <c r="C8595"/>
      <c r="D8595"/>
      <c r="E8595" s="184"/>
    </row>
    <row r="8596" spans="1:5" ht="14.25">
      <c r="A8596"/>
      <c r="B8596"/>
      <c r="C8596"/>
      <c r="D8596"/>
      <c r="E8596" s="183"/>
    </row>
    <row r="8597" spans="1:5" ht="14.25">
      <c r="A8597"/>
      <c r="B8597"/>
      <c r="C8597"/>
      <c r="D8597"/>
      <c r="E8597" s="183"/>
    </row>
    <row r="8598" spans="1:5" ht="14.25">
      <c r="A8598"/>
      <c r="B8598"/>
      <c r="C8598"/>
      <c r="D8598"/>
      <c r="E8598" s="183"/>
    </row>
    <row r="8599" spans="1:5" ht="14.25">
      <c r="A8599"/>
      <c r="B8599"/>
      <c r="C8599"/>
      <c r="D8599"/>
      <c r="E8599" s="183"/>
    </row>
    <row r="8600" spans="1:5" ht="14.25">
      <c r="A8600"/>
      <c r="B8600"/>
      <c r="C8600"/>
      <c r="D8600"/>
      <c r="E8600" s="183"/>
    </row>
    <row r="8601" spans="1:5" ht="14.25">
      <c r="A8601"/>
      <c r="B8601"/>
      <c r="C8601"/>
      <c r="D8601"/>
      <c r="E8601" s="183"/>
    </row>
    <row r="8602" spans="1:5" ht="14.25">
      <c r="A8602"/>
      <c r="B8602"/>
      <c r="C8602"/>
      <c r="D8602"/>
      <c r="E8602" s="183"/>
    </row>
    <row r="8603" spans="1:5" ht="14.25">
      <c r="A8603"/>
      <c r="B8603"/>
      <c r="C8603"/>
      <c r="D8603"/>
      <c r="E8603" s="183"/>
    </row>
    <row r="8604" spans="1:5" ht="14.25">
      <c r="A8604"/>
      <c r="B8604"/>
      <c r="C8604"/>
      <c r="D8604"/>
      <c r="E8604" s="183"/>
    </row>
    <row r="8605" spans="1:5" ht="14.25">
      <c r="A8605"/>
      <c r="B8605"/>
      <c r="C8605"/>
      <c r="D8605"/>
      <c r="E8605" s="183"/>
    </row>
    <row r="8606" spans="1:5" ht="14.25">
      <c r="A8606"/>
      <c r="B8606"/>
      <c r="C8606"/>
      <c r="D8606"/>
      <c r="E8606" s="183"/>
    </row>
    <row r="8607" spans="1:5" ht="14.25">
      <c r="A8607"/>
      <c r="B8607"/>
      <c r="C8607"/>
      <c r="D8607"/>
      <c r="E8607" s="183"/>
    </row>
    <row r="8608" spans="1:5" ht="14.25">
      <c r="A8608"/>
      <c r="B8608"/>
      <c r="C8608"/>
      <c r="D8608"/>
      <c r="E8608" s="183"/>
    </row>
    <row r="8609" spans="1:5" ht="14.25">
      <c r="A8609"/>
      <c r="B8609"/>
      <c r="C8609"/>
      <c r="D8609"/>
      <c r="E8609" s="183"/>
    </row>
    <row r="8610" spans="1:5" ht="14.25">
      <c r="A8610"/>
      <c r="B8610"/>
      <c r="C8610"/>
      <c r="D8610"/>
      <c r="E8610" s="183"/>
    </row>
    <row r="8611" spans="1:5" ht="14.25">
      <c r="A8611"/>
      <c r="B8611"/>
      <c r="C8611"/>
      <c r="D8611"/>
      <c r="E8611" s="183"/>
    </row>
    <row r="8612" spans="1:5" ht="14.25">
      <c r="A8612"/>
      <c r="B8612"/>
      <c r="C8612"/>
      <c r="D8612"/>
      <c r="E8612" s="183"/>
    </row>
    <row r="8613" spans="1:5" ht="14.25">
      <c r="A8613"/>
      <c r="B8613"/>
      <c r="C8613"/>
      <c r="D8613"/>
      <c r="E8613" s="183"/>
    </row>
    <row r="8614" spans="1:5" ht="14.25">
      <c r="A8614"/>
      <c r="B8614"/>
      <c r="C8614"/>
      <c r="D8614"/>
      <c r="E8614" s="183"/>
    </row>
    <row r="8615" spans="1:5" ht="14.25">
      <c r="A8615"/>
      <c r="B8615"/>
      <c r="C8615"/>
      <c r="D8615"/>
      <c r="E8615" s="183"/>
    </row>
    <row r="8616" spans="1:5" ht="14.25">
      <c r="A8616"/>
      <c r="B8616"/>
      <c r="C8616"/>
      <c r="D8616"/>
      <c r="E8616" s="183"/>
    </row>
    <row r="8617" spans="1:5" ht="14.25">
      <c r="A8617"/>
      <c r="B8617"/>
      <c r="C8617"/>
      <c r="D8617"/>
      <c r="E8617" s="183"/>
    </row>
    <row r="8618" spans="1:5" ht="14.25">
      <c r="A8618"/>
      <c r="B8618"/>
      <c r="C8618"/>
      <c r="D8618"/>
      <c r="E8618" s="183"/>
    </row>
    <row r="8619" spans="1:5" ht="14.25">
      <c r="A8619"/>
      <c r="B8619"/>
      <c r="C8619"/>
      <c r="D8619"/>
      <c r="E8619" s="183"/>
    </row>
    <row r="8620" spans="1:5" ht="14.25">
      <c r="A8620"/>
      <c r="B8620"/>
      <c r="C8620"/>
      <c r="D8620"/>
      <c r="E8620" s="183"/>
    </row>
    <row r="8621" spans="1:5" ht="14.25">
      <c r="A8621"/>
      <c r="B8621"/>
      <c r="C8621"/>
      <c r="D8621"/>
      <c r="E8621" s="183"/>
    </row>
    <row r="8622" spans="1:5" ht="14.25">
      <c r="A8622"/>
      <c r="B8622"/>
      <c r="C8622"/>
      <c r="D8622"/>
      <c r="E8622" s="183"/>
    </row>
    <row r="8623" spans="1:5" ht="14.25">
      <c r="A8623"/>
      <c r="B8623"/>
      <c r="C8623"/>
      <c r="D8623"/>
      <c r="E8623" s="183"/>
    </row>
    <row r="8624" spans="1:5" ht="14.25">
      <c r="A8624"/>
      <c r="B8624"/>
      <c r="C8624"/>
      <c r="D8624"/>
      <c r="E8624" s="183"/>
    </row>
    <row r="8625" spans="1:5" ht="14.25">
      <c r="A8625"/>
      <c r="B8625"/>
      <c r="C8625"/>
      <c r="D8625"/>
      <c r="E8625" s="183"/>
    </row>
    <row r="8626" spans="1:5" ht="14.25">
      <c r="A8626"/>
      <c r="B8626"/>
      <c r="C8626"/>
      <c r="D8626"/>
      <c r="E8626" s="183"/>
    </row>
    <row r="8627" spans="1:5" ht="14.25">
      <c r="A8627"/>
      <c r="B8627"/>
      <c r="C8627"/>
      <c r="D8627"/>
      <c r="E8627" s="183"/>
    </row>
    <row r="8628" spans="1:5" ht="14.25">
      <c r="A8628"/>
      <c r="B8628"/>
      <c r="C8628"/>
      <c r="D8628"/>
      <c r="E8628" s="184"/>
    </row>
    <row r="8629" spans="1:5" ht="14.25">
      <c r="A8629"/>
      <c r="B8629"/>
      <c r="C8629"/>
      <c r="D8629"/>
      <c r="E8629" s="184"/>
    </row>
    <row r="8630" spans="1:5" ht="14.25">
      <c r="A8630"/>
      <c r="B8630"/>
      <c r="C8630"/>
      <c r="D8630"/>
      <c r="E8630" s="183"/>
    </row>
    <row r="8631" spans="1:5" ht="14.25">
      <c r="A8631"/>
      <c r="B8631"/>
      <c r="C8631"/>
      <c r="D8631"/>
      <c r="E8631" s="183"/>
    </row>
    <row r="8632" spans="1:5" ht="14.25">
      <c r="A8632"/>
      <c r="B8632"/>
      <c r="C8632"/>
      <c r="D8632"/>
      <c r="E8632" s="183"/>
    </row>
    <row r="8633" spans="1:5" ht="14.25">
      <c r="A8633"/>
      <c r="B8633"/>
      <c r="C8633"/>
      <c r="D8633"/>
      <c r="E8633" s="183"/>
    </row>
    <row r="8634" spans="1:5" ht="14.25">
      <c r="A8634"/>
      <c r="B8634"/>
      <c r="C8634"/>
      <c r="D8634"/>
      <c r="E8634" s="183"/>
    </row>
    <row r="8635" spans="1:5" ht="14.25">
      <c r="A8635"/>
      <c r="B8635"/>
      <c r="C8635"/>
      <c r="D8635"/>
      <c r="E8635" s="183"/>
    </row>
    <row r="8636" spans="1:5" ht="14.25">
      <c r="A8636"/>
      <c r="B8636"/>
      <c r="C8636"/>
      <c r="D8636"/>
      <c r="E8636" s="183"/>
    </row>
    <row r="8637" spans="1:5" ht="14.25">
      <c r="A8637"/>
      <c r="B8637"/>
      <c r="C8637"/>
      <c r="D8637"/>
      <c r="E8637" s="183"/>
    </row>
    <row r="8638" spans="1:5" ht="14.25">
      <c r="A8638"/>
      <c r="B8638"/>
      <c r="C8638"/>
      <c r="D8638"/>
      <c r="E8638" s="183"/>
    </row>
    <row r="8639" spans="1:5" ht="14.25">
      <c r="A8639"/>
      <c r="B8639"/>
      <c r="C8639"/>
      <c r="D8639"/>
      <c r="E8639" s="183"/>
    </row>
    <row r="8640" spans="1:5" ht="14.25">
      <c r="A8640"/>
      <c r="B8640"/>
      <c r="C8640"/>
      <c r="D8640"/>
      <c r="E8640" s="183"/>
    </row>
    <row r="8641" spans="1:5" ht="14.25">
      <c r="A8641"/>
      <c r="B8641"/>
      <c r="C8641"/>
      <c r="D8641"/>
      <c r="E8641" s="183"/>
    </row>
    <row r="8642" spans="1:5" ht="14.25">
      <c r="A8642"/>
      <c r="B8642"/>
      <c r="C8642"/>
      <c r="D8642"/>
      <c r="E8642" s="183"/>
    </row>
    <row r="8643" spans="1:5" ht="14.25">
      <c r="A8643"/>
      <c r="B8643"/>
      <c r="C8643"/>
      <c r="D8643"/>
      <c r="E8643" s="183"/>
    </row>
    <row r="8644" spans="1:5" ht="14.25">
      <c r="A8644"/>
      <c r="B8644"/>
      <c r="C8644"/>
      <c r="D8644"/>
      <c r="E8644" s="183"/>
    </row>
    <row r="8645" spans="1:5" ht="14.25">
      <c r="A8645"/>
      <c r="B8645"/>
      <c r="C8645"/>
      <c r="D8645"/>
      <c r="E8645" s="183"/>
    </row>
    <row r="8646" spans="1:5" ht="14.25">
      <c r="A8646"/>
      <c r="B8646"/>
      <c r="C8646"/>
      <c r="D8646"/>
      <c r="E8646" s="183"/>
    </row>
    <row r="8647" spans="1:5" ht="14.25">
      <c r="A8647"/>
      <c r="B8647"/>
      <c r="C8647"/>
      <c r="D8647"/>
      <c r="E8647" s="183"/>
    </row>
    <row r="8648" spans="1:5" ht="14.25">
      <c r="A8648"/>
      <c r="B8648"/>
      <c r="C8648"/>
      <c r="D8648"/>
      <c r="E8648" s="183"/>
    </row>
    <row r="8649" spans="1:5" ht="14.25">
      <c r="A8649"/>
      <c r="B8649"/>
      <c r="C8649"/>
      <c r="D8649"/>
      <c r="E8649" s="183"/>
    </row>
    <row r="8650" spans="1:5" ht="14.25">
      <c r="A8650"/>
      <c r="B8650"/>
      <c r="C8650"/>
      <c r="D8650"/>
      <c r="E8650" s="183"/>
    </row>
    <row r="8651" spans="1:5" ht="14.25">
      <c r="A8651"/>
      <c r="B8651"/>
      <c r="C8651"/>
      <c r="D8651"/>
      <c r="E8651" s="183"/>
    </row>
    <row r="8652" spans="1:5" ht="14.25">
      <c r="A8652"/>
      <c r="B8652"/>
      <c r="C8652"/>
      <c r="D8652"/>
      <c r="E8652" s="183"/>
    </row>
    <row r="8653" spans="1:5" ht="14.25">
      <c r="A8653"/>
      <c r="B8653"/>
      <c r="C8653"/>
      <c r="D8653"/>
      <c r="E8653" s="183"/>
    </row>
    <row r="8654" spans="1:5" ht="14.25">
      <c r="A8654"/>
      <c r="B8654"/>
      <c r="C8654"/>
      <c r="D8654"/>
      <c r="E8654" s="183"/>
    </row>
    <row r="8655" spans="1:5" ht="14.25">
      <c r="A8655"/>
      <c r="B8655"/>
      <c r="C8655"/>
      <c r="D8655"/>
      <c r="E8655" s="183"/>
    </row>
    <row r="8656" spans="1:5" ht="14.25">
      <c r="A8656"/>
      <c r="B8656"/>
      <c r="C8656"/>
      <c r="D8656"/>
      <c r="E8656" s="183"/>
    </row>
    <row r="8657" spans="1:5" ht="14.25">
      <c r="A8657"/>
      <c r="B8657"/>
      <c r="C8657"/>
      <c r="D8657"/>
      <c r="E8657" s="183"/>
    </row>
    <row r="8658" spans="1:5" ht="14.25">
      <c r="A8658"/>
      <c r="B8658"/>
      <c r="C8658"/>
      <c r="D8658"/>
      <c r="E8658" s="183"/>
    </row>
    <row r="8659" spans="1:5" ht="14.25">
      <c r="A8659"/>
      <c r="B8659"/>
      <c r="C8659"/>
      <c r="D8659"/>
      <c r="E8659" s="183"/>
    </row>
    <row r="8660" spans="1:5" ht="14.25">
      <c r="A8660"/>
      <c r="B8660"/>
      <c r="C8660"/>
      <c r="D8660"/>
      <c r="E8660" s="183"/>
    </row>
    <row r="8661" spans="1:5" ht="14.25">
      <c r="A8661"/>
      <c r="B8661"/>
      <c r="C8661"/>
      <c r="D8661"/>
      <c r="E8661" s="183"/>
    </row>
    <row r="8662" spans="1:5" ht="14.25">
      <c r="A8662"/>
      <c r="B8662"/>
      <c r="C8662"/>
      <c r="D8662"/>
      <c r="E8662" s="183"/>
    </row>
    <row r="8663" spans="1:5" ht="14.25">
      <c r="A8663"/>
      <c r="B8663"/>
      <c r="C8663"/>
      <c r="D8663"/>
      <c r="E8663" s="183"/>
    </row>
    <row r="8664" spans="1:5" ht="14.25">
      <c r="A8664"/>
      <c r="B8664"/>
      <c r="C8664"/>
      <c r="D8664"/>
      <c r="E8664" s="183"/>
    </row>
    <row r="8665" spans="1:5" ht="14.25">
      <c r="A8665"/>
      <c r="B8665"/>
      <c r="C8665"/>
      <c r="D8665"/>
      <c r="E8665" s="183"/>
    </row>
    <row r="8666" spans="1:5" ht="14.25">
      <c r="A8666"/>
      <c r="B8666"/>
      <c r="C8666"/>
      <c r="D8666"/>
      <c r="E8666" s="183"/>
    </row>
    <row r="8667" spans="1:5" ht="14.25">
      <c r="A8667"/>
      <c r="B8667"/>
      <c r="C8667"/>
      <c r="D8667"/>
      <c r="E8667" s="183"/>
    </row>
    <row r="8668" spans="1:5" ht="14.25">
      <c r="A8668"/>
      <c r="B8668"/>
      <c r="C8668"/>
      <c r="D8668"/>
      <c r="E8668" s="183"/>
    </row>
    <row r="8669" spans="1:5" ht="14.25">
      <c r="A8669"/>
      <c r="B8669"/>
      <c r="C8669"/>
      <c r="D8669"/>
      <c r="E8669" s="183"/>
    </row>
    <row r="8670" spans="1:5" ht="14.25">
      <c r="A8670"/>
      <c r="B8670"/>
      <c r="C8670"/>
      <c r="D8670"/>
      <c r="E8670" s="183"/>
    </row>
    <row r="8671" spans="1:5" ht="14.25">
      <c r="A8671"/>
      <c r="B8671"/>
      <c r="C8671"/>
      <c r="D8671"/>
      <c r="E8671" s="183"/>
    </row>
    <row r="8672" spans="1:5" ht="14.25">
      <c r="A8672"/>
      <c r="B8672"/>
      <c r="C8672"/>
      <c r="D8672"/>
      <c r="E8672" s="183"/>
    </row>
    <row r="8673" spans="1:5" ht="14.25">
      <c r="A8673"/>
      <c r="B8673"/>
      <c r="C8673"/>
      <c r="D8673"/>
      <c r="E8673" s="183"/>
    </row>
    <row r="8674" spans="1:5" ht="14.25">
      <c r="A8674"/>
      <c r="B8674"/>
      <c r="C8674"/>
      <c r="D8674"/>
      <c r="E8674" s="183"/>
    </row>
    <row r="8675" spans="1:5" ht="14.25">
      <c r="A8675"/>
      <c r="B8675"/>
      <c r="C8675"/>
      <c r="D8675"/>
      <c r="E8675" s="183"/>
    </row>
    <row r="8676" spans="1:5" ht="14.25">
      <c r="A8676"/>
      <c r="B8676"/>
      <c r="C8676"/>
      <c r="D8676"/>
      <c r="E8676" s="183"/>
    </row>
    <row r="8677" spans="1:5" ht="14.25">
      <c r="A8677"/>
      <c r="B8677"/>
      <c r="C8677"/>
      <c r="D8677"/>
      <c r="E8677" s="183"/>
    </row>
    <row r="8678" spans="1:5" ht="14.25">
      <c r="A8678"/>
      <c r="B8678"/>
      <c r="C8678"/>
      <c r="D8678"/>
      <c r="E8678" s="183"/>
    </row>
    <row r="8679" spans="1:5" ht="14.25">
      <c r="A8679"/>
      <c r="B8679"/>
      <c r="C8679"/>
      <c r="D8679"/>
      <c r="E8679" s="183"/>
    </row>
    <row r="8680" spans="1:5" ht="14.25">
      <c r="A8680"/>
      <c r="B8680"/>
      <c r="C8680"/>
      <c r="D8680"/>
      <c r="E8680" s="183"/>
    </row>
    <row r="8681" spans="1:5" ht="14.25">
      <c r="A8681"/>
      <c r="B8681"/>
      <c r="C8681"/>
      <c r="D8681"/>
      <c r="E8681" s="183"/>
    </row>
    <row r="8682" spans="1:5" ht="14.25">
      <c r="A8682"/>
      <c r="B8682"/>
      <c r="C8682"/>
      <c r="D8682"/>
      <c r="E8682" s="183"/>
    </row>
    <row r="8683" spans="1:5" ht="14.25">
      <c r="A8683"/>
      <c r="B8683"/>
      <c r="C8683"/>
      <c r="D8683"/>
      <c r="E8683" s="184"/>
    </row>
    <row r="8684" spans="1:5" ht="14.25">
      <c r="A8684"/>
      <c r="B8684"/>
      <c r="C8684"/>
      <c r="D8684"/>
      <c r="E8684" s="183"/>
    </row>
    <row r="8685" spans="1:5" ht="14.25">
      <c r="A8685"/>
      <c r="B8685"/>
      <c r="C8685"/>
      <c r="D8685"/>
      <c r="E8685" s="183"/>
    </row>
    <row r="8686" spans="1:5" ht="14.25">
      <c r="A8686"/>
      <c r="B8686"/>
      <c r="C8686"/>
      <c r="D8686"/>
      <c r="E8686" s="183"/>
    </row>
    <row r="8687" spans="1:5" ht="14.25">
      <c r="A8687"/>
      <c r="B8687"/>
      <c r="C8687"/>
      <c r="D8687"/>
      <c r="E8687" s="183"/>
    </row>
    <row r="8688" spans="1:5" ht="14.25">
      <c r="A8688"/>
      <c r="B8688"/>
      <c r="C8688"/>
      <c r="D8688"/>
      <c r="E8688" s="183"/>
    </row>
    <row r="8689" spans="1:5" ht="14.25">
      <c r="A8689"/>
      <c r="B8689"/>
      <c r="C8689"/>
      <c r="D8689"/>
      <c r="E8689" s="183"/>
    </row>
    <row r="8690" spans="1:5" ht="14.25">
      <c r="A8690"/>
      <c r="B8690"/>
      <c r="C8690"/>
      <c r="D8690"/>
      <c r="E8690" s="183"/>
    </row>
    <row r="8691" spans="1:5" ht="14.25">
      <c r="A8691"/>
      <c r="B8691"/>
      <c r="C8691"/>
      <c r="D8691"/>
      <c r="E8691" s="183"/>
    </row>
    <row r="8692" spans="1:5" ht="14.25">
      <c r="A8692"/>
      <c r="B8692"/>
      <c r="C8692"/>
      <c r="D8692"/>
      <c r="E8692" s="183"/>
    </row>
    <row r="8693" spans="1:5" ht="14.25">
      <c r="A8693"/>
      <c r="B8693"/>
      <c r="C8693"/>
      <c r="D8693"/>
      <c r="E8693" s="183"/>
    </row>
    <row r="8694" spans="1:5" ht="14.25">
      <c r="A8694"/>
      <c r="B8694"/>
      <c r="C8694"/>
      <c r="D8694"/>
      <c r="E8694" s="183"/>
    </row>
    <row r="8695" spans="1:5" ht="14.25">
      <c r="A8695"/>
      <c r="B8695"/>
      <c r="C8695"/>
      <c r="D8695"/>
      <c r="E8695" s="183"/>
    </row>
    <row r="8696" spans="1:5" ht="14.25">
      <c r="A8696"/>
      <c r="B8696"/>
      <c r="C8696"/>
      <c r="D8696"/>
      <c r="E8696" s="183"/>
    </row>
    <row r="8697" spans="1:5" ht="14.25">
      <c r="A8697"/>
      <c r="B8697"/>
      <c r="C8697"/>
      <c r="D8697"/>
      <c r="E8697" s="183"/>
    </row>
    <row r="8698" spans="1:5" ht="14.25">
      <c r="A8698"/>
      <c r="B8698"/>
      <c r="C8698"/>
      <c r="D8698"/>
      <c r="E8698" s="183"/>
    </row>
    <row r="8699" spans="1:5" ht="14.25">
      <c r="A8699"/>
      <c r="B8699"/>
      <c r="C8699"/>
      <c r="D8699"/>
      <c r="E8699" s="183"/>
    </row>
    <row r="8700" spans="1:5" ht="14.25">
      <c r="A8700"/>
      <c r="B8700"/>
      <c r="C8700"/>
      <c r="D8700"/>
      <c r="E8700" s="183"/>
    </row>
    <row r="8701" spans="1:5" ht="14.25">
      <c r="A8701"/>
      <c r="B8701"/>
      <c r="C8701"/>
      <c r="D8701"/>
      <c r="E8701" s="183"/>
    </row>
    <row r="8702" spans="1:5" ht="14.25">
      <c r="A8702"/>
      <c r="B8702"/>
      <c r="C8702"/>
      <c r="D8702"/>
      <c r="E8702" s="183"/>
    </row>
    <row r="8703" spans="1:5" ht="14.25">
      <c r="A8703"/>
      <c r="B8703"/>
      <c r="C8703"/>
      <c r="D8703"/>
      <c r="E8703" s="183"/>
    </row>
    <row r="8704" spans="1:5" ht="14.25">
      <c r="A8704"/>
      <c r="B8704"/>
      <c r="C8704"/>
      <c r="D8704"/>
      <c r="E8704" s="183"/>
    </row>
    <row r="8705" spans="1:5" ht="14.25">
      <c r="A8705"/>
      <c r="B8705"/>
      <c r="C8705"/>
      <c r="D8705"/>
      <c r="E8705" s="183"/>
    </row>
    <row r="8706" spans="1:5" ht="14.25">
      <c r="A8706"/>
      <c r="B8706"/>
      <c r="C8706"/>
      <c r="D8706"/>
      <c r="E8706" s="183"/>
    </row>
    <row r="8707" spans="1:5" ht="14.25">
      <c r="A8707"/>
      <c r="B8707"/>
      <c r="C8707"/>
      <c r="D8707"/>
      <c r="E8707" s="183"/>
    </row>
    <row r="8708" spans="1:5" ht="14.25">
      <c r="A8708"/>
      <c r="B8708"/>
      <c r="C8708"/>
      <c r="D8708"/>
      <c r="E8708" s="183"/>
    </row>
    <row r="8709" spans="1:5" ht="14.25">
      <c r="A8709"/>
      <c r="B8709"/>
      <c r="C8709"/>
      <c r="D8709"/>
      <c r="E8709" s="183"/>
    </row>
    <row r="8710" spans="1:5" ht="14.25">
      <c r="A8710"/>
      <c r="B8710"/>
      <c r="C8710"/>
      <c r="D8710"/>
      <c r="E8710" s="183"/>
    </row>
    <row r="8711" spans="1:5" ht="14.25">
      <c r="A8711"/>
      <c r="B8711"/>
      <c r="C8711"/>
      <c r="D8711"/>
      <c r="E8711" s="183"/>
    </row>
    <row r="8712" spans="1:5" ht="14.25">
      <c r="A8712"/>
      <c r="B8712"/>
      <c r="C8712"/>
      <c r="D8712"/>
      <c r="E8712" s="183"/>
    </row>
    <row r="8713" spans="1:5" ht="14.25">
      <c r="A8713"/>
      <c r="B8713"/>
      <c r="C8713"/>
      <c r="D8713"/>
      <c r="E8713" s="183"/>
    </row>
    <row r="8714" spans="1:5" ht="14.25">
      <c r="A8714"/>
      <c r="B8714"/>
      <c r="C8714"/>
      <c r="D8714"/>
      <c r="E8714" s="183"/>
    </row>
    <row r="8715" spans="1:5" ht="14.25">
      <c r="A8715"/>
      <c r="B8715"/>
      <c r="C8715"/>
      <c r="D8715"/>
      <c r="E8715" s="184"/>
    </row>
    <row r="8716" spans="1:5" ht="14.25">
      <c r="A8716"/>
      <c r="B8716"/>
      <c r="C8716"/>
      <c r="D8716"/>
      <c r="E8716" s="184"/>
    </row>
    <row r="8717" spans="1:5" ht="14.25">
      <c r="A8717"/>
      <c r="B8717"/>
      <c r="C8717"/>
      <c r="D8717"/>
      <c r="E8717" s="184"/>
    </row>
    <row r="8718" spans="1:5" ht="14.25">
      <c r="A8718"/>
      <c r="B8718"/>
      <c r="C8718"/>
      <c r="D8718"/>
      <c r="E8718" s="184"/>
    </row>
    <row r="8719" spans="1:5" ht="14.25">
      <c r="A8719"/>
      <c r="B8719"/>
      <c r="C8719"/>
      <c r="D8719"/>
      <c r="E8719" s="184"/>
    </row>
    <row r="8720" spans="1:5" ht="14.25">
      <c r="A8720"/>
      <c r="B8720"/>
      <c r="C8720"/>
      <c r="D8720"/>
      <c r="E8720" s="184"/>
    </row>
    <row r="8721" spans="1:5" ht="14.25">
      <c r="A8721"/>
      <c r="B8721"/>
      <c r="C8721"/>
      <c r="D8721"/>
      <c r="E8721" s="184"/>
    </row>
    <row r="8722" spans="1:5" ht="14.25">
      <c r="A8722"/>
      <c r="B8722"/>
      <c r="C8722"/>
      <c r="D8722"/>
      <c r="E8722" s="184"/>
    </row>
    <row r="8723" spans="1:5" ht="14.25">
      <c r="A8723"/>
      <c r="B8723"/>
      <c r="C8723"/>
      <c r="D8723"/>
      <c r="E8723" s="184"/>
    </row>
    <row r="8724" spans="1:5" ht="14.25">
      <c r="A8724"/>
      <c r="B8724"/>
      <c r="C8724"/>
      <c r="D8724"/>
      <c r="E8724" s="184"/>
    </row>
    <row r="8725" spans="1:5" ht="14.25">
      <c r="A8725"/>
      <c r="B8725"/>
      <c r="C8725"/>
      <c r="D8725"/>
      <c r="E8725" s="184"/>
    </row>
    <row r="8726" spans="1:5" ht="14.25">
      <c r="A8726"/>
      <c r="B8726"/>
      <c r="C8726"/>
      <c r="D8726"/>
      <c r="E8726" s="184"/>
    </row>
    <row r="8727" spans="1:5" ht="14.25">
      <c r="A8727"/>
      <c r="B8727"/>
      <c r="C8727"/>
      <c r="D8727"/>
      <c r="E8727" s="183"/>
    </row>
    <row r="8728" spans="1:5" ht="14.25">
      <c r="A8728"/>
      <c r="B8728"/>
      <c r="C8728"/>
      <c r="D8728"/>
      <c r="E8728" s="183"/>
    </row>
    <row r="8729" spans="1:5" ht="14.25">
      <c r="A8729"/>
      <c r="B8729"/>
      <c r="C8729"/>
      <c r="D8729"/>
      <c r="E8729" s="184"/>
    </row>
    <row r="8730" spans="1:5" ht="14.25">
      <c r="A8730"/>
      <c r="B8730"/>
      <c r="C8730"/>
      <c r="D8730"/>
      <c r="E8730" s="184"/>
    </row>
    <row r="8731" spans="1:5" ht="14.25">
      <c r="A8731"/>
      <c r="B8731"/>
      <c r="C8731"/>
      <c r="D8731"/>
      <c r="E8731" s="184"/>
    </row>
    <row r="8732" spans="1:5" ht="14.25">
      <c r="A8732"/>
      <c r="B8732"/>
      <c r="C8732"/>
      <c r="D8732"/>
      <c r="E8732" s="184"/>
    </row>
    <row r="8733" spans="1:5" ht="14.25">
      <c r="A8733"/>
      <c r="B8733"/>
      <c r="C8733"/>
      <c r="D8733"/>
      <c r="E8733" s="184"/>
    </row>
    <row r="8734" spans="1:5" ht="14.25">
      <c r="A8734"/>
      <c r="B8734"/>
      <c r="C8734"/>
      <c r="D8734"/>
      <c r="E8734" s="184"/>
    </row>
    <row r="8735" spans="1:5" ht="14.25">
      <c r="A8735"/>
      <c r="B8735"/>
      <c r="C8735"/>
      <c r="D8735"/>
      <c r="E8735" s="184"/>
    </row>
    <row r="8736" spans="1:5" ht="14.25">
      <c r="A8736"/>
      <c r="B8736"/>
      <c r="C8736"/>
      <c r="D8736"/>
      <c r="E8736" s="184"/>
    </row>
    <row r="8737" spans="1:5" ht="14.25">
      <c r="A8737"/>
      <c r="B8737"/>
      <c r="C8737"/>
      <c r="D8737"/>
      <c r="E8737" s="184"/>
    </row>
    <row r="8738" spans="1:5" ht="14.25">
      <c r="A8738"/>
      <c r="B8738"/>
      <c r="C8738"/>
      <c r="D8738"/>
      <c r="E8738" s="184"/>
    </row>
    <row r="8739" spans="1:5" ht="14.25">
      <c r="A8739"/>
      <c r="B8739"/>
      <c r="C8739"/>
      <c r="D8739"/>
      <c r="E8739" s="184"/>
    </row>
    <row r="8740" spans="1:5" ht="14.25">
      <c r="A8740"/>
      <c r="B8740"/>
      <c r="C8740"/>
      <c r="D8740"/>
      <c r="E8740" s="184"/>
    </row>
    <row r="8741" spans="1:5" ht="14.25">
      <c r="A8741"/>
      <c r="B8741"/>
      <c r="C8741"/>
      <c r="D8741"/>
      <c r="E8741" s="184"/>
    </row>
    <row r="8742" spans="1:5" ht="14.25">
      <c r="A8742"/>
      <c r="B8742"/>
      <c r="C8742"/>
      <c r="D8742"/>
      <c r="E8742" s="184"/>
    </row>
    <row r="8743" spans="1:5" ht="14.25">
      <c r="A8743"/>
      <c r="B8743"/>
      <c r="C8743"/>
      <c r="D8743"/>
      <c r="E8743" s="184"/>
    </row>
    <row r="8744" spans="1:5" ht="14.25">
      <c r="A8744"/>
      <c r="B8744"/>
      <c r="C8744"/>
      <c r="D8744"/>
      <c r="E8744" s="183"/>
    </row>
    <row r="8745" spans="1:5" ht="14.25">
      <c r="A8745"/>
      <c r="B8745"/>
      <c r="C8745"/>
      <c r="D8745"/>
      <c r="E8745" s="183"/>
    </row>
    <row r="8746" spans="1:5" ht="14.25">
      <c r="A8746"/>
      <c r="B8746"/>
      <c r="C8746"/>
      <c r="D8746"/>
      <c r="E8746" s="183"/>
    </row>
    <row r="8747" spans="1:5" ht="14.25">
      <c r="A8747"/>
      <c r="B8747"/>
      <c r="C8747"/>
      <c r="D8747"/>
      <c r="E8747" s="183"/>
    </row>
    <row r="8748" spans="1:5" ht="14.25">
      <c r="A8748"/>
      <c r="B8748"/>
      <c r="C8748"/>
      <c r="D8748"/>
      <c r="E8748" s="183"/>
    </row>
    <row r="8749" spans="1:5" ht="14.25">
      <c r="A8749"/>
      <c r="B8749"/>
      <c r="C8749"/>
      <c r="D8749"/>
      <c r="E8749" s="183"/>
    </row>
    <row r="8750" spans="1:5" ht="14.25">
      <c r="A8750"/>
      <c r="B8750"/>
      <c r="C8750"/>
      <c r="D8750"/>
      <c r="E8750" s="183"/>
    </row>
    <row r="8751" spans="1:5" ht="14.25">
      <c r="A8751"/>
      <c r="B8751"/>
      <c r="C8751"/>
      <c r="D8751"/>
      <c r="E8751" s="183"/>
    </row>
    <row r="8752" spans="1:5" ht="14.25">
      <c r="A8752"/>
      <c r="B8752"/>
      <c r="C8752"/>
      <c r="D8752"/>
      <c r="E8752" s="183"/>
    </row>
    <row r="8753" spans="1:5" ht="14.25">
      <c r="A8753"/>
      <c r="B8753"/>
      <c r="C8753"/>
      <c r="D8753"/>
      <c r="E8753" s="183"/>
    </row>
    <row r="8754" spans="1:5" ht="14.25">
      <c r="A8754"/>
      <c r="B8754"/>
      <c r="C8754"/>
      <c r="D8754"/>
      <c r="E8754" s="183"/>
    </row>
    <row r="8755" spans="1:5" ht="14.25">
      <c r="A8755"/>
      <c r="B8755"/>
      <c r="C8755"/>
      <c r="D8755"/>
      <c r="E8755" s="183"/>
    </row>
    <row r="8756" spans="1:5" ht="14.25">
      <c r="A8756"/>
      <c r="B8756"/>
      <c r="C8756"/>
      <c r="D8756"/>
      <c r="E8756" s="183"/>
    </row>
    <row r="8757" spans="1:5" ht="14.25">
      <c r="A8757"/>
      <c r="B8757"/>
      <c r="C8757"/>
      <c r="D8757"/>
      <c r="E8757" s="183"/>
    </row>
    <row r="8758" spans="1:5" ht="14.25">
      <c r="A8758"/>
      <c r="B8758"/>
      <c r="C8758"/>
      <c r="D8758"/>
      <c r="E8758" s="183"/>
    </row>
    <row r="8759" spans="1:5" ht="14.25">
      <c r="A8759"/>
      <c r="B8759"/>
      <c r="C8759"/>
      <c r="D8759"/>
      <c r="E8759" s="183"/>
    </row>
    <row r="8760" spans="1:5" ht="14.25">
      <c r="A8760"/>
      <c r="B8760"/>
      <c r="C8760"/>
      <c r="D8760"/>
      <c r="E8760" s="183"/>
    </row>
    <row r="8761" spans="1:5" ht="14.25">
      <c r="A8761"/>
      <c r="B8761"/>
      <c r="C8761"/>
      <c r="D8761"/>
      <c r="E8761" s="183"/>
    </row>
    <row r="8762" spans="1:5" ht="14.25">
      <c r="A8762"/>
      <c r="B8762"/>
      <c r="C8762"/>
      <c r="D8762"/>
      <c r="E8762" s="183"/>
    </row>
    <row r="8763" spans="1:5" ht="14.25">
      <c r="A8763"/>
      <c r="B8763"/>
      <c r="C8763"/>
      <c r="D8763"/>
      <c r="E8763" s="183"/>
    </row>
    <row r="8764" spans="1:5" ht="14.25">
      <c r="A8764"/>
      <c r="B8764"/>
      <c r="C8764"/>
      <c r="D8764"/>
      <c r="E8764" s="184"/>
    </row>
    <row r="8765" spans="1:5" ht="14.25">
      <c r="A8765"/>
      <c r="B8765"/>
      <c r="C8765"/>
      <c r="D8765"/>
      <c r="E8765" s="183"/>
    </row>
    <row r="8766" spans="1:5" ht="14.25">
      <c r="A8766"/>
      <c r="B8766"/>
      <c r="C8766"/>
      <c r="D8766"/>
      <c r="E8766" s="183"/>
    </row>
    <row r="8767" spans="1:5" ht="14.25">
      <c r="A8767"/>
      <c r="B8767"/>
      <c r="C8767"/>
      <c r="D8767"/>
      <c r="E8767" s="184"/>
    </row>
    <row r="8768" spans="1:5" ht="14.25">
      <c r="A8768"/>
      <c r="B8768"/>
      <c r="C8768"/>
      <c r="D8768"/>
      <c r="E8768" s="184"/>
    </row>
    <row r="8769" spans="1:5" ht="14.25">
      <c r="A8769"/>
      <c r="B8769"/>
      <c r="C8769"/>
      <c r="D8769"/>
      <c r="E8769" s="183"/>
    </row>
    <row r="8770" spans="1:5" ht="14.25">
      <c r="A8770"/>
      <c r="B8770"/>
      <c r="C8770"/>
      <c r="D8770"/>
      <c r="E8770" s="183"/>
    </row>
    <row r="8771" spans="1:5" ht="14.25">
      <c r="A8771"/>
      <c r="B8771"/>
      <c r="C8771"/>
      <c r="D8771"/>
      <c r="E8771" s="183"/>
    </row>
    <row r="8772" spans="1:5" ht="14.25">
      <c r="A8772"/>
      <c r="B8772"/>
      <c r="C8772"/>
      <c r="D8772"/>
      <c r="E8772" s="183"/>
    </row>
    <row r="8773" spans="1:5" ht="14.25">
      <c r="A8773"/>
      <c r="B8773"/>
      <c r="C8773"/>
      <c r="D8773"/>
      <c r="E8773" s="183"/>
    </row>
    <row r="8774" spans="1:5" ht="14.25">
      <c r="A8774"/>
      <c r="B8774"/>
      <c r="C8774"/>
      <c r="D8774"/>
      <c r="E8774" s="183"/>
    </row>
    <row r="8775" spans="1:5" ht="14.25">
      <c r="A8775"/>
      <c r="B8775"/>
      <c r="C8775"/>
      <c r="D8775"/>
      <c r="E8775" s="184"/>
    </row>
    <row r="8776" spans="1:5" ht="14.25">
      <c r="A8776"/>
      <c r="B8776"/>
      <c r="C8776"/>
      <c r="D8776"/>
      <c r="E8776" s="183"/>
    </row>
    <row r="8777" spans="1:5" ht="14.25">
      <c r="A8777"/>
      <c r="B8777"/>
      <c r="C8777"/>
      <c r="D8777"/>
      <c r="E8777" s="184"/>
    </row>
    <row r="8778" spans="1:5" ht="14.25">
      <c r="A8778"/>
      <c r="B8778"/>
      <c r="C8778"/>
      <c r="D8778"/>
      <c r="E8778" s="183"/>
    </row>
    <row r="8779" spans="1:5" ht="14.25">
      <c r="A8779"/>
      <c r="B8779"/>
      <c r="C8779"/>
      <c r="D8779"/>
      <c r="E8779" s="183"/>
    </row>
    <row r="8780" spans="1:5" ht="14.25">
      <c r="A8780"/>
      <c r="B8780"/>
      <c r="C8780"/>
      <c r="D8780"/>
      <c r="E8780" s="184"/>
    </row>
    <row r="8781" spans="1:5" ht="14.25">
      <c r="A8781"/>
      <c r="B8781"/>
      <c r="C8781"/>
      <c r="D8781"/>
      <c r="E8781" s="183"/>
    </row>
    <row r="8782" spans="1:5" ht="14.25">
      <c r="A8782"/>
      <c r="B8782"/>
      <c r="C8782"/>
      <c r="D8782"/>
      <c r="E8782" s="183"/>
    </row>
    <row r="8783" spans="1:5" ht="14.25">
      <c r="A8783"/>
      <c r="B8783"/>
      <c r="C8783"/>
      <c r="D8783"/>
      <c r="E8783" s="183"/>
    </row>
    <row r="8784" spans="1:5" ht="14.25">
      <c r="A8784"/>
      <c r="B8784"/>
      <c r="C8784"/>
      <c r="D8784"/>
      <c r="E8784" s="183"/>
    </row>
    <row r="8785" spans="1:5" ht="14.25">
      <c r="A8785"/>
      <c r="B8785"/>
      <c r="C8785"/>
      <c r="D8785"/>
      <c r="E8785" s="183"/>
    </row>
    <row r="8786" spans="1:5" ht="14.25">
      <c r="A8786"/>
      <c r="B8786"/>
      <c r="C8786"/>
      <c r="D8786"/>
      <c r="E8786" s="183"/>
    </row>
    <row r="8787" spans="1:5" ht="14.25">
      <c r="A8787"/>
      <c r="B8787"/>
      <c r="C8787"/>
      <c r="D8787"/>
      <c r="E8787" s="183"/>
    </row>
    <row r="8788" spans="1:5" ht="14.25">
      <c r="A8788"/>
      <c r="B8788"/>
      <c r="C8788"/>
      <c r="D8788"/>
      <c r="E8788" s="183"/>
    </row>
    <row r="8789" spans="1:5" ht="14.25">
      <c r="A8789"/>
      <c r="B8789"/>
      <c r="C8789"/>
      <c r="D8789"/>
      <c r="E8789" s="183"/>
    </row>
    <row r="8790" spans="1:5" ht="14.25">
      <c r="A8790"/>
      <c r="B8790"/>
      <c r="C8790"/>
      <c r="D8790"/>
      <c r="E8790" s="183"/>
    </row>
    <row r="8791" spans="1:5" ht="14.25">
      <c r="A8791"/>
      <c r="B8791"/>
      <c r="C8791"/>
      <c r="D8791"/>
      <c r="E8791" s="183"/>
    </row>
    <row r="8792" spans="1:5" ht="14.25">
      <c r="A8792"/>
      <c r="B8792"/>
      <c r="C8792"/>
      <c r="D8792"/>
      <c r="E8792" s="183"/>
    </row>
    <row r="8793" spans="1:5" ht="14.25">
      <c r="A8793"/>
      <c r="B8793"/>
      <c r="C8793"/>
      <c r="D8793"/>
      <c r="E8793" s="183"/>
    </row>
    <row r="8794" spans="1:5" ht="14.25">
      <c r="A8794"/>
      <c r="B8794"/>
      <c r="C8794"/>
      <c r="D8794"/>
      <c r="E8794" s="183"/>
    </row>
    <row r="8795" spans="1:5" ht="14.25">
      <c r="A8795"/>
      <c r="B8795"/>
      <c r="C8795"/>
      <c r="D8795"/>
      <c r="E8795" s="183"/>
    </row>
    <row r="8796" spans="1:5" ht="14.25">
      <c r="A8796"/>
      <c r="B8796"/>
      <c r="C8796"/>
      <c r="D8796"/>
      <c r="E8796" s="183"/>
    </row>
    <row r="8797" spans="1:5" ht="14.25">
      <c r="A8797"/>
      <c r="B8797"/>
      <c r="C8797"/>
      <c r="D8797"/>
      <c r="E8797" s="183"/>
    </row>
    <row r="8798" spans="1:5" ht="14.25">
      <c r="A8798"/>
      <c r="B8798"/>
      <c r="C8798"/>
      <c r="D8798"/>
      <c r="E8798" s="183"/>
    </row>
    <row r="8799" spans="1:5" ht="14.25">
      <c r="A8799"/>
      <c r="B8799"/>
      <c r="C8799"/>
      <c r="D8799"/>
      <c r="E8799" s="183"/>
    </row>
    <row r="8800" spans="1:5" ht="14.25">
      <c r="A8800"/>
      <c r="B8800"/>
      <c r="C8800"/>
      <c r="D8800"/>
      <c r="E8800" s="183"/>
    </row>
    <row r="8801" spans="1:5" ht="14.25">
      <c r="A8801"/>
      <c r="B8801"/>
      <c r="C8801"/>
      <c r="D8801"/>
      <c r="E8801" s="183"/>
    </row>
    <row r="8802" spans="1:5" ht="14.25">
      <c r="A8802"/>
      <c r="B8802"/>
      <c r="C8802"/>
      <c r="D8802"/>
      <c r="E8802" s="183"/>
    </row>
    <row r="8803" spans="1:5" ht="14.25">
      <c r="A8803"/>
      <c r="B8803"/>
      <c r="C8803"/>
      <c r="D8803"/>
      <c r="E8803" s="183"/>
    </row>
    <row r="8804" spans="1:5" ht="14.25">
      <c r="A8804"/>
      <c r="B8804"/>
      <c r="C8804"/>
      <c r="D8804"/>
      <c r="E8804" s="183"/>
    </row>
    <row r="8805" spans="1:5" ht="14.25">
      <c r="A8805"/>
      <c r="B8805"/>
      <c r="C8805"/>
      <c r="D8805"/>
      <c r="E8805" s="183"/>
    </row>
    <row r="8806" spans="1:5" ht="14.25">
      <c r="A8806"/>
      <c r="B8806"/>
      <c r="C8806"/>
      <c r="D8806"/>
      <c r="E8806" s="183"/>
    </row>
    <row r="8807" spans="1:5" ht="14.25">
      <c r="A8807"/>
      <c r="B8807"/>
      <c r="C8807"/>
      <c r="D8807"/>
      <c r="E8807" s="183"/>
    </row>
    <row r="8808" spans="1:5" ht="14.25">
      <c r="A8808"/>
      <c r="B8808"/>
      <c r="C8808"/>
      <c r="D8808"/>
      <c r="E8808" s="183"/>
    </row>
    <row r="8809" spans="1:5" ht="14.25">
      <c r="A8809"/>
      <c r="B8809"/>
      <c r="C8809"/>
      <c r="D8809"/>
      <c r="E8809" s="184"/>
    </row>
    <row r="8810" spans="1:5" ht="14.25">
      <c r="A8810"/>
      <c r="B8810"/>
      <c r="C8810"/>
      <c r="D8810"/>
      <c r="E8810" s="183"/>
    </row>
    <row r="8811" spans="1:5" ht="14.25">
      <c r="A8811"/>
      <c r="B8811"/>
      <c r="C8811"/>
      <c r="D8811"/>
      <c r="E8811" s="184"/>
    </row>
    <row r="8812" spans="1:5" ht="14.25">
      <c r="A8812"/>
      <c r="B8812"/>
      <c r="C8812"/>
      <c r="D8812"/>
      <c r="E8812" s="184"/>
    </row>
    <row r="8813" spans="1:5" ht="14.25">
      <c r="A8813"/>
      <c r="B8813"/>
      <c r="C8813"/>
      <c r="D8813"/>
      <c r="E8813" s="183"/>
    </row>
    <row r="8814" spans="1:5" ht="14.25">
      <c r="A8814"/>
      <c r="B8814"/>
      <c r="C8814"/>
      <c r="D8814"/>
      <c r="E8814" s="183"/>
    </row>
    <row r="8815" spans="1:5" ht="14.25">
      <c r="A8815"/>
      <c r="B8815"/>
      <c r="C8815"/>
      <c r="D8815"/>
      <c r="E8815" s="184"/>
    </row>
    <row r="8816" spans="1:5" ht="14.25">
      <c r="A8816"/>
      <c r="B8816"/>
      <c r="C8816"/>
      <c r="D8816"/>
      <c r="E8816" s="183"/>
    </row>
    <row r="8817" spans="1:5" ht="14.25">
      <c r="A8817"/>
      <c r="B8817"/>
      <c r="C8817"/>
      <c r="D8817"/>
      <c r="E8817" s="183"/>
    </row>
    <row r="8818" spans="1:5" ht="14.25">
      <c r="A8818"/>
      <c r="B8818"/>
      <c r="C8818"/>
      <c r="D8818"/>
      <c r="E8818" s="183"/>
    </row>
    <row r="8819" spans="1:5" ht="14.25">
      <c r="A8819"/>
      <c r="B8819"/>
      <c r="C8819"/>
      <c r="D8819"/>
      <c r="E8819" s="183"/>
    </row>
    <row r="8820" spans="1:5" ht="14.25">
      <c r="A8820"/>
      <c r="B8820"/>
      <c r="C8820"/>
      <c r="D8820"/>
      <c r="E8820" s="183"/>
    </row>
    <row r="8821" spans="1:5" ht="14.25">
      <c r="A8821"/>
      <c r="B8821"/>
      <c r="C8821"/>
      <c r="D8821"/>
      <c r="E8821" s="183"/>
    </row>
    <row r="8822" spans="1:5" ht="14.25">
      <c r="A8822"/>
      <c r="B8822"/>
      <c r="C8822"/>
      <c r="D8822"/>
      <c r="E8822" s="183"/>
    </row>
    <row r="8823" spans="1:5" ht="14.25">
      <c r="A8823"/>
      <c r="B8823"/>
      <c r="C8823"/>
      <c r="D8823"/>
      <c r="E8823" s="183"/>
    </row>
    <row r="8824" spans="1:5" ht="14.25">
      <c r="A8824"/>
      <c r="B8824"/>
      <c r="C8824"/>
      <c r="D8824"/>
      <c r="E8824" s="183"/>
    </row>
    <row r="8825" spans="1:5" ht="14.25">
      <c r="A8825"/>
      <c r="B8825"/>
      <c r="C8825"/>
      <c r="D8825"/>
      <c r="E8825" s="183"/>
    </row>
    <row r="8826" spans="1:5" ht="14.25">
      <c r="A8826"/>
      <c r="B8826"/>
      <c r="C8826"/>
      <c r="D8826"/>
      <c r="E8826" s="183"/>
    </row>
    <row r="8827" spans="1:5" ht="14.25">
      <c r="A8827"/>
      <c r="B8827"/>
      <c r="C8827"/>
      <c r="D8827"/>
      <c r="E8827" s="183"/>
    </row>
    <row r="8828" spans="1:5" ht="14.25">
      <c r="A8828"/>
      <c r="B8828"/>
      <c r="C8828"/>
      <c r="D8828"/>
      <c r="E8828" s="183"/>
    </row>
    <row r="8829" spans="1:5" ht="14.25">
      <c r="A8829"/>
      <c r="B8829"/>
      <c r="C8829"/>
      <c r="D8829"/>
      <c r="E8829" s="183"/>
    </row>
    <row r="8830" spans="1:5" ht="14.25">
      <c r="A8830"/>
      <c r="B8830"/>
      <c r="C8830"/>
      <c r="D8830"/>
      <c r="E8830" s="183"/>
    </row>
    <row r="8831" spans="1:5" ht="14.25">
      <c r="A8831"/>
      <c r="B8831"/>
      <c r="C8831"/>
      <c r="D8831"/>
      <c r="E8831" s="183"/>
    </row>
    <row r="8832" spans="1:5" ht="14.25">
      <c r="A8832"/>
      <c r="B8832"/>
      <c r="C8832"/>
      <c r="D8832"/>
      <c r="E8832" s="183"/>
    </row>
    <row r="8833" spans="1:5" ht="14.25">
      <c r="A8833"/>
      <c r="B8833"/>
      <c r="C8833"/>
      <c r="D8833"/>
      <c r="E8833" s="183"/>
    </row>
    <row r="8834" spans="1:5" ht="14.25">
      <c r="A8834"/>
      <c r="B8834"/>
      <c r="C8834"/>
      <c r="D8834"/>
      <c r="E8834" s="183"/>
    </row>
    <row r="8835" spans="1:5" ht="14.25">
      <c r="A8835"/>
      <c r="B8835"/>
      <c r="C8835"/>
      <c r="D8835"/>
      <c r="E8835" s="183"/>
    </row>
    <row r="8836" spans="1:5" ht="14.25">
      <c r="A8836"/>
      <c r="B8836"/>
      <c r="C8836"/>
      <c r="D8836"/>
      <c r="E8836" s="183"/>
    </row>
    <row r="8837" spans="1:5" ht="14.25">
      <c r="A8837"/>
      <c r="B8837"/>
      <c r="C8837"/>
      <c r="D8837"/>
      <c r="E8837" s="183"/>
    </row>
    <row r="8838" spans="1:5" ht="14.25">
      <c r="A8838"/>
      <c r="B8838"/>
      <c r="C8838"/>
      <c r="D8838"/>
      <c r="E8838" s="183"/>
    </row>
    <row r="8839" spans="1:5" ht="14.25">
      <c r="A8839"/>
      <c r="B8839"/>
      <c r="C8839"/>
      <c r="D8839"/>
      <c r="E8839" s="183"/>
    </row>
    <row r="8840" spans="1:5" ht="14.25">
      <c r="A8840"/>
      <c r="B8840"/>
      <c r="C8840"/>
      <c r="D8840"/>
      <c r="E8840" s="183"/>
    </row>
    <row r="8841" spans="1:5" ht="14.25">
      <c r="A8841"/>
      <c r="B8841"/>
      <c r="C8841"/>
      <c r="D8841"/>
      <c r="E8841" s="183"/>
    </row>
    <row r="8842" spans="1:5" ht="14.25">
      <c r="A8842"/>
      <c r="B8842"/>
      <c r="C8842"/>
      <c r="D8842"/>
      <c r="E8842" s="183"/>
    </row>
    <row r="8843" spans="1:5" ht="14.25">
      <c r="A8843"/>
      <c r="B8843"/>
      <c r="C8843"/>
      <c r="D8843"/>
      <c r="E8843" s="183"/>
    </row>
    <row r="8844" spans="1:5" ht="14.25">
      <c r="A8844"/>
      <c r="B8844"/>
      <c r="C8844"/>
      <c r="D8844"/>
      <c r="E8844" s="183"/>
    </row>
    <row r="8845" spans="1:5" ht="14.25">
      <c r="A8845"/>
      <c r="B8845"/>
      <c r="C8845"/>
      <c r="D8845"/>
      <c r="E8845" s="183"/>
    </row>
    <row r="8846" spans="1:5" ht="14.25">
      <c r="A8846"/>
      <c r="B8846"/>
      <c r="C8846"/>
      <c r="D8846"/>
      <c r="E8846" s="183"/>
    </row>
    <row r="8847" spans="1:5" ht="14.25">
      <c r="A8847"/>
      <c r="B8847"/>
      <c r="C8847"/>
      <c r="D8847"/>
      <c r="E8847" s="183"/>
    </row>
    <row r="8848" spans="1:5" ht="14.25">
      <c r="A8848"/>
      <c r="B8848"/>
      <c r="C8848"/>
      <c r="D8848"/>
      <c r="E8848" s="183"/>
    </row>
    <row r="8849" spans="1:5" ht="14.25">
      <c r="A8849"/>
      <c r="B8849"/>
      <c r="C8849"/>
      <c r="D8849"/>
      <c r="E8849" s="183"/>
    </row>
    <row r="8850" spans="1:5" ht="14.25">
      <c r="A8850"/>
      <c r="B8850"/>
      <c r="C8850"/>
      <c r="D8850"/>
      <c r="E8850" s="183"/>
    </row>
    <row r="8851" spans="1:5" ht="14.25">
      <c r="A8851"/>
      <c r="B8851"/>
      <c r="C8851"/>
      <c r="D8851"/>
      <c r="E8851" s="183"/>
    </row>
    <row r="8852" spans="1:5" ht="14.25">
      <c r="A8852"/>
      <c r="B8852"/>
      <c r="C8852"/>
      <c r="D8852"/>
      <c r="E8852" s="183"/>
    </row>
    <row r="8853" spans="1:5" ht="14.25">
      <c r="A8853"/>
      <c r="B8853"/>
      <c r="C8853"/>
      <c r="D8853"/>
      <c r="E8853" s="183"/>
    </row>
    <row r="8854" spans="1:5" ht="14.25">
      <c r="A8854"/>
      <c r="B8854"/>
      <c r="C8854"/>
      <c r="D8854"/>
      <c r="E8854" s="183"/>
    </row>
    <row r="8855" spans="1:5" ht="14.25">
      <c r="A8855"/>
      <c r="B8855"/>
      <c r="C8855"/>
      <c r="D8855"/>
      <c r="E8855" s="183"/>
    </row>
    <row r="8856" spans="1:5" ht="14.25">
      <c r="A8856"/>
      <c r="B8856"/>
      <c r="C8856"/>
      <c r="D8856"/>
      <c r="E8856" s="183"/>
    </row>
    <row r="8857" spans="1:5" ht="14.25">
      <c r="A8857"/>
      <c r="B8857"/>
      <c r="C8857"/>
      <c r="D8857"/>
      <c r="E8857" s="183"/>
    </row>
    <row r="8858" spans="1:5" ht="14.25">
      <c r="A8858"/>
      <c r="B8858"/>
      <c r="C8858"/>
      <c r="D8858"/>
      <c r="E8858" s="183"/>
    </row>
    <row r="8859" spans="1:5" ht="14.25">
      <c r="A8859"/>
      <c r="B8859"/>
      <c r="C8859"/>
      <c r="D8859"/>
      <c r="E8859" s="183"/>
    </row>
    <row r="8860" spans="1:5" ht="14.25">
      <c r="A8860"/>
      <c r="B8860"/>
      <c r="C8860"/>
      <c r="D8860"/>
      <c r="E8860" s="183"/>
    </row>
    <row r="8861" spans="1:5" ht="14.25">
      <c r="A8861"/>
      <c r="B8861"/>
      <c r="C8861"/>
      <c r="D8861"/>
      <c r="E8861" s="183"/>
    </row>
    <row r="8862" spans="1:5" ht="14.25">
      <c r="A8862"/>
      <c r="B8862"/>
      <c r="C8862"/>
      <c r="D8862"/>
      <c r="E8862" s="183"/>
    </row>
    <row r="8863" spans="1:5" ht="14.25">
      <c r="A8863"/>
      <c r="B8863"/>
      <c r="C8863"/>
      <c r="D8863"/>
      <c r="E8863" s="183"/>
    </row>
    <row r="8864" spans="1:5" ht="14.25">
      <c r="A8864"/>
      <c r="B8864"/>
      <c r="C8864"/>
      <c r="D8864"/>
      <c r="E8864" s="183"/>
    </row>
    <row r="8865" spans="1:5" ht="14.25">
      <c r="A8865"/>
      <c r="B8865"/>
      <c r="C8865"/>
      <c r="D8865"/>
      <c r="E8865" s="183"/>
    </row>
    <row r="8866" spans="1:5" ht="14.25">
      <c r="A8866"/>
      <c r="B8866"/>
      <c r="C8866"/>
      <c r="D8866"/>
      <c r="E8866" s="183"/>
    </row>
    <row r="8867" spans="1:5" ht="14.25">
      <c r="A8867"/>
      <c r="B8867"/>
      <c r="C8867"/>
      <c r="D8867"/>
      <c r="E8867" s="183"/>
    </row>
    <row r="8868" spans="1:5" ht="14.25">
      <c r="A8868"/>
      <c r="B8868"/>
      <c r="C8868"/>
      <c r="D8868"/>
      <c r="E8868" s="183"/>
    </row>
    <row r="8869" spans="1:5" ht="14.25">
      <c r="A8869"/>
      <c r="B8869"/>
      <c r="C8869"/>
      <c r="D8869"/>
      <c r="E8869" s="183"/>
    </row>
    <row r="8870" spans="1:5" ht="14.25">
      <c r="A8870"/>
      <c r="B8870"/>
      <c r="C8870"/>
      <c r="D8870"/>
      <c r="E8870" s="183"/>
    </row>
    <row r="8871" spans="1:5" ht="14.25">
      <c r="A8871"/>
      <c r="B8871"/>
      <c r="C8871"/>
      <c r="D8871"/>
      <c r="E8871" s="183"/>
    </row>
    <row r="8872" spans="1:5" ht="14.25">
      <c r="A8872"/>
      <c r="B8872"/>
      <c r="C8872"/>
      <c r="D8872"/>
      <c r="E8872" s="183"/>
    </row>
    <row r="8873" spans="1:5" ht="14.25">
      <c r="A8873"/>
      <c r="B8873"/>
      <c r="C8873"/>
      <c r="D8873"/>
      <c r="E8873" s="183"/>
    </row>
    <row r="8874" spans="1:5" ht="14.25">
      <c r="A8874"/>
      <c r="B8874"/>
      <c r="C8874"/>
      <c r="D8874"/>
      <c r="E8874" s="183"/>
    </row>
    <row r="8875" spans="1:5" ht="14.25">
      <c r="A8875"/>
      <c r="B8875"/>
      <c r="C8875"/>
      <c r="D8875"/>
      <c r="E8875" s="184"/>
    </row>
    <row r="8876" spans="1:5" ht="14.25">
      <c r="A8876"/>
      <c r="B8876"/>
      <c r="C8876"/>
      <c r="D8876"/>
      <c r="E8876" s="183"/>
    </row>
    <row r="8877" spans="1:5" ht="14.25">
      <c r="A8877"/>
      <c r="B8877"/>
      <c r="C8877"/>
      <c r="D8877"/>
      <c r="E8877" s="183"/>
    </row>
    <row r="8878" spans="1:5" ht="14.25">
      <c r="A8878"/>
      <c r="B8878"/>
      <c r="C8878"/>
      <c r="D8878"/>
      <c r="E8878" s="183"/>
    </row>
    <row r="8879" spans="1:5" ht="14.25">
      <c r="A8879"/>
      <c r="B8879"/>
      <c r="C8879"/>
      <c r="D8879"/>
      <c r="E8879" s="183"/>
    </row>
    <row r="8880" spans="1:5" ht="14.25">
      <c r="A8880"/>
      <c r="B8880"/>
      <c r="C8880"/>
      <c r="D8880"/>
      <c r="E8880" s="183"/>
    </row>
    <row r="8881" spans="1:5" ht="14.25">
      <c r="A8881"/>
      <c r="B8881"/>
      <c r="C8881"/>
      <c r="D8881"/>
      <c r="E8881" s="183"/>
    </row>
    <row r="8882" spans="1:5" ht="14.25">
      <c r="A8882"/>
      <c r="B8882"/>
      <c r="C8882"/>
      <c r="D8882"/>
      <c r="E8882" s="183"/>
    </row>
    <row r="8883" spans="1:5" ht="14.25">
      <c r="A8883"/>
      <c r="B8883"/>
      <c r="C8883"/>
      <c r="D8883"/>
      <c r="E8883" s="183"/>
    </row>
    <row r="8884" spans="1:5" ht="14.25">
      <c r="A8884"/>
      <c r="B8884"/>
      <c r="C8884"/>
      <c r="D8884"/>
      <c r="E8884" s="183"/>
    </row>
    <row r="8885" spans="1:5" ht="14.25">
      <c r="A8885"/>
      <c r="B8885"/>
      <c r="C8885"/>
      <c r="D8885"/>
      <c r="E8885" s="183"/>
    </row>
    <row r="8886" spans="1:5" ht="14.25">
      <c r="A8886"/>
      <c r="B8886"/>
      <c r="C8886"/>
      <c r="D8886"/>
      <c r="E8886" s="184"/>
    </row>
    <row r="8887" spans="1:5" ht="14.25">
      <c r="A8887"/>
      <c r="B8887"/>
      <c r="C8887"/>
      <c r="D8887"/>
      <c r="E8887" s="183"/>
    </row>
    <row r="8888" spans="1:5" ht="14.25">
      <c r="A8888"/>
      <c r="B8888"/>
      <c r="C8888"/>
      <c r="D8888"/>
      <c r="E8888" s="183"/>
    </row>
    <row r="8889" spans="1:5" ht="14.25">
      <c r="A8889"/>
      <c r="B8889"/>
      <c r="C8889"/>
      <c r="D8889"/>
      <c r="E8889" s="183"/>
    </row>
    <row r="8890" spans="1:5" ht="14.25">
      <c r="A8890"/>
      <c r="B8890"/>
      <c r="C8890"/>
      <c r="D8890"/>
      <c r="E8890" s="183"/>
    </row>
    <row r="8891" spans="1:5" ht="14.25">
      <c r="A8891"/>
      <c r="B8891"/>
      <c r="C8891"/>
      <c r="D8891"/>
      <c r="E8891" s="183"/>
    </row>
    <row r="8892" spans="1:5" ht="14.25">
      <c r="A8892"/>
      <c r="B8892"/>
      <c r="C8892"/>
      <c r="D8892"/>
      <c r="E8892" s="183"/>
    </row>
    <row r="8893" spans="1:5" ht="14.25">
      <c r="A8893"/>
      <c r="B8893"/>
      <c r="C8893"/>
      <c r="D8893"/>
      <c r="E8893" s="183"/>
    </row>
    <row r="8894" spans="1:5" ht="14.25">
      <c r="A8894"/>
      <c r="B8894"/>
      <c r="C8894"/>
      <c r="D8894"/>
      <c r="E8894" s="183"/>
    </row>
    <row r="8895" spans="1:5" ht="14.25">
      <c r="A8895"/>
      <c r="B8895"/>
      <c r="C8895"/>
      <c r="D8895"/>
      <c r="E8895" s="183"/>
    </row>
    <row r="8896" spans="1:5" ht="14.25">
      <c r="A8896"/>
      <c r="B8896"/>
      <c r="C8896"/>
      <c r="D8896"/>
      <c r="E8896" s="183"/>
    </row>
    <row r="8897" spans="1:5" ht="14.25">
      <c r="A8897"/>
      <c r="B8897"/>
      <c r="C8897"/>
      <c r="D8897"/>
      <c r="E8897" s="183"/>
    </row>
    <row r="8898" spans="1:5" ht="14.25">
      <c r="A8898"/>
      <c r="B8898"/>
      <c r="C8898"/>
      <c r="D8898"/>
      <c r="E8898" s="183"/>
    </row>
    <row r="8899" spans="1:5" ht="14.25">
      <c r="A8899"/>
      <c r="B8899"/>
      <c r="C8899"/>
      <c r="D8899"/>
      <c r="E8899" s="183"/>
    </row>
    <row r="8900" spans="1:5" ht="14.25">
      <c r="A8900"/>
      <c r="B8900"/>
      <c r="C8900"/>
      <c r="D8900"/>
      <c r="E8900" s="183"/>
    </row>
    <row r="8901" spans="1:5" ht="14.25">
      <c r="A8901"/>
      <c r="B8901"/>
      <c r="C8901"/>
      <c r="D8901"/>
      <c r="E8901" s="183"/>
    </row>
    <row r="8902" spans="1:5" ht="14.25">
      <c r="A8902"/>
      <c r="B8902"/>
      <c r="C8902"/>
      <c r="D8902"/>
      <c r="E8902" s="183"/>
    </row>
    <row r="8903" spans="1:5" ht="14.25">
      <c r="A8903"/>
      <c r="B8903"/>
      <c r="C8903"/>
      <c r="D8903"/>
      <c r="E8903" s="183"/>
    </row>
    <row r="8904" spans="1:5" ht="14.25">
      <c r="A8904"/>
      <c r="B8904"/>
      <c r="C8904"/>
      <c r="D8904"/>
      <c r="E8904" s="183"/>
    </row>
    <row r="8905" spans="1:5" ht="14.25">
      <c r="A8905"/>
      <c r="B8905"/>
      <c r="C8905"/>
      <c r="D8905"/>
      <c r="E8905" s="183"/>
    </row>
    <row r="8906" spans="1:5" ht="14.25">
      <c r="A8906"/>
      <c r="B8906"/>
      <c r="C8906"/>
      <c r="D8906"/>
      <c r="E8906" s="183"/>
    </row>
    <row r="8907" spans="1:5" ht="14.25">
      <c r="A8907"/>
      <c r="B8907"/>
      <c r="C8907"/>
      <c r="D8907"/>
      <c r="E8907" s="183"/>
    </row>
    <row r="8908" spans="1:5" ht="14.25">
      <c r="A8908"/>
      <c r="B8908"/>
      <c r="C8908"/>
      <c r="D8908"/>
      <c r="E8908" s="183"/>
    </row>
    <row r="8909" spans="1:5" ht="14.25">
      <c r="A8909"/>
      <c r="B8909"/>
      <c r="C8909"/>
      <c r="D8909"/>
      <c r="E8909" s="183"/>
    </row>
    <row r="8910" spans="1:5" ht="14.25">
      <c r="A8910"/>
      <c r="B8910"/>
      <c r="C8910"/>
      <c r="D8910"/>
      <c r="E8910" s="183"/>
    </row>
    <row r="8911" spans="1:5" ht="14.25">
      <c r="A8911"/>
      <c r="B8911"/>
      <c r="C8911"/>
      <c r="D8911"/>
      <c r="E8911" s="183"/>
    </row>
    <row r="8912" spans="1:5" ht="14.25">
      <c r="A8912"/>
      <c r="B8912"/>
      <c r="C8912"/>
      <c r="D8912"/>
      <c r="E8912" s="183"/>
    </row>
    <row r="8913" spans="1:5" ht="14.25">
      <c r="A8913"/>
      <c r="B8913"/>
      <c r="C8913"/>
      <c r="D8913"/>
      <c r="E8913" s="183"/>
    </row>
    <row r="8914" spans="1:5" ht="14.25">
      <c r="A8914"/>
      <c r="B8914"/>
      <c r="C8914"/>
      <c r="D8914"/>
      <c r="E8914" s="183"/>
    </row>
    <row r="8915" spans="1:5" ht="14.25">
      <c r="A8915"/>
      <c r="B8915"/>
      <c r="C8915"/>
      <c r="D8915"/>
      <c r="E8915" s="183"/>
    </row>
    <row r="8916" spans="1:5" ht="14.25">
      <c r="A8916"/>
      <c r="B8916"/>
      <c r="C8916"/>
      <c r="D8916"/>
      <c r="E8916" s="183"/>
    </row>
    <row r="8917" spans="1:5" ht="14.25">
      <c r="A8917"/>
      <c r="B8917"/>
      <c r="C8917"/>
      <c r="D8917"/>
      <c r="E8917" s="183"/>
    </row>
    <row r="8918" spans="1:5" ht="14.25">
      <c r="A8918"/>
      <c r="B8918"/>
      <c r="C8918"/>
      <c r="D8918"/>
      <c r="E8918" s="183"/>
    </row>
    <row r="8919" spans="1:5" ht="14.25">
      <c r="A8919"/>
      <c r="B8919"/>
      <c r="C8919"/>
      <c r="D8919"/>
      <c r="E8919" s="183"/>
    </row>
    <row r="8920" spans="1:5" ht="14.25">
      <c r="A8920"/>
      <c r="B8920"/>
      <c r="C8920"/>
      <c r="D8920"/>
      <c r="E8920" s="183"/>
    </row>
    <row r="8921" spans="1:5" ht="14.25">
      <c r="A8921"/>
      <c r="B8921"/>
      <c r="C8921"/>
      <c r="D8921"/>
      <c r="E8921" s="183"/>
    </row>
    <row r="8922" spans="1:5" ht="14.25">
      <c r="A8922"/>
      <c r="B8922"/>
      <c r="C8922"/>
      <c r="D8922"/>
      <c r="E8922" s="183"/>
    </row>
    <row r="8923" spans="1:5" ht="14.25">
      <c r="A8923"/>
      <c r="B8923"/>
      <c r="C8923"/>
      <c r="D8923"/>
      <c r="E8923" s="183"/>
    </row>
    <row r="8924" spans="1:5" ht="14.25">
      <c r="A8924"/>
      <c r="B8924"/>
      <c r="C8924"/>
      <c r="D8924"/>
      <c r="E8924" s="183"/>
    </row>
    <row r="8925" spans="1:5" ht="14.25">
      <c r="A8925"/>
      <c r="B8925"/>
      <c r="C8925"/>
      <c r="D8925"/>
      <c r="E8925" s="183"/>
    </row>
    <row r="8926" spans="1:5" ht="14.25">
      <c r="A8926"/>
      <c r="B8926"/>
      <c r="C8926"/>
      <c r="D8926"/>
      <c r="E8926" s="183"/>
    </row>
    <row r="8927" spans="1:5" ht="14.25">
      <c r="A8927"/>
      <c r="B8927"/>
      <c r="C8927"/>
      <c r="D8927"/>
      <c r="E8927" s="183"/>
    </row>
    <row r="8928" spans="1:5" ht="14.25">
      <c r="A8928"/>
      <c r="B8928"/>
      <c r="C8928"/>
      <c r="D8928"/>
      <c r="E8928" s="183"/>
    </row>
    <row r="8929" spans="1:5" ht="14.25">
      <c r="A8929"/>
      <c r="B8929"/>
      <c r="C8929"/>
      <c r="D8929"/>
      <c r="E8929" s="183"/>
    </row>
    <row r="8930" spans="1:5" ht="14.25">
      <c r="A8930"/>
      <c r="B8930"/>
      <c r="C8930"/>
      <c r="D8930"/>
      <c r="E8930" s="183"/>
    </row>
    <row r="8931" spans="1:5" ht="14.25">
      <c r="A8931"/>
      <c r="B8931"/>
      <c r="C8931"/>
      <c r="D8931"/>
      <c r="E8931" s="183"/>
    </row>
    <row r="8932" spans="1:5" ht="14.25">
      <c r="A8932"/>
      <c r="B8932"/>
      <c r="C8932"/>
      <c r="D8932"/>
      <c r="E8932" s="183"/>
    </row>
    <row r="8933" spans="1:5" ht="14.25">
      <c r="A8933"/>
      <c r="B8933"/>
      <c r="C8933"/>
      <c r="D8933"/>
      <c r="E8933" s="183"/>
    </row>
    <row r="8934" spans="1:5" ht="14.25">
      <c r="A8934"/>
      <c r="B8934"/>
      <c r="C8934"/>
      <c r="D8934"/>
      <c r="E8934" s="183"/>
    </row>
    <row r="8935" spans="1:5" ht="14.25">
      <c r="A8935"/>
      <c r="B8935"/>
      <c r="C8935"/>
      <c r="D8935"/>
      <c r="E8935" s="183"/>
    </row>
    <row r="8936" spans="1:5" ht="14.25">
      <c r="A8936"/>
      <c r="B8936"/>
      <c r="C8936"/>
      <c r="D8936"/>
      <c r="E8936" s="183"/>
    </row>
    <row r="8937" spans="1:5" ht="14.25">
      <c r="A8937"/>
      <c r="B8937"/>
      <c r="C8937"/>
      <c r="D8937"/>
      <c r="E8937" s="183"/>
    </row>
    <row r="8938" spans="1:5" ht="14.25">
      <c r="A8938"/>
      <c r="B8938"/>
      <c r="C8938"/>
      <c r="D8938"/>
      <c r="E8938" s="183"/>
    </row>
    <row r="8939" spans="1:5" ht="14.25">
      <c r="A8939"/>
      <c r="B8939"/>
      <c r="C8939"/>
      <c r="D8939"/>
      <c r="E8939" s="183"/>
    </row>
    <row r="8940" spans="1:5" ht="14.25">
      <c r="A8940"/>
      <c r="B8940"/>
      <c r="C8940"/>
      <c r="D8940"/>
      <c r="E8940" s="183"/>
    </row>
    <row r="8941" spans="1:5" ht="14.25">
      <c r="A8941"/>
      <c r="B8941"/>
      <c r="C8941"/>
      <c r="D8941"/>
      <c r="E8941" s="183"/>
    </row>
    <row r="8942" spans="1:5" ht="14.25">
      <c r="A8942"/>
      <c r="B8942"/>
      <c r="C8942"/>
      <c r="D8942"/>
      <c r="E8942" s="183"/>
    </row>
    <row r="8943" spans="1:5" ht="14.25">
      <c r="A8943"/>
      <c r="B8943"/>
      <c r="C8943"/>
      <c r="D8943"/>
      <c r="E8943" s="183"/>
    </row>
    <row r="8944" spans="1:5" ht="14.25">
      <c r="A8944"/>
      <c r="B8944"/>
      <c r="C8944"/>
      <c r="D8944"/>
      <c r="E8944" s="183"/>
    </row>
    <row r="8945" spans="1:5" ht="14.25">
      <c r="A8945"/>
      <c r="B8945"/>
      <c r="C8945"/>
      <c r="D8945"/>
      <c r="E8945" s="183"/>
    </row>
    <row r="8946" spans="1:5" ht="14.25">
      <c r="A8946"/>
      <c r="B8946"/>
      <c r="C8946"/>
      <c r="D8946"/>
      <c r="E8946" s="183"/>
    </row>
    <row r="8947" spans="1:5" ht="14.25">
      <c r="A8947"/>
      <c r="B8947"/>
      <c r="C8947"/>
      <c r="D8947"/>
      <c r="E8947" s="183"/>
    </row>
    <row r="8948" spans="1:5" ht="14.25">
      <c r="A8948"/>
      <c r="B8948"/>
      <c r="C8948"/>
      <c r="D8948"/>
      <c r="E8948" s="183"/>
    </row>
    <row r="8949" spans="1:5" ht="14.25">
      <c r="A8949"/>
      <c r="B8949"/>
      <c r="C8949"/>
      <c r="D8949"/>
      <c r="E8949" s="183"/>
    </row>
    <row r="8950" spans="1:5" ht="14.25">
      <c r="A8950"/>
      <c r="B8950"/>
      <c r="C8950"/>
      <c r="D8950"/>
      <c r="E8950" s="183"/>
    </row>
    <row r="8951" spans="1:5" ht="14.25">
      <c r="A8951"/>
      <c r="B8951"/>
      <c r="C8951"/>
      <c r="D8951"/>
      <c r="E8951" s="183"/>
    </row>
    <row r="8952" spans="1:5" ht="14.25">
      <c r="A8952"/>
      <c r="B8952"/>
      <c r="C8952"/>
      <c r="D8952"/>
      <c r="E8952" s="183"/>
    </row>
    <row r="8953" spans="1:5" ht="14.25">
      <c r="A8953"/>
      <c r="B8953"/>
      <c r="C8953"/>
      <c r="D8953"/>
      <c r="E8953" s="183"/>
    </row>
    <row r="8954" spans="1:5" ht="14.25">
      <c r="A8954"/>
      <c r="B8954"/>
      <c r="C8954"/>
      <c r="D8954"/>
      <c r="E8954" s="184"/>
    </row>
    <row r="8955" spans="1:5" ht="14.25">
      <c r="A8955"/>
      <c r="B8955"/>
      <c r="C8955"/>
      <c r="D8955"/>
      <c r="E8955" s="183"/>
    </row>
    <row r="8956" spans="1:5" ht="14.25">
      <c r="A8956"/>
      <c r="B8956"/>
      <c r="C8956"/>
      <c r="D8956"/>
      <c r="E8956" s="184"/>
    </row>
    <row r="8957" spans="1:5" ht="14.25">
      <c r="A8957"/>
      <c r="B8957"/>
      <c r="C8957"/>
      <c r="D8957"/>
      <c r="E8957" s="184"/>
    </row>
    <row r="8958" spans="1:5" ht="14.25">
      <c r="A8958"/>
      <c r="B8958"/>
      <c r="C8958"/>
      <c r="D8958"/>
      <c r="E8958" s="183"/>
    </row>
    <row r="8959" spans="1:5" ht="14.25">
      <c r="A8959"/>
      <c r="B8959"/>
      <c r="C8959"/>
      <c r="D8959"/>
      <c r="E8959" s="184"/>
    </row>
    <row r="8960" spans="1:5" ht="14.25">
      <c r="A8960"/>
      <c r="B8960"/>
      <c r="C8960"/>
      <c r="D8960"/>
      <c r="E8960" s="184"/>
    </row>
    <row r="8961" spans="1:5" ht="14.25">
      <c r="A8961"/>
      <c r="B8961"/>
      <c r="C8961"/>
      <c r="D8961"/>
      <c r="E8961" s="183"/>
    </row>
    <row r="8962" spans="1:5" ht="14.25">
      <c r="A8962"/>
      <c r="B8962"/>
      <c r="C8962"/>
      <c r="D8962"/>
      <c r="E8962" s="184"/>
    </row>
    <row r="8963" spans="1:5" ht="14.25">
      <c r="A8963"/>
      <c r="B8963"/>
      <c r="C8963"/>
      <c r="D8963"/>
      <c r="E8963" s="184"/>
    </row>
    <row r="8964" spans="1:5" ht="14.25">
      <c r="A8964"/>
      <c r="B8964"/>
      <c r="C8964"/>
      <c r="D8964"/>
      <c r="E8964" s="183"/>
    </row>
    <row r="8965" spans="1:5" ht="14.25">
      <c r="A8965"/>
      <c r="B8965"/>
      <c r="C8965"/>
      <c r="D8965"/>
      <c r="E8965" s="184"/>
    </row>
    <row r="8966" spans="1:5" ht="14.25">
      <c r="A8966"/>
      <c r="B8966"/>
      <c r="C8966"/>
      <c r="D8966"/>
      <c r="E8966" s="184"/>
    </row>
    <row r="8967" spans="1:5" ht="14.25">
      <c r="A8967"/>
      <c r="B8967"/>
      <c r="C8967"/>
      <c r="D8967"/>
      <c r="E8967" s="184"/>
    </row>
    <row r="8968" spans="1:5" ht="14.25">
      <c r="A8968"/>
      <c r="B8968"/>
      <c r="C8968"/>
      <c r="D8968"/>
      <c r="E8968" s="183"/>
    </row>
    <row r="8969" spans="1:5" ht="14.25">
      <c r="A8969"/>
      <c r="B8969"/>
      <c r="C8969"/>
      <c r="D8969"/>
      <c r="E8969" s="184"/>
    </row>
    <row r="8970" spans="1:5" ht="14.25">
      <c r="A8970"/>
      <c r="B8970"/>
      <c r="C8970"/>
      <c r="D8970"/>
      <c r="E8970" s="183"/>
    </row>
    <row r="8971" spans="1:5" ht="14.25">
      <c r="A8971"/>
      <c r="B8971"/>
      <c r="C8971"/>
      <c r="D8971"/>
      <c r="E8971" s="183"/>
    </row>
    <row r="8972" spans="1:5" ht="14.25">
      <c r="A8972"/>
      <c r="B8972"/>
      <c r="C8972"/>
      <c r="D8972"/>
      <c r="E8972" s="183"/>
    </row>
    <row r="8973" spans="1:5" ht="14.25">
      <c r="A8973"/>
      <c r="B8973"/>
      <c r="C8973"/>
      <c r="D8973"/>
      <c r="E8973" s="183"/>
    </row>
    <row r="8974" spans="1:5" ht="14.25">
      <c r="A8974"/>
      <c r="B8974"/>
      <c r="C8974"/>
      <c r="D8974"/>
      <c r="E8974" s="184"/>
    </row>
    <row r="8975" spans="1:5" ht="14.25">
      <c r="A8975"/>
      <c r="B8975"/>
      <c r="C8975"/>
      <c r="D8975"/>
      <c r="E8975" s="184"/>
    </row>
    <row r="8976" spans="1:5" ht="14.25">
      <c r="A8976"/>
      <c r="B8976"/>
      <c r="C8976"/>
      <c r="D8976"/>
      <c r="E8976" s="184"/>
    </row>
    <row r="8977" spans="1:5" ht="14.25">
      <c r="A8977"/>
      <c r="B8977"/>
      <c r="C8977"/>
      <c r="D8977"/>
      <c r="E8977" s="184"/>
    </row>
    <row r="8978" spans="1:5" ht="14.25">
      <c r="A8978"/>
      <c r="B8978"/>
      <c r="C8978"/>
      <c r="D8978"/>
      <c r="E8978" s="184"/>
    </row>
    <row r="8979" spans="1:5" ht="14.25">
      <c r="A8979"/>
      <c r="B8979"/>
      <c r="C8979"/>
      <c r="D8979"/>
      <c r="E8979" s="184"/>
    </row>
    <row r="8980" spans="1:5" ht="14.25">
      <c r="A8980"/>
      <c r="B8980"/>
      <c r="C8980"/>
      <c r="D8980"/>
      <c r="E8980" s="184"/>
    </row>
    <row r="8981" spans="1:5" ht="14.25">
      <c r="A8981"/>
      <c r="B8981"/>
      <c r="C8981"/>
      <c r="D8981"/>
      <c r="E8981" s="183"/>
    </row>
    <row r="8982" spans="1:5" ht="14.25">
      <c r="A8982"/>
      <c r="B8982"/>
      <c r="C8982"/>
      <c r="D8982"/>
      <c r="E8982" s="183"/>
    </row>
    <row r="8983" spans="1:5" ht="14.25">
      <c r="A8983"/>
      <c r="B8983"/>
      <c r="C8983"/>
      <c r="D8983"/>
      <c r="E8983" s="183"/>
    </row>
    <row r="8984" spans="1:5" ht="14.25">
      <c r="A8984"/>
      <c r="B8984"/>
      <c r="C8984"/>
      <c r="D8984"/>
      <c r="E8984" s="183"/>
    </row>
    <row r="8985" spans="1:5" ht="14.25">
      <c r="A8985"/>
      <c r="B8985"/>
      <c r="C8985"/>
      <c r="D8985"/>
      <c r="E8985" s="183"/>
    </row>
    <row r="8986" spans="1:5" ht="14.25">
      <c r="A8986"/>
      <c r="B8986"/>
      <c r="C8986"/>
      <c r="D8986"/>
      <c r="E8986" s="183"/>
    </row>
    <row r="8987" spans="1:5" ht="14.25">
      <c r="A8987"/>
      <c r="B8987"/>
      <c r="C8987"/>
      <c r="D8987"/>
      <c r="E8987" s="183"/>
    </row>
    <row r="8988" spans="1:5" ht="14.25">
      <c r="A8988"/>
      <c r="B8988"/>
      <c r="C8988"/>
      <c r="D8988"/>
      <c r="E8988" s="183"/>
    </row>
    <row r="8989" spans="1:5" ht="14.25">
      <c r="A8989"/>
      <c r="B8989"/>
      <c r="C8989"/>
      <c r="D8989"/>
      <c r="E8989" s="183"/>
    </row>
    <row r="8990" spans="1:5" ht="14.25">
      <c r="A8990"/>
      <c r="B8990"/>
      <c r="C8990"/>
      <c r="D8990"/>
      <c r="E8990" s="183"/>
    </row>
    <row r="8991" spans="1:5" ht="14.25">
      <c r="A8991"/>
      <c r="B8991"/>
      <c r="C8991"/>
      <c r="D8991"/>
      <c r="E8991" s="183"/>
    </row>
    <row r="8992" spans="1:5" ht="14.25">
      <c r="A8992"/>
      <c r="B8992"/>
      <c r="C8992"/>
      <c r="D8992"/>
      <c r="E8992" s="183"/>
    </row>
    <row r="8993" spans="1:5" ht="14.25">
      <c r="A8993"/>
      <c r="B8993"/>
      <c r="C8993"/>
      <c r="D8993"/>
      <c r="E8993" s="183"/>
    </row>
    <row r="8994" spans="1:5" ht="14.25">
      <c r="A8994"/>
      <c r="B8994"/>
      <c r="C8994"/>
      <c r="D8994"/>
      <c r="E8994" s="183"/>
    </row>
    <row r="8995" spans="1:5" ht="14.25">
      <c r="A8995"/>
      <c r="B8995"/>
      <c r="C8995"/>
      <c r="D8995"/>
      <c r="E8995" s="183"/>
    </row>
    <row r="8996" spans="1:5" ht="14.25">
      <c r="A8996"/>
      <c r="B8996"/>
      <c r="C8996"/>
      <c r="D8996"/>
      <c r="E8996" s="183"/>
    </row>
    <row r="8997" spans="1:5" ht="14.25">
      <c r="A8997"/>
      <c r="B8997"/>
      <c r="C8997"/>
      <c r="D8997"/>
      <c r="E8997" s="183"/>
    </row>
    <row r="8998" spans="1:5" ht="14.25">
      <c r="A8998"/>
      <c r="B8998"/>
      <c r="C8998"/>
      <c r="D8998"/>
      <c r="E8998" s="183"/>
    </row>
    <row r="8999" spans="1:5" ht="14.25">
      <c r="A8999"/>
      <c r="B8999"/>
      <c r="C8999"/>
      <c r="D8999"/>
      <c r="E8999" s="183"/>
    </row>
    <row r="9000" spans="1:5" ht="14.25">
      <c r="A9000"/>
      <c r="B9000"/>
      <c r="C9000"/>
      <c r="D9000"/>
      <c r="E9000" s="183"/>
    </row>
    <row r="9001" spans="1:5" ht="14.25">
      <c r="A9001"/>
      <c r="B9001"/>
      <c r="C9001"/>
      <c r="D9001"/>
      <c r="E9001" s="183"/>
    </row>
    <row r="9002" spans="1:5" ht="14.25">
      <c r="A9002"/>
      <c r="B9002"/>
      <c r="C9002"/>
      <c r="D9002"/>
      <c r="E9002" s="183"/>
    </row>
    <row r="9003" spans="1:5" ht="14.25">
      <c r="A9003"/>
      <c r="B9003"/>
      <c r="C9003"/>
      <c r="D9003"/>
      <c r="E9003" s="183"/>
    </row>
    <row r="9004" spans="1:5" ht="14.25">
      <c r="A9004"/>
      <c r="B9004"/>
      <c r="C9004"/>
      <c r="D9004"/>
      <c r="E9004" s="183"/>
    </row>
    <row r="9005" spans="1:5" ht="14.25">
      <c r="A9005"/>
      <c r="B9005"/>
      <c r="C9005"/>
      <c r="D9005"/>
      <c r="E9005" s="183"/>
    </row>
    <row r="9006" spans="1:5" ht="14.25">
      <c r="A9006"/>
      <c r="B9006"/>
      <c r="C9006"/>
      <c r="D9006"/>
      <c r="E9006" s="183"/>
    </row>
    <row r="9007" spans="1:5" ht="14.25">
      <c r="A9007"/>
      <c r="B9007"/>
      <c r="C9007"/>
      <c r="D9007"/>
      <c r="E9007" s="183"/>
    </row>
    <row r="9008" spans="1:5" ht="14.25">
      <c r="A9008"/>
      <c r="B9008"/>
      <c r="C9008"/>
      <c r="D9008"/>
      <c r="E9008" s="183"/>
    </row>
    <row r="9009" spans="1:5" ht="14.25">
      <c r="A9009"/>
      <c r="B9009"/>
      <c r="C9009"/>
      <c r="D9009"/>
      <c r="E9009" s="183"/>
    </row>
    <row r="9010" spans="1:5" ht="14.25">
      <c r="A9010"/>
      <c r="B9010"/>
      <c r="C9010"/>
      <c r="D9010"/>
      <c r="E9010" s="183"/>
    </row>
    <row r="9011" spans="1:5" ht="14.25">
      <c r="A9011"/>
      <c r="B9011"/>
      <c r="C9011"/>
      <c r="D9011"/>
      <c r="E9011" s="183"/>
    </row>
    <row r="9012" spans="1:5" ht="14.25">
      <c r="A9012"/>
      <c r="B9012"/>
      <c r="C9012"/>
      <c r="D9012"/>
      <c r="E9012" s="183"/>
    </row>
    <row r="9013" spans="1:5" ht="14.25">
      <c r="A9013"/>
      <c r="B9013"/>
      <c r="C9013"/>
      <c r="D9013"/>
      <c r="E9013" s="183"/>
    </row>
    <row r="9014" spans="1:5" ht="14.25">
      <c r="A9014"/>
      <c r="B9014"/>
      <c r="C9014"/>
      <c r="D9014"/>
      <c r="E9014" s="183"/>
    </row>
    <row r="9015" spans="1:5" ht="14.25">
      <c r="A9015"/>
      <c r="B9015"/>
      <c r="C9015"/>
      <c r="D9015"/>
      <c r="E9015" s="183"/>
    </row>
    <row r="9016" spans="1:5" ht="14.25">
      <c r="A9016"/>
      <c r="B9016"/>
      <c r="C9016"/>
      <c r="D9016"/>
      <c r="E9016" s="183"/>
    </row>
    <row r="9017" spans="1:5" ht="14.25">
      <c r="A9017"/>
      <c r="B9017"/>
      <c r="C9017"/>
      <c r="D9017"/>
      <c r="E9017" s="183"/>
    </row>
    <row r="9018" spans="1:5" ht="14.25">
      <c r="A9018"/>
      <c r="B9018"/>
      <c r="C9018"/>
      <c r="D9018"/>
      <c r="E9018" s="183"/>
    </row>
    <row r="9019" spans="1:5" ht="14.25">
      <c r="A9019"/>
      <c r="B9019"/>
      <c r="C9019"/>
      <c r="D9019"/>
      <c r="E9019" s="183"/>
    </row>
    <row r="9020" spans="1:5" ht="14.25">
      <c r="A9020"/>
      <c r="B9020"/>
      <c r="C9020"/>
      <c r="D9020"/>
      <c r="E9020" s="183"/>
    </row>
    <row r="9021" spans="1:5" ht="14.25">
      <c r="A9021"/>
      <c r="B9021"/>
      <c r="C9021"/>
      <c r="D9021"/>
      <c r="E9021" s="183"/>
    </row>
    <row r="9022" spans="1:5" ht="14.25">
      <c r="A9022"/>
      <c r="B9022"/>
      <c r="C9022"/>
      <c r="D9022"/>
      <c r="E9022" s="183"/>
    </row>
    <row r="9023" spans="1:5" ht="14.25">
      <c r="A9023"/>
      <c r="B9023"/>
      <c r="C9023"/>
      <c r="D9023"/>
      <c r="E9023" s="183"/>
    </row>
    <row r="9024" spans="1:5" ht="14.25">
      <c r="A9024"/>
      <c r="B9024"/>
      <c r="C9024"/>
      <c r="D9024"/>
      <c r="E9024" s="183"/>
    </row>
    <row r="9025" spans="1:5" ht="14.25">
      <c r="A9025"/>
      <c r="B9025"/>
      <c r="C9025"/>
      <c r="D9025"/>
      <c r="E9025" s="183"/>
    </row>
    <row r="9026" spans="1:5" ht="14.25">
      <c r="A9026"/>
      <c r="B9026"/>
      <c r="C9026"/>
      <c r="D9026"/>
      <c r="E9026" s="183"/>
    </row>
    <row r="9027" spans="1:5" ht="14.25">
      <c r="A9027"/>
      <c r="B9027"/>
      <c r="C9027"/>
      <c r="D9027"/>
      <c r="E9027" s="183"/>
    </row>
    <row r="9028" spans="1:5" ht="14.25">
      <c r="A9028"/>
      <c r="B9028"/>
      <c r="C9028"/>
      <c r="D9028"/>
      <c r="E9028" s="183"/>
    </row>
    <row r="9029" spans="1:5" ht="14.25">
      <c r="A9029"/>
      <c r="B9029"/>
      <c r="C9029"/>
      <c r="D9029"/>
      <c r="E9029" s="183"/>
    </row>
    <row r="9030" spans="1:5" ht="14.25">
      <c r="A9030"/>
      <c r="B9030"/>
      <c r="C9030"/>
      <c r="D9030"/>
      <c r="E9030" s="183"/>
    </row>
    <row r="9031" spans="1:5" ht="14.25">
      <c r="A9031"/>
      <c r="B9031"/>
      <c r="C9031"/>
      <c r="D9031"/>
      <c r="E9031" s="183"/>
    </row>
    <row r="9032" spans="1:5" ht="14.25">
      <c r="A9032"/>
      <c r="B9032"/>
      <c r="C9032"/>
      <c r="D9032"/>
      <c r="E9032" s="183"/>
    </row>
    <row r="9033" spans="1:5" ht="14.25">
      <c r="A9033"/>
      <c r="B9033"/>
      <c r="C9033"/>
      <c r="D9033"/>
      <c r="E9033" s="183"/>
    </row>
    <row r="9034" spans="1:5" ht="14.25">
      <c r="A9034"/>
      <c r="B9034"/>
      <c r="C9034"/>
      <c r="D9034"/>
      <c r="E9034" s="183"/>
    </row>
    <row r="9035" spans="1:5" ht="14.25">
      <c r="A9035"/>
      <c r="B9035"/>
      <c r="C9035"/>
      <c r="D9035"/>
      <c r="E9035" s="183"/>
    </row>
    <row r="9036" spans="1:5" ht="14.25">
      <c r="A9036"/>
      <c r="B9036"/>
      <c r="C9036"/>
      <c r="D9036"/>
      <c r="E9036" s="183"/>
    </row>
    <row r="9037" spans="1:5" ht="14.25">
      <c r="A9037"/>
      <c r="B9037"/>
      <c r="C9037"/>
      <c r="D9037"/>
      <c r="E9037" s="183"/>
    </row>
    <row r="9038" spans="1:5" ht="14.25">
      <c r="A9038"/>
      <c r="B9038"/>
      <c r="C9038"/>
      <c r="D9038"/>
      <c r="E9038" s="183"/>
    </row>
    <row r="9039" spans="1:5" ht="14.25">
      <c r="A9039"/>
      <c r="B9039"/>
      <c r="C9039"/>
      <c r="D9039"/>
      <c r="E9039" s="183"/>
    </row>
    <row r="9040" spans="1:5" ht="14.25">
      <c r="A9040"/>
      <c r="B9040"/>
      <c r="C9040"/>
      <c r="D9040"/>
      <c r="E9040" s="183"/>
    </row>
    <row r="9041" spans="1:5" ht="14.25">
      <c r="A9041"/>
      <c r="B9041"/>
      <c r="C9041"/>
      <c r="D9041"/>
      <c r="E9041" s="183"/>
    </row>
    <row r="9042" spans="1:5" ht="14.25">
      <c r="A9042"/>
      <c r="B9042"/>
      <c r="C9042"/>
      <c r="D9042"/>
      <c r="E9042" s="183"/>
    </row>
    <row r="9043" spans="1:5" ht="14.25">
      <c r="A9043"/>
      <c r="B9043"/>
      <c r="C9043"/>
      <c r="D9043"/>
      <c r="E9043" s="183"/>
    </row>
    <row r="9044" spans="1:5" ht="14.25">
      <c r="A9044"/>
      <c r="B9044"/>
      <c r="C9044"/>
      <c r="D9044"/>
      <c r="E9044" s="183"/>
    </row>
    <row r="9045" spans="1:5" ht="14.25">
      <c r="A9045"/>
      <c r="B9045"/>
      <c r="C9045"/>
      <c r="D9045"/>
      <c r="E9045" s="183"/>
    </row>
    <row r="9046" spans="1:5" ht="14.25">
      <c r="A9046"/>
      <c r="B9046"/>
      <c r="C9046"/>
      <c r="D9046"/>
      <c r="E9046" s="183"/>
    </row>
    <row r="9047" spans="1:5" ht="14.25">
      <c r="A9047"/>
      <c r="B9047"/>
      <c r="C9047"/>
      <c r="D9047"/>
      <c r="E9047" s="183"/>
    </row>
    <row r="9048" spans="1:5" ht="14.25">
      <c r="A9048"/>
      <c r="B9048"/>
      <c r="C9048"/>
      <c r="D9048"/>
      <c r="E9048" s="183"/>
    </row>
    <row r="9049" spans="1:5" ht="14.25">
      <c r="A9049"/>
      <c r="B9049"/>
      <c r="C9049"/>
      <c r="D9049"/>
      <c r="E9049" s="183"/>
    </row>
    <row r="9050" spans="1:5" ht="14.25">
      <c r="A9050"/>
      <c r="B9050"/>
      <c r="C9050"/>
      <c r="D9050"/>
      <c r="E9050" s="183"/>
    </row>
    <row r="9051" spans="1:5" ht="14.25">
      <c r="A9051"/>
      <c r="B9051"/>
      <c r="C9051"/>
      <c r="D9051"/>
      <c r="E9051" s="183"/>
    </row>
    <row r="9052" spans="1:5" ht="14.25">
      <c r="A9052"/>
      <c r="B9052"/>
      <c r="C9052"/>
      <c r="D9052"/>
      <c r="E9052" s="183"/>
    </row>
    <row r="9053" spans="1:5" ht="14.25">
      <c r="A9053"/>
      <c r="B9053"/>
      <c r="C9053"/>
      <c r="D9053"/>
      <c r="E9053" s="183"/>
    </row>
    <row r="9054" spans="1:5" ht="14.25">
      <c r="A9054"/>
      <c r="B9054"/>
      <c r="C9054"/>
      <c r="D9054"/>
      <c r="E9054" s="183"/>
    </row>
    <row r="9055" spans="1:5" ht="14.25">
      <c r="A9055"/>
      <c r="B9055"/>
      <c r="C9055"/>
      <c r="D9055"/>
      <c r="E9055" s="183"/>
    </row>
    <row r="9056" spans="1:5" ht="14.25">
      <c r="A9056"/>
      <c r="B9056"/>
      <c r="C9056"/>
      <c r="D9056"/>
      <c r="E9056" s="183"/>
    </row>
    <row r="9057" spans="1:5" ht="14.25">
      <c r="A9057"/>
      <c r="B9057"/>
      <c r="C9057"/>
      <c r="D9057"/>
      <c r="E9057" s="183"/>
    </row>
    <row r="9058" spans="1:5" ht="14.25">
      <c r="A9058"/>
      <c r="B9058"/>
      <c r="C9058"/>
      <c r="D9058"/>
      <c r="E9058" s="183"/>
    </row>
    <row r="9059" spans="1:5" ht="14.25">
      <c r="A9059"/>
      <c r="B9059"/>
      <c r="C9059"/>
      <c r="D9059"/>
      <c r="E9059" s="183"/>
    </row>
    <row r="9060" spans="1:5" ht="14.25">
      <c r="A9060"/>
      <c r="B9060"/>
      <c r="C9060"/>
      <c r="D9060"/>
      <c r="E9060" s="183"/>
    </row>
    <row r="9061" spans="1:5" ht="14.25">
      <c r="A9061"/>
      <c r="B9061"/>
      <c r="C9061"/>
      <c r="D9061"/>
      <c r="E9061" s="183"/>
    </row>
    <row r="9062" spans="1:5" ht="14.25">
      <c r="A9062"/>
      <c r="B9062"/>
      <c r="C9062"/>
      <c r="D9062"/>
      <c r="E9062" s="183"/>
    </row>
    <row r="9063" spans="1:5" ht="14.25">
      <c r="A9063"/>
      <c r="B9063"/>
      <c r="C9063"/>
      <c r="D9063"/>
      <c r="E9063" s="183"/>
    </row>
    <row r="9064" spans="1:5" ht="14.25">
      <c r="A9064"/>
      <c r="B9064"/>
      <c r="C9064"/>
      <c r="D9064"/>
      <c r="E9064" s="183"/>
    </row>
    <row r="9065" spans="1:5" ht="14.25">
      <c r="A9065"/>
      <c r="B9065"/>
      <c r="C9065"/>
      <c r="D9065"/>
      <c r="E9065" s="183"/>
    </row>
    <row r="9066" spans="1:5" ht="14.25">
      <c r="A9066"/>
      <c r="B9066"/>
      <c r="C9066"/>
      <c r="D9066"/>
      <c r="E9066" s="183"/>
    </row>
    <row r="9067" spans="1:5" ht="14.25">
      <c r="A9067"/>
      <c r="B9067"/>
      <c r="C9067"/>
      <c r="D9067"/>
      <c r="E9067" s="183"/>
    </row>
    <row r="9068" spans="1:5" ht="14.25">
      <c r="A9068"/>
      <c r="B9068"/>
      <c r="C9068"/>
      <c r="D9068"/>
      <c r="E9068" s="183"/>
    </row>
    <row r="9069" spans="1:5" ht="14.25">
      <c r="A9069"/>
      <c r="B9069"/>
      <c r="C9069"/>
      <c r="D9069"/>
      <c r="E9069" s="184"/>
    </row>
    <row r="9070" spans="1:5" ht="14.25">
      <c r="A9070"/>
      <c r="B9070"/>
      <c r="C9070"/>
      <c r="D9070"/>
      <c r="E9070" s="184"/>
    </row>
    <row r="9071" spans="1:5" ht="14.25">
      <c r="A9071"/>
      <c r="B9071"/>
      <c r="C9071"/>
      <c r="D9071"/>
      <c r="E9071" s="184"/>
    </row>
    <row r="9072" spans="1:5" ht="14.25">
      <c r="A9072"/>
      <c r="B9072"/>
      <c r="C9072"/>
      <c r="D9072"/>
      <c r="E9072" s="183"/>
    </row>
    <row r="9073" spans="1:5" ht="14.25">
      <c r="A9073"/>
      <c r="B9073"/>
      <c r="C9073"/>
      <c r="D9073"/>
      <c r="E9073" s="183"/>
    </row>
    <row r="9074" spans="1:5" ht="14.25">
      <c r="A9074"/>
      <c r="B9074"/>
      <c r="C9074"/>
      <c r="D9074"/>
      <c r="E9074" s="183"/>
    </row>
    <row r="9075" spans="1:5" ht="14.25">
      <c r="A9075"/>
      <c r="B9075"/>
      <c r="C9075"/>
      <c r="D9075"/>
      <c r="E9075" s="183"/>
    </row>
    <row r="9076" spans="1:5" ht="14.25">
      <c r="A9076"/>
      <c r="B9076"/>
      <c r="C9076"/>
      <c r="D9076"/>
      <c r="E9076" s="183"/>
    </row>
    <row r="9077" spans="1:5" ht="14.25">
      <c r="A9077"/>
      <c r="B9077"/>
      <c r="C9077"/>
      <c r="D9077"/>
      <c r="E9077" s="183"/>
    </row>
    <row r="9078" spans="1:5" ht="14.25">
      <c r="A9078"/>
      <c r="B9078"/>
      <c r="C9078"/>
      <c r="D9078"/>
      <c r="E9078" s="183"/>
    </row>
    <row r="9079" spans="1:5" ht="14.25">
      <c r="A9079"/>
      <c r="B9079"/>
      <c r="C9079"/>
      <c r="D9079"/>
      <c r="E9079" s="183"/>
    </row>
    <row r="9080" spans="1:5" ht="14.25">
      <c r="A9080"/>
      <c r="B9080"/>
      <c r="C9080"/>
      <c r="D9080"/>
      <c r="E9080" s="183"/>
    </row>
    <row r="9081" spans="1:5" ht="14.25">
      <c r="A9081"/>
      <c r="B9081"/>
      <c r="C9081"/>
      <c r="D9081"/>
      <c r="E9081" s="183"/>
    </row>
    <row r="9082" spans="1:5" ht="14.25">
      <c r="A9082"/>
      <c r="B9082"/>
      <c r="C9082"/>
      <c r="D9082"/>
      <c r="E9082" s="183"/>
    </row>
    <row r="9083" spans="1:5" ht="14.25">
      <c r="A9083"/>
      <c r="B9083"/>
      <c r="C9083"/>
      <c r="D9083"/>
      <c r="E9083" s="183"/>
    </row>
    <row r="9084" spans="1:5" ht="14.25">
      <c r="A9084"/>
      <c r="B9084"/>
      <c r="C9084"/>
      <c r="D9084"/>
      <c r="E9084" s="183"/>
    </row>
    <row r="9085" spans="1:5" ht="14.25">
      <c r="A9085"/>
      <c r="B9085"/>
      <c r="C9085"/>
      <c r="D9085"/>
      <c r="E9085" s="183"/>
    </row>
    <row r="9086" spans="1:5" ht="14.25">
      <c r="A9086"/>
      <c r="B9086"/>
      <c r="C9086"/>
      <c r="D9086"/>
      <c r="E9086" s="183"/>
    </row>
    <row r="9087" spans="1:5" ht="14.25">
      <c r="A9087"/>
      <c r="B9087"/>
      <c r="C9087"/>
      <c r="D9087"/>
      <c r="E9087" s="183"/>
    </row>
    <row r="9088" spans="1:5" ht="14.25">
      <c r="A9088"/>
      <c r="B9088"/>
      <c r="C9088"/>
      <c r="D9088"/>
      <c r="E9088" s="183"/>
    </row>
    <row r="9089" spans="1:5" ht="14.25">
      <c r="A9089"/>
      <c r="B9089"/>
      <c r="C9089"/>
      <c r="D9089"/>
      <c r="E9089" s="183"/>
    </row>
    <row r="9090" spans="1:5" ht="14.25">
      <c r="A9090"/>
      <c r="B9090"/>
      <c r="C9090"/>
      <c r="D9090"/>
      <c r="E9090" s="183"/>
    </row>
    <row r="9091" spans="1:5" ht="14.25">
      <c r="A9091"/>
      <c r="B9091"/>
      <c r="C9091"/>
      <c r="D9091"/>
      <c r="E9091" s="183"/>
    </row>
    <row r="9092" spans="1:5" ht="14.25">
      <c r="A9092"/>
      <c r="B9092"/>
      <c r="C9092"/>
      <c r="D9092"/>
      <c r="E9092" s="183"/>
    </row>
    <row r="9093" spans="1:5" ht="14.25">
      <c r="A9093"/>
      <c r="B9093"/>
      <c r="C9093"/>
      <c r="D9093"/>
      <c r="E9093" s="183"/>
    </row>
    <row r="9094" spans="1:5" ht="14.25">
      <c r="A9094"/>
      <c r="B9094"/>
      <c r="C9094"/>
      <c r="D9094"/>
      <c r="E9094" s="183"/>
    </row>
    <row r="9095" spans="1:5" ht="14.25">
      <c r="A9095"/>
      <c r="B9095"/>
      <c r="C9095"/>
      <c r="D9095"/>
      <c r="E9095" s="183"/>
    </row>
    <row r="9096" spans="1:5" ht="14.25">
      <c r="A9096"/>
      <c r="B9096"/>
      <c r="C9096"/>
      <c r="D9096"/>
      <c r="E9096" s="183"/>
    </row>
    <row r="9097" spans="1:5" ht="14.25">
      <c r="A9097"/>
      <c r="B9097"/>
      <c r="C9097"/>
      <c r="D9097"/>
      <c r="E9097" s="183"/>
    </row>
    <row r="9098" spans="1:5" ht="14.25">
      <c r="A9098"/>
      <c r="B9098"/>
      <c r="C9098"/>
      <c r="D9098"/>
      <c r="E9098" s="183"/>
    </row>
    <row r="9099" spans="1:5" ht="14.25">
      <c r="A9099"/>
      <c r="B9099"/>
      <c r="C9099"/>
      <c r="D9099"/>
      <c r="E9099" s="183"/>
    </row>
    <row r="9100" spans="1:5" ht="14.25">
      <c r="A9100"/>
      <c r="B9100"/>
      <c r="C9100"/>
      <c r="D9100"/>
      <c r="E9100" s="183"/>
    </row>
    <row r="9101" spans="1:5" ht="14.25">
      <c r="A9101"/>
      <c r="B9101"/>
      <c r="C9101"/>
      <c r="D9101"/>
      <c r="E9101" s="183"/>
    </row>
    <row r="9102" spans="1:5" ht="14.25">
      <c r="A9102"/>
      <c r="B9102"/>
      <c r="C9102"/>
      <c r="D9102"/>
      <c r="E9102" s="183"/>
    </row>
    <row r="9103" spans="1:5" ht="14.25">
      <c r="A9103"/>
      <c r="B9103"/>
      <c r="C9103"/>
      <c r="D9103"/>
      <c r="E9103" s="183"/>
    </row>
    <row r="9104" spans="1:5" ht="14.25">
      <c r="A9104"/>
      <c r="B9104"/>
      <c r="C9104"/>
      <c r="D9104"/>
      <c r="E9104" s="183"/>
    </row>
    <row r="9105" spans="1:5" ht="14.25">
      <c r="A9105"/>
      <c r="B9105"/>
      <c r="C9105"/>
      <c r="D9105"/>
      <c r="E9105" s="183"/>
    </row>
    <row r="9106" spans="1:5" ht="14.25">
      <c r="A9106"/>
      <c r="B9106"/>
      <c r="C9106"/>
      <c r="D9106"/>
      <c r="E9106" s="183"/>
    </row>
    <row r="9107" spans="1:5" ht="14.25">
      <c r="A9107"/>
      <c r="B9107"/>
      <c r="C9107"/>
      <c r="D9107"/>
      <c r="E9107" s="183"/>
    </row>
    <row r="9108" spans="1:5" ht="14.25">
      <c r="A9108"/>
      <c r="B9108"/>
      <c r="C9108"/>
      <c r="D9108"/>
      <c r="E9108" s="183"/>
    </row>
    <row r="9109" spans="1:5" ht="14.25">
      <c r="A9109"/>
      <c r="B9109"/>
      <c r="C9109"/>
      <c r="D9109"/>
      <c r="E9109" s="183"/>
    </row>
    <row r="9110" spans="1:5" ht="14.25">
      <c r="A9110"/>
      <c r="B9110"/>
      <c r="C9110"/>
      <c r="D9110"/>
      <c r="E9110" s="183"/>
    </row>
    <row r="9111" spans="1:5" ht="14.25">
      <c r="A9111"/>
      <c r="B9111"/>
      <c r="C9111"/>
      <c r="D9111"/>
      <c r="E9111" s="183"/>
    </row>
    <row r="9112" spans="1:5" ht="14.25">
      <c r="A9112"/>
      <c r="B9112"/>
      <c r="C9112"/>
      <c r="D9112"/>
      <c r="E9112" s="183"/>
    </row>
    <row r="9113" spans="1:5" ht="14.25">
      <c r="A9113"/>
      <c r="B9113"/>
      <c r="C9113"/>
      <c r="D9113"/>
      <c r="E9113" s="183"/>
    </row>
    <row r="9114" spans="1:5" ht="14.25">
      <c r="A9114"/>
      <c r="B9114"/>
      <c r="C9114"/>
      <c r="D9114"/>
      <c r="E9114" s="183"/>
    </row>
    <row r="9115" spans="1:5" ht="14.25">
      <c r="A9115"/>
      <c r="B9115"/>
      <c r="C9115"/>
      <c r="D9115"/>
      <c r="E9115" s="183"/>
    </row>
    <row r="9116" spans="1:5" ht="14.25">
      <c r="A9116"/>
      <c r="B9116"/>
      <c r="C9116"/>
      <c r="D9116"/>
      <c r="E9116" s="183"/>
    </row>
    <row r="9117" spans="1:5" ht="14.25">
      <c r="A9117"/>
      <c r="B9117"/>
      <c r="C9117"/>
      <c r="D9117"/>
      <c r="E9117" s="183"/>
    </row>
    <row r="9118" spans="1:5" ht="14.25">
      <c r="A9118"/>
      <c r="B9118"/>
      <c r="C9118"/>
      <c r="D9118"/>
      <c r="E9118" s="183"/>
    </row>
    <row r="9119" spans="1:5" ht="14.25">
      <c r="A9119"/>
      <c r="B9119"/>
      <c r="C9119"/>
      <c r="D9119"/>
      <c r="E9119" s="183"/>
    </row>
    <row r="9120" spans="1:5" ht="14.25">
      <c r="A9120"/>
      <c r="B9120"/>
      <c r="C9120"/>
      <c r="D9120"/>
      <c r="E9120" s="183"/>
    </row>
    <row r="9121" spans="1:5" ht="14.25">
      <c r="A9121"/>
      <c r="B9121"/>
      <c r="C9121"/>
      <c r="D9121"/>
      <c r="E9121" s="183"/>
    </row>
    <row r="9122" spans="1:5" ht="14.25">
      <c r="A9122"/>
      <c r="B9122"/>
      <c r="C9122"/>
      <c r="D9122"/>
      <c r="E9122" s="183"/>
    </row>
    <row r="9123" spans="1:5" ht="14.25">
      <c r="A9123"/>
      <c r="B9123"/>
      <c r="C9123"/>
      <c r="D9123"/>
      <c r="E9123" s="183"/>
    </row>
    <row r="9124" spans="1:5" ht="14.25">
      <c r="A9124"/>
      <c r="B9124"/>
      <c r="C9124"/>
      <c r="D9124"/>
      <c r="E9124" s="183"/>
    </row>
    <row r="9125" spans="1:5" ht="14.25">
      <c r="A9125"/>
      <c r="B9125"/>
      <c r="C9125"/>
      <c r="D9125"/>
      <c r="E9125" s="183"/>
    </row>
    <row r="9126" spans="1:5" ht="14.25">
      <c r="A9126"/>
      <c r="B9126"/>
      <c r="C9126"/>
      <c r="D9126"/>
      <c r="E9126" s="183"/>
    </row>
    <row r="9127" spans="1:5" ht="14.25">
      <c r="A9127"/>
      <c r="B9127"/>
      <c r="C9127"/>
      <c r="D9127"/>
      <c r="E9127" s="183"/>
    </row>
    <row r="9128" spans="1:5" ht="14.25">
      <c r="A9128"/>
      <c r="B9128"/>
      <c r="C9128"/>
      <c r="D9128"/>
      <c r="E9128" s="183"/>
    </row>
    <row r="9129" spans="1:5" ht="14.25">
      <c r="A9129"/>
      <c r="B9129"/>
      <c r="C9129"/>
      <c r="D9129"/>
      <c r="E9129" s="183"/>
    </row>
    <row r="9130" spans="1:5" ht="14.25">
      <c r="A9130"/>
      <c r="B9130"/>
      <c r="C9130"/>
      <c r="D9130"/>
      <c r="E9130" s="183"/>
    </row>
    <row r="9131" spans="1:5" ht="14.25">
      <c r="A9131"/>
      <c r="B9131"/>
      <c r="C9131"/>
      <c r="D9131"/>
      <c r="E9131" s="183"/>
    </row>
    <row r="9132" spans="1:5" ht="14.25">
      <c r="A9132"/>
      <c r="B9132"/>
      <c r="C9132"/>
      <c r="D9132"/>
      <c r="E9132" s="183"/>
    </row>
    <row r="9133" spans="1:5" ht="14.25">
      <c r="A9133"/>
      <c r="B9133"/>
      <c r="C9133"/>
      <c r="D9133"/>
      <c r="E9133" s="183"/>
    </row>
    <row r="9134" spans="1:5" ht="14.25">
      <c r="A9134"/>
      <c r="B9134"/>
      <c r="C9134"/>
      <c r="D9134"/>
      <c r="E9134" s="183"/>
    </row>
    <row r="9135" spans="1:5" ht="14.25">
      <c r="A9135"/>
      <c r="B9135"/>
      <c r="C9135"/>
      <c r="D9135"/>
      <c r="E9135" s="183"/>
    </row>
    <row r="9136" spans="1:5" ht="14.25">
      <c r="A9136"/>
      <c r="B9136"/>
      <c r="C9136"/>
      <c r="D9136"/>
      <c r="E9136" s="183"/>
    </row>
    <row r="9137" spans="1:5" ht="14.25">
      <c r="A9137"/>
      <c r="B9137"/>
      <c r="C9137"/>
      <c r="D9137"/>
      <c r="E9137" s="183"/>
    </row>
    <row r="9138" spans="1:5" ht="14.25">
      <c r="A9138"/>
      <c r="B9138"/>
      <c r="C9138"/>
      <c r="D9138"/>
      <c r="E9138" s="184"/>
    </row>
    <row r="9139" spans="1:5" ht="14.25">
      <c r="A9139"/>
      <c r="B9139"/>
      <c r="C9139"/>
      <c r="D9139"/>
      <c r="E9139" s="184"/>
    </row>
    <row r="9140" spans="1:5" ht="14.25">
      <c r="A9140"/>
      <c r="B9140"/>
      <c r="C9140"/>
      <c r="D9140"/>
      <c r="E9140" s="184"/>
    </row>
    <row r="9141" spans="1:5" ht="14.25">
      <c r="A9141"/>
      <c r="B9141"/>
      <c r="C9141"/>
      <c r="D9141"/>
      <c r="E9141" s="184"/>
    </row>
    <row r="9142" spans="1:5" ht="14.25">
      <c r="A9142"/>
      <c r="B9142"/>
      <c r="C9142"/>
      <c r="D9142"/>
      <c r="E9142" s="184"/>
    </row>
    <row r="9143" spans="1:5" ht="14.25">
      <c r="A9143"/>
      <c r="B9143"/>
      <c r="C9143"/>
      <c r="D9143"/>
      <c r="E9143" s="184"/>
    </row>
    <row r="9144" spans="1:5" ht="14.25">
      <c r="A9144"/>
      <c r="B9144"/>
      <c r="C9144"/>
      <c r="D9144"/>
      <c r="E9144" s="184"/>
    </row>
    <row r="9145" spans="1:5" ht="14.25">
      <c r="A9145"/>
      <c r="B9145"/>
      <c r="C9145"/>
      <c r="D9145"/>
      <c r="E9145" s="184"/>
    </row>
    <row r="9146" spans="1:5" ht="14.25">
      <c r="A9146"/>
      <c r="B9146"/>
      <c r="C9146"/>
      <c r="D9146"/>
      <c r="E9146" s="184"/>
    </row>
    <row r="9147" spans="1:5" ht="14.25">
      <c r="A9147"/>
      <c r="B9147"/>
      <c r="C9147"/>
      <c r="D9147"/>
      <c r="E9147" s="184"/>
    </row>
    <row r="9148" spans="1:5" ht="14.25">
      <c r="A9148"/>
      <c r="B9148"/>
      <c r="C9148"/>
      <c r="D9148"/>
      <c r="E9148" s="184"/>
    </row>
    <row r="9149" spans="1:5" ht="14.25">
      <c r="A9149"/>
      <c r="B9149"/>
      <c r="C9149"/>
      <c r="D9149"/>
      <c r="E9149" s="183"/>
    </row>
    <row r="9150" spans="1:5" ht="14.25">
      <c r="A9150"/>
      <c r="B9150"/>
      <c r="C9150"/>
      <c r="D9150"/>
      <c r="E9150" s="183"/>
    </row>
    <row r="9151" spans="1:5" ht="14.25">
      <c r="A9151"/>
      <c r="B9151"/>
      <c r="C9151"/>
      <c r="D9151"/>
      <c r="E9151" s="183"/>
    </row>
    <row r="9152" spans="1:5" ht="14.25">
      <c r="A9152"/>
      <c r="B9152"/>
      <c r="C9152"/>
      <c r="D9152"/>
      <c r="E9152" s="183"/>
    </row>
    <row r="9153" spans="1:5" ht="14.25">
      <c r="A9153"/>
      <c r="B9153"/>
      <c r="C9153"/>
      <c r="D9153"/>
      <c r="E9153" s="183"/>
    </row>
    <row r="9154" spans="1:5" ht="14.25">
      <c r="A9154"/>
      <c r="B9154"/>
      <c r="C9154"/>
      <c r="D9154"/>
      <c r="E9154" s="183"/>
    </row>
    <row r="9155" spans="1:5" ht="14.25">
      <c r="A9155"/>
      <c r="B9155"/>
      <c r="C9155"/>
      <c r="D9155"/>
      <c r="E9155" s="183"/>
    </row>
    <row r="9156" spans="1:5" ht="14.25">
      <c r="A9156"/>
      <c r="B9156"/>
      <c r="C9156"/>
      <c r="D9156"/>
      <c r="E9156" s="183"/>
    </row>
    <row r="9157" spans="1:5" ht="14.25">
      <c r="A9157"/>
      <c r="B9157"/>
      <c r="C9157"/>
      <c r="D9157"/>
      <c r="E9157" s="183"/>
    </row>
    <row r="9158" spans="1:5" ht="14.25">
      <c r="A9158"/>
      <c r="B9158"/>
      <c r="C9158"/>
      <c r="D9158"/>
      <c r="E9158" s="183"/>
    </row>
    <row r="9159" spans="1:5" ht="14.25">
      <c r="A9159"/>
      <c r="B9159"/>
      <c r="C9159"/>
      <c r="D9159"/>
      <c r="E9159" s="183"/>
    </row>
    <row r="9160" spans="1:5" ht="14.25">
      <c r="A9160"/>
      <c r="B9160"/>
      <c r="C9160"/>
      <c r="D9160"/>
      <c r="E9160" s="183"/>
    </row>
    <row r="9161" spans="1:5" ht="14.25">
      <c r="A9161"/>
      <c r="B9161"/>
      <c r="C9161"/>
      <c r="D9161"/>
      <c r="E9161" s="183"/>
    </row>
    <row r="9162" spans="1:5" ht="14.25">
      <c r="A9162"/>
      <c r="B9162"/>
      <c r="C9162"/>
      <c r="D9162"/>
      <c r="E9162" s="183"/>
    </row>
    <row r="9163" spans="1:5" ht="14.25">
      <c r="A9163"/>
      <c r="B9163"/>
      <c r="C9163"/>
      <c r="D9163"/>
      <c r="E9163" s="183"/>
    </row>
    <row r="9164" spans="1:5" ht="14.25">
      <c r="A9164"/>
      <c r="B9164"/>
      <c r="C9164"/>
      <c r="D9164"/>
      <c r="E9164" s="183"/>
    </row>
    <row r="9165" spans="1:5" ht="14.25">
      <c r="A9165"/>
      <c r="B9165"/>
      <c r="C9165"/>
      <c r="D9165"/>
      <c r="E9165" s="183"/>
    </row>
    <row r="9166" spans="1:5" ht="14.25">
      <c r="A9166"/>
      <c r="B9166"/>
      <c r="C9166"/>
      <c r="D9166"/>
      <c r="E9166" s="183"/>
    </row>
    <row r="9167" spans="1:5" ht="14.25">
      <c r="A9167"/>
      <c r="B9167"/>
      <c r="C9167"/>
      <c r="D9167"/>
      <c r="E9167" s="183"/>
    </row>
    <row r="9168" spans="1:5" ht="14.25">
      <c r="A9168"/>
      <c r="B9168"/>
      <c r="C9168"/>
      <c r="D9168"/>
      <c r="E9168" s="183"/>
    </row>
    <row r="9169" spans="1:5" ht="14.25">
      <c r="A9169"/>
      <c r="B9169"/>
      <c r="C9169"/>
      <c r="D9169"/>
      <c r="E9169" s="183"/>
    </row>
    <row r="9170" spans="1:5" ht="14.25">
      <c r="A9170"/>
      <c r="B9170"/>
      <c r="C9170"/>
      <c r="D9170"/>
      <c r="E9170" s="183"/>
    </row>
    <row r="9171" spans="1:5" ht="14.25">
      <c r="A9171"/>
      <c r="B9171"/>
      <c r="C9171"/>
      <c r="D9171"/>
      <c r="E9171" s="183"/>
    </row>
    <row r="9172" spans="1:5" ht="14.25">
      <c r="A9172"/>
      <c r="B9172"/>
      <c r="C9172"/>
      <c r="D9172"/>
      <c r="E9172" s="183"/>
    </row>
    <row r="9173" spans="1:5" ht="14.25">
      <c r="A9173"/>
      <c r="B9173"/>
      <c r="C9173"/>
      <c r="D9173"/>
      <c r="E9173" s="183"/>
    </row>
    <row r="9174" spans="1:5" ht="14.25">
      <c r="A9174"/>
      <c r="B9174"/>
      <c r="C9174"/>
      <c r="D9174"/>
      <c r="E9174" s="183"/>
    </row>
    <row r="9175" spans="1:5" ht="14.25">
      <c r="A9175"/>
      <c r="B9175"/>
      <c r="C9175"/>
      <c r="D9175"/>
      <c r="E9175" s="183"/>
    </row>
    <row r="9176" spans="1:5" ht="14.25">
      <c r="A9176"/>
      <c r="B9176"/>
      <c r="C9176"/>
      <c r="D9176"/>
      <c r="E9176" s="183"/>
    </row>
    <row r="9177" spans="1:5" ht="14.25">
      <c r="A9177"/>
      <c r="B9177"/>
      <c r="C9177"/>
      <c r="D9177"/>
      <c r="E9177" s="183"/>
    </row>
    <row r="9178" spans="1:5" ht="14.25">
      <c r="A9178"/>
      <c r="B9178"/>
      <c r="C9178"/>
      <c r="D9178"/>
      <c r="E9178" s="183"/>
    </row>
    <row r="9179" spans="1:5" ht="14.25">
      <c r="A9179"/>
      <c r="B9179"/>
      <c r="C9179"/>
      <c r="D9179"/>
      <c r="E9179" s="183"/>
    </row>
    <row r="9180" spans="1:5" ht="14.25">
      <c r="A9180"/>
      <c r="B9180"/>
      <c r="C9180"/>
      <c r="D9180"/>
      <c r="E9180" s="183"/>
    </row>
    <row r="9181" spans="1:5" ht="14.25">
      <c r="A9181"/>
      <c r="B9181"/>
      <c r="C9181"/>
      <c r="D9181"/>
      <c r="E9181" s="183"/>
    </row>
    <row r="9182" spans="1:5" ht="14.25">
      <c r="A9182"/>
      <c r="B9182"/>
      <c r="C9182"/>
      <c r="D9182"/>
      <c r="E9182" s="183"/>
    </row>
    <row r="9183" spans="1:5" ht="14.25">
      <c r="A9183"/>
      <c r="B9183"/>
      <c r="C9183"/>
      <c r="D9183"/>
      <c r="E9183" s="183"/>
    </row>
    <row r="9184" spans="1:5" ht="14.25">
      <c r="A9184"/>
      <c r="B9184"/>
      <c r="C9184"/>
      <c r="D9184"/>
      <c r="E9184" s="183"/>
    </row>
    <row r="9185" spans="1:5" ht="14.25">
      <c r="A9185"/>
      <c r="B9185"/>
      <c r="C9185"/>
      <c r="D9185"/>
      <c r="E9185" s="183"/>
    </row>
    <row r="9186" spans="1:5" ht="14.25">
      <c r="A9186"/>
      <c r="B9186"/>
      <c r="C9186"/>
      <c r="D9186"/>
      <c r="E9186" s="183"/>
    </row>
    <row r="9187" spans="1:5" ht="14.25">
      <c r="A9187"/>
      <c r="B9187"/>
      <c r="C9187"/>
      <c r="D9187"/>
      <c r="E9187" s="183"/>
    </row>
    <row r="9188" spans="1:5" ht="14.25">
      <c r="A9188"/>
      <c r="B9188"/>
      <c r="C9188"/>
      <c r="D9188"/>
      <c r="E9188" s="183"/>
    </row>
    <row r="9189" spans="1:5" ht="14.25">
      <c r="A9189"/>
      <c r="B9189"/>
      <c r="C9189"/>
      <c r="D9189"/>
      <c r="E9189" s="183"/>
    </row>
    <row r="9190" spans="1:5" ht="14.25">
      <c r="A9190"/>
      <c r="B9190"/>
      <c r="C9190"/>
      <c r="D9190"/>
      <c r="E9190" s="183"/>
    </row>
    <row r="9191" spans="1:5" ht="14.25">
      <c r="A9191"/>
      <c r="B9191"/>
      <c r="C9191"/>
      <c r="D9191"/>
      <c r="E9191" s="183"/>
    </row>
    <row r="9192" spans="1:5" ht="14.25">
      <c r="A9192"/>
      <c r="B9192"/>
      <c r="C9192"/>
      <c r="D9192"/>
      <c r="E9192" s="183"/>
    </row>
    <row r="9193" spans="1:5" ht="14.25">
      <c r="A9193"/>
      <c r="B9193"/>
      <c r="C9193"/>
      <c r="D9193"/>
      <c r="E9193" s="183"/>
    </row>
    <row r="9194" spans="1:5" ht="14.25">
      <c r="A9194"/>
      <c r="B9194"/>
      <c r="C9194"/>
      <c r="D9194"/>
      <c r="E9194" s="183"/>
    </row>
    <row r="9195" spans="1:5" ht="14.25">
      <c r="A9195"/>
      <c r="B9195"/>
      <c r="C9195"/>
      <c r="D9195"/>
      <c r="E9195" s="183"/>
    </row>
    <row r="9196" spans="1:5" ht="14.25">
      <c r="A9196"/>
      <c r="B9196"/>
      <c r="C9196"/>
      <c r="D9196"/>
      <c r="E9196" s="183"/>
    </row>
    <row r="9197" spans="1:5" ht="14.25">
      <c r="A9197"/>
      <c r="B9197"/>
      <c r="C9197"/>
      <c r="D9197"/>
      <c r="E9197" s="183"/>
    </row>
    <row r="9198" spans="1:5" ht="14.25">
      <c r="A9198"/>
      <c r="B9198"/>
      <c r="C9198"/>
      <c r="D9198"/>
      <c r="E9198" s="183"/>
    </row>
    <row r="9199" spans="1:5" ht="14.25">
      <c r="A9199"/>
      <c r="B9199"/>
      <c r="C9199"/>
      <c r="D9199"/>
      <c r="E9199" s="183"/>
    </row>
    <row r="9200" spans="1:5" ht="14.25">
      <c r="A9200"/>
      <c r="B9200"/>
      <c r="C9200"/>
      <c r="D9200"/>
      <c r="E9200" s="183"/>
    </row>
    <row r="9201" spans="1:5" ht="14.25">
      <c r="A9201"/>
      <c r="B9201"/>
      <c r="C9201"/>
      <c r="D9201"/>
      <c r="E9201" s="183"/>
    </row>
    <row r="9202" spans="1:5" ht="14.25">
      <c r="A9202"/>
      <c r="B9202"/>
      <c r="C9202"/>
      <c r="D9202"/>
      <c r="E9202" s="183"/>
    </row>
    <row r="9203" spans="1:5" ht="14.25">
      <c r="A9203"/>
      <c r="B9203"/>
      <c r="C9203"/>
      <c r="D9203"/>
      <c r="E9203" s="184"/>
    </row>
    <row r="9204" spans="1:5" ht="14.25">
      <c r="A9204"/>
      <c r="B9204"/>
      <c r="C9204"/>
      <c r="D9204"/>
      <c r="E9204" s="183"/>
    </row>
    <row r="9205" spans="1:5" ht="14.25">
      <c r="A9205"/>
      <c r="B9205"/>
      <c r="C9205"/>
      <c r="D9205"/>
      <c r="E9205" s="183"/>
    </row>
    <row r="9206" spans="1:5" ht="14.25">
      <c r="A9206"/>
      <c r="B9206"/>
      <c r="C9206"/>
      <c r="D9206"/>
      <c r="E9206" s="183"/>
    </row>
    <row r="9207" spans="1:5" ht="14.25">
      <c r="A9207"/>
      <c r="B9207"/>
      <c r="C9207"/>
      <c r="D9207"/>
      <c r="E9207" s="183"/>
    </row>
    <row r="9208" spans="1:5" ht="14.25">
      <c r="A9208"/>
      <c r="B9208"/>
      <c r="C9208"/>
      <c r="D9208"/>
      <c r="E9208" s="183"/>
    </row>
    <row r="9209" spans="1:5" ht="14.25">
      <c r="A9209"/>
      <c r="B9209"/>
      <c r="C9209"/>
      <c r="D9209"/>
      <c r="E9209" s="183"/>
    </row>
    <row r="9210" spans="1:5" ht="14.25">
      <c r="A9210"/>
      <c r="B9210"/>
      <c r="C9210"/>
      <c r="D9210"/>
      <c r="E9210" s="183"/>
    </row>
    <row r="9211" spans="1:5" ht="14.25">
      <c r="A9211"/>
      <c r="B9211"/>
      <c r="C9211"/>
      <c r="D9211"/>
      <c r="E9211" s="183"/>
    </row>
    <row r="9212" spans="1:5" ht="14.25">
      <c r="A9212"/>
      <c r="B9212"/>
      <c r="C9212"/>
      <c r="D9212"/>
      <c r="E9212" s="184"/>
    </row>
    <row r="9213" spans="1:5" ht="14.25">
      <c r="A9213"/>
      <c r="B9213"/>
      <c r="C9213"/>
      <c r="D9213"/>
      <c r="E9213" s="184"/>
    </row>
    <row r="9214" spans="1:5" ht="14.25">
      <c r="A9214"/>
      <c r="B9214"/>
      <c r="C9214"/>
      <c r="D9214"/>
      <c r="E9214" s="184"/>
    </row>
    <row r="9215" spans="1:5" ht="14.25">
      <c r="A9215"/>
      <c r="B9215"/>
      <c r="C9215"/>
      <c r="D9215"/>
      <c r="E9215" s="184"/>
    </row>
    <row r="9216" spans="1:5" ht="14.25">
      <c r="A9216"/>
      <c r="B9216"/>
      <c r="C9216"/>
      <c r="D9216"/>
      <c r="E9216" s="184"/>
    </row>
    <row r="9217" spans="1:5" ht="14.25">
      <c r="A9217"/>
      <c r="B9217"/>
      <c r="C9217"/>
      <c r="D9217"/>
      <c r="E9217" s="184"/>
    </row>
    <row r="9218" spans="1:5" ht="14.25">
      <c r="A9218"/>
      <c r="B9218"/>
      <c r="C9218"/>
      <c r="D9218"/>
      <c r="E9218" s="184"/>
    </row>
    <row r="9219" spans="1:5" ht="14.25">
      <c r="A9219"/>
      <c r="B9219"/>
      <c r="C9219"/>
      <c r="D9219"/>
      <c r="E9219" s="184"/>
    </row>
    <row r="9220" spans="1:5" ht="14.25">
      <c r="A9220"/>
      <c r="B9220"/>
      <c r="C9220"/>
      <c r="D9220"/>
      <c r="E9220" s="184"/>
    </row>
    <row r="9221" spans="1:5" ht="14.25">
      <c r="A9221"/>
      <c r="B9221"/>
      <c r="C9221"/>
      <c r="D9221"/>
      <c r="E9221" s="184"/>
    </row>
    <row r="9222" spans="1:5" ht="14.25">
      <c r="A9222"/>
      <c r="B9222"/>
      <c r="C9222"/>
      <c r="D9222"/>
      <c r="E9222" s="184"/>
    </row>
    <row r="9223" spans="1:5" ht="14.25">
      <c r="A9223"/>
      <c r="B9223"/>
      <c r="C9223"/>
      <c r="D9223"/>
      <c r="E9223" s="183"/>
    </row>
    <row r="9224" spans="1:5" ht="14.25">
      <c r="A9224"/>
      <c r="B9224"/>
      <c r="C9224"/>
      <c r="D9224"/>
      <c r="E9224" s="184"/>
    </row>
    <row r="9225" spans="1:5" ht="14.25">
      <c r="A9225"/>
      <c r="B9225"/>
      <c r="C9225"/>
      <c r="D9225"/>
      <c r="E9225" s="183"/>
    </row>
    <row r="9226" spans="1:5" ht="14.25">
      <c r="A9226"/>
      <c r="B9226"/>
      <c r="C9226"/>
      <c r="D9226"/>
      <c r="E9226" s="183"/>
    </row>
    <row r="9227" spans="1:5" ht="14.25">
      <c r="A9227"/>
      <c r="B9227"/>
      <c r="C9227"/>
      <c r="D9227"/>
      <c r="E9227" s="184"/>
    </row>
    <row r="9228" spans="1:5" ht="14.25">
      <c r="A9228"/>
      <c r="B9228"/>
      <c r="C9228"/>
      <c r="D9228"/>
      <c r="E9228" s="184"/>
    </row>
    <row r="9229" spans="1:5" ht="14.25">
      <c r="A9229"/>
      <c r="B9229"/>
      <c r="C9229"/>
      <c r="D9229"/>
      <c r="E9229" s="183"/>
    </row>
    <row r="9230" spans="1:5" ht="14.25">
      <c r="A9230"/>
      <c r="B9230"/>
      <c r="C9230"/>
      <c r="D9230"/>
      <c r="E9230" s="183"/>
    </row>
    <row r="9231" spans="1:5" ht="14.25">
      <c r="A9231"/>
      <c r="B9231"/>
      <c r="C9231"/>
      <c r="D9231"/>
      <c r="E9231" s="183"/>
    </row>
    <row r="9232" spans="1:5" ht="14.25">
      <c r="A9232"/>
      <c r="B9232"/>
      <c r="C9232"/>
      <c r="D9232"/>
      <c r="E9232" s="183"/>
    </row>
    <row r="9233" spans="1:5" ht="14.25">
      <c r="A9233"/>
      <c r="B9233"/>
      <c r="C9233"/>
      <c r="D9233"/>
      <c r="E9233" s="183"/>
    </row>
    <row r="9234" spans="1:5" ht="14.25">
      <c r="A9234"/>
      <c r="B9234"/>
      <c r="C9234"/>
      <c r="D9234"/>
      <c r="E9234" s="183"/>
    </row>
    <row r="9235" spans="1:5" ht="14.25">
      <c r="A9235"/>
      <c r="B9235"/>
      <c r="C9235"/>
      <c r="D9235"/>
      <c r="E9235" s="183"/>
    </row>
    <row r="9236" spans="1:5" ht="14.25">
      <c r="A9236"/>
      <c r="B9236"/>
      <c r="C9236"/>
      <c r="D9236"/>
      <c r="E9236" s="183"/>
    </row>
    <row r="9237" spans="1:5" ht="14.25">
      <c r="A9237"/>
      <c r="B9237"/>
      <c r="C9237"/>
      <c r="D9237"/>
      <c r="E9237" s="183"/>
    </row>
    <row r="9238" spans="1:5" ht="14.25">
      <c r="A9238"/>
      <c r="B9238"/>
      <c r="C9238"/>
      <c r="D9238"/>
      <c r="E9238" s="183"/>
    </row>
    <row r="9239" spans="1:5" ht="14.25">
      <c r="A9239"/>
      <c r="B9239"/>
      <c r="C9239"/>
      <c r="D9239"/>
      <c r="E9239" s="183"/>
    </row>
    <row r="9240" spans="1:5" ht="14.25">
      <c r="A9240"/>
      <c r="B9240"/>
      <c r="C9240"/>
      <c r="D9240"/>
      <c r="E9240" s="183"/>
    </row>
    <row r="9241" spans="1:5" ht="14.25">
      <c r="A9241"/>
      <c r="B9241"/>
      <c r="C9241"/>
      <c r="D9241"/>
      <c r="E9241" s="183"/>
    </row>
    <row r="9242" spans="1:5" ht="14.25">
      <c r="A9242"/>
      <c r="B9242"/>
      <c r="C9242"/>
      <c r="D9242"/>
      <c r="E9242" s="183"/>
    </row>
    <row r="9243" spans="1:5" ht="14.25">
      <c r="A9243"/>
      <c r="B9243"/>
      <c r="C9243"/>
      <c r="D9243"/>
      <c r="E9243" s="183"/>
    </row>
    <row r="9244" spans="1:5" ht="14.25">
      <c r="A9244"/>
      <c r="B9244"/>
      <c r="C9244"/>
      <c r="D9244"/>
      <c r="E9244" s="183"/>
    </row>
    <row r="9245" spans="1:5" ht="14.25">
      <c r="A9245"/>
      <c r="B9245"/>
      <c r="C9245"/>
      <c r="D9245"/>
      <c r="E9245" s="183"/>
    </row>
    <row r="9246" spans="1:5" ht="14.25">
      <c r="A9246"/>
      <c r="B9246"/>
      <c r="C9246"/>
      <c r="D9246"/>
      <c r="E9246" s="183"/>
    </row>
    <row r="9247" spans="1:5" ht="14.25">
      <c r="A9247"/>
      <c r="B9247"/>
      <c r="C9247"/>
      <c r="D9247"/>
      <c r="E9247" s="183"/>
    </row>
    <row r="9248" spans="1:5" ht="14.25">
      <c r="A9248"/>
      <c r="B9248"/>
      <c r="C9248"/>
      <c r="D9248"/>
      <c r="E9248" s="183"/>
    </row>
    <row r="9249" spans="1:5" ht="14.25">
      <c r="A9249"/>
      <c r="B9249"/>
      <c r="C9249"/>
      <c r="D9249"/>
      <c r="E9249" s="183"/>
    </row>
    <row r="9250" spans="1:5" ht="14.25">
      <c r="A9250"/>
      <c r="B9250"/>
      <c r="C9250"/>
      <c r="D9250"/>
      <c r="E9250" s="183"/>
    </row>
    <row r="9251" spans="1:5" ht="14.25">
      <c r="A9251"/>
      <c r="B9251"/>
      <c r="C9251"/>
      <c r="D9251"/>
      <c r="E9251" s="183"/>
    </row>
    <row r="9252" spans="1:5" ht="14.25">
      <c r="A9252"/>
      <c r="B9252"/>
      <c r="C9252"/>
      <c r="D9252"/>
      <c r="E9252" s="183"/>
    </row>
    <row r="9253" spans="1:5" ht="14.25">
      <c r="A9253"/>
      <c r="B9253"/>
      <c r="C9253"/>
      <c r="D9253"/>
      <c r="E9253" s="183"/>
    </row>
    <row r="9254" spans="1:5" ht="14.25">
      <c r="A9254"/>
      <c r="B9254"/>
      <c r="C9254"/>
      <c r="D9254"/>
      <c r="E9254" s="183"/>
    </row>
    <row r="9255" spans="1:5" ht="14.25">
      <c r="A9255"/>
      <c r="B9255"/>
      <c r="C9255"/>
      <c r="D9255"/>
      <c r="E9255" s="183"/>
    </row>
    <row r="9256" spans="1:5" ht="14.25">
      <c r="A9256"/>
      <c r="B9256"/>
      <c r="C9256"/>
      <c r="D9256"/>
      <c r="E9256" s="183"/>
    </row>
    <row r="9257" spans="1:5" ht="14.25">
      <c r="A9257"/>
      <c r="B9257"/>
      <c r="C9257"/>
      <c r="D9257"/>
      <c r="E9257" s="183"/>
    </row>
    <row r="9258" spans="1:5" ht="14.25">
      <c r="A9258"/>
      <c r="B9258"/>
      <c r="C9258"/>
      <c r="D9258"/>
      <c r="E9258" s="183"/>
    </row>
    <row r="9259" spans="1:5" ht="14.25">
      <c r="A9259"/>
      <c r="B9259"/>
      <c r="C9259"/>
      <c r="D9259"/>
      <c r="E9259" s="183"/>
    </row>
    <row r="9260" spans="1:5" ht="14.25">
      <c r="A9260"/>
      <c r="B9260"/>
      <c r="C9260"/>
      <c r="D9260"/>
      <c r="E9260" s="183"/>
    </row>
    <row r="9261" spans="1:5" ht="14.25">
      <c r="A9261"/>
      <c r="B9261"/>
      <c r="C9261"/>
      <c r="D9261"/>
      <c r="E9261" s="183"/>
    </row>
    <row r="9262" spans="1:5" ht="14.25">
      <c r="A9262"/>
      <c r="B9262"/>
      <c r="C9262"/>
      <c r="D9262"/>
      <c r="E9262" s="184"/>
    </row>
    <row r="9263" spans="1:5" ht="14.25">
      <c r="A9263"/>
      <c r="B9263"/>
      <c r="C9263"/>
      <c r="D9263"/>
      <c r="E9263" s="183"/>
    </row>
    <row r="9264" spans="1:5" ht="14.25">
      <c r="A9264"/>
      <c r="B9264"/>
      <c r="C9264"/>
      <c r="D9264"/>
      <c r="E9264"/>
    </row>
    <row r="9265" spans="1:5" ht="14.25">
      <c r="A9265"/>
      <c r="B9265"/>
      <c r="C9265"/>
      <c r="D9265"/>
      <c r="E9265"/>
    </row>
  </sheetData>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D1615"/>
  <sheetViews>
    <sheetView workbookViewId="0">
      <selection activeCell="B12" sqref="B12"/>
    </sheetView>
  </sheetViews>
  <sheetFormatPr defaultColWidth="21.75" defaultRowHeight="11.25"/>
  <cols>
    <col min="1" max="1" width="6.125" style="12" bestFit="1" customWidth="1"/>
    <col min="2" max="2" width="50.625" style="12" customWidth="1"/>
    <col min="3" max="3" width="7.375" style="12" customWidth="1"/>
    <col min="4" max="4" width="10.5" style="153" bestFit="1" customWidth="1"/>
    <col min="5" max="16384" width="21.75" style="12"/>
  </cols>
  <sheetData>
    <row r="1" spans="1:4" ht="11.25" customHeight="1">
      <c r="A1" s="30" t="s">
        <v>1944</v>
      </c>
      <c r="B1" s="34">
        <v>45261</v>
      </c>
      <c r="C1" s="31"/>
      <c r="D1" s="150"/>
    </row>
    <row r="2" spans="1:4">
      <c r="A2" s="12">
        <v>1</v>
      </c>
      <c r="B2" s="12">
        <v>2</v>
      </c>
      <c r="C2" s="12">
        <v>3</v>
      </c>
      <c r="D2" s="151">
        <v>4</v>
      </c>
    </row>
    <row r="3" spans="1:4">
      <c r="A3" s="32" t="s">
        <v>937</v>
      </c>
      <c r="B3" s="32" t="s">
        <v>938</v>
      </c>
      <c r="C3" s="33" t="s">
        <v>939</v>
      </c>
      <c r="D3" s="152" t="s">
        <v>940</v>
      </c>
    </row>
    <row r="4" spans="1:4" ht="15">
      <c r="A4" s="200">
        <v>1</v>
      </c>
      <c r="B4" s="333" t="s">
        <v>941</v>
      </c>
      <c r="C4" s="334"/>
      <c r="D4" s="334"/>
    </row>
    <row r="5" spans="1:4" ht="15">
      <c r="A5" s="200">
        <v>101</v>
      </c>
      <c r="B5" s="333" t="s">
        <v>942</v>
      </c>
      <c r="C5" s="334"/>
      <c r="D5" s="334"/>
    </row>
    <row r="6" spans="1:4" ht="14.25">
      <c r="A6" s="201">
        <v>10101</v>
      </c>
      <c r="B6" s="201" t="s">
        <v>12498</v>
      </c>
      <c r="C6" s="196" t="s">
        <v>10</v>
      </c>
      <c r="D6" s="197">
        <v>7.46</v>
      </c>
    </row>
    <row r="7" spans="1:4" ht="14.25">
      <c r="A7" s="201">
        <v>10106</v>
      </c>
      <c r="B7" s="201" t="s">
        <v>12499</v>
      </c>
      <c r="C7" s="196" t="s">
        <v>10</v>
      </c>
      <c r="D7" s="197">
        <v>8.84</v>
      </c>
    </row>
    <row r="8" spans="1:4" ht="14.25">
      <c r="A8" s="201">
        <v>10108</v>
      </c>
      <c r="B8" s="201" t="s">
        <v>12500</v>
      </c>
      <c r="C8" s="196" t="s">
        <v>10</v>
      </c>
      <c r="D8" s="197">
        <v>8.84</v>
      </c>
    </row>
    <row r="9" spans="1:4" ht="14.25">
      <c r="A9" s="201">
        <v>10111</v>
      </c>
      <c r="B9" s="201" t="s">
        <v>12501</v>
      </c>
      <c r="C9" s="196" t="s">
        <v>10</v>
      </c>
      <c r="D9" s="197">
        <v>8.84</v>
      </c>
    </row>
    <row r="10" spans="1:4" ht="14.25">
      <c r="A10" s="201">
        <v>10115</v>
      </c>
      <c r="B10" s="201" t="s">
        <v>12502</v>
      </c>
      <c r="C10" s="196" t="s">
        <v>10</v>
      </c>
      <c r="D10" s="197">
        <v>8.84</v>
      </c>
    </row>
    <row r="11" spans="1:4" ht="14.25">
      <c r="A11" s="201">
        <v>10117</v>
      </c>
      <c r="B11" s="201" t="s">
        <v>12503</v>
      </c>
      <c r="C11" s="196" t="s">
        <v>10</v>
      </c>
      <c r="D11" s="197">
        <v>8.84</v>
      </c>
    </row>
    <row r="12" spans="1:4" ht="14.25">
      <c r="A12" s="201">
        <v>10118</v>
      </c>
      <c r="B12" s="201" t="s">
        <v>18906</v>
      </c>
      <c r="C12" s="196" t="s">
        <v>10</v>
      </c>
      <c r="D12" s="197">
        <v>8.84</v>
      </c>
    </row>
    <row r="13" spans="1:4" ht="14.25">
      <c r="A13" s="201">
        <v>10121</v>
      </c>
      <c r="B13" s="201" t="s">
        <v>12504</v>
      </c>
      <c r="C13" s="196" t="s">
        <v>10</v>
      </c>
      <c r="D13" s="197">
        <v>8.84</v>
      </c>
    </row>
    <row r="14" spans="1:4" ht="14.25">
      <c r="A14" s="201">
        <v>10124</v>
      </c>
      <c r="B14" s="201" t="s">
        <v>12505</v>
      </c>
      <c r="C14" s="196" t="s">
        <v>10</v>
      </c>
      <c r="D14" s="197">
        <v>8.84</v>
      </c>
    </row>
    <row r="15" spans="1:4" ht="14.25">
      <c r="A15" s="201">
        <v>10128</v>
      </c>
      <c r="B15" s="201" t="s">
        <v>18907</v>
      </c>
      <c r="C15" s="196" t="s">
        <v>10</v>
      </c>
      <c r="D15" s="197">
        <v>8.84</v>
      </c>
    </row>
    <row r="16" spans="1:4" ht="14.25">
      <c r="A16" s="201">
        <v>10130</v>
      </c>
      <c r="B16" s="201" t="s">
        <v>12506</v>
      </c>
      <c r="C16" s="196" t="s">
        <v>10</v>
      </c>
      <c r="D16" s="197">
        <v>13.22</v>
      </c>
    </row>
    <row r="17" spans="1:4" ht="14.25">
      <c r="A17" s="201">
        <v>10132</v>
      </c>
      <c r="B17" s="201" t="s">
        <v>14954</v>
      </c>
      <c r="C17" s="196" t="s">
        <v>10</v>
      </c>
      <c r="D17" s="197">
        <v>53.26</v>
      </c>
    </row>
    <row r="18" spans="1:4" ht="14.25">
      <c r="A18" s="201">
        <v>10138</v>
      </c>
      <c r="B18" s="201" t="s">
        <v>18908</v>
      </c>
      <c r="C18" s="196" t="s">
        <v>10</v>
      </c>
      <c r="D18" s="197">
        <v>8.84</v>
      </c>
    </row>
    <row r="19" spans="1:4" ht="14.25">
      <c r="A19" s="201">
        <v>10139</v>
      </c>
      <c r="B19" s="201" t="s">
        <v>18909</v>
      </c>
      <c r="C19" s="196" t="s">
        <v>10</v>
      </c>
      <c r="D19" s="197">
        <v>8.84</v>
      </c>
    </row>
    <row r="20" spans="1:4" ht="14.25">
      <c r="A20" s="201">
        <v>10140</v>
      </c>
      <c r="B20" s="201" t="s">
        <v>18910</v>
      </c>
      <c r="C20" s="196" t="s">
        <v>10</v>
      </c>
      <c r="D20" s="197">
        <v>8.84</v>
      </c>
    </row>
    <row r="21" spans="1:4" ht="14.25">
      <c r="A21" s="201">
        <v>10144</v>
      </c>
      <c r="B21" s="201" t="s">
        <v>18911</v>
      </c>
      <c r="C21" s="196" t="s">
        <v>10</v>
      </c>
      <c r="D21" s="197">
        <v>8.84</v>
      </c>
    </row>
    <row r="22" spans="1:4" ht="14.25">
      <c r="A22" s="201">
        <v>10146</v>
      </c>
      <c r="B22" s="201" t="s">
        <v>12507</v>
      </c>
      <c r="C22" s="196" t="s">
        <v>10</v>
      </c>
      <c r="D22" s="197">
        <v>6.56</v>
      </c>
    </row>
    <row r="23" spans="1:4" ht="14.25">
      <c r="A23" s="201">
        <v>10147</v>
      </c>
      <c r="B23" s="201" t="s">
        <v>18912</v>
      </c>
      <c r="C23" s="196" t="s">
        <v>10</v>
      </c>
      <c r="D23" s="197">
        <v>8.84</v>
      </c>
    </row>
    <row r="24" spans="1:4" ht="14.25">
      <c r="A24" s="201">
        <v>10150</v>
      </c>
      <c r="B24" s="201" t="s">
        <v>18913</v>
      </c>
      <c r="C24" s="196" t="s">
        <v>10</v>
      </c>
      <c r="D24" s="197">
        <v>8.84</v>
      </c>
    </row>
    <row r="25" spans="1:4" ht="28.5">
      <c r="A25" s="201">
        <v>10157</v>
      </c>
      <c r="B25" s="201" t="s">
        <v>18914</v>
      </c>
      <c r="C25" s="196" t="s">
        <v>10</v>
      </c>
      <c r="D25" s="197">
        <v>9.61</v>
      </c>
    </row>
    <row r="26" spans="1:4" ht="15">
      <c r="A26" s="200">
        <v>102</v>
      </c>
      <c r="B26" s="333" t="s">
        <v>943</v>
      </c>
      <c r="C26" s="334"/>
      <c r="D26" s="334"/>
    </row>
    <row r="27" spans="1:4" ht="14.25">
      <c r="A27" s="201">
        <v>10209</v>
      </c>
      <c r="B27" s="201" t="s">
        <v>944</v>
      </c>
      <c r="C27" s="196" t="s">
        <v>10</v>
      </c>
      <c r="D27" s="197">
        <v>18.190000000000001</v>
      </c>
    </row>
    <row r="28" spans="1:4" ht="14.25">
      <c r="A28" s="201">
        <v>10233</v>
      </c>
      <c r="B28" s="201" t="s">
        <v>12508</v>
      </c>
      <c r="C28" s="196" t="s">
        <v>10</v>
      </c>
      <c r="D28" s="197">
        <v>6</v>
      </c>
    </row>
    <row r="29" spans="1:4" ht="14.25">
      <c r="A29" s="201">
        <v>10235</v>
      </c>
      <c r="B29" s="201" t="s">
        <v>12509</v>
      </c>
      <c r="C29" s="196" t="s">
        <v>10</v>
      </c>
      <c r="D29" s="197">
        <v>6</v>
      </c>
    </row>
    <row r="30" spans="1:4" ht="14.25">
      <c r="A30" s="201">
        <v>10237</v>
      </c>
      <c r="B30" s="201" t="s">
        <v>13880</v>
      </c>
      <c r="C30" s="196" t="s">
        <v>10</v>
      </c>
      <c r="D30" s="197">
        <v>11.75</v>
      </c>
    </row>
    <row r="31" spans="1:4" ht="28.5">
      <c r="A31" s="201">
        <v>10260</v>
      </c>
      <c r="B31" s="201" t="s">
        <v>12510</v>
      </c>
      <c r="C31" s="196" t="s">
        <v>10</v>
      </c>
      <c r="D31" s="197">
        <v>6.86</v>
      </c>
    </row>
    <row r="32" spans="1:4" ht="14.25">
      <c r="A32" s="201">
        <v>10278</v>
      </c>
      <c r="B32" s="201" t="s">
        <v>12511</v>
      </c>
      <c r="C32" s="196" t="s">
        <v>10</v>
      </c>
      <c r="D32" s="197">
        <v>13.22</v>
      </c>
    </row>
    <row r="33" spans="1:4" ht="14.25">
      <c r="A33" s="201">
        <v>10281</v>
      </c>
      <c r="B33" s="201" t="s">
        <v>14955</v>
      </c>
      <c r="C33" s="196" t="s">
        <v>10</v>
      </c>
      <c r="D33" s="197">
        <v>9.01</v>
      </c>
    </row>
    <row r="34" spans="1:4" ht="14.25">
      <c r="A34" s="201">
        <v>10282</v>
      </c>
      <c r="B34" s="201" t="s">
        <v>14956</v>
      </c>
      <c r="C34" s="196" t="s">
        <v>10</v>
      </c>
      <c r="D34" s="197">
        <v>15.4</v>
      </c>
    </row>
    <row r="35" spans="1:4" ht="28.5">
      <c r="A35" s="201">
        <v>10285</v>
      </c>
      <c r="B35" s="201" t="s">
        <v>18915</v>
      </c>
      <c r="C35" s="196" t="s">
        <v>10</v>
      </c>
      <c r="D35" s="197">
        <v>9.58</v>
      </c>
    </row>
    <row r="36" spans="1:4" ht="14.25">
      <c r="A36" s="201">
        <v>10287</v>
      </c>
      <c r="B36" s="201" t="s">
        <v>18916</v>
      </c>
      <c r="C36" s="196" t="s">
        <v>10</v>
      </c>
      <c r="D36" s="197">
        <v>7.65</v>
      </c>
    </row>
    <row r="37" spans="1:4" ht="14.25">
      <c r="A37" s="201">
        <v>10292</v>
      </c>
      <c r="B37" s="201" t="s">
        <v>18917</v>
      </c>
      <c r="C37" s="196" t="s">
        <v>10</v>
      </c>
      <c r="D37" s="197">
        <v>10.19</v>
      </c>
    </row>
    <row r="38" spans="1:4" ht="14.25">
      <c r="A38" s="335"/>
      <c r="B38" s="336"/>
      <c r="C38" s="336"/>
      <c r="D38" s="336"/>
    </row>
    <row r="39" spans="1:4" ht="15">
      <c r="A39" s="333" t="s">
        <v>945</v>
      </c>
      <c r="B39" s="334"/>
      <c r="C39" s="334"/>
      <c r="D39" s="334"/>
    </row>
    <row r="40" spans="1:4" ht="14.25">
      <c r="A40" s="335"/>
      <c r="B40" s="336"/>
      <c r="C40" s="336"/>
      <c r="D40" s="336"/>
    </row>
    <row r="41" spans="1:4" ht="30">
      <c r="A41" s="202" t="s">
        <v>937</v>
      </c>
      <c r="B41" s="202" t="s">
        <v>938</v>
      </c>
      <c r="C41" s="203" t="s">
        <v>939</v>
      </c>
      <c r="D41" s="203" t="s">
        <v>940</v>
      </c>
    </row>
    <row r="42" spans="1:4" ht="15">
      <c r="A42" s="200">
        <v>2</v>
      </c>
      <c r="B42" s="333" t="s">
        <v>946</v>
      </c>
      <c r="C42" s="334"/>
      <c r="D42" s="334"/>
    </row>
    <row r="43" spans="1:4" ht="15">
      <c r="A43" s="200">
        <v>203</v>
      </c>
      <c r="B43" s="333" t="s">
        <v>947</v>
      </c>
      <c r="C43" s="334"/>
      <c r="D43" s="334"/>
    </row>
    <row r="44" spans="1:4" ht="28.5">
      <c r="A44" s="201">
        <v>20356</v>
      </c>
      <c r="B44" s="201" t="s">
        <v>948</v>
      </c>
      <c r="C44" s="196" t="s">
        <v>7</v>
      </c>
      <c r="D44" s="197">
        <v>58.3</v>
      </c>
    </row>
    <row r="45" spans="1:4" ht="15">
      <c r="A45" s="200">
        <v>204</v>
      </c>
      <c r="B45" s="333" t="s">
        <v>949</v>
      </c>
      <c r="C45" s="334"/>
      <c r="D45" s="334"/>
    </row>
    <row r="46" spans="1:4" ht="28.5">
      <c r="A46" s="201">
        <v>20416</v>
      </c>
      <c r="B46" s="201" t="s">
        <v>14957</v>
      </c>
      <c r="C46" s="196" t="s">
        <v>12</v>
      </c>
      <c r="D46" s="197">
        <v>513</v>
      </c>
    </row>
    <row r="47" spans="1:4" ht="14.25">
      <c r="A47" s="201">
        <v>20437</v>
      </c>
      <c r="B47" s="201" t="s">
        <v>14958</v>
      </c>
      <c r="C47" s="196" t="s">
        <v>8</v>
      </c>
      <c r="D47" s="197">
        <v>85</v>
      </c>
    </row>
    <row r="48" spans="1:4" ht="14.25">
      <c r="A48" s="201">
        <v>20463</v>
      </c>
      <c r="B48" s="201" t="s">
        <v>950</v>
      </c>
      <c r="C48" s="196" t="s">
        <v>8</v>
      </c>
      <c r="D48" s="197">
        <v>7.83</v>
      </c>
    </row>
    <row r="49" spans="1:4" ht="14.25">
      <c r="A49" s="201">
        <v>20468</v>
      </c>
      <c r="B49" s="201" t="s">
        <v>951</v>
      </c>
      <c r="C49" s="196" t="s">
        <v>8</v>
      </c>
      <c r="D49" s="197">
        <v>15.57</v>
      </c>
    </row>
    <row r="50" spans="1:4" ht="15">
      <c r="A50" s="200">
        <v>205</v>
      </c>
      <c r="B50" s="333" t="s">
        <v>952</v>
      </c>
      <c r="C50" s="334"/>
      <c r="D50" s="334"/>
    </row>
    <row r="51" spans="1:4" ht="14.25">
      <c r="A51" s="201">
        <v>20503</v>
      </c>
      <c r="B51" s="201" t="s">
        <v>953</v>
      </c>
      <c r="C51" s="196" t="s">
        <v>12</v>
      </c>
      <c r="D51" s="197">
        <v>137.5</v>
      </c>
    </row>
    <row r="52" spans="1:4" ht="14.25">
      <c r="A52" s="201">
        <v>20505</v>
      </c>
      <c r="B52" s="201" t="s">
        <v>954</v>
      </c>
      <c r="C52" s="196" t="s">
        <v>8</v>
      </c>
      <c r="D52" s="197">
        <v>0.92</v>
      </c>
    </row>
    <row r="53" spans="1:4" ht="14.25">
      <c r="A53" s="201">
        <v>20508</v>
      </c>
      <c r="B53" s="201" t="s">
        <v>955</v>
      </c>
      <c r="C53" s="196" t="s">
        <v>8</v>
      </c>
      <c r="D53" s="197">
        <v>0.59</v>
      </c>
    </row>
    <row r="54" spans="1:4" ht="14.25">
      <c r="A54" s="201">
        <v>20509</v>
      </c>
      <c r="B54" s="201" t="s">
        <v>956</v>
      </c>
      <c r="C54" s="196" t="s">
        <v>8</v>
      </c>
      <c r="D54" s="197">
        <v>7.08</v>
      </c>
    </row>
    <row r="55" spans="1:4" ht="14.25">
      <c r="A55" s="201">
        <v>20510</v>
      </c>
      <c r="B55" s="201" t="s">
        <v>957</v>
      </c>
      <c r="C55" s="196" t="s">
        <v>8</v>
      </c>
      <c r="D55" s="197">
        <v>0.76</v>
      </c>
    </row>
    <row r="56" spans="1:4" ht="28.5">
      <c r="A56" s="201">
        <v>20514</v>
      </c>
      <c r="B56" s="201" t="s">
        <v>14959</v>
      </c>
      <c r="C56" s="196" t="s">
        <v>12</v>
      </c>
      <c r="D56" s="197">
        <v>471.25</v>
      </c>
    </row>
    <row r="57" spans="1:4" ht="14.25">
      <c r="A57" s="201">
        <v>20517</v>
      </c>
      <c r="B57" s="201" t="s">
        <v>958</v>
      </c>
      <c r="C57" s="196" t="s">
        <v>12</v>
      </c>
      <c r="D57" s="197">
        <v>158</v>
      </c>
    </row>
    <row r="58" spans="1:4" ht="14.25">
      <c r="A58" s="201">
        <v>20518</v>
      </c>
      <c r="B58" s="201" t="s">
        <v>960</v>
      </c>
      <c r="C58" s="196" t="s">
        <v>12</v>
      </c>
      <c r="D58" s="197">
        <v>158</v>
      </c>
    </row>
    <row r="59" spans="1:4" ht="14.25">
      <c r="A59" s="201">
        <v>20519</v>
      </c>
      <c r="B59" s="201" t="s">
        <v>961</v>
      </c>
      <c r="C59" s="196" t="s">
        <v>12</v>
      </c>
      <c r="D59" s="197">
        <v>158</v>
      </c>
    </row>
    <row r="60" spans="1:4" ht="14.25">
      <c r="A60" s="201">
        <v>20520</v>
      </c>
      <c r="B60" s="201" t="s">
        <v>962</v>
      </c>
      <c r="C60" s="196" t="s">
        <v>12</v>
      </c>
      <c r="D60" s="197">
        <v>158</v>
      </c>
    </row>
    <row r="61" spans="1:4" ht="14.25">
      <c r="A61" s="201">
        <v>20521</v>
      </c>
      <c r="B61" s="201" t="s">
        <v>963</v>
      </c>
      <c r="C61" s="196" t="s">
        <v>12</v>
      </c>
      <c r="D61" s="197">
        <v>178.33</v>
      </c>
    </row>
    <row r="62" spans="1:4" ht="14.25">
      <c r="A62" s="201">
        <v>20522</v>
      </c>
      <c r="B62" s="201" t="s">
        <v>964</v>
      </c>
      <c r="C62" s="196" t="s">
        <v>12</v>
      </c>
      <c r="D62" s="197">
        <v>214.52</v>
      </c>
    </row>
    <row r="63" spans="1:4" ht="14.25">
      <c r="A63" s="201">
        <v>20524</v>
      </c>
      <c r="B63" s="201" t="s">
        <v>965</v>
      </c>
      <c r="C63" s="196" t="s">
        <v>12</v>
      </c>
      <c r="D63" s="197">
        <v>126.67</v>
      </c>
    </row>
    <row r="64" spans="1:4" ht="14.25">
      <c r="A64" s="201">
        <v>20553</v>
      </c>
      <c r="B64" s="201" t="s">
        <v>966</v>
      </c>
      <c r="C64" s="196" t="s">
        <v>12</v>
      </c>
      <c r="D64" s="197">
        <v>158</v>
      </c>
    </row>
    <row r="65" spans="1:4" ht="14.25">
      <c r="A65" s="201">
        <v>20554</v>
      </c>
      <c r="B65" s="201" t="s">
        <v>967</v>
      </c>
      <c r="C65" s="196" t="s">
        <v>12</v>
      </c>
      <c r="D65" s="197">
        <v>66.67</v>
      </c>
    </row>
    <row r="66" spans="1:4" ht="28.5">
      <c r="A66" s="201">
        <v>20567</v>
      </c>
      <c r="B66" s="201" t="s">
        <v>14960</v>
      </c>
      <c r="C66" s="196" t="s">
        <v>12</v>
      </c>
      <c r="D66" s="197">
        <v>500.4</v>
      </c>
    </row>
    <row r="67" spans="1:4" ht="14.25">
      <c r="A67" s="201">
        <v>20571</v>
      </c>
      <c r="B67" s="201" t="s">
        <v>968</v>
      </c>
      <c r="C67" s="196" t="s">
        <v>12</v>
      </c>
      <c r="D67" s="197">
        <v>158</v>
      </c>
    </row>
    <row r="68" spans="1:4" ht="28.5">
      <c r="A68" s="201">
        <v>20572</v>
      </c>
      <c r="B68" s="201" t="s">
        <v>969</v>
      </c>
      <c r="C68" s="196" t="s">
        <v>8</v>
      </c>
      <c r="D68" s="197">
        <v>5.5</v>
      </c>
    </row>
    <row r="69" spans="1:4" ht="14.25">
      <c r="A69" s="201">
        <v>20578</v>
      </c>
      <c r="B69" s="201" t="s">
        <v>970</v>
      </c>
      <c r="C69" s="196" t="s">
        <v>12</v>
      </c>
      <c r="D69" s="197">
        <v>165.83</v>
      </c>
    </row>
    <row r="70" spans="1:4" ht="14.25">
      <c r="A70" s="201">
        <v>20580</v>
      </c>
      <c r="B70" s="201" t="s">
        <v>971</v>
      </c>
      <c r="C70" s="196" t="s">
        <v>12</v>
      </c>
      <c r="D70" s="197">
        <v>111.67</v>
      </c>
    </row>
    <row r="71" spans="1:4" ht="14.25">
      <c r="A71" s="201">
        <v>20584</v>
      </c>
      <c r="B71" s="201" t="s">
        <v>972</v>
      </c>
      <c r="C71" s="196" t="s">
        <v>8</v>
      </c>
      <c r="D71" s="197">
        <v>2.37</v>
      </c>
    </row>
    <row r="72" spans="1:4" ht="14.25">
      <c r="A72" s="201">
        <v>20588</v>
      </c>
      <c r="B72" s="201" t="s">
        <v>973</v>
      </c>
      <c r="C72" s="196" t="s">
        <v>8</v>
      </c>
      <c r="D72" s="197">
        <v>7.83</v>
      </c>
    </row>
    <row r="73" spans="1:4" ht="15">
      <c r="A73" s="200">
        <v>207</v>
      </c>
      <c r="B73" s="333" t="s">
        <v>952</v>
      </c>
      <c r="C73" s="334"/>
      <c r="D73" s="334"/>
    </row>
    <row r="74" spans="1:4" ht="28.5">
      <c r="A74" s="201">
        <v>20732</v>
      </c>
      <c r="B74" s="201" t="s">
        <v>974</v>
      </c>
      <c r="C74" s="196" t="s">
        <v>8</v>
      </c>
      <c r="D74" s="197">
        <v>2.33</v>
      </c>
    </row>
    <row r="75" spans="1:4" ht="14.25">
      <c r="A75" s="201">
        <v>20746</v>
      </c>
      <c r="B75" s="201" t="s">
        <v>975</v>
      </c>
      <c r="C75" s="196" t="s">
        <v>8</v>
      </c>
      <c r="D75" s="197">
        <v>6.2</v>
      </c>
    </row>
    <row r="76" spans="1:4" ht="15">
      <c r="A76" s="200">
        <v>209</v>
      </c>
      <c r="B76" s="333" t="s">
        <v>976</v>
      </c>
      <c r="C76" s="334"/>
      <c r="D76" s="334"/>
    </row>
    <row r="77" spans="1:4" ht="14.25">
      <c r="A77" s="201">
        <v>20910</v>
      </c>
      <c r="B77" s="201" t="s">
        <v>977</v>
      </c>
      <c r="C77" s="196" t="s">
        <v>9</v>
      </c>
      <c r="D77" s="197">
        <v>50.43</v>
      </c>
    </row>
    <row r="78" spans="1:4" ht="14.25">
      <c r="A78" s="201">
        <v>20975</v>
      </c>
      <c r="B78" s="201" t="s">
        <v>978</v>
      </c>
      <c r="C78" s="196" t="s">
        <v>6</v>
      </c>
      <c r="D78" s="197">
        <v>5.61</v>
      </c>
    </row>
    <row r="79" spans="1:4" ht="14.25">
      <c r="A79" s="201">
        <v>20977</v>
      </c>
      <c r="B79" s="201" t="s">
        <v>979</v>
      </c>
      <c r="C79" s="196" t="s">
        <v>6</v>
      </c>
      <c r="D79" s="197">
        <v>7.67</v>
      </c>
    </row>
    <row r="80" spans="1:4" ht="14.25">
      <c r="A80" s="201">
        <v>20982</v>
      </c>
      <c r="B80" s="201" t="s">
        <v>980</v>
      </c>
      <c r="C80" s="196" t="s">
        <v>6</v>
      </c>
      <c r="D80" s="197">
        <v>11.67</v>
      </c>
    </row>
    <row r="81" spans="1:4" ht="14.25">
      <c r="A81" s="201">
        <v>20985</v>
      </c>
      <c r="B81" s="201" t="s">
        <v>981</v>
      </c>
      <c r="C81" s="196" t="s">
        <v>6</v>
      </c>
      <c r="D81" s="197">
        <v>4.08</v>
      </c>
    </row>
    <row r="82" spans="1:4" ht="14.25">
      <c r="A82" s="201">
        <v>20987</v>
      </c>
      <c r="B82" s="201" t="s">
        <v>982</v>
      </c>
      <c r="C82" s="196" t="s">
        <v>9</v>
      </c>
      <c r="D82" s="197">
        <v>48.88</v>
      </c>
    </row>
    <row r="83" spans="1:4" ht="14.25">
      <c r="A83" s="201">
        <v>20988</v>
      </c>
      <c r="B83" s="201" t="s">
        <v>983</v>
      </c>
      <c r="C83" s="196" t="s">
        <v>6</v>
      </c>
      <c r="D83" s="197">
        <v>14.66</v>
      </c>
    </row>
    <row r="84" spans="1:4" ht="15">
      <c r="A84" s="200">
        <v>210</v>
      </c>
      <c r="B84" s="333" t="s">
        <v>976</v>
      </c>
      <c r="C84" s="334"/>
      <c r="D84" s="334"/>
    </row>
    <row r="85" spans="1:4" ht="28.5">
      <c r="A85" s="201">
        <v>21005</v>
      </c>
      <c r="B85" s="201" t="s">
        <v>12512</v>
      </c>
      <c r="C85" s="196" t="s">
        <v>12</v>
      </c>
      <c r="D85" s="199">
        <v>7000</v>
      </c>
    </row>
    <row r="86" spans="1:4" ht="14.25">
      <c r="A86" s="201">
        <v>21009</v>
      </c>
      <c r="B86" s="201" t="s">
        <v>984</v>
      </c>
      <c r="C86" s="196" t="s">
        <v>6</v>
      </c>
      <c r="D86" s="197">
        <v>9.74</v>
      </c>
    </row>
    <row r="87" spans="1:4" ht="14.25">
      <c r="A87" s="201">
        <v>21018</v>
      </c>
      <c r="B87" s="201" t="s">
        <v>985</v>
      </c>
      <c r="C87" s="196" t="s">
        <v>6</v>
      </c>
      <c r="D87" s="197">
        <v>17.3</v>
      </c>
    </row>
    <row r="88" spans="1:4" ht="14.25">
      <c r="A88" s="201">
        <v>21023</v>
      </c>
      <c r="B88" s="201" t="s">
        <v>986</v>
      </c>
      <c r="C88" s="196" t="s">
        <v>7</v>
      </c>
      <c r="D88" s="197">
        <v>4.1500000000000004</v>
      </c>
    </row>
    <row r="89" spans="1:4" ht="28.5">
      <c r="A89" s="201">
        <v>21028</v>
      </c>
      <c r="B89" s="201" t="s">
        <v>987</v>
      </c>
      <c r="C89" s="196" t="s">
        <v>988</v>
      </c>
      <c r="D89" s="197">
        <v>244.2</v>
      </c>
    </row>
    <row r="90" spans="1:4" ht="14.25">
      <c r="A90" s="201">
        <v>21030</v>
      </c>
      <c r="B90" s="201" t="s">
        <v>989</v>
      </c>
      <c r="C90" s="196" t="s">
        <v>9</v>
      </c>
      <c r="D90" s="197">
        <v>22.14</v>
      </c>
    </row>
    <row r="91" spans="1:4" ht="14.25">
      <c r="A91" s="201">
        <v>21031</v>
      </c>
      <c r="B91" s="201" t="s">
        <v>990</v>
      </c>
      <c r="C91" s="196" t="s">
        <v>9</v>
      </c>
      <c r="D91" s="197">
        <v>28.53</v>
      </c>
    </row>
    <row r="92" spans="1:4" ht="14.25">
      <c r="A92" s="201">
        <v>21032</v>
      </c>
      <c r="B92" s="201" t="s">
        <v>991</v>
      </c>
      <c r="C92" s="196" t="s">
        <v>9</v>
      </c>
      <c r="D92" s="197">
        <v>42.64</v>
      </c>
    </row>
    <row r="93" spans="1:4" ht="14.25">
      <c r="A93" s="201">
        <v>21033</v>
      </c>
      <c r="B93" s="201" t="s">
        <v>992</v>
      </c>
      <c r="C93" s="196" t="s">
        <v>9</v>
      </c>
      <c r="D93" s="197">
        <v>47.61</v>
      </c>
    </row>
    <row r="94" spans="1:4" ht="14.25">
      <c r="A94" s="201">
        <v>21040</v>
      </c>
      <c r="B94" s="201" t="s">
        <v>993</v>
      </c>
      <c r="C94" s="196" t="s">
        <v>6</v>
      </c>
      <c r="D94" s="197">
        <v>55.58</v>
      </c>
    </row>
    <row r="95" spans="1:4" ht="14.25">
      <c r="A95" s="201">
        <v>21041</v>
      </c>
      <c r="B95" s="201" t="s">
        <v>994</v>
      </c>
      <c r="C95" s="196" t="s">
        <v>6</v>
      </c>
      <c r="D95" s="197">
        <v>31.77</v>
      </c>
    </row>
    <row r="96" spans="1:4" ht="14.25">
      <c r="A96" s="201">
        <v>21042</v>
      </c>
      <c r="B96" s="201" t="s">
        <v>995</v>
      </c>
      <c r="C96" s="196" t="s">
        <v>6</v>
      </c>
      <c r="D96" s="197">
        <v>63.92</v>
      </c>
    </row>
    <row r="97" spans="1:4" ht="28.5">
      <c r="A97" s="201">
        <v>21043</v>
      </c>
      <c r="B97" s="201" t="s">
        <v>996</v>
      </c>
      <c r="C97" s="196" t="s">
        <v>6</v>
      </c>
      <c r="D97" s="197">
        <v>292.32</v>
      </c>
    </row>
    <row r="98" spans="1:4" ht="14.25">
      <c r="A98" s="201">
        <v>21060</v>
      </c>
      <c r="B98" s="201" t="s">
        <v>997</v>
      </c>
      <c r="C98" s="196" t="s">
        <v>6</v>
      </c>
      <c r="D98" s="197">
        <v>4.9800000000000004</v>
      </c>
    </row>
    <row r="99" spans="1:4" ht="14.25">
      <c r="A99" s="201">
        <v>21061</v>
      </c>
      <c r="B99" s="201" t="s">
        <v>998</v>
      </c>
      <c r="C99" s="196" t="s">
        <v>6</v>
      </c>
      <c r="D99" s="197">
        <v>4.43</v>
      </c>
    </row>
    <row r="100" spans="1:4" ht="14.25">
      <c r="A100" s="201">
        <v>21085</v>
      </c>
      <c r="B100" s="201" t="s">
        <v>12513</v>
      </c>
      <c r="C100" s="196" t="s">
        <v>12</v>
      </c>
      <c r="D100" s="199">
        <v>7000</v>
      </c>
    </row>
    <row r="101" spans="1:4" ht="14.25">
      <c r="A101" s="201">
        <v>21089</v>
      </c>
      <c r="B101" s="201" t="s">
        <v>999</v>
      </c>
      <c r="C101" s="196" t="s">
        <v>6</v>
      </c>
      <c r="D101" s="197">
        <v>15.17</v>
      </c>
    </row>
    <row r="102" spans="1:4" ht="14.25">
      <c r="A102" s="201">
        <v>21091</v>
      </c>
      <c r="B102" s="201" t="s">
        <v>1000</v>
      </c>
      <c r="C102" s="196" t="s">
        <v>9</v>
      </c>
      <c r="D102" s="197">
        <v>51.66</v>
      </c>
    </row>
    <row r="103" spans="1:4" ht="15">
      <c r="A103" s="200">
        <v>211</v>
      </c>
      <c r="B103" s="333" t="s">
        <v>1001</v>
      </c>
      <c r="C103" s="334"/>
      <c r="D103" s="334"/>
    </row>
    <row r="104" spans="1:4" ht="14.25">
      <c r="A104" s="201">
        <v>21108</v>
      </c>
      <c r="B104" s="201" t="s">
        <v>1002</v>
      </c>
      <c r="C104" s="196" t="s">
        <v>6</v>
      </c>
      <c r="D104" s="197">
        <v>72.17</v>
      </c>
    </row>
    <row r="105" spans="1:4" ht="14.25">
      <c r="A105" s="201">
        <v>21109</v>
      </c>
      <c r="B105" s="201" t="s">
        <v>1003</v>
      </c>
      <c r="C105" s="196" t="s">
        <v>1004</v>
      </c>
      <c r="D105" s="197">
        <v>182.33</v>
      </c>
    </row>
    <row r="106" spans="1:4" ht="14.25">
      <c r="A106" s="201">
        <v>21111</v>
      </c>
      <c r="B106" s="201" t="s">
        <v>1005</v>
      </c>
      <c r="C106" s="196" t="s">
        <v>6</v>
      </c>
      <c r="D106" s="197">
        <v>54.9</v>
      </c>
    </row>
    <row r="107" spans="1:4" ht="14.25">
      <c r="A107" s="201">
        <v>21118</v>
      </c>
      <c r="B107" s="201" t="s">
        <v>1006</v>
      </c>
      <c r="C107" s="196" t="s">
        <v>6</v>
      </c>
      <c r="D107" s="197">
        <v>50.84</v>
      </c>
    </row>
    <row r="108" spans="1:4" ht="14.25">
      <c r="A108" s="201">
        <v>21144</v>
      </c>
      <c r="B108" s="201" t="s">
        <v>1007</v>
      </c>
      <c r="C108" s="196" t="s">
        <v>6</v>
      </c>
      <c r="D108" s="197">
        <v>23.48</v>
      </c>
    </row>
    <row r="109" spans="1:4" ht="14.25">
      <c r="A109" s="201">
        <v>21151</v>
      </c>
      <c r="B109" s="201" t="s">
        <v>1008</v>
      </c>
      <c r="C109" s="196" t="s">
        <v>6</v>
      </c>
      <c r="D109" s="197">
        <v>4.6900000000000004</v>
      </c>
    </row>
    <row r="110" spans="1:4" ht="14.25">
      <c r="A110" s="201">
        <v>21170</v>
      </c>
      <c r="B110" s="201" t="s">
        <v>1009</v>
      </c>
      <c r="C110" s="196" t="s">
        <v>6</v>
      </c>
      <c r="D110" s="197">
        <v>17.329999999999998</v>
      </c>
    </row>
    <row r="111" spans="1:4" ht="15">
      <c r="A111" s="200">
        <v>212</v>
      </c>
      <c r="B111" s="333" t="s">
        <v>1010</v>
      </c>
      <c r="C111" s="334"/>
      <c r="D111" s="334"/>
    </row>
    <row r="112" spans="1:4" ht="14.25">
      <c r="A112" s="201">
        <v>21205</v>
      </c>
      <c r="B112" s="201" t="s">
        <v>1011</v>
      </c>
      <c r="C112" s="196" t="s">
        <v>6</v>
      </c>
      <c r="D112" s="197">
        <v>15.67</v>
      </c>
    </row>
    <row r="113" spans="1:4" ht="14.25">
      <c r="A113" s="201">
        <v>21211</v>
      </c>
      <c r="B113" s="201" t="s">
        <v>1012</v>
      </c>
      <c r="C113" s="196" t="s">
        <v>9</v>
      </c>
      <c r="D113" s="197">
        <v>16.670000000000002</v>
      </c>
    </row>
    <row r="114" spans="1:4" ht="15">
      <c r="A114" s="200">
        <v>213</v>
      </c>
      <c r="B114" s="333" t="s">
        <v>1001</v>
      </c>
      <c r="C114" s="334"/>
      <c r="D114" s="334"/>
    </row>
    <row r="115" spans="1:4" ht="14.25">
      <c r="A115" s="201">
        <v>21305</v>
      </c>
      <c r="B115" s="201" t="s">
        <v>12514</v>
      </c>
      <c r="C115" s="196" t="s">
        <v>6</v>
      </c>
      <c r="D115" s="197">
        <v>30.45</v>
      </c>
    </row>
    <row r="116" spans="1:4" ht="28.5">
      <c r="A116" s="201">
        <v>21368</v>
      </c>
      <c r="B116" s="201" t="s">
        <v>1013</v>
      </c>
      <c r="C116" s="196" t="s">
        <v>6</v>
      </c>
      <c r="D116" s="197">
        <v>4.5999999999999996</v>
      </c>
    </row>
    <row r="117" spans="1:4" ht="15">
      <c r="A117" s="200">
        <v>215</v>
      </c>
      <c r="B117" s="333" t="s">
        <v>1014</v>
      </c>
      <c r="C117" s="334"/>
      <c r="D117" s="334"/>
    </row>
    <row r="118" spans="1:4" ht="14.25">
      <c r="A118" s="201">
        <v>21516</v>
      </c>
      <c r="B118" s="201" t="s">
        <v>1015</v>
      </c>
      <c r="C118" s="196" t="s">
        <v>8</v>
      </c>
      <c r="D118" s="197">
        <v>6.84</v>
      </c>
    </row>
    <row r="119" spans="1:4" ht="14.25">
      <c r="A119" s="201">
        <v>21517</v>
      </c>
      <c r="B119" s="201" t="s">
        <v>1016</v>
      </c>
      <c r="C119" s="196" t="s">
        <v>8</v>
      </c>
      <c r="D119" s="197">
        <v>6.81</v>
      </c>
    </row>
    <row r="120" spans="1:4" ht="14.25">
      <c r="A120" s="201">
        <v>21521</v>
      </c>
      <c r="B120" s="201" t="s">
        <v>1017</v>
      </c>
      <c r="C120" s="196" t="s">
        <v>8</v>
      </c>
      <c r="D120" s="197">
        <v>6.33</v>
      </c>
    </row>
    <row r="121" spans="1:4" ht="14.25">
      <c r="A121" s="201">
        <v>21532</v>
      </c>
      <c r="B121" s="201" t="s">
        <v>1018</v>
      </c>
      <c r="C121" s="196" t="s">
        <v>8</v>
      </c>
      <c r="D121" s="197">
        <v>7.72</v>
      </c>
    </row>
    <row r="122" spans="1:4" ht="28.5">
      <c r="A122" s="201">
        <v>21543</v>
      </c>
      <c r="B122" s="201" t="s">
        <v>1019</v>
      </c>
      <c r="C122" s="196" t="s">
        <v>9</v>
      </c>
      <c r="D122" s="197">
        <v>18.84</v>
      </c>
    </row>
    <row r="123" spans="1:4" ht="15">
      <c r="A123" s="200">
        <v>220</v>
      </c>
      <c r="B123" s="333" t="s">
        <v>1020</v>
      </c>
      <c r="C123" s="334"/>
      <c r="D123" s="334"/>
    </row>
    <row r="124" spans="1:4" ht="42.75">
      <c r="A124" s="201">
        <v>22001</v>
      </c>
      <c r="B124" s="201" t="s">
        <v>1021</v>
      </c>
      <c r="C124" s="196" t="s">
        <v>9</v>
      </c>
      <c r="D124" s="197">
        <v>61.3</v>
      </c>
    </row>
    <row r="125" spans="1:4" ht="42.75">
      <c r="A125" s="201">
        <v>22002</v>
      </c>
      <c r="B125" s="201" t="s">
        <v>1022</v>
      </c>
      <c r="C125" s="196" t="s">
        <v>9</v>
      </c>
      <c r="D125" s="197">
        <v>76.3</v>
      </c>
    </row>
    <row r="126" spans="1:4" ht="15">
      <c r="A126" s="200">
        <v>225</v>
      </c>
      <c r="B126" s="333" t="s">
        <v>1023</v>
      </c>
      <c r="C126" s="334"/>
      <c r="D126" s="334"/>
    </row>
    <row r="127" spans="1:4" ht="14.25">
      <c r="A127" s="201">
        <v>22502</v>
      </c>
      <c r="B127" s="201" t="s">
        <v>1024</v>
      </c>
      <c r="C127" s="196" t="s">
        <v>7</v>
      </c>
      <c r="D127" s="197">
        <v>3.01</v>
      </c>
    </row>
    <row r="128" spans="1:4" ht="14.25">
      <c r="A128" s="201">
        <v>22504</v>
      </c>
      <c r="B128" s="201" t="s">
        <v>1025</v>
      </c>
      <c r="C128" s="196" t="s">
        <v>7</v>
      </c>
      <c r="D128" s="197">
        <v>3.89</v>
      </c>
    </row>
    <row r="129" spans="1:4" ht="14.25">
      <c r="A129" s="201">
        <v>22505</v>
      </c>
      <c r="B129" s="201" t="s">
        <v>1026</v>
      </c>
      <c r="C129" s="196" t="s">
        <v>7</v>
      </c>
      <c r="D129" s="197">
        <v>4.7300000000000004</v>
      </c>
    </row>
    <row r="130" spans="1:4" ht="14.25">
      <c r="A130" s="201">
        <v>22507</v>
      </c>
      <c r="B130" s="201" t="s">
        <v>1027</v>
      </c>
      <c r="C130" s="196" t="s">
        <v>7</v>
      </c>
      <c r="D130" s="197">
        <v>4.26</v>
      </c>
    </row>
    <row r="131" spans="1:4" ht="14.25">
      <c r="A131" s="201">
        <v>22508</v>
      </c>
      <c r="B131" s="201" t="s">
        <v>1028</v>
      </c>
      <c r="C131" s="196" t="s">
        <v>7</v>
      </c>
      <c r="D131" s="197">
        <v>5.68</v>
      </c>
    </row>
    <row r="132" spans="1:4" ht="14.25">
      <c r="A132" s="201">
        <v>22548</v>
      </c>
      <c r="B132" s="201" t="s">
        <v>1029</v>
      </c>
      <c r="C132" s="196" t="s">
        <v>7</v>
      </c>
      <c r="D132" s="197">
        <v>3.21</v>
      </c>
    </row>
    <row r="133" spans="1:4" ht="28.5">
      <c r="A133" s="201">
        <v>22585</v>
      </c>
      <c r="B133" s="201" t="s">
        <v>18918</v>
      </c>
      <c r="C133" s="196" t="s">
        <v>7</v>
      </c>
      <c r="D133" s="197">
        <v>1.35</v>
      </c>
    </row>
    <row r="134" spans="1:4" ht="28.5">
      <c r="A134" s="201">
        <v>22586</v>
      </c>
      <c r="B134" s="201" t="s">
        <v>18919</v>
      </c>
      <c r="C134" s="196" t="s">
        <v>7</v>
      </c>
      <c r="D134" s="197">
        <v>0.82</v>
      </c>
    </row>
    <row r="135" spans="1:4" ht="15">
      <c r="A135" s="200">
        <v>230</v>
      </c>
      <c r="B135" s="333" t="s">
        <v>1030</v>
      </c>
      <c r="C135" s="334"/>
      <c r="D135" s="334"/>
    </row>
    <row r="136" spans="1:4" ht="28.5">
      <c r="A136" s="201">
        <v>23010</v>
      </c>
      <c r="B136" s="201" t="s">
        <v>1031</v>
      </c>
      <c r="C136" s="196" t="s">
        <v>7</v>
      </c>
      <c r="D136" s="197">
        <v>6.18</v>
      </c>
    </row>
    <row r="137" spans="1:4" ht="28.5">
      <c r="A137" s="201">
        <v>23015</v>
      </c>
      <c r="B137" s="201" t="s">
        <v>1032</v>
      </c>
      <c r="C137" s="196" t="s">
        <v>7</v>
      </c>
      <c r="D137" s="197">
        <v>15.95</v>
      </c>
    </row>
    <row r="138" spans="1:4" ht="15">
      <c r="A138" s="200">
        <v>235</v>
      </c>
      <c r="B138" s="333" t="s">
        <v>1033</v>
      </c>
      <c r="C138" s="334"/>
      <c r="D138" s="334"/>
    </row>
    <row r="139" spans="1:4" ht="28.5">
      <c r="A139" s="201">
        <v>23501</v>
      </c>
      <c r="B139" s="201" t="s">
        <v>14961</v>
      </c>
      <c r="C139" s="196" t="s">
        <v>9</v>
      </c>
      <c r="D139" s="197">
        <v>130.5</v>
      </c>
    </row>
    <row r="140" spans="1:4" ht="28.5">
      <c r="A140" s="201">
        <v>23503</v>
      </c>
      <c r="B140" s="201" t="s">
        <v>14962</v>
      </c>
      <c r="C140" s="196" t="s">
        <v>7</v>
      </c>
      <c r="D140" s="197">
        <v>436.67</v>
      </c>
    </row>
    <row r="141" spans="1:4" ht="28.5">
      <c r="A141" s="201">
        <v>23522</v>
      </c>
      <c r="B141" s="201" t="s">
        <v>1034</v>
      </c>
      <c r="C141" s="196" t="s">
        <v>9</v>
      </c>
      <c r="D141" s="197">
        <v>364.67</v>
      </c>
    </row>
    <row r="142" spans="1:4" ht="15">
      <c r="A142" s="200">
        <v>240</v>
      </c>
      <c r="B142" s="333" t="s">
        <v>1035</v>
      </c>
      <c r="C142" s="334"/>
      <c r="D142" s="334"/>
    </row>
    <row r="143" spans="1:4" ht="42.75">
      <c r="A143" s="201">
        <v>24015</v>
      </c>
      <c r="B143" s="201" t="s">
        <v>18920</v>
      </c>
      <c r="C143" s="196" t="s">
        <v>8</v>
      </c>
      <c r="D143" s="197">
        <v>8.34</v>
      </c>
    </row>
    <row r="144" spans="1:4" ht="14.25">
      <c r="A144" s="201">
        <v>24020</v>
      </c>
      <c r="B144" s="201" t="s">
        <v>1036</v>
      </c>
      <c r="C144" s="196" t="s">
        <v>8</v>
      </c>
      <c r="D144" s="197">
        <v>11.44</v>
      </c>
    </row>
    <row r="145" spans="1:4" ht="14.25">
      <c r="A145" s="201">
        <v>24029</v>
      </c>
      <c r="B145" s="201" t="s">
        <v>1037</v>
      </c>
      <c r="C145" s="196" t="s">
        <v>9</v>
      </c>
      <c r="D145" s="197">
        <v>8.31</v>
      </c>
    </row>
    <row r="146" spans="1:4" ht="28.5">
      <c r="A146" s="201">
        <v>24034</v>
      </c>
      <c r="B146" s="201" t="s">
        <v>1038</v>
      </c>
      <c r="C146" s="196" t="s">
        <v>8</v>
      </c>
      <c r="D146" s="197">
        <v>17.73</v>
      </c>
    </row>
    <row r="147" spans="1:4" ht="28.5">
      <c r="A147" s="201">
        <v>24035</v>
      </c>
      <c r="B147" s="201" t="s">
        <v>1039</v>
      </c>
      <c r="C147" s="196" t="s">
        <v>8</v>
      </c>
      <c r="D147" s="197">
        <v>16.88</v>
      </c>
    </row>
    <row r="148" spans="1:4" ht="14.25">
      <c r="A148" s="201">
        <v>24038</v>
      </c>
      <c r="B148" s="201" t="s">
        <v>1040</v>
      </c>
      <c r="C148" s="196" t="s">
        <v>16</v>
      </c>
      <c r="D148" s="197">
        <v>0.28000000000000003</v>
      </c>
    </row>
    <row r="149" spans="1:4" ht="14.25">
      <c r="A149" s="201">
        <v>24042</v>
      </c>
      <c r="B149" s="201" t="s">
        <v>1041</v>
      </c>
      <c r="C149" s="196" t="s">
        <v>8</v>
      </c>
      <c r="D149" s="197">
        <v>37.99</v>
      </c>
    </row>
    <row r="150" spans="1:4" ht="15">
      <c r="A150" s="200">
        <v>241</v>
      </c>
      <c r="B150" s="333" t="s">
        <v>1042</v>
      </c>
      <c r="C150" s="334"/>
      <c r="D150" s="334"/>
    </row>
    <row r="151" spans="1:4" ht="14.25">
      <c r="A151" s="201">
        <v>24116</v>
      </c>
      <c r="B151" s="201" t="s">
        <v>1043</v>
      </c>
      <c r="C151" s="196" t="s">
        <v>9</v>
      </c>
      <c r="D151" s="197">
        <v>1.1399999999999999</v>
      </c>
    </row>
    <row r="152" spans="1:4" ht="42.75">
      <c r="A152" s="201">
        <v>24130</v>
      </c>
      <c r="B152" s="201" t="s">
        <v>1044</v>
      </c>
      <c r="C152" s="196" t="s">
        <v>9</v>
      </c>
      <c r="D152" s="197">
        <v>266.89999999999998</v>
      </c>
    </row>
    <row r="153" spans="1:4" ht="42.75">
      <c r="A153" s="201">
        <v>24131</v>
      </c>
      <c r="B153" s="201" t="s">
        <v>1045</v>
      </c>
      <c r="C153" s="196" t="s">
        <v>9</v>
      </c>
      <c r="D153" s="197">
        <v>297.33</v>
      </c>
    </row>
    <row r="154" spans="1:4" ht="14.25">
      <c r="A154" s="201">
        <v>24145</v>
      </c>
      <c r="B154" s="201" t="s">
        <v>1046</v>
      </c>
      <c r="C154" s="196" t="s">
        <v>8</v>
      </c>
      <c r="D154" s="197">
        <v>19.829999999999998</v>
      </c>
    </row>
    <row r="155" spans="1:4" ht="14.25">
      <c r="A155" s="201">
        <v>24184</v>
      </c>
      <c r="B155" s="201" t="s">
        <v>1047</v>
      </c>
      <c r="C155" s="196" t="s">
        <v>7</v>
      </c>
      <c r="D155" s="197">
        <v>32.67</v>
      </c>
    </row>
    <row r="156" spans="1:4" ht="15">
      <c r="A156" s="200">
        <v>255</v>
      </c>
      <c r="B156" s="333" t="s">
        <v>1048</v>
      </c>
      <c r="C156" s="334"/>
      <c r="D156" s="334"/>
    </row>
    <row r="157" spans="1:4" ht="14.25">
      <c r="A157" s="201">
        <v>25513</v>
      </c>
      <c r="B157" s="201" t="s">
        <v>1049</v>
      </c>
      <c r="C157" s="196" t="s">
        <v>9</v>
      </c>
      <c r="D157" s="197">
        <v>31.07</v>
      </c>
    </row>
    <row r="158" spans="1:4" ht="14.25">
      <c r="A158" s="201">
        <v>25514</v>
      </c>
      <c r="B158" s="201" t="s">
        <v>1050</v>
      </c>
      <c r="C158" s="196" t="s">
        <v>9</v>
      </c>
      <c r="D158" s="197">
        <v>55.93</v>
      </c>
    </row>
    <row r="159" spans="1:4" ht="14.25">
      <c r="A159" s="201">
        <v>25532</v>
      </c>
      <c r="B159" s="201" t="s">
        <v>1051</v>
      </c>
      <c r="C159" s="196" t="s">
        <v>9</v>
      </c>
      <c r="D159" s="197">
        <v>85.39</v>
      </c>
    </row>
    <row r="160" spans="1:4" ht="28.5">
      <c r="A160" s="201">
        <v>25568</v>
      </c>
      <c r="B160" s="201" t="s">
        <v>1052</v>
      </c>
      <c r="C160" s="196" t="s">
        <v>9</v>
      </c>
      <c r="D160" s="197">
        <v>30.08</v>
      </c>
    </row>
    <row r="161" spans="1:4" ht="28.5">
      <c r="A161" s="201">
        <v>25569</v>
      </c>
      <c r="B161" s="201" t="s">
        <v>1052</v>
      </c>
      <c r="C161" s="196" t="s">
        <v>9</v>
      </c>
      <c r="D161" s="197">
        <v>78.7</v>
      </c>
    </row>
    <row r="162" spans="1:4" ht="28.5">
      <c r="A162" s="201">
        <v>25570</v>
      </c>
      <c r="B162" s="201" t="s">
        <v>1053</v>
      </c>
      <c r="C162" s="196" t="s">
        <v>7</v>
      </c>
      <c r="D162" s="197">
        <v>1.94</v>
      </c>
    </row>
    <row r="163" spans="1:4" ht="28.5">
      <c r="A163" s="201">
        <v>25571</v>
      </c>
      <c r="B163" s="201" t="s">
        <v>1054</v>
      </c>
      <c r="C163" s="196" t="s">
        <v>7</v>
      </c>
      <c r="D163" s="197">
        <v>6.68</v>
      </c>
    </row>
    <row r="164" spans="1:4" ht="14.25">
      <c r="A164" s="201">
        <v>25592</v>
      </c>
      <c r="B164" s="201" t="s">
        <v>1055</v>
      </c>
      <c r="C164" s="196" t="s">
        <v>9</v>
      </c>
      <c r="D164" s="197">
        <v>84.07</v>
      </c>
    </row>
    <row r="165" spans="1:4" ht="15">
      <c r="A165" s="200">
        <v>256</v>
      </c>
      <c r="B165" s="333" t="s">
        <v>1048</v>
      </c>
      <c r="C165" s="334"/>
      <c r="D165" s="334"/>
    </row>
    <row r="166" spans="1:4" ht="28.5">
      <c r="A166" s="201">
        <v>25617</v>
      </c>
      <c r="B166" s="201" t="s">
        <v>1056</v>
      </c>
      <c r="C166" s="196" t="s">
        <v>9</v>
      </c>
      <c r="D166" s="197">
        <v>39.549999999999997</v>
      </c>
    </row>
    <row r="167" spans="1:4" ht="15">
      <c r="A167" s="200">
        <v>258</v>
      </c>
      <c r="B167" s="333" t="s">
        <v>1048</v>
      </c>
      <c r="C167" s="334"/>
      <c r="D167" s="334"/>
    </row>
    <row r="168" spans="1:4" ht="28.5">
      <c r="A168" s="201">
        <v>25841</v>
      </c>
      <c r="B168" s="201" t="s">
        <v>14963</v>
      </c>
      <c r="C168" s="196" t="s">
        <v>9</v>
      </c>
      <c r="D168" s="197">
        <v>59.65</v>
      </c>
    </row>
    <row r="169" spans="1:4" ht="28.5">
      <c r="A169" s="201">
        <v>25843</v>
      </c>
      <c r="B169" s="201" t="s">
        <v>12515</v>
      </c>
      <c r="C169" s="196" t="s">
        <v>9</v>
      </c>
      <c r="D169" s="197">
        <v>60.99</v>
      </c>
    </row>
    <row r="170" spans="1:4" ht="15">
      <c r="A170" s="200">
        <v>260</v>
      </c>
      <c r="B170" s="333" t="s">
        <v>1057</v>
      </c>
      <c r="C170" s="334"/>
      <c r="D170" s="334"/>
    </row>
    <row r="171" spans="1:4" ht="14.25">
      <c r="A171" s="201">
        <v>26008</v>
      </c>
      <c r="B171" s="201" t="s">
        <v>1058</v>
      </c>
      <c r="C171" s="196" t="s">
        <v>6</v>
      </c>
      <c r="D171" s="197">
        <v>33.159999999999997</v>
      </c>
    </row>
    <row r="172" spans="1:4" ht="14.25">
      <c r="A172" s="201">
        <v>26015</v>
      </c>
      <c r="B172" s="201" t="s">
        <v>1059</v>
      </c>
      <c r="C172" s="196" t="s">
        <v>6</v>
      </c>
      <c r="D172" s="197">
        <v>70.599999999999994</v>
      </c>
    </row>
    <row r="173" spans="1:4" ht="28.5">
      <c r="A173" s="201">
        <v>26040</v>
      </c>
      <c r="B173" s="201" t="s">
        <v>7313</v>
      </c>
      <c r="C173" s="196" t="s">
        <v>6</v>
      </c>
      <c r="D173" s="197">
        <v>8.2899999999999991</v>
      </c>
    </row>
    <row r="174" spans="1:4" ht="28.5">
      <c r="A174" s="201">
        <v>26091</v>
      </c>
      <c r="B174" s="201" t="s">
        <v>1060</v>
      </c>
      <c r="C174" s="196" t="s">
        <v>6</v>
      </c>
      <c r="D174" s="197">
        <v>4.6399999999999997</v>
      </c>
    </row>
    <row r="175" spans="1:4" ht="15">
      <c r="A175" s="200">
        <v>265</v>
      </c>
      <c r="B175" s="333" t="s">
        <v>1061</v>
      </c>
      <c r="C175" s="334"/>
      <c r="D175" s="334"/>
    </row>
    <row r="176" spans="1:4" ht="14.25">
      <c r="A176" s="201">
        <v>26503</v>
      </c>
      <c r="B176" s="201" t="s">
        <v>1062</v>
      </c>
      <c r="C176" s="196" t="s">
        <v>7</v>
      </c>
      <c r="D176" s="197">
        <v>1.02</v>
      </c>
    </row>
    <row r="177" spans="1:4" ht="14.25">
      <c r="A177" s="201">
        <v>26506</v>
      </c>
      <c r="B177" s="201" t="s">
        <v>1063</v>
      </c>
      <c r="C177" s="196" t="s">
        <v>7</v>
      </c>
      <c r="D177" s="197">
        <v>233.27</v>
      </c>
    </row>
    <row r="178" spans="1:4" ht="28.5">
      <c r="A178" s="201">
        <v>26508</v>
      </c>
      <c r="B178" s="201" t="s">
        <v>1064</v>
      </c>
      <c r="C178" s="196" t="s">
        <v>6</v>
      </c>
      <c r="D178" s="197">
        <v>6.7</v>
      </c>
    </row>
    <row r="179" spans="1:4" ht="14.25">
      <c r="A179" s="201">
        <v>26512</v>
      </c>
      <c r="B179" s="201" t="s">
        <v>1065</v>
      </c>
      <c r="C179" s="196" t="s">
        <v>7</v>
      </c>
      <c r="D179" s="197">
        <v>1.59</v>
      </c>
    </row>
    <row r="180" spans="1:4" ht="28.5">
      <c r="A180" s="201">
        <v>26517</v>
      </c>
      <c r="B180" s="201" t="s">
        <v>14964</v>
      </c>
      <c r="C180" s="196" t="s">
        <v>7</v>
      </c>
      <c r="D180" s="197">
        <v>1.77</v>
      </c>
    </row>
    <row r="181" spans="1:4" ht="14.25">
      <c r="A181" s="201">
        <v>26546</v>
      </c>
      <c r="B181" s="201" t="s">
        <v>1066</v>
      </c>
      <c r="C181" s="196" t="s">
        <v>7</v>
      </c>
      <c r="D181" s="197">
        <v>0.37</v>
      </c>
    </row>
    <row r="182" spans="1:4" ht="14.25">
      <c r="A182" s="201">
        <v>26548</v>
      </c>
      <c r="B182" s="201" t="s">
        <v>1067</v>
      </c>
      <c r="C182" s="196" t="s">
        <v>7</v>
      </c>
      <c r="D182" s="197">
        <v>0.55000000000000004</v>
      </c>
    </row>
    <row r="183" spans="1:4" ht="14.25">
      <c r="A183" s="201">
        <v>26549</v>
      </c>
      <c r="B183" s="201" t="s">
        <v>1068</v>
      </c>
      <c r="C183" s="196" t="s">
        <v>7</v>
      </c>
      <c r="D183" s="197">
        <v>0.18</v>
      </c>
    </row>
    <row r="184" spans="1:4" ht="14.25">
      <c r="A184" s="201">
        <v>26550</v>
      </c>
      <c r="B184" s="201" t="s">
        <v>1069</v>
      </c>
      <c r="C184" s="196" t="s">
        <v>7</v>
      </c>
      <c r="D184" s="197">
        <v>13.37</v>
      </c>
    </row>
    <row r="185" spans="1:4" ht="14.25">
      <c r="A185" s="201">
        <v>26551</v>
      </c>
      <c r="B185" s="201" t="s">
        <v>1070</v>
      </c>
      <c r="C185" s="196" t="s">
        <v>7</v>
      </c>
      <c r="D185" s="197">
        <v>0.35</v>
      </c>
    </row>
    <row r="186" spans="1:4" ht="14.25">
      <c r="A186" s="201">
        <v>26552</v>
      </c>
      <c r="B186" s="201" t="s">
        <v>12516</v>
      </c>
      <c r="C186" s="196" t="s">
        <v>7</v>
      </c>
      <c r="D186" s="197">
        <v>0.15</v>
      </c>
    </row>
    <row r="187" spans="1:4" ht="14.25">
      <c r="A187" s="201">
        <v>26554</v>
      </c>
      <c r="B187" s="201" t="s">
        <v>1071</v>
      </c>
      <c r="C187" s="196" t="s">
        <v>7</v>
      </c>
      <c r="D187" s="197">
        <v>0.17</v>
      </c>
    </row>
    <row r="188" spans="1:4" ht="14.25">
      <c r="A188" s="201">
        <v>26560</v>
      </c>
      <c r="B188" s="201" t="s">
        <v>1072</v>
      </c>
      <c r="C188" s="196" t="s">
        <v>8</v>
      </c>
      <c r="D188" s="197">
        <v>17.579999999999998</v>
      </c>
    </row>
    <row r="189" spans="1:4" ht="14.25">
      <c r="A189" s="201">
        <v>26563</v>
      </c>
      <c r="B189" s="201" t="s">
        <v>1073</v>
      </c>
      <c r="C189" s="196" t="s">
        <v>8</v>
      </c>
      <c r="D189" s="197">
        <v>23.82</v>
      </c>
    </row>
    <row r="190" spans="1:4" ht="14.25">
      <c r="A190" s="201">
        <v>26566</v>
      </c>
      <c r="B190" s="201" t="s">
        <v>1074</v>
      </c>
      <c r="C190" s="196" t="s">
        <v>8</v>
      </c>
      <c r="D190" s="197">
        <v>17.43</v>
      </c>
    </row>
    <row r="191" spans="1:4" ht="14.25">
      <c r="A191" s="201">
        <v>26569</v>
      </c>
      <c r="B191" s="201" t="s">
        <v>1075</v>
      </c>
      <c r="C191" s="196" t="s">
        <v>8</v>
      </c>
      <c r="D191" s="197">
        <v>14.69</v>
      </c>
    </row>
    <row r="192" spans="1:4" ht="14.25">
      <c r="A192" s="201">
        <v>26570</v>
      </c>
      <c r="B192" s="201" t="s">
        <v>1076</v>
      </c>
      <c r="C192" s="196" t="s">
        <v>8</v>
      </c>
      <c r="D192" s="197">
        <v>14.69</v>
      </c>
    </row>
    <row r="193" spans="1:4" ht="14.25">
      <c r="A193" s="201">
        <v>26573</v>
      </c>
      <c r="B193" s="201" t="s">
        <v>1077</v>
      </c>
      <c r="C193" s="196" t="s">
        <v>8</v>
      </c>
      <c r="D193" s="197">
        <v>30.52</v>
      </c>
    </row>
    <row r="194" spans="1:4" ht="14.25">
      <c r="A194" s="201">
        <v>26581</v>
      </c>
      <c r="B194" s="201" t="s">
        <v>14965</v>
      </c>
      <c r="C194" s="196" t="s">
        <v>8</v>
      </c>
      <c r="D194" s="197">
        <v>21.28</v>
      </c>
    </row>
    <row r="195" spans="1:4" ht="14.25">
      <c r="A195" s="201">
        <v>26588</v>
      </c>
      <c r="B195" s="201" t="s">
        <v>1078</v>
      </c>
      <c r="C195" s="196" t="s">
        <v>7</v>
      </c>
      <c r="D195" s="197">
        <v>0.13</v>
      </c>
    </row>
    <row r="196" spans="1:4" ht="14.25">
      <c r="A196" s="201">
        <v>26589</v>
      </c>
      <c r="B196" s="201" t="s">
        <v>1079</v>
      </c>
      <c r="C196" s="196" t="s">
        <v>7</v>
      </c>
      <c r="D196" s="197">
        <v>0.27</v>
      </c>
    </row>
    <row r="197" spans="1:4" ht="14.25">
      <c r="A197" s="201">
        <v>26591</v>
      </c>
      <c r="B197" s="201" t="s">
        <v>12517</v>
      </c>
      <c r="C197" s="196" t="s">
        <v>7</v>
      </c>
      <c r="D197" s="197">
        <v>0.08</v>
      </c>
    </row>
    <row r="198" spans="1:4" ht="14.25">
      <c r="A198" s="201">
        <v>26592</v>
      </c>
      <c r="B198" s="201" t="s">
        <v>12518</v>
      </c>
      <c r="C198" s="196" t="s">
        <v>7</v>
      </c>
      <c r="D198" s="197">
        <v>0.18</v>
      </c>
    </row>
    <row r="199" spans="1:4" ht="15">
      <c r="A199" s="200">
        <v>266</v>
      </c>
      <c r="B199" s="333" t="s">
        <v>1080</v>
      </c>
      <c r="C199" s="334"/>
      <c r="D199" s="334"/>
    </row>
    <row r="200" spans="1:4" ht="28.5">
      <c r="A200" s="201">
        <v>26607</v>
      </c>
      <c r="B200" s="201" t="s">
        <v>1081</v>
      </c>
      <c r="C200" s="196" t="s">
        <v>7</v>
      </c>
      <c r="D200" s="197">
        <v>1.91</v>
      </c>
    </row>
    <row r="201" spans="1:4" ht="28.5">
      <c r="A201" s="201">
        <v>26610</v>
      </c>
      <c r="B201" s="201" t="s">
        <v>1082</v>
      </c>
      <c r="C201" s="196" t="s">
        <v>7</v>
      </c>
      <c r="D201" s="197">
        <v>0.5</v>
      </c>
    </row>
    <row r="202" spans="1:4" ht="14.25">
      <c r="A202" s="201">
        <v>26612</v>
      </c>
      <c r="B202" s="201" t="s">
        <v>1083</v>
      </c>
      <c r="C202" s="196" t="s">
        <v>7</v>
      </c>
      <c r="D202" s="197">
        <v>0.7</v>
      </c>
    </row>
    <row r="203" spans="1:4" ht="14.25">
      <c r="A203" s="201">
        <v>26617</v>
      </c>
      <c r="B203" s="201" t="s">
        <v>1084</v>
      </c>
      <c r="C203" s="196" t="s">
        <v>6</v>
      </c>
      <c r="D203" s="197">
        <v>19.45</v>
      </c>
    </row>
    <row r="204" spans="1:4" ht="14.25">
      <c r="A204" s="201">
        <v>26618</v>
      </c>
      <c r="B204" s="201" t="s">
        <v>1085</v>
      </c>
      <c r="C204" s="196" t="s">
        <v>7</v>
      </c>
      <c r="D204" s="197">
        <v>23.07</v>
      </c>
    </row>
    <row r="205" spans="1:4" ht="14.25">
      <c r="A205" s="201">
        <v>26648</v>
      </c>
      <c r="B205" s="201" t="s">
        <v>1086</v>
      </c>
      <c r="C205" s="196" t="s">
        <v>7</v>
      </c>
      <c r="D205" s="197">
        <v>0.28000000000000003</v>
      </c>
    </row>
    <row r="206" spans="1:4" ht="14.25">
      <c r="A206" s="201">
        <v>26664</v>
      </c>
      <c r="B206" s="201" t="s">
        <v>12519</v>
      </c>
      <c r="C206" s="196" t="s">
        <v>7</v>
      </c>
      <c r="D206" s="197">
        <v>0.4</v>
      </c>
    </row>
    <row r="207" spans="1:4" ht="28.5">
      <c r="A207" s="201">
        <v>26668</v>
      </c>
      <c r="B207" s="201" t="s">
        <v>1087</v>
      </c>
      <c r="C207" s="196" t="s">
        <v>7</v>
      </c>
      <c r="D207" s="197">
        <v>82.59</v>
      </c>
    </row>
    <row r="208" spans="1:4" ht="28.5">
      <c r="A208" s="201">
        <v>26669</v>
      </c>
      <c r="B208" s="201" t="s">
        <v>1088</v>
      </c>
      <c r="C208" s="196" t="s">
        <v>7</v>
      </c>
      <c r="D208" s="197">
        <v>15.1</v>
      </c>
    </row>
    <row r="209" spans="1:4" ht="28.5">
      <c r="A209" s="201">
        <v>26670</v>
      </c>
      <c r="B209" s="201" t="s">
        <v>1089</v>
      </c>
      <c r="C209" s="196" t="s">
        <v>7</v>
      </c>
      <c r="D209" s="197">
        <v>200.3</v>
      </c>
    </row>
    <row r="210" spans="1:4" ht="28.5">
      <c r="A210" s="201">
        <v>26671</v>
      </c>
      <c r="B210" s="201" t="s">
        <v>1090</v>
      </c>
      <c r="C210" s="196" t="s">
        <v>7</v>
      </c>
      <c r="D210" s="197">
        <v>91.16</v>
      </c>
    </row>
    <row r="211" spans="1:4" ht="14.25">
      <c r="A211" s="201">
        <v>26675</v>
      </c>
      <c r="B211" s="201" t="s">
        <v>1091</v>
      </c>
      <c r="C211" s="196" t="s">
        <v>7</v>
      </c>
      <c r="D211" s="197">
        <v>0.54</v>
      </c>
    </row>
    <row r="212" spans="1:4" ht="14.25">
      <c r="A212" s="201">
        <v>26678</v>
      </c>
      <c r="B212" s="201" t="s">
        <v>1092</v>
      </c>
      <c r="C212" s="196" t="s">
        <v>7</v>
      </c>
      <c r="D212" s="197">
        <v>0.44</v>
      </c>
    </row>
    <row r="213" spans="1:4" ht="15">
      <c r="A213" s="200">
        <v>267</v>
      </c>
      <c r="B213" s="333" t="s">
        <v>1080</v>
      </c>
      <c r="C213" s="334"/>
      <c r="D213" s="334"/>
    </row>
    <row r="214" spans="1:4" ht="28.5">
      <c r="A214" s="201">
        <v>26714</v>
      </c>
      <c r="B214" s="201" t="s">
        <v>14966</v>
      </c>
      <c r="C214" s="196" t="s">
        <v>7</v>
      </c>
      <c r="D214" s="197">
        <v>16.66</v>
      </c>
    </row>
    <row r="215" spans="1:4" ht="15">
      <c r="A215" s="200">
        <v>268</v>
      </c>
      <c r="B215" s="333" t="s">
        <v>1080</v>
      </c>
      <c r="C215" s="334"/>
      <c r="D215" s="334"/>
    </row>
    <row r="216" spans="1:4" ht="28.5">
      <c r="A216" s="201">
        <v>26877</v>
      </c>
      <c r="B216" s="201" t="s">
        <v>1093</v>
      </c>
      <c r="C216" s="196" t="s">
        <v>7</v>
      </c>
      <c r="D216" s="197">
        <v>0.54</v>
      </c>
    </row>
    <row r="217" spans="1:4" ht="14.25">
      <c r="A217" s="201">
        <v>26879</v>
      </c>
      <c r="B217" s="201" t="s">
        <v>1094</v>
      </c>
      <c r="C217" s="196" t="s">
        <v>7</v>
      </c>
      <c r="D217" s="197">
        <v>0.46</v>
      </c>
    </row>
    <row r="218" spans="1:4" ht="14.25">
      <c r="A218" s="201">
        <v>26894</v>
      </c>
      <c r="B218" s="201" t="s">
        <v>1095</v>
      </c>
      <c r="C218" s="196" t="s">
        <v>7</v>
      </c>
      <c r="D218" s="197">
        <v>0.15</v>
      </c>
    </row>
    <row r="219" spans="1:4" ht="15">
      <c r="A219" s="200">
        <v>269</v>
      </c>
      <c r="B219" s="333" t="s">
        <v>1096</v>
      </c>
      <c r="C219" s="334"/>
      <c r="D219" s="334"/>
    </row>
    <row r="220" spans="1:4" ht="14.25">
      <c r="A220" s="201">
        <v>26917</v>
      </c>
      <c r="B220" s="201" t="s">
        <v>14967</v>
      </c>
      <c r="C220" s="196" t="s">
        <v>7</v>
      </c>
      <c r="D220" s="197">
        <v>90.12</v>
      </c>
    </row>
    <row r="221" spans="1:4" ht="14.25">
      <c r="A221" s="201">
        <v>26972</v>
      </c>
      <c r="B221" s="201" t="s">
        <v>1097</v>
      </c>
      <c r="C221" s="196" t="s">
        <v>7</v>
      </c>
      <c r="D221" s="197">
        <v>32.29</v>
      </c>
    </row>
    <row r="222" spans="1:4" ht="15">
      <c r="A222" s="200">
        <v>270</v>
      </c>
      <c r="B222" s="333" t="s">
        <v>1098</v>
      </c>
      <c r="C222" s="334"/>
      <c r="D222" s="334"/>
    </row>
    <row r="223" spans="1:4" ht="14.25">
      <c r="A223" s="201">
        <v>27002</v>
      </c>
      <c r="B223" s="201" t="s">
        <v>1099</v>
      </c>
      <c r="C223" s="196" t="s">
        <v>8</v>
      </c>
      <c r="D223" s="197">
        <v>15.88</v>
      </c>
    </row>
    <row r="224" spans="1:4" ht="14.25">
      <c r="A224" s="201">
        <v>27003</v>
      </c>
      <c r="B224" s="201" t="s">
        <v>1100</v>
      </c>
      <c r="C224" s="196" t="s">
        <v>8</v>
      </c>
      <c r="D224" s="197">
        <v>16.04</v>
      </c>
    </row>
    <row r="225" spans="1:4" ht="14.25">
      <c r="A225" s="201">
        <v>27004</v>
      </c>
      <c r="B225" s="201" t="s">
        <v>1101</v>
      </c>
      <c r="C225" s="196" t="s">
        <v>8</v>
      </c>
      <c r="D225" s="197">
        <v>18.21</v>
      </c>
    </row>
    <row r="226" spans="1:4" ht="14.25">
      <c r="A226" s="201">
        <v>27005</v>
      </c>
      <c r="B226" s="201" t="s">
        <v>1102</v>
      </c>
      <c r="C226" s="196" t="s">
        <v>8</v>
      </c>
      <c r="D226" s="197">
        <v>19.09</v>
      </c>
    </row>
    <row r="227" spans="1:4" ht="14.25">
      <c r="A227" s="201">
        <v>27006</v>
      </c>
      <c r="B227" s="201" t="s">
        <v>1103</v>
      </c>
      <c r="C227" s="196" t="s">
        <v>8</v>
      </c>
      <c r="D227" s="197">
        <v>22.36</v>
      </c>
    </row>
    <row r="228" spans="1:4" ht="14.25">
      <c r="A228" s="201">
        <v>27010</v>
      </c>
      <c r="B228" s="201" t="s">
        <v>1104</v>
      </c>
      <c r="C228" s="196" t="s">
        <v>8</v>
      </c>
      <c r="D228" s="197">
        <v>14.52</v>
      </c>
    </row>
    <row r="229" spans="1:4" ht="14.25">
      <c r="A229" s="201">
        <v>27020</v>
      </c>
      <c r="B229" s="201" t="s">
        <v>1105</v>
      </c>
      <c r="C229" s="196" t="s">
        <v>6</v>
      </c>
      <c r="D229" s="197">
        <v>0.5</v>
      </c>
    </row>
    <row r="230" spans="1:4" ht="14.25">
      <c r="A230" s="201">
        <v>27022</v>
      </c>
      <c r="B230" s="201" t="s">
        <v>1106</v>
      </c>
      <c r="C230" s="196" t="s">
        <v>6</v>
      </c>
      <c r="D230" s="197">
        <v>0.98</v>
      </c>
    </row>
    <row r="231" spans="1:4" ht="15">
      <c r="A231" s="200">
        <v>275</v>
      </c>
      <c r="B231" s="333" t="s">
        <v>1107</v>
      </c>
      <c r="C231" s="334"/>
      <c r="D231" s="334"/>
    </row>
    <row r="232" spans="1:4" ht="14.25">
      <c r="A232" s="201">
        <v>27504</v>
      </c>
      <c r="B232" s="201" t="s">
        <v>1108</v>
      </c>
      <c r="C232" s="196" t="s">
        <v>7</v>
      </c>
      <c r="D232" s="197">
        <v>63.07</v>
      </c>
    </row>
    <row r="233" spans="1:4" ht="28.5">
      <c r="A233" s="201">
        <v>27520</v>
      </c>
      <c r="B233" s="201" t="s">
        <v>1109</v>
      </c>
      <c r="C233" s="196" t="s">
        <v>9</v>
      </c>
      <c r="D233" s="197">
        <v>18.45</v>
      </c>
    </row>
    <row r="234" spans="1:4" ht="14.25">
      <c r="A234" s="201">
        <v>27532</v>
      </c>
      <c r="B234" s="201" t="s">
        <v>1110</v>
      </c>
      <c r="C234" s="196" t="s">
        <v>9</v>
      </c>
      <c r="D234" s="197">
        <v>100.86</v>
      </c>
    </row>
    <row r="235" spans="1:4" ht="28.5">
      <c r="A235" s="201">
        <v>27546</v>
      </c>
      <c r="B235" s="201" t="s">
        <v>1111</v>
      </c>
      <c r="C235" s="196" t="s">
        <v>9</v>
      </c>
      <c r="D235" s="197">
        <v>52.53</v>
      </c>
    </row>
    <row r="236" spans="1:4" ht="15">
      <c r="A236" s="200">
        <v>276</v>
      </c>
      <c r="B236" s="333" t="s">
        <v>1112</v>
      </c>
      <c r="C236" s="334"/>
      <c r="D236" s="334"/>
    </row>
    <row r="237" spans="1:4" ht="28.5">
      <c r="A237" s="201">
        <v>27602</v>
      </c>
      <c r="B237" s="201" t="s">
        <v>1113</v>
      </c>
      <c r="C237" s="196" t="s">
        <v>9</v>
      </c>
      <c r="D237" s="197">
        <v>36.25</v>
      </c>
    </row>
    <row r="238" spans="1:4" ht="28.5">
      <c r="A238" s="201">
        <v>27666</v>
      </c>
      <c r="B238" s="201" t="s">
        <v>1114</v>
      </c>
      <c r="C238" s="196" t="s">
        <v>9</v>
      </c>
      <c r="D238" s="197">
        <v>66.87</v>
      </c>
    </row>
    <row r="239" spans="1:4" ht="28.5">
      <c r="A239" s="201">
        <v>27676</v>
      </c>
      <c r="B239" s="201" t="s">
        <v>1115</v>
      </c>
      <c r="C239" s="196" t="s">
        <v>9</v>
      </c>
      <c r="D239" s="197">
        <v>93.19</v>
      </c>
    </row>
    <row r="240" spans="1:4" ht="28.5">
      <c r="A240" s="201">
        <v>27677</v>
      </c>
      <c r="B240" s="201" t="s">
        <v>1116</v>
      </c>
      <c r="C240" s="196" t="s">
        <v>9</v>
      </c>
      <c r="D240" s="197">
        <v>14.97</v>
      </c>
    </row>
    <row r="241" spans="1:4" ht="28.5">
      <c r="A241" s="201">
        <v>27678</v>
      </c>
      <c r="B241" s="201" t="s">
        <v>1117</v>
      </c>
      <c r="C241" s="196" t="s">
        <v>9</v>
      </c>
      <c r="D241" s="197">
        <v>34.659999999999997</v>
      </c>
    </row>
    <row r="242" spans="1:4" ht="28.5">
      <c r="A242" s="201">
        <v>27679</v>
      </c>
      <c r="B242" s="201" t="s">
        <v>1118</v>
      </c>
      <c r="C242" s="196" t="s">
        <v>9</v>
      </c>
      <c r="D242" s="197">
        <v>129.43</v>
      </c>
    </row>
    <row r="243" spans="1:4" ht="28.5">
      <c r="A243" s="201">
        <v>27680</v>
      </c>
      <c r="B243" s="201" t="s">
        <v>1119</v>
      </c>
      <c r="C243" s="196" t="s">
        <v>9</v>
      </c>
      <c r="D243" s="197">
        <v>87.72</v>
      </c>
    </row>
    <row r="244" spans="1:4" ht="15">
      <c r="A244" s="200">
        <v>280</v>
      </c>
      <c r="B244" s="333" t="s">
        <v>1120</v>
      </c>
      <c r="C244" s="334"/>
      <c r="D244" s="334"/>
    </row>
    <row r="245" spans="1:4" ht="14.25">
      <c r="A245" s="201">
        <v>28001</v>
      </c>
      <c r="B245" s="201" t="s">
        <v>1121</v>
      </c>
      <c r="C245" s="196" t="s">
        <v>12</v>
      </c>
      <c r="D245" s="197">
        <v>46.25</v>
      </c>
    </row>
    <row r="246" spans="1:4" ht="28.5">
      <c r="A246" s="201">
        <v>28004</v>
      </c>
      <c r="B246" s="201" t="s">
        <v>1122</v>
      </c>
      <c r="C246" s="196" t="s">
        <v>7</v>
      </c>
      <c r="D246" s="197">
        <v>104.65</v>
      </c>
    </row>
    <row r="247" spans="1:4" ht="28.5">
      <c r="A247" s="201">
        <v>28005</v>
      </c>
      <c r="B247" s="201" t="s">
        <v>1123</v>
      </c>
      <c r="C247" s="196" t="s">
        <v>8</v>
      </c>
      <c r="D247" s="197">
        <v>27.28</v>
      </c>
    </row>
    <row r="248" spans="1:4" ht="14.25">
      <c r="A248" s="201">
        <v>28008</v>
      </c>
      <c r="B248" s="201" t="s">
        <v>1124</v>
      </c>
      <c r="C248" s="196" t="s">
        <v>17</v>
      </c>
      <c r="D248" s="197">
        <v>17.25</v>
      </c>
    </row>
    <row r="249" spans="1:4" ht="28.5">
      <c r="A249" s="201">
        <v>28028</v>
      </c>
      <c r="B249" s="201" t="s">
        <v>1125</v>
      </c>
      <c r="C249" s="196" t="s">
        <v>6</v>
      </c>
      <c r="D249" s="197">
        <v>10.09</v>
      </c>
    </row>
    <row r="250" spans="1:4" ht="14.25">
      <c r="A250" s="201">
        <v>28056</v>
      </c>
      <c r="B250" s="201" t="s">
        <v>1126</v>
      </c>
      <c r="C250" s="196" t="s">
        <v>6</v>
      </c>
      <c r="D250" s="197">
        <v>2.4700000000000002</v>
      </c>
    </row>
    <row r="251" spans="1:4" ht="14.25">
      <c r="A251" s="201">
        <v>28067</v>
      </c>
      <c r="B251" s="201" t="s">
        <v>1127</v>
      </c>
      <c r="C251" s="196" t="s">
        <v>6</v>
      </c>
      <c r="D251" s="197">
        <v>6.65</v>
      </c>
    </row>
    <row r="252" spans="1:4" ht="14.25">
      <c r="A252" s="201">
        <v>28068</v>
      </c>
      <c r="B252" s="201" t="s">
        <v>1128</v>
      </c>
      <c r="C252" s="196" t="s">
        <v>6</v>
      </c>
      <c r="D252" s="197">
        <v>7.55</v>
      </c>
    </row>
    <row r="253" spans="1:4" ht="15">
      <c r="A253" s="200">
        <v>281</v>
      </c>
      <c r="B253" s="333" t="s">
        <v>1129</v>
      </c>
      <c r="C253" s="334"/>
      <c r="D253" s="334"/>
    </row>
    <row r="254" spans="1:4" ht="14.25">
      <c r="A254" s="201">
        <v>28125</v>
      </c>
      <c r="B254" s="201" t="s">
        <v>1130</v>
      </c>
      <c r="C254" s="196" t="s">
        <v>6</v>
      </c>
      <c r="D254" s="197">
        <v>10.71</v>
      </c>
    </row>
    <row r="255" spans="1:4" ht="42.75">
      <c r="A255" s="201">
        <v>28183</v>
      </c>
      <c r="B255" s="201" t="s">
        <v>18921</v>
      </c>
      <c r="C255" s="196" t="s">
        <v>7</v>
      </c>
      <c r="D255" s="197">
        <v>378.81</v>
      </c>
    </row>
    <row r="256" spans="1:4" ht="15">
      <c r="A256" s="200">
        <v>282</v>
      </c>
      <c r="B256" s="333" t="s">
        <v>1129</v>
      </c>
      <c r="C256" s="334"/>
      <c r="D256" s="334"/>
    </row>
    <row r="257" spans="1:4" ht="28.5">
      <c r="A257" s="201">
        <v>28267</v>
      </c>
      <c r="B257" s="201" t="s">
        <v>14968</v>
      </c>
      <c r="C257" s="196" t="s">
        <v>7</v>
      </c>
      <c r="D257" s="197">
        <v>94.32</v>
      </c>
    </row>
    <row r="258" spans="1:4" ht="14.25">
      <c r="A258" s="201">
        <v>28270</v>
      </c>
      <c r="B258" s="201" t="s">
        <v>1131</v>
      </c>
      <c r="C258" s="196" t="s">
        <v>6</v>
      </c>
      <c r="D258" s="197">
        <v>0.23</v>
      </c>
    </row>
    <row r="259" spans="1:4" ht="28.5">
      <c r="A259" s="201">
        <v>28273</v>
      </c>
      <c r="B259" s="201" t="s">
        <v>14969</v>
      </c>
      <c r="C259" s="196" t="s">
        <v>7</v>
      </c>
      <c r="D259" s="197">
        <v>136.88999999999999</v>
      </c>
    </row>
    <row r="260" spans="1:4" ht="15">
      <c r="A260" s="200">
        <v>290</v>
      </c>
      <c r="B260" s="333" t="s">
        <v>1129</v>
      </c>
      <c r="C260" s="334"/>
      <c r="D260" s="334"/>
    </row>
    <row r="261" spans="1:4" ht="14.25">
      <c r="A261" s="201">
        <v>29028</v>
      </c>
      <c r="B261" s="201" t="s">
        <v>12520</v>
      </c>
      <c r="C261" s="196" t="s">
        <v>7</v>
      </c>
      <c r="D261" s="197">
        <v>749.81</v>
      </c>
    </row>
    <row r="262" spans="1:4" ht="14.25">
      <c r="A262" s="201">
        <v>29050</v>
      </c>
      <c r="B262" s="201" t="s">
        <v>1132</v>
      </c>
      <c r="C262" s="196" t="s">
        <v>7</v>
      </c>
      <c r="D262" s="197">
        <v>31.96</v>
      </c>
    </row>
    <row r="263" spans="1:4" ht="28.5">
      <c r="A263" s="201">
        <v>29093</v>
      </c>
      <c r="B263" s="201" t="s">
        <v>1133</v>
      </c>
      <c r="C263" s="196" t="s">
        <v>7</v>
      </c>
      <c r="D263" s="197">
        <v>1.92</v>
      </c>
    </row>
    <row r="264" spans="1:4" ht="28.5">
      <c r="A264" s="201">
        <v>29094</v>
      </c>
      <c r="B264" s="201" t="s">
        <v>1134</v>
      </c>
      <c r="C264" s="196" t="s">
        <v>7</v>
      </c>
      <c r="D264" s="197">
        <v>31</v>
      </c>
    </row>
    <row r="265" spans="1:4" ht="15">
      <c r="A265" s="200">
        <v>291</v>
      </c>
      <c r="B265" s="333" t="s">
        <v>1129</v>
      </c>
      <c r="C265" s="334"/>
      <c r="D265" s="334"/>
    </row>
    <row r="266" spans="1:4" ht="28.5">
      <c r="A266" s="201">
        <v>29156</v>
      </c>
      <c r="B266" s="201" t="s">
        <v>14970</v>
      </c>
      <c r="C266" s="196" t="s">
        <v>7</v>
      </c>
      <c r="D266" s="197">
        <v>119.39</v>
      </c>
    </row>
    <row r="267" spans="1:4" ht="15">
      <c r="A267" s="200">
        <v>292</v>
      </c>
      <c r="B267" s="333" t="s">
        <v>1129</v>
      </c>
      <c r="C267" s="334"/>
      <c r="D267" s="334"/>
    </row>
    <row r="268" spans="1:4" ht="28.5">
      <c r="A268" s="201">
        <v>29204</v>
      </c>
      <c r="B268" s="201" t="s">
        <v>14971</v>
      </c>
      <c r="C268" s="196" t="s">
        <v>6</v>
      </c>
      <c r="D268" s="197">
        <v>0.43</v>
      </c>
    </row>
    <row r="269" spans="1:4" ht="28.5">
      <c r="A269" s="201">
        <v>29220</v>
      </c>
      <c r="B269" s="201" t="s">
        <v>14972</v>
      </c>
      <c r="C269" s="196" t="s">
        <v>7</v>
      </c>
      <c r="D269" s="197">
        <v>130.33000000000001</v>
      </c>
    </row>
    <row r="270" spans="1:4" ht="28.5">
      <c r="A270" s="201">
        <v>29221</v>
      </c>
      <c r="B270" s="201" t="s">
        <v>14973</v>
      </c>
      <c r="C270" s="196" t="s">
        <v>7</v>
      </c>
      <c r="D270" s="197">
        <v>111.29</v>
      </c>
    </row>
    <row r="271" spans="1:4" ht="15">
      <c r="A271" s="200">
        <v>293</v>
      </c>
      <c r="B271" s="333" t="s">
        <v>1120</v>
      </c>
      <c r="C271" s="334"/>
      <c r="D271" s="334"/>
    </row>
    <row r="272" spans="1:4" ht="42.75">
      <c r="A272" s="201">
        <v>29337</v>
      </c>
      <c r="B272" s="201" t="s">
        <v>1135</v>
      </c>
      <c r="C272" s="196" t="s">
        <v>7</v>
      </c>
      <c r="D272" s="197">
        <v>55.17</v>
      </c>
    </row>
    <row r="273" spans="1:4" ht="15">
      <c r="A273" s="200">
        <v>3</v>
      </c>
      <c r="B273" s="333" t="s">
        <v>1136</v>
      </c>
      <c r="C273" s="334"/>
      <c r="D273" s="334"/>
    </row>
    <row r="274" spans="1:4" ht="15">
      <c r="A274" s="200">
        <v>301</v>
      </c>
      <c r="B274" s="333" t="s">
        <v>1137</v>
      </c>
      <c r="C274" s="334"/>
      <c r="D274" s="334"/>
    </row>
    <row r="275" spans="1:4" ht="14.25">
      <c r="A275" s="201">
        <v>30106</v>
      </c>
      <c r="B275" s="201" t="s">
        <v>1138</v>
      </c>
      <c r="C275" s="196" t="s">
        <v>6</v>
      </c>
      <c r="D275" s="197">
        <v>16.2</v>
      </c>
    </row>
    <row r="276" spans="1:4" ht="28.5">
      <c r="A276" s="201">
        <v>30152</v>
      </c>
      <c r="B276" s="201" t="s">
        <v>1139</v>
      </c>
      <c r="C276" s="196" t="s">
        <v>7</v>
      </c>
      <c r="D276" s="197">
        <v>283.33</v>
      </c>
    </row>
    <row r="277" spans="1:4" ht="28.5">
      <c r="A277" s="201">
        <v>30172</v>
      </c>
      <c r="B277" s="201" t="s">
        <v>1140</v>
      </c>
      <c r="C277" s="196" t="s">
        <v>7</v>
      </c>
      <c r="D277" s="197">
        <v>325</v>
      </c>
    </row>
    <row r="278" spans="1:4" ht="28.5">
      <c r="A278" s="201">
        <v>30173</v>
      </c>
      <c r="B278" s="201" t="s">
        <v>1141</v>
      </c>
      <c r="C278" s="196" t="s">
        <v>7</v>
      </c>
      <c r="D278" s="197">
        <v>306.5</v>
      </c>
    </row>
    <row r="279" spans="1:4" ht="28.5">
      <c r="A279" s="201">
        <v>30174</v>
      </c>
      <c r="B279" s="201" t="s">
        <v>1142</v>
      </c>
      <c r="C279" s="196" t="s">
        <v>7</v>
      </c>
      <c r="D279" s="197">
        <v>306.5</v>
      </c>
    </row>
    <row r="280" spans="1:4" ht="28.5">
      <c r="A280" s="201">
        <v>30175</v>
      </c>
      <c r="B280" s="201" t="s">
        <v>1143</v>
      </c>
      <c r="C280" s="196" t="s">
        <v>7</v>
      </c>
      <c r="D280" s="197">
        <v>306.5</v>
      </c>
    </row>
    <row r="281" spans="1:4" ht="14.25">
      <c r="A281" s="201">
        <v>30191</v>
      </c>
      <c r="B281" s="201" t="s">
        <v>1144</v>
      </c>
      <c r="C281" s="196" t="s">
        <v>6</v>
      </c>
      <c r="D281" s="197">
        <v>60.1</v>
      </c>
    </row>
    <row r="282" spans="1:4" ht="15">
      <c r="A282" s="200">
        <v>302</v>
      </c>
      <c r="B282" s="333" t="s">
        <v>1145</v>
      </c>
      <c r="C282" s="334"/>
      <c r="D282" s="334"/>
    </row>
    <row r="283" spans="1:4" ht="28.5">
      <c r="A283" s="201">
        <v>30202</v>
      </c>
      <c r="B283" s="201" t="s">
        <v>1146</v>
      </c>
      <c r="C283" s="196" t="s">
        <v>7</v>
      </c>
      <c r="D283" s="197">
        <v>198.92</v>
      </c>
    </row>
    <row r="284" spans="1:4" ht="28.5">
      <c r="A284" s="201">
        <v>30210</v>
      </c>
      <c r="B284" s="201" t="s">
        <v>1147</v>
      </c>
      <c r="C284" s="196" t="s">
        <v>7</v>
      </c>
      <c r="D284" s="197">
        <v>226</v>
      </c>
    </row>
    <row r="285" spans="1:4" ht="28.5">
      <c r="A285" s="201">
        <v>30211</v>
      </c>
      <c r="B285" s="201" t="s">
        <v>1148</v>
      </c>
      <c r="C285" s="196" t="s">
        <v>7</v>
      </c>
      <c r="D285" s="197">
        <v>234.33</v>
      </c>
    </row>
    <row r="286" spans="1:4" ht="28.5">
      <c r="A286" s="201">
        <v>30212</v>
      </c>
      <c r="B286" s="201" t="s">
        <v>1149</v>
      </c>
      <c r="C286" s="196" t="s">
        <v>7</v>
      </c>
      <c r="D286" s="197">
        <v>241</v>
      </c>
    </row>
    <row r="287" spans="1:4" ht="28.5">
      <c r="A287" s="201">
        <v>30213</v>
      </c>
      <c r="B287" s="201" t="s">
        <v>1150</v>
      </c>
      <c r="C287" s="196" t="s">
        <v>7</v>
      </c>
      <c r="D287" s="197">
        <v>310</v>
      </c>
    </row>
    <row r="288" spans="1:4" ht="28.5">
      <c r="A288" s="201">
        <v>30217</v>
      </c>
      <c r="B288" s="201" t="s">
        <v>1151</v>
      </c>
      <c r="C288" s="196" t="s">
        <v>7</v>
      </c>
      <c r="D288" s="197">
        <v>283.33</v>
      </c>
    </row>
    <row r="289" spans="1:4" ht="28.5">
      <c r="A289" s="201">
        <v>30233</v>
      </c>
      <c r="B289" s="201" t="s">
        <v>1152</v>
      </c>
      <c r="C289" s="196" t="s">
        <v>7</v>
      </c>
      <c r="D289" s="197">
        <v>283.33</v>
      </c>
    </row>
    <row r="290" spans="1:4" ht="14.25">
      <c r="A290" s="201">
        <v>30257</v>
      </c>
      <c r="B290" s="201" t="s">
        <v>1153</v>
      </c>
      <c r="C290" s="196" t="s">
        <v>7</v>
      </c>
      <c r="D290" s="197">
        <v>841.5</v>
      </c>
    </row>
    <row r="291" spans="1:4" ht="28.5">
      <c r="A291" s="201">
        <v>30261</v>
      </c>
      <c r="B291" s="201" t="s">
        <v>1154</v>
      </c>
      <c r="C291" s="196" t="s">
        <v>7</v>
      </c>
      <c r="D291" s="197">
        <v>745.25</v>
      </c>
    </row>
    <row r="292" spans="1:4" ht="28.5">
      <c r="A292" s="201">
        <v>30263</v>
      </c>
      <c r="B292" s="201" t="s">
        <v>1155</v>
      </c>
      <c r="C292" s="196" t="s">
        <v>7</v>
      </c>
      <c r="D292" s="197">
        <v>922.75</v>
      </c>
    </row>
    <row r="293" spans="1:4" ht="15">
      <c r="A293" s="200">
        <v>303</v>
      </c>
      <c r="B293" s="333" t="s">
        <v>1145</v>
      </c>
      <c r="C293" s="334"/>
      <c r="D293" s="334"/>
    </row>
    <row r="294" spans="1:4" ht="14.25">
      <c r="A294" s="201">
        <v>30358</v>
      </c>
      <c r="B294" s="201" t="s">
        <v>1156</v>
      </c>
      <c r="C294" s="196" t="s">
        <v>6</v>
      </c>
      <c r="D294" s="197">
        <v>23.27</v>
      </c>
    </row>
    <row r="295" spans="1:4" ht="15">
      <c r="A295" s="200">
        <v>304</v>
      </c>
      <c r="B295" s="333" t="s">
        <v>1145</v>
      </c>
      <c r="C295" s="334"/>
      <c r="D295" s="334"/>
    </row>
    <row r="296" spans="1:4" ht="28.5">
      <c r="A296" s="201">
        <v>30460</v>
      </c>
      <c r="B296" s="201" t="s">
        <v>1157</v>
      </c>
      <c r="C296" s="196" t="s">
        <v>7</v>
      </c>
      <c r="D296" s="197">
        <v>283.33</v>
      </c>
    </row>
    <row r="297" spans="1:4" ht="14.25">
      <c r="A297" s="201">
        <v>30496</v>
      </c>
      <c r="B297" s="201" t="s">
        <v>1158</v>
      </c>
      <c r="C297" s="196" t="s">
        <v>6</v>
      </c>
      <c r="D297" s="197">
        <v>24.27</v>
      </c>
    </row>
    <row r="298" spans="1:4" ht="15">
      <c r="A298" s="200">
        <v>306</v>
      </c>
      <c r="B298" s="333" t="s">
        <v>1145</v>
      </c>
      <c r="C298" s="334"/>
      <c r="D298" s="334"/>
    </row>
    <row r="299" spans="1:4" ht="14.25">
      <c r="A299" s="201">
        <v>30665</v>
      </c>
      <c r="B299" s="201" t="s">
        <v>1159</v>
      </c>
      <c r="C299" s="196" t="s">
        <v>6</v>
      </c>
      <c r="D299" s="197">
        <v>42.57</v>
      </c>
    </row>
    <row r="300" spans="1:4" ht="28.5">
      <c r="A300" s="201">
        <v>30675</v>
      </c>
      <c r="B300" s="201" t="s">
        <v>1160</v>
      </c>
      <c r="C300" s="196" t="s">
        <v>7</v>
      </c>
      <c r="D300" s="197">
        <v>460</v>
      </c>
    </row>
    <row r="301" spans="1:4" ht="28.5">
      <c r="A301" s="201">
        <v>30676</v>
      </c>
      <c r="B301" s="201" t="s">
        <v>1161</v>
      </c>
      <c r="C301" s="196" t="s">
        <v>7</v>
      </c>
      <c r="D301" s="197">
        <v>476.67</v>
      </c>
    </row>
    <row r="302" spans="1:4" ht="28.5">
      <c r="A302" s="201">
        <v>30677</v>
      </c>
      <c r="B302" s="201" t="s">
        <v>1162</v>
      </c>
      <c r="C302" s="196" t="s">
        <v>7</v>
      </c>
      <c r="D302" s="197">
        <v>542.66999999999996</v>
      </c>
    </row>
    <row r="303" spans="1:4" ht="15">
      <c r="A303" s="200">
        <v>308</v>
      </c>
      <c r="B303" s="333" t="s">
        <v>1163</v>
      </c>
      <c r="C303" s="334"/>
      <c r="D303" s="334"/>
    </row>
    <row r="304" spans="1:4" ht="28.5">
      <c r="A304" s="201">
        <v>30868</v>
      </c>
      <c r="B304" s="201" t="s">
        <v>1164</v>
      </c>
      <c r="C304" s="196" t="s">
        <v>9</v>
      </c>
      <c r="D304" s="199">
        <v>1109.79</v>
      </c>
    </row>
    <row r="305" spans="1:4" ht="15">
      <c r="A305" s="200">
        <v>309</v>
      </c>
      <c r="B305" s="333" t="s">
        <v>1163</v>
      </c>
      <c r="C305" s="334"/>
      <c r="D305" s="334"/>
    </row>
    <row r="306" spans="1:4" ht="28.5">
      <c r="A306" s="201">
        <v>30951</v>
      </c>
      <c r="B306" s="201" t="s">
        <v>1165</v>
      </c>
      <c r="C306" s="196" t="s">
        <v>9</v>
      </c>
      <c r="D306" s="197">
        <v>474.56</v>
      </c>
    </row>
    <row r="307" spans="1:4" ht="15">
      <c r="A307" s="200">
        <v>310</v>
      </c>
      <c r="B307" s="333" t="s">
        <v>1163</v>
      </c>
      <c r="C307" s="334"/>
      <c r="D307" s="334"/>
    </row>
    <row r="308" spans="1:4" ht="14.25">
      <c r="A308" s="201">
        <v>31012</v>
      </c>
      <c r="B308" s="201" t="s">
        <v>14974</v>
      </c>
      <c r="C308" s="196" t="s">
        <v>7</v>
      </c>
      <c r="D308" s="199">
        <v>1357.67</v>
      </c>
    </row>
    <row r="309" spans="1:4" ht="15">
      <c r="A309" s="200">
        <v>311</v>
      </c>
      <c r="B309" s="333" t="s">
        <v>1163</v>
      </c>
      <c r="C309" s="334"/>
      <c r="D309" s="334"/>
    </row>
    <row r="310" spans="1:4" ht="14.25">
      <c r="A310" s="201">
        <v>31124</v>
      </c>
      <c r="B310" s="201" t="s">
        <v>14975</v>
      </c>
      <c r="C310" s="196" t="s">
        <v>7</v>
      </c>
      <c r="D310" s="199">
        <v>1362.89</v>
      </c>
    </row>
    <row r="311" spans="1:4" ht="15">
      <c r="A311" s="200">
        <v>312</v>
      </c>
      <c r="B311" s="333" t="s">
        <v>1163</v>
      </c>
      <c r="C311" s="334"/>
      <c r="D311" s="334"/>
    </row>
    <row r="312" spans="1:4" ht="14.25">
      <c r="A312" s="201">
        <v>31242</v>
      </c>
      <c r="B312" s="201" t="s">
        <v>14976</v>
      </c>
      <c r="C312" s="196" t="s">
        <v>7</v>
      </c>
      <c r="D312" s="199">
        <v>1632</v>
      </c>
    </row>
    <row r="313" spans="1:4" ht="15">
      <c r="A313" s="200">
        <v>314</v>
      </c>
      <c r="B313" s="333" t="s">
        <v>1163</v>
      </c>
      <c r="C313" s="334"/>
      <c r="D313" s="334"/>
    </row>
    <row r="314" spans="1:4" ht="28.5">
      <c r="A314" s="201">
        <v>31443</v>
      </c>
      <c r="B314" s="201" t="s">
        <v>1166</v>
      </c>
      <c r="C314" s="196" t="s">
        <v>9</v>
      </c>
      <c r="D314" s="197">
        <v>535.23</v>
      </c>
    </row>
    <row r="315" spans="1:4" ht="15">
      <c r="A315" s="200">
        <v>315</v>
      </c>
      <c r="B315" s="333" t="s">
        <v>1167</v>
      </c>
      <c r="C315" s="334"/>
      <c r="D315" s="334"/>
    </row>
    <row r="316" spans="1:4" ht="14.25">
      <c r="A316" s="201">
        <v>31507</v>
      </c>
      <c r="B316" s="201" t="s">
        <v>1168</v>
      </c>
      <c r="C316" s="196" t="s">
        <v>7</v>
      </c>
      <c r="D316" s="197">
        <v>269.22000000000003</v>
      </c>
    </row>
    <row r="317" spans="1:4" ht="14.25">
      <c r="A317" s="201">
        <v>31508</v>
      </c>
      <c r="B317" s="201" t="s">
        <v>1169</v>
      </c>
      <c r="C317" s="196" t="s">
        <v>7</v>
      </c>
      <c r="D317" s="197">
        <v>372.71</v>
      </c>
    </row>
    <row r="318" spans="1:4" ht="14.25">
      <c r="A318" s="201">
        <v>31511</v>
      </c>
      <c r="B318" s="201" t="s">
        <v>1170</v>
      </c>
      <c r="C318" s="196" t="s">
        <v>7</v>
      </c>
      <c r="D318" s="197">
        <v>5.6</v>
      </c>
    </row>
    <row r="319" spans="1:4" ht="14.25">
      <c r="A319" s="201">
        <v>31515</v>
      </c>
      <c r="B319" s="201" t="s">
        <v>1171</v>
      </c>
      <c r="C319" s="196" t="s">
        <v>7</v>
      </c>
      <c r="D319" s="197">
        <v>85.79</v>
      </c>
    </row>
    <row r="320" spans="1:4" ht="14.25">
      <c r="A320" s="201">
        <v>31516</v>
      </c>
      <c r="B320" s="201" t="s">
        <v>1172</v>
      </c>
      <c r="C320" s="196" t="s">
        <v>7</v>
      </c>
      <c r="D320" s="197">
        <v>4.2699999999999996</v>
      </c>
    </row>
    <row r="321" spans="1:4" ht="14.25">
      <c r="A321" s="201">
        <v>31517</v>
      </c>
      <c r="B321" s="201" t="s">
        <v>1173</v>
      </c>
      <c r="C321" s="196" t="s">
        <v>7</v>
      </c>
      <c r="D321" s="197">
        <v>93.56</v>
      </c>
    </row>
    <row r="322" spans="1:4" ht="28.5">
      <c r="A322" s="201">
        <v>31518</v>
      </c>
      <c r="B322" s="201" t="s">
        <v>1174</v>
      </c>
      <c r="C322" s="196" t="s">
        <v>7</v>
      </c>
      <c r="D322" s="197">
        <v>71.95</v>
      </c>
    </row>
    <row r="323" spans="1:4" ht="14.25">
      <c r="A323" s="201">
        <v>31519</v>
      </c>
      <c r="B323" s="201" t="s">
        <v>1175</v>
      </c>
      <c r="C323" s="196" t="s">
        <v>7</v>
      </c>
      <c r="D323" s="197">
        <v>35.18</v>
      </c>
    </row>
    <row r="324" spans="1:4" ht="14.25">
      <c r="A324" s="201">
        <v>31548</v>
      </c>
      <c r="B324" s="201" t="s">
        <v>1176</v>
      </c>
      <c r="C324" s="196" t="s">
        <v>7</v>
      </c>
      <c r="D324" s="197">
        <v>22.55</v>
      </c>
    </row>
    <row r="325" spans="1:4" ht="14.25">
      <c r="A325" s="201">
        <v>31570</v>
      </c>
      <c r="B325" s="201" t="s">
        <v>1177</v>
      </c>
      <c r="C325" s="196" t="s">
        <v>7</v>
      </c>
      <c r="D325" s="197">
        <v>5.86</v>
      </c>
    </row>
    <row r="326" spans="1:4" ht="14.25">
      <c r="A326" s="201">
        <v>31571</v>
      </c>
      <c r="B326" s="201" t="s">
        <v>1178</v>
      </c>
      <c r="C326" s="196" t="s">
        <v>7</v>
      </c>
      <c r="D326" s="197">
        <v>10.5</v>
      </c>
    </row>
    <row r="327" spans="1:4" ht="14.25">
      <c r="A327" s="201">
        <v>31581</v>
      </c>
      <c r="B327" s="201" t="s">
        <v>1179</v>
      </c>
      <c r="C327" s="196" t="s">
        <v>7</v>
      </c>
      <c r="D327" s="197">
        <v>59.98</v>
      </c>
    </row>
    <row r="328" spans="1:4" ht="14.25">
      <c r="A328" s="201">
        <v>31584</v>
      </c>
      <c r="B328" s="201" t="s">
        <v>1180</v>
      </c>
      <c r="C328" s="196" t="s">
        <v>7</v>
      </c>
      <c r="D328" s="197">
        <v>14.6</v>
      </c>
    </row>
    <row r="329" spans="1:4" ht="15">
      <c r="A329" s="200">
        <v>316</v>
      </c>
      <c r="B329" s="333" t="s">
        <v>1181</v>
      </c>
      <c r="C329" s="334"/>
      <c r="D329" s="334"/>
    </row>
    <row r="330" spans="1:4" ht="28.5">
      <c r="A330" s="201">
        <v>31601</v>
      </c>
      <c r="B330" s="201" t="s">
        <v>1182</v>
      </c>
      <c r="C330" s="196" t="s">
        <v>7</v>
      </c>
      <c r="D330" s="197">
        <v>36.57</v>
      </c>
    </row>
    <row r="331" spans="1:4" ht="14.25">
      <c r="A331" s="201">
        <v>31647</v>
      </c>
      <c r="B331" s="201" t="s">
        <v>1183</v>
      </c>
      <c r="C331" s="196" t="s">
        <v>7</v>
      </c>
      <c r="D331" s="197">
        <v>40.630000000000003</v>
      </c>
    </row>
    <row r="332" spans="1:4" ht="15">
      <c r="A332" s="200">
        <v>317</v>
      </c>
      <c r="B332" s="333" t="s">
        <v>1163</v>
      </c>
      <c r="C332" s="334"/>
      <c r="D332" s="334"/>
    </row>
    <row r="333" spans="1:4" ht="14.25">
      <c r="A333" s="201">
        <v>31733</v>
      </c>
      <c r="B333" s="201" t="s">
        <v>1184</v>
      </c>
      <c r="C333" s="196" t="s">
        <v>9</v>
      </c>
      <c r="D333" s="197">
        <v>643.91999999999996</v>
      </c>
    </row>
    <row r="334" spans="1:4" ht="15">
      <c r="A334" s="200">
        <v>318</v>
      </c>
      <c r="B334" s="333" t="s">
        <v>1181</v>
      </c>
      <c r="C334" s="334"/>
      <c r="D334" s="334"/>
    </row>
    <row r="335" spans="1:4" ht="28.5">
      <c r="A335" s="201">
        <v>31811</v>
      </c>
      <c r="B335" s="201" t="s">
        <v>1185</v>
      </c>
      <c r="C335" s="196" t="s">
        <v>7</v>
      </c>
      <c r="D335" s="197">
        <v>123.03</v>
      </c>
    </row>
    <row r="336" spans="1:4" ht="28.5">
      <c r="A336" s="201">
        <v>31812</v>
      </c>
      <c r="B336" s="201" t="s">
        <v>1186</v>
      </c>
      <c r="C336" s="196" t="s">
        <v>7</v>
      </c>
      <c r="D336" s="197">
        <v>35.29</v>
      </c>
    </row>
    <row r="337" spans="1:4" ht="28.5">
      <c r="A337" s="201">
        <v>31813</v>
      </c>
      <c r="B337" s="201" t="s">
        <v>1187</v>
      </c>
      <c r="C337" s="196" t="s">
        <v>7</v>
      </c>
      <c r="D337" s="197">
        <v>75.680000000000007</v>
      </c>
    </row>
    <row r="338" spans="1:4" ht="15">
      <c r="A338" s="200">
        <v>320</v>
      </c>
      <c r="B338" s="333" t="s">
        <v>1188</v>
      </c>
      <c r="C338" s="334"/>
      <c r="D338" s="334"/>
    </row>
    <row r="339" spans="1:4" ht="14.25">
      <c r="A339" s="201">
        <v>32001</v>
      </c>
      <c r="B339" s="201" t="s">
        <v>1189</v>
      </c>
      <c r="C339" s="196" t="s">
        <v>9</v>
      </c>
      <c r="D339" s="197">
        <v>65.22</v>
      </c>
    </row>
    <row r="340" spans="1:4" ht="15">
      <c r="A340" s="200">
        <v>321</v>
      </c>
      <c r="B340" s="333" t="s">
        <v>1190</v>
      </c>
      <c r="C340" s="334"/>
      <c r="D340" s="334"/>
    </row>
    <row r="341" spans="1:4" ht="14.25">
      <c r="A341" s="201">
        <v>32147</v>
      </c>
      <c r="B341" s="201" t="s">
        <v>1191</v>
      </c>
      <c r="C341" s="196" t="s">
        <v>9</v>
      </c>
      <c r="D341" s="197">
        <v>69.36</v>
      </c>
    </row>
    <row r="342" spans="1:4" ht="15">
      <c r="A342" s="200">
        <v>322</v>
      </c>
      <c r="B342" s="333" t="s">
        <v>1190</v>
      </c>
      <c r="C342" s="334"/>
      <c r="D342" s="334"/>
    </row>
    <row r="343" spans="1:4" ht="14.25">
      <c r="A343" s="201">
        <v>32219</v>
      </c>
      <c r="B343" s="201" t="s">
        <v>1192</v>
      </c>
      <c r="C343" s="196" t="s">
        <v>9</v>
      </c>
      <c r="D343" s="197">
        <v>169.03</v>
      </c>
    </row>
    <row r="344" spans="1:4" ht="14.25">
      <c r="A344" s="201">
        <v>32223</v>
      </c>
      <c r="B344" s="201" t="s">
        <v>1193</v>
      </c>
      <c r="C344" s="196" t="s">
        <v>9</v>
      </c>
      <c r="D344" s="197">
        <v>69.36</v>
      </c>
    </row>
    <row r="345" spans="1:4" ht="15">
      <c r="A345" s="200">
        <v>325</v>
      </c>
      <c r="B345" s="333" t="s">
        <v>1194</v>
      </c>
      <c r="C345" s="334"/>
      <c r="D345" s="334"/>
    </row>
    <row r="346" spans="1:4" ht="14.25">
      <c r="A346" s="201">
        <v>32502</v>
      </c>
      <c r="B346" s="201" t="s">
        <v>1195</v>
      </c>
      <c r="C346" s="196" t="s">
        <v>9</v>
      </c>
      <c r="D346" s="197">
        <v>384.57</v>
      </c>
    </row>
    <row r="347" spans="1:4" ht="28.5">
      <c r="A347" s="201">
        <v>32505</v>
      </c>
      <c r="B347" s="201" t="s">
        <v>1196</v>
      </c>
      <c r="C347" s="196" t="s">
        <v>9</v>
      </c>
      <c r="D347" s="197">
        <v>247.67</v>
      </c>
    </row>
    <row r="348" spans="1:4" ht="15">
      <c r="A348" s="200">
        <v>332</v>
      </c>
      <c r="B348" s="333" t="s">
        <v>18922</v>
      </c>
      <c r="C348" s="334"/>
      <c r="D348" s="334"/>
    </row>
    <row r="349" spans="1:4" ht="14.25">
      <c r="A349" s="201">
        <v>33245</v>
      </c>
      <c r="B349" s="201" t="s">
        <v>18923</v>
      </c>
      <c r="C349" s="196" t="s">
        <v>7</v>
      </c>
      <c r="D349" s="199">
        <v>2890.53</v>
      </c>
    </row>
    <row r="350" spans="1:4" ht="15">
      <c r="A350" s="200">
        <v>335</v>
      </c>
      <c r="B350" s="333" t="s">
        <v>1197</v>
      </c>
      <c r="C350" s="334"/>
      <c r="D350" s="334"/>
    </row>
    <row r="351" spans="1:4" ht="28.5">
      <c r="A351" s="201">
        <v>33503</v>
      </c>
      <c r="B351" s="201" t="s">
        <v>1198</v>
      </c>
      <c r="C351" s="196" t="s">
        <v>6</v>
      </c>
      <c r="D351" s="197">
        <v>6.57</v>
      </c>
    </row>
    <row r="352" spans="1:4" ht="14.25">
      <c r="A352" s="201">
        <v>33506</v>
      </c>
      <c r="B352" s="201" t="s">
        <v>1199</v>
      </c>
      <c r="C352" s="196" t="s">
        <v>6</v>
      </c>
      <c r="D352" s="197">
        <v>51.8</v>
      </c>
    </row>
    <row r="353" spans="1:4" ht="28.5">
      <c r="A353" s="201">
        <v>33511</v>
      </c>
      <c r="B353" s="201" t="s">
        <v>1200</v>
      </c>
      <c r="C353" s="196" t="s">
        <v>6</v>
      </c>
      <c r="D353" s="197">
        <v>53.87</v>
      </c>
    </row>
    <row r="354" spans="1:4" ht="14.25">
      <c r="A354" s="201">
        <v>33518</v>
      </c>
      <c r="B354" s="201" t="s">
        <v>1201</v>
      </c>
      <c r="C354" s="196" t="s">
        <v>6</v>
      </c>
      <c r="D354" s="197">
        <v>157.43</v>
      </c>
    </row>
    <row r="355" spans="1:4" ht="28.5">
      <c r="A355" s="201">
        <v>33556</v>
      </c>
      <c r="B355" s="201" t="s">
        <v>12521</v>
      </c>
      <c r="C355" s="196" t="s">
        <v>6</v>
      </c>
      <c r="D355" s="197">
        <v>4.5599999999999996</v>
      </c>
    </row>
    <row r="356" spans="1:4" ht="28.5">
      <c r="A356" s="201">
        <v>33599</v>
      </c>
      <c r="B356" s="201" t="s">
        <v>1202</v>
      </c>
      <c r="C356" s="196" t="s">
        <v>6</v>
      </c>
      <c r="D356" s="197">
        <v>20.89</v>
      </c>
    </row>
    <row r="357" spans="1:4" ht="15">
      <c r="A357" s="200">
        <v>338</v>
      </c>
      <c r="B357" s="333" t="s">
        <v>1120</v>
      </c>
      <c r="C357" s="334"/>
      <c r="D357" s="334"/>
    </row>
    <row r="358" spans="1:4" ht="28.5">
      <c r="A358" s="201">
        <v>33851</v>
      </c>
      <c r="B358" s="201" t="s">
        <v>18924</v>
      </c>
      <c r="C358" s="196" t="s">
        <v>7</v>
      </c>
      <c r="D358" s="199">
        <v>7333.28</v>
      </c>
    </row>
    <row r="359" spans="1:4" ht="15">
      <c r="A359" s="200">
        <v>340</v>
      </c>
      <c r="B359" s="333" t="s">
        <v>1203</v>
      </c>
      <c r="C359" s="334"/>
      <c r="D359" s="334"/>
    </row>
    <row r="360" spans="1:4" ht="28.5">
      <c r="A360" s="201">
        <v>34005</v>
      </c>
      <c r="B360" s="201" t="s">
        <v>1204</v>
      </c>
      <c r="C360" s="196" t="s">
        <v>9</v>
      </c>
      <c r="D360" s="197">
        <v>53.33</v>
      </c>
    </row>
    <row r="361" spans="1:4" ht="15">
      <c r="A361" s="200">
        <v>341</v>
      </c>
      <c r="B361" s="333" t="s">
        <v>1205</v>
      </c>
      <c r="C361" s="334"/>
      <c r="D361" s="334"/>
    </row>
    <row r="362" spans="1:4" ht="28.5">
      <c r="A362" s="201">
        <v>34114</v>
      </c>
      <c r="B362" s="201" t="s">
        <v>1206</v>
      </c>
      <c r="C362" s="196" t="s">
        <v>9</v>
      </c>
      <c r="D362" s="197">
        <v>84.73</v>
      </c>
    </row>
    <row r="363" spans="1:4" ht="15">
      <c r="A363" s="200">
        <v>343</v>
      </c>
      <c r="B363" s="333" t="s">
        <v>1207</v>
      </c>
      <c r="C363" s="334"/>
      <c r="D363" s="334"/>
    </row>
    <row r="364" spans="1:4" ht="28.5">
      <c r="A364" s="201">
        <v>34383</v>
      </c>
      <c r="B364" s="201" t="s">
        <v>1208</v>
      </c>
      <c r="C364" s="196" t="s">
        <v>7</v>
      </c>
      <c r="D364" s="197">
        <v>40.68</v>
      </c>
    </row>
    <row r="365" spans="1:4" ht="14.25">
      <c r="A365" s="201">
        <v>34384</v>
      </c>
      <c r="B365" s="201" t="s">
        <v>1209</v>
      </c>
      <c r="C365" s="196" t="s">
        <v>7</v>
      </c>
      <c r="D365" s="197">
        <v>49.45</v>
      </c>
    </row>
    <row r="366" spans="1:4" ht="15">
      <c r="A366" s="200">
        <v>345</v>
      </c>
      <c r="B366" s="333" t="s">
        <v>1210</v>
      </c>
      <c r="C366" s="334"/>
      <c r="D366" s="334"/>
    </row>
    <row r="367" spans="1:4" ht="14.25">
      <c r="A367" s="201">
        <v>34544</v>
      </c>
      <c r="B367" s="201" t="s">
        <v>1211</v>
      </c>
      <c r="C367" s="196" t="s">
        <v>8</v>
      </c>
      <c r="D367" s="197">
        <v>54.13</v>
      </c>
    </row>
    <row r="368" spans="1:4" ht="15">
      <c r="A368" s="200">
        <v>346</v>
      </c>
      <c r="B368" s="333" t="s">
        <v>1212</v>
      </c>
      <c r="C368" s="334"/>
      <c r="D368" s="334"/>
    </row>
    <row r="369" spans="1:4" ht="28.5">
      <c r="A369" s="201">
        <v>34656</v>
      </c>
      <c r="B369" s="201" t="s">
        <v>1213</v>
      </c>
      <c r="C369" s="196" t="s">
        <v>9</v>
      </c>
      <c r="D369" s="197">
        <v>65.5</v>
      </c>
    </row>
    <row r="370" spans="1:4" ht="28.5">
      <c r="A370" s="201">
        <v>34666</v>
      </c>
      <c r="B370" s="201" t="s">
        <v>1214</v>
      </c>
      <c r="C370" s="196" t="s">
        <v>9</v>
      </c>
      <c r="D370" s="197">
        <v>65.5</v>
      </c>
    </row>
    <row r="371" spans="1:4" ht="15">
      <c r="A371" s="200">
        <v>347</v>
      </c>
      <c r="B371" s="333" t="s">
        <v>1212</v>
      </c>
      <c r="C371" s="334"/>
      <c r="D371" s="334"/>
    </row>
    <row r="372" spans="1:4" ht="28.5">
      <c r="A372" s="201">
        <v>34787</v>
      </c>
      <c r="B372" s="201" t="s">
        <v>1215</v>
      </c>
      <c r="C372" s="196" t="s">
        <v>9</v>
      </c>
      <c r="D372" s="197">
        <v>48.74</v>
      </c>
    </row>
    <row r="373" spans="1:4" ht="15">
      <c r="A373" s="200">
        <v>348</v>
      </c>
      <c r="B373" s="333" t="s">
        <v>1216</v>
      </c>
      <c r="C373" s="334"/>
      <c r="D373" s="334"/>
    </row>
    <row r="374" spans="1:4" ht="28.5">
      <c r="A374" s="201">
        <v>34850</v>
      </c>
      <c r="B374" s="201" t="s">
        <v>1217</v>
      </c>
      <c r="C374" s="196" t="s">
        <v>17</v>
      </c>
      <c r="D374" s="197">
        <v>146.9</v>
      </c>
    </row>
    <row r="375" spans="1:4" ht="15">
      <c r="A375" s="200">
        <v>351</v>
      </c>
      <c r="B375" s="333" t="s">
        <v>1218</v>
      </c>
      <c r="C375" s="334"/>
      <c r="D375" s="334"/>
    </row>
    <row r="376" spans="1:4" ht="14.25">
      <c r="A376" s="201">
        <v>35114</v>
      </c>
      <c r="B376" s="201" t="s">
        <v>1219</v>
      </c>
      <c r="C376" s="196" t="s">
        <v>6</v>
      </c>
      <c r="D376" s="197">
        <v>1.66</v>
      </c>
    </row>
    <row r="377" spans="1:4" ht="28.5">
      <c r="A377" s="201">
        <v>35145</v>
      </c>
      <c r="B377" s="201" t="s">
        <v>1220</v>
      </c>
      <c r="C377" s="196" t="s">
        <v>9</v>
      </c>
      <c r="D377" s="197">
        <v>75.209999999999994</v>
      </c>
    </row>
    <row r="378" spans="1:4" ht="28.5">
      <c r="A378" s="201">
        <v>35155</v>
      </c>
      <c r="B378" s="201" t="s">
        <v>1221</v>
      </c>
      <c r="C378" s="196" t="s">
        <v>9</v>
      </c>
      <c r="D378" s="197">
        <v>136.57</v>
      </c>
    </row>
    <row r="379" spans="1:4" ht="15">
      <c r="A379" s="200">
        <v>352</v>
      </c>
      <c r="B379" s="333" t="s">
        <v>1222</v>
      </c>
      <c r="C379" s="334"/>
      <c r="D379" s="334"/>
    </row>
    <row r="380" spans="1:4" ht="28.5">
      <c r="A380" s="201">
        <v>35211</v>
      </c>
      <c r="B380" s="201" t="s">
        <v>1223</v>
      </c>
      <c r="C380" s="196" t="s">
        <v>22</v>
      </c>
      <c r="D380" s="197">
        <v>19.989999999999998</v>
      </c>
    </row>
    <row r="381" spans="1:4" ht="15">
      <c r="A381" s="200">
        <v>355</v>
      </c>
      <c r="B381" s="333" t="s">
        <v>1224</v>
      </c>
      <c r="C381" s="334"/>
      <c r="D381" s="334"/>
    </row>
    <row r="382" spans="1:4" ht="14.25">
      <c r="A382" s="201">
        <v>35504</v>
      </c>
      <c r="B382" s="201" t="s">
        <v>1225</v>
      </c>
      <c r="C382" s="196" t="s">
        <v>8</v>
      </c>
      <c r="D382" s="197">
        <v>0.96</v>
      </c>
    </row>
    <row r="383" spans="1:4" ht="42.75">
      <c r="A383" s="201">
        <v>35571</v>
      </c>
      <c r="B383" s="201" t="s">
        <v>14977</v>
      </c>
      <c r="C383" s="196" t="s">
        <v>9</v>
      </c>
      <c r="D383" s="197">
        <v>237</v>
      </c>
    </row>
    <row r="384" spans="1:4" ht="28.5">
      <c r="A384" s="201">
        <v>35579</v>
      </c>
      <c r="B384" s="201" t="s">
        <v>12522</v>
      </c>
      <c r="C384" s="196" t="s">
        <v>9</v>
      </c>
      <c r="D384" s="197">
        <v>266</v>
      </c>
    </row>
    <row r="385" spans="1:4" ht="15">
      <c r="A385" s="200">
        <v>356</v>
      </c>
      <c r="B385" s="333" t="s">
        <v>1226</v>
      </c>
      <c r="C385" s="334"/>
      <c r="D385" s="334"/>
    </row>
    <row r="386" spans="1:4" ht="28.5">
      <c r="A386" s="201">
        <v>35625</v>
      </c>
      <c r="B386" s="201" t="s">
        <v>1227</v>
      </c>
      <c r="C386" s="196" t="s">
        <v>9</v>
      </c>
      <c r="D386" s="197">
        <v>169</v>
      </c>
    </row>
    <row r="387" spans="1:4" ht="15">
      <c r="A387" s="200">
        <v>360</v>
      </c>
      <c r="B387" s="333" t="s">
        <v>1228</v>
      </c>
      <c r="C387" s="334"/>
      <c r="D387" s="334"/>
    </row>
    <row r="388" spans="1:4" ht="14.25">
      <c r="A388" s="201">
        <v>36002</v>
      </c>
      <c r="B388" s="201" t="s">
        <v>1229</v>
      </c>
      <c r="C388" s="196" t="s">
        <v>6</v>
      </c>
      <c r="D388" s="197">
        <v>23.98</v>
      </c>
    </row>
    <row r="389" spans="1:4" ht="28.5">
      <c r="A389" s="201">
        <v>36010</v>
      </c>
      <c r="B389" s="201" t="s">
        <v>1230</v>
      </c>
      <c r="C389" s="196" t="s">
        <v>6</v>
      </c>
      <c r="D389" s="197">
        <v>22.07</v>
      </c>
    </row>
    <row r="390" spans="1:4" ht="14.25">
      <c r="A390" s="201">
        <v>36012</v>
      </c>
      <c r="B390" s="201" t="s">
        <v>1231</v>
      </c>
      <c r="C390" s="196" t="s">
        <v>6</v>
      </c>
      <c r="D390" s="197">
        <v>5.04</v>
      </c>
    </row>
    <row r="391" spans="1:4" ht="14.25">
      <c r="A391" s="201">
        <v>36018</v>
      </c>
      <c r="B391" s="201" t="s">
        <v>1232</v>
      </c>
      <c r="C391" s="196" t="s">
        <v>6</v>
      </c>
      <c r="D391" s="197">
        <v>27.35</v>
      </c>
    </row>
    <row r="392" spans="1:4" ht="28.5">
      <c r="A392" s="201">
        <v>36034</v>
      </c>
      <c r="B392" s="201" t="s">
        <v>1233</v>
      </c>
      <c r="C392" s="196" t="s">
        <v>6</v>
      </c>
      <c r="D392" s="197">
        <v>35.6</v>
      </c>
    </row>
    <row r="393" spans="1:4" ht="14.25">
      <c r="A393" s="201">
        <v>36044</v>
      </c>
      <c r="B393" s="201" t="s">
        <v>1234</v>
      </c>
      <c r="C393" s="196" t="s">
        <v>6</v>
      </c>
      <c r="D393" s="197">
        <v>51.75</v>
      </c>
    </row>
    <row r="394" spans="1:4" ht="28.5">
      <c r="A394" s="201">
        <v>36091</v>
      </c>
      <c r="B394" s="201" t="s">
        <v>1235</v>
      </c>
      <c r="C394" s="196" t="s">
        <v>6</v>
      </c>
      <c r="D394" s="197">
        <v>14.75</v>
      </c>
    </row>
    <row r="395" spans="1:4" ht="15">
      <c r="A395" s="200">
        <v>362</v>
      </c>
      <c r="B395" s="333" t="s">
        <v>1236</v>
      </c>
      <c r="C395" s="334"/>
      <c r="D395" s="334"/>
    </row>
    <row r="396" spans="1:4" ht="14.25">
      <c r="A396" s="201">
        <v>36221</v>
      </c>
      <c r="B396" s="201" t="s">
        <v>1237</v>
      </c>
      <c r="C396" s="196" t="s">
        <v>6</v>
      </c>
      <c r="D396" s="197">
        <v>24.04</v>
      </c>
    </row>
    <row r="397" spans="1:4" ht="15">
      <c r="A397" s="200">
        <v>365</v>
      </c>
      <c r="B397" s="333" t="s">
        <v>1238</v>
      </c>
      <c r="C397" s="334"/>
      <c r="D397" s="334"/>
    </row>
    <row r="398" spans="1:4" ht="14.25">
      <c r="A398" s="201">
        <v>36506</v>
      </c>
      <c r="B398" s="201" t="s">
        <v>1239</v>
      </c>
      <c r="C398" s="196" t="s">
        <v>6</v>
      </c>
      <c r="D398" s="197">
        <v>31.36</v>
      </c>
    </row>
    <row r="399" spans="1:4" ht="28.5">
      <c r="A399" s="201">
        <v>36512</v>
      </c>
      <c r="B399" s="201" t="s">
        <v>1240</v>
      </c>
      <c r="C399" s="196" t="s">
        <v>7</v>
      </c>
      <c r="D399" s="197">
        <v>1.51</v>
      </c>
    </row>
    <row r="400" spans="1:4" ht="14.25">
      <c r="A400" s="201">
        <v>36514</v>
      </c>
      <c r="B400" s="201" t="s">
        <v>1241</v>
      </c>
      <c r="C400" s="196" t="s">
        <v>7</v>
      </c>
      <c r="D400" s="197">
        <v>2.0099999999999998</v>
      </c>
    </row>
    <row r="401" spans="1:4" ht="28.5">
      <c r="A401" s="201">
        <v>36517</v>
      </c>
      <c r="B401" s="201" t="s">
        <v>1242</v>
      </c>
      <c r="C401" s="196" t="s">
        <v>7</v>
      </c>
      <c r="D401" s="197">
        <v>1.25</v>
      </c>
    </row>
    <row r="402" spans="1:4" ht="15">
      <c r="A402" s="200">
        <v>368</v>
      </c>
      <c r="B402" s="333" t="s">
        <v>1216</v>
      </c>
      <c r="C402" s="334"/>
      <c r="D402" s="334"/>
    </row>
    <row r="403" spans="1:4" ht="42.75">
      <c r="A403" s="201">
        <v>36825</v>
      </c>
      <c r="B403" s="201" t="s">
        <v>1243</v>
      </c>
      <c r="C403" s="196" t="s">
        <v>17</v>
      </c>
      <c r="D403" s="197">
        <v>120</v>
      </c>
    </row>
    <row r="404" spans="1:4" ht="15">
      <c r="A404" s="200">
        <v>369</v>
      </c>
      <c r="B404" s="333" t="s">
        <v>1250</v>
      </c>
      <c r="C404" s="334"/>
      <c r="D404" s="334"/>
    </row>
    <row r="405" spans="1:4" ht="28.5">
      <c r="A405" s="201">
        <v>36991</v>
      </c>
      <c r="B405" s="201" t="s">
        <v>18925</v>
      </c>
      <c r="C405" s="196" t="s">
        <v>7</v>
      </c>
      <c r="D405" s="197">
        <v>0.9</v>
      </c>
    </row>
    <row r="406" spans="1:4" ht="15">
      <c r="A406" s="200">
        <v>370</v>
      </c>
      <c r="B406" s="333" t="s">
        <v>1244</v>
      </c>
      <c r="C406" s="334"/>
      <c r="D406" s="334"/>
    </row>
    <row r="407" spans="1:4" ht="14.25">
      <c r="A407" s="201">
        <v>37009</v>
      </c>
      <c r="B407" s="201" t="s">
        <v>14978</v>
      </c>
      <c r="C407" s="196" t="s">
        <v>9</v>
      </c>
      <c r="D407" s="197">
        <v>271.77999999999997</v>
      </c>
    </row>
    <row r="408" spans="1:4" ht="14.25">
      <c r="A408" s="201">
        <v>37013</v>
      </c>
      <c r="B408" s="201" t="s">
        <v>1245</v>
      </c>
      <c r="C408" s="196" t="s">
        <v>9</v>
      </c>
      <c r="D408" s="197">
        <v>301.16000000000003</v>
      </c>
    </row>
    <row r="409" spans="1:4" ht="14.25">
      <c r="A409" s="201">
        <v>37043</v>
      </c>
      <c r="B409" s="201" t="s">
        <v>25</v>
      </c>
      <c r="C409" s="196" t="s">
        <v>8</v>
      </c>
      <c r="D409" s="197">
        <v>12.67</v>
      </c>
    </row>
    <row r="410" spans="1:4" ht="14.25">
      <c r="A410" s="201">
        <v>37057</v>
      </c>
      <c r="B410" s="201" t="s">
        <v>1246</v>
      </c>
      <c r="C410" s="196" t="s">
        <v>9</v>
      </c>
      <c r="D410" s="197">
        <v>417.33</v>
      </c>
    </row>
    <row r="411" spans="1:4" ht="28.5">
      <c r="A411" s="201">
        <v>37090</v>
      </c>
      <c r="B411" s="201" t="s">
        <v>1247</v>
      </c>
      <c r="C411" s="196" t="s">
        <v>7</v>
      </c>
      <c r="D411" s="197">
        <v>3.1</v>
      </c>
    </row>
    <row r="412" spans="1:4" ht="15">
      <c r="A412" s="200">
        <v>371</v>
      </c>
      <c r="B412" s="333" t="s">
        <v>1248</v>
      </c>
      <c r="C412" s="334"/>
      <c r="D412" s="334"/>
    </row>
    <row r="413" spans="1:4" ht="14.25">
      <c r="A413" s="201">
        <v>37103</v>
      </c>
      <c r="B413" s="201" t="s">
        <v>1249</v>
      </c>
      <c r="C413" s="196" t="s">
        <v>9</v>
      </c>
      <c r="D413" s="199">
        <v>1391.11</v>
      </c>
    </row>
    <row r="414" spans="1:4" ht="15">
      <c r="A414" s="200">
        <v>375</v>
      </c>
      <c r="B414" s="333" t="s">
        <v>1250</v>
      </c>
      <c r="C414" s="334"/>
      <c r="D414" s="334"/>
    </row>
    <row r="415" spans="1:4" ht="28.5">
      <c r="A415" s="201">
        <v>37502</v>
      </c>
      <c r="B415" s="201" t="s">
        <v>18926</v>
      </c>
      <c r="C415" s="196" t="s">
        <v>17</v>
      </c>
      <c r="D415" s="197">
        <v>46.82</v>
      </c>
    </row>
    <row r="416" spans="1:4" ht="14.25">
      <c r="A416" s="201">
        <v>37509</v>
      </c>
      <c r="B416" s="201" t="s">
        <v>12523</v>
      </c>
      <c r="C416" s="196" t="s">
        <v>17</v>
      </c>
      <c r="D416" s="197">
        <v>109.02</v>
      </c>
    </row>
    <row r="417" spans="1:4" ht="14.25">
      <c r="A417" s="201">
        <v>37513</v>
      </c>
      <c r="B417" s="201" t="s">
        <v>18927</v>
      </c>
      <c r="C417" s="196" t="s">
        <v>17</v>
      </c>
      <c r="D417" s="197">
        <v>28.04</v>
      </c>
    </row>
    <row r="418" spans="1:4" ht="14.25">
      <c r="A418" s="201">
        <v>37514</v>
      </c>
      <c r="B418" s="201" t="s">
        <v>18928</v>
      </c>
      <c r="C418" s="196" t="s">
        <v>17</v>
      </c>
      <c r="D418" s="197">
        <v>28.24</v>
      </c>
    </row>
    <row r="419" spans="1:4" ht="14.25">
      <c r="A419" s="201">
        <v>37517</v>
      </c>
      <c r="B419" s="201" t="s">
        <v>1251</v>
      </c>
      <c r="C419" s="196" t="s">
        <v>17</v>
      </c>
      <c r="D419" s="197">
        <v>17.36</v>
      </c>
    </row>
    <row r="420" spans="1:4" ht="14.25">
      <c r="A420" s="201">
        <v>37519</v>
      </c>
      <c r="B420" s="201" t="s">
        <v>1252</v>
      </c>
      <c r="C420" s="196" t="s">
        <v>17</v>
      </c>
      <c r="D420" s="197">
        <v>9.2899999999999991</v>
      </c>
    </row>
    <row r="421" spans="1:4" ht="14.25">
      <c r="A421" s="201">
        <v>37564</v>
      </c>
      <c r="B421" s="201" t="s">
        <v>1253</v>
      </c>
      <c r="C421" s="196" t="s">
        <v>17</v>
      </c>
      <c r="D421" s="197">
        <v>34.130000000000003</v>
      </c>
    </row>
    <row r="422" spans="1:4" ht="14.25">
      <c r="A422" s="201">
        <v>37566</v>
      </c>
      <c r="B422" s="201" t="s">
        <v>1254</v>
      </c>
      <c r="C422" s="196" t="s">
        <v>17</v>
      </c>
      <c r="D422" s="197">
        <v>17.36</v>
      </c>
    </row>
    <row r="423" spans="1:4" ht="15">
      <c r="A423" s="200">
        <v>377</v>
      </c>
      <c r="B423" s="333" t="s">
        <v>1250</v>
      </c>
      <c r="C423" s="334"/>
      <c r="D423" s="334"/>
    </row>
    <row r="424" spans="1:4" ht="28.5">
      <c r="A424" s="201">
        <v>37733</v>
      </c>
      <c r="B424" s="201" t="s">
        <v>14979</v>
      </c>
      <c r="C424" s="196" t="s">
        <v>17</v>
      </c>
      <c r="D424" s="197">
        <v>44.55</v>
      </c>
    </row>
    <row r="425" spans="1:4" ht="15">
      <c r="A425" s="200">
        <v>380</v>
      </c>
      <c r="B425" s="333" t="s">
        <v>1255</v>
      </c>
      <c r="C425" s="334"/>
      <c r="D425" s="334"/>
    </row>
    <row r="426" spans="1:4" ht="14.25">
      <c r="A426" s="201">
        <v>38001</v>
      </c>
      <c r="B426" s="201" t="s">
        <v>18929</v>
      </c>
      <c r="C426" s="196" t="s">
        <v>17</v>
      </c>
      <c r="D426" s="197">
        <v>15.8</v>
      </c>
    </row>
    <row r="427" spans="1:4" ht="14.25">
      <c r="A427" s="201">
        <v>38003</v>
      </c>
      <c r="B427" s="201" t="s">
        <v>1256</v>
      </c>
      <c r="C427" s="196" t="s">
        <v>8</v>
      </c>
      <c r="D427" s="197">
        <v>1.82</v>
      </c>
    </row>
    <row r="428" spans="1:4" ht="14.25">
      <c r="A428" s="201">
        <v>38006</v>
      </c>
      <c r="B428" s="201" t="s">
        <v>1257</v>
      </c>
      <c r="C428" s="196" t="s">
        <v>17</v>
      </c>
      <c r="D428" s="197">
        <v>42.86</v>
      </c>
    </row>
    <row r="429" spans="1:4" ht="14.25">
      <c r="A429" s="201">
        <v>38009</v>
      </c>
      <c r="B429" s="201" t="s">
        <v>1258</v>
      </c>
      <c r="C429" s="196" t="s">
        <v>17</v>
      </c>
      <c r="D429" s="197">
        <v>9.2899999999999991</v>
      </c>
    </row>
    <row r="430" spans="1:4" ht="28.5">
      <c r="A430" s="201">
        <v>38012</v>
      </c>
      <c r="B430" s="201" t="s">
        <v>1259</v>
      </c>
      <c r="C430" s="196" t="s">
        <v>7</v>
      </c>
      <c r="D430" s="197">
        <v>3.11</v>
      </c>
    </row>
    <row r="431" spans="1:4" ht="14.25">
      <c r="A431" s="201">
        <v>38013</v>
      </c>
      <c r="B431" s="201" t="s">
        <v>1260</v>
      </c>
      <c r="C431" s="196" t="s">
        <v>7</v>
      </c>
      <c r="D431" s="197">
        <v>0.9</v>
      </c>
    </row>
    <row r="432" spans="1:4" ht="28.5">
      <c r="A432" s="201">
        <v>38014</v>
      </c>
      <c r="B432" s="201" t="s">
        <v>19086</v>
      </c>
      <c r="C432" s="196" t="s">
        <v>8</v>
      </c>
      <c r="D432" s="197">
        <v>8.9600000000000009</v>
      </c>
    </row>
    <row r="433" spans="1:4" ht="28.5">
      <c r="A433" s="201">
        <v>38016</v>
      </c>
      <c r="B433" s="201" t="s">
        <v>19087</v>
      </c>
      <c r="C433" s="196" t="s">
        <v>8</v>
      </c>
      <c r="D433" s="197">
        <v>17.739999999999998</v>
      </c>
    </row>
    <row r="434" spans="1:4" ht="14.25">
      <c r="A434" s="201">
        <v>38017</v>
      </c>
      <c r="B434" s="201" t="s">
        <v>1261</v>
      </c>
      <c r="C434" s="196" t="s">
        <v>8</v>
      </c>
      <c r="D434" s="197">
        <v>4.53</v>
      </c>
    </row>
    <row r="435" spans="1:4" ht="14.25">
      <c r="A435" s="201">
        <v>38018</v>
      </c>
      <c r="B435" s="201" t="s">
        <v>26</v>
      </c>
      <c r="C435" s="196" t="s">
        <v>8</v>
      </c>
      <c r="D435" s="197">
        <v>49.43</v>
      </c>
    </row>
    <row r="436" spans="1:4" ht="14.25">
      <c r="A436" s="201">
        <v>38021</v>
      </c>
      <c r="B436" s="201" t="s">
        <v>1262</v>
      </c>
      <c r="C436" s="196" t="s">
        <v>17</v>
      </c>
      <c r="D436" s="197">
        <v>95.89</v>
      </c>
    </row>
    <row r="437" spans="1:4" ht="14.25">
      <c r="A437" s="201">
        <v>38022</v>
      </c>
      <c r="B437" s="201" t="s">
        <v>1263</v>
      </c>
      <c r="C437" s="196" t="s">
        <v>17</v>
      </c>
      <c r="D437" s="197">
        <v>48.88</v>
      </c>
    </row>
    <row r="438" spans="1:4" ht="14.25">
      <c r="A438" s="201">
        <v>38024</v>
      </c>
      <c r="B438" s="201" t="s">
        <v>1264</v>
      </c>
      <c r="C438" s="196" t="s">
        <v>7</v>
      </c>
      <c r="D438" s="197">
        <v>6.95</v>
      </c>
    </row>
    <row r="439" spans="1:4" ht="14.25">
      <c r="A439" s="201">
        <v>38025</v>
      </c>
      <c r="B439" s="201" t="s">
        <v>1265</v>
      </c>
      <c r="C439" s="196" t="s">
        <v>17</v>
      </c>
      <c r="D439" s="197">
        <v>35.93</v>
      </c>
    </row>
    <row r="440" spans="1:4" ht="14.25">
      <c r="A440" s="201">
        <v>38028</v>
      </c>
      <c r="B440" s="201" t="s">
        <v>1266</v>
      </c>
      <c r="C440" s="196" t="s">
        <v>17</v>
      </c>
      <c r="D440" s="197">
        <v>27.93</v>
      </c>
    </row>
    <row r="441" spans="1:4" ht="14.25">
      <c r="A441" s="201">
        <v>38029</v>
      </c>
      <c r="B441" s="201" t="s">
        <v>1267</v>
      </c>
      <c r="C441" s="196" t="s">
        <v>17</v>
      </c>
      <c r="D441" s="197">
        <v>45.63</v>
      </c>
    </row>
    <row r="442" spans="1:4" ht="14.25">
      <c r="A442" s="201">
        <v>38030</v>
      </c>
      <c r="B442" s="201" t="s">
        <v>1268</v>
      </c>
      <c r="C442" s="196" t="s">
        <v>17</v>
      </c>
      <c r="D442" s="197">
        <v>28.47</v>
      </c>
    </row>
    <row r="443" spans="1:4" ht="28.5">
      <c r="A443" s="201">
        <v>38051</v>
      </c>
      <c r="B443" s="201" t="s">
        <v>18930</v>
      </c>
      <c r="C443" s="196" t="s">
        <v>17</v>
      </c>
      <c r="D443" s="197">
        <v>43.79</v>
      </c>
    </row>
    <row r="444" spans="1:4" ht="28.5">
      <c r="A444" s="201">
        <v>38088</v>
      </c>
      <c r="B444" s="201" t="s">
        <v>18931</v>
      </c>
      <c r="C444" s="196" t="s">
        <v>17</v>
      </c>
      <c r="D444" s="197">
        <v>39.6</v>
      </c>
    </row>
    <row r="445" spans="1:4" ht="15">
      <c r="A445" s="200">
        <v>381</v>
      </c>
      <c r="B445" s="333" t="s">
        <v>18932</v>
      </c>
      <c r="C445" s="334"/>
      <c r="D445" s="334"/>
    </row>
    <row r="446" spans="1:4" ht="14.25">
      <c r="A446" s="201">
        <v>38182</v>
      </c>
      <c r="B446" s="201" t="s">
        <v>18933</v>
      </c>
      <c r="C446" s="196" t="s">
        <v>17</v>
      </c>
      <c r="D446" s="197">
        <v>34.130000000000003</v>
      </c>
    </row>
    <row r="447" spans="1:4" ht="15">
      <c r="A447" s="200">
        <v>385</v>
      </c>
      <c r="B447" s="333" t="s">
        <v>1269</v>
      </c>
      <c r="C447" s="334"/>
      <c r="D447" s="334"/>
    </row>
    <row r="448" spans="1:4" ht="14.25">
      <c r="A448" s="201">
        <v>38509</v>
      </c>
      <c r="B448" s="201" t="s">
        <v>1270</v>
      </c>
      <c r="C448" s="196" t="s">
        <v>9</v>
      </c>
      <c r="D448" s="197">
        <v>14.9</v>
      </c>
    </row>
    <row r="449" spans="1:4" ht="14.25">
      <c r="A449" s="201">
        <v>38511</v>
      </c>
      <c r="B449" s="201" t="s">
        <v>1271</v>
      </c>
      <c r="C449" s="196" t="s">
        <v>12</v>
      </c>
      <c r="D449" s="197">
        <v>183.6</v>
      </c>
    </row>
    <row r="450" spans="1:4" ht="15">
      <c r="A450" s="200">
        <v>390</v>
      </c>
      <c r="B450" s="333" t="s">
        <v>1120</v>
      </c>
      <c r="C450" s="334"/>
      <c r="D450" s="334"/>
    </row>
    <row r="451" spans="1:4" ht="28.5">
      <c r="A451" s="201">
        <v>39002</v>
      </c>
      <c r="B451" s="201" t="s">
        <v>18934</v>
      </c>
      <c r="C451" s="196" t="s">
        <v>9</v>
      </c>
      <c r="D451" s="197">
        <v>292.66000000000003</v>
      </c>
    </row>
    <row r="452" spans="1:4" ht="14.25">
      <c r="A452" s="201">
        <v>39013</v>
      </c>
      <c r="B452" s="201" t="s">
        <v>1272</v>
      </c>
      <c r="C452" s="196" t="s">
        <v>17</v>
      </c>
      <c r="D452" s="197">
        <v>20.14</v>
      </c>
    </row>
    <row r="453" spans="1:4" ht="14.25">
      <c r="A453" s="201">
        <v>39021</v>
      </c>
      <c r="B453" s="201" t="s">
        <v>1273</v>
      </c>
      <c r="C453" s="196" t="s">
        <v>8</v>
      </c>
      <c r="D453" s="197">
        <v>26.2</v>
      </c>
    </row>
    <row r="454" spans="1:4" ht="28.5">
      <c r="A454" s="201">
        <v>39075</v>
      </c>
      <c r="B454" s="201" t="s">
        <v>1274</v>
      </c>
      <c r="C454" s="196" t="s">
        <v>9</v>
      </c>
      <c r="D454" s="199">
        <v>1614.56</v>
      </c>
    </row>
    <row r="455" spans="1:4" ht="14.25">
      <c r="A455" s="201">
        <v>39089</v>
      </c>
      <c r="B455" s="201" t="s">
        <v>1275</v>
      </c>
      <c r="C455" s="196" t="s">
        <v>7</v>
      </c>
      <c r="D455" s="199">
        <v>1739.17</v>
      </c>
    </row>
    <row r="456" spans="1:4" ht="28.5">
      <c r="A456" s="201">
        <v>39090</v>
      </c>
      <c r="B456" s="201" t="s">
        <v>1276</v>
      </c>
      <c r="C456" s="196" t="s">
        <v>23</v>
      </c>
      <c r="D456" s="199">
        <v>1605.69</v>
      </c>
    </row>
    <row r="457" spans="1:4" ht="15">
      <c r="A457" s="200">
        <v>391</v>
      </c>
      <c r="B457" s="333" t="s">
        <v>1277</v>
      </c>
      <c r="C457" s="334"/>
      <c r="D457" s="334"/>
    </row>
    <row r="458" spans="1:4" ht="28.5">
      <c r="A458" s="201">
        <v>39113</v>
      </c>
      <c r="B458" s="201" t="s">
        <v>1278</v>
      </c>
      <c r="C458" s="196" t="s">
        <v>7</v>
      </c>
      <c r="D458" s="197">
        <v>153.71</v>
      </c>
    </row>
    <row r="459" spans="1:4" ht="14.25">
      <c r="A459" s="201">
        <v>39114</v>
      </c>
      <c r="B459" s="201" t="s">
        <v>1279</v>
      </c>
      <c r="C459" s="196" t="s">
        <v>7</v>
      </c>
      <c r="D459" s="197">
        <v>42.8</v>
      </c>
    </row>
    <row r="460" spans="1:4" ht="28.5">
      <c r="A460" s="201">
        <v>39115</v>
      </c>
      <c r="B460" s="201" t="s">
        <v>1280</v>
      </c>
      <c r="C460" s="196" t="s">
        <v>7</v>
      </c>
      <c r="D460" s="197">
        <v>207.32</v>
      </c>
    </row>
    <row r="461" spans="1:4" ht="28.5">
      <c r="A461" s="201">
        <v>39123</v>
      </c>
      <c r="B461" s="201" t="s">
        <v>1281</v>
      </c>
      <c r="C461" s="196" t="s">
        <v>6</v>
      </c>
      <c r="D461" s="197">
        <v>9.1300000000000008</v>
      </c>
    </row>
    <row r="462" spans="1:4" ht="28.5">
      <c r="A462" s="201">
        <v>39125</v>
      </c>
      <c r="B462" s="201" t="s">
        <v>1282</v>
      </c>
      <c r="C462" s="196" t="s">
        <v>6</v>
      </c>
      <c r="D462" s="197">
        <v>29</v>
      </c>
    </row>
    <row r="463" spans="1:4" ht="28.5">
      <c r="A463" s="201">
        <v>39165</v>
      </c>
      <c r="B463" s="201" t="s">
        <v>1283</v>
      </c>
      <c r="C463" s="196" t="s">
        <v>7</v>
      </c>
      <c r="D463" s="197">
        <v>251.63</v>
      </c>
    </row>
    <row r="464" spans="1:4" ht="15">
      <c r="A464" s="200">
        <v>395</v>
      </c>
      <c r="B464" s="333" t="s">
        <v>1277</v>
      </c>
      <c r="C464" s="334"/>
      <c r="D464" s="334"/>
    </row>
    <row r="465" spans="1:4" ht="28.5">
      <c r="A465" s="201">
        <v>39515</v>
      </c>
      <c r="B465" s="201" t="s">
        <v>1284</v>
      </c>
      <c r="C465" s="196" t="s">
        <v>7</v>
      </c>
      <c r="D465" s="197">
        <v>14.2</v>
      </c>
    </row>
    <row r="466" spans="1:4" ht="28.5">
      <c r="A466" s="201">
        <v>39573</v>
      </c>
      <c r="B466" s="201" t="s">
        <v>18935</v>
      </c>
      <c r="C466" s="196" t="s">
        <v>6</v>
      </c>
      <c r="D466" s="197">
        <v>345.1</v>
      </c>
    </row>
    <row r="467" spans="1:4" ht="15">
      <c r="A467" s="200">
        <v>398</v>
      </c>
      <c r="B467" s="333" t="s">
        <v>1285</v>
      </c>
      <c r="C467" s="334"/>
      <c r="D467" s="334"/>
    </row>
    <row r="468" spans="1:4" ht="28.5">
      <c r="A468" s="201">
        <v>39841</v>
      </c>
      <c r="B468" s="201" t="s">
        <v>1286</v>
      </c>
      <c r="C468" s="196" t="s">
        <v>9</v>
      </c>
      <c r="D468" s="197">
        <v>273.25</v>
      </c>
    </row>
    <row r="469" spans="1:4" ht="15">
      <c r="A469" s="200">
        <v>4</v>
      </c>
      <c r="B469" s="333" t="s">
        <v>1287</v>
      </c>
      <c r="C469" s="334"/>
      <c r="D469" s="334"/>
    </row>
    <row r="470" spans="1:4" ht="15">
      <c r="A470" s="200">
        <v>401</v>
      </c>
      <c r="B470" s="333" t="s">
        <v>1288</v>
      </c>
      <c r="C470" s="334"/>
      <c r="D470" s="334"/>
    </row>
    <row r="471" spans="1:4" ht="28.5">
      <c r="A471" s="201">
        <v>40102</v>
      </c>
      <c r="B471" s="201" t="s">
        <v>1289</v>
      </c>
      <c r="C471" s="196" t="s">
        <v>7</v>
      </c>
      <c r="D471" s="199">
        <v>2220.4699999999998</v>
      </c>
    </row>
    <row r="472" spans="1:4" ht="14.25">
      <c r="A472" s="201">
        <v>40140</v>
      </c>
      <c r="B472" s="201" t="s">
        <v>1290</v>
      </c>
      <c r="C472" s="196" t="s">
        <v>7</v>
      </c>
      <c r="D472" s="199">
        <v>3403.89</v>
      </c>
    </row>
    <row r="473" spans="1:4" ht="15">
      <c r="A473" s="200">
        <v>402</v>
      </c>
      <c r="B473" s="333" t="s">
        <v>1291</v>
      </c>
      <c r="C473" s="334"/>
      <c r="D473" s="334"/>
    </row>
    <row r="474" spans="1:4" ht="14.25">
      <c r="A474" s="201">
        <v>40211</v>
      </c>
      <c r="B474" s="201" t="s">
        <v>1292</v>
      </c>
      <c r="C474" s="196" t="s">
        <v>7</v>
      </c>
      <c r="D474" s="197">
        <v>31.7</v>
      </c>
    </row>
    <row r="475" spans="1:4" ht="28.5">
      <c r="A475" s="201">
        <v>40264</v>
      </c>
      <c r="B475" s="201" t="s">
        <v>14980</v>
      </c>
      <c r="C475" s="196" t="s">
        <v>7</v>
      </c>
      <c r="D475" s="197">
        <v>976.57</v>
      </c>
    </row>
    <row r="476" spans="1:4" ht="15">
      <c r="A476" s="200">
        <v>403</v>
      </c>
      <c r="B476" s="333" t="s">
        <v>1120</v>
      </c>
      <c r="C476" s="334"/>
      <c r="D476" s="334"/>
    </row>
    <row r="477" spans="1:4" ht="28.5">
      <c r="A477" s="201">
        <v>40303</v>
      </c>
      <c r="B477" s="201" t="s">
        <v>1293</v>
      </c>
      <c r="C477" s="196" t="s">
        <v>7</v>
      </c>
      <c r="D477" s="197">
        <v>66.489999999999995</v>
      </c>
    </row>
    <row r="478" spans="1:4" ht="28.5">
      <c r="A478" s="201">
        <v>40304</v>
      </c>
      <c r="B478" s="201" t="s">
        <v>1294</v>
      </c>
      <c r="C478" s="196" t="s">
        <v>7</v>
      </c>
      <c r="D478" s="197">
        <v>84.43</v>
      </c>
    </row>
    <row r="479" spans="1:4" ht="28.5">
      <c r="A479" s="201">
        <v>40305</v>
      </c>
      <c r="B479" s="201" t="s">
        <v>1295</v>
      </c>
      <c r="C479" s="196" t="s">
        <v>7</v>
      </c>
      <c r="D479" s="197">
        <v>96.91</v>
      </c>
    </row>
    <row r="480" spans="1:4" ht="14.25">
      <c r="A480" s="201">
        <v>40306</v>
      </c>
      <c r="B480" s="201" t="s">
        <v>1296</v>
      </c>
      <c r="C480" s="196" t="s">
        <v>7</v>
      </c>
      <c r="D480" s="197">
        <v>15.22</v>
      </c>
    </row>
    <row r="481" spans="1:4" ht="15">
      <c r="A481" s="200">
        <v>404</v>
      </c>
      <c r="B481" s="333" t="s">
        <v>1297</v>
      </c>
      <c r="C481" s="334"/>
      <c r="D481" s="334"/>
    </row>
    <row r="482" spans="1:4" ht="28.5">
      <c r="A482" s="201">
        <v>40401</v>
      </c>
      <c r="B482" s="201" t="s">
        <v>1298</v>
      </c>
      <c r="C482" s="196" t="s">
        <v>7</v>
      </c>
      <c r="D482" s="197">
        <v>12.21</v>
      </c>
    </row>
    <row r="483" spans="1:4" ht="15">
      <c r="A483" s="200">
        <v>405</v>
      </c>
      <c r="B483" s="333" t="s">
        <v>1299</v>
      </c>
      <c r="C483" s="334"/>
      <c r="D483" s="334"/>
    </row>
    <row r="484" spans="1:4" ht="14.25">
      <c r="A484" s="201">
        <v>40504</v>
      </c>
      <c r="B484" s="201" t="s">
        <v>1300</v>
      </c>
      <c r="C484" s="196" t="s">
        <v>7</v>
      </c>
      <c r="D484" s="197">
        <v>45.54</v>
      </c>
    </row>
    <row r="485" spans="1:4" ht="14.25">
      <c r="A485" s="201">
        <v>40522</v>
      </c>
      <c r="B485" s="201" t="s">
        <v>1301</v>
      </c>
      <c r="C485" s="196" t="s">
        <v>7</v>
      </c>
      <c r="D485" s="197">
        <v>6.27</v>
      </c>
    </row>
    <row r="486" spans="1:4" ht="14.25">
      <c r="A486" s="201">
        <v>40523</v>
      </c>
      <c r="B486" s="201" t="s">
        <v>1302</v>
      </c>
      <c r="C486" s="196" t="s">
        <v>7</v>
      </c>
      <c r="D486" s="197">
        <v>6.13</v>
      </c>
    </row>
    <row r="487" spans="1:4" ht="14.25">
      <c r="A487" s="201">
        <v>40524</v>
      </c>
      <c r="B487" s="201" t="s">
        <v>1303</v>
      </c>
      <c r="C487" s="196" t="s">
        <v>7</v>
      </c>
      <c r="D487" s="197">
        <v>6.13</v>
      </c>
    </row>
    <row r="488" spans="1:4" ht="15">
      <c r="A488" s="200">
        <v>406</v>
      </c>
      <c r="B488" s="333" t="s">
        <v>12524</v>
      </c>
      <c r="C488" s="334"/>
      <c r="D488" s="334"/>
    </row>
    <row r="489" spans="1:4" ht="28.5">
      <c r="A489" s="201">
        <v>40612</v>
      </c>
      <c r="B489" s="201" t="s">
        <v>12525</v>
      </c>
      <c r="C489" s="196" t="s">
        <v>7</v>
      </c>
      <c r="D489" s="197">
        <v>14.06</v>
      </c>
    </row>
    <row r="490" spans="1:4" ht="15">
      <c r="A490" s="200">
        <v>409</v>
      </c>
      <c r="B490" s="333" t="s">
        <v>1120</v>
      </c>
      <c r="C490" s="334"/>
      <c r="D490" s="334"/>
    </row>
    <row r="491" spans="1:4" ht="28.5">
      <c r="A491" s="201">
        <v>40974</v>
      </c>
      <c r="B491" s="201" t="s">
        <v>1304</v>
      </c>
      <c r="C491" s="196" t="s">
        <v>7</v>
      </c>
      <c r="D491" s="197">
        <v>59.57</v>
      </c>
    </row>
    <row r="492" spans="1:4" ht="15">
      <c r="A492" s="200">
        <v>410</v>
      </c>
      <c r="B492" s="333" t="s">
        <v>14</v>
      </c>
      <c r="C492" s="334"/>
      <c r="D492" s="334"/>
    </row>
    <row r="493" spans="1:4" ht="28.5">
      <c r="A493" s="201">
        <v>41054</v>
      </c>
      <c r="B493" s="201" t="s">
        <v>12526</v>
      </c>
      <c r="C493" s="196" t="s">
        <v>7</v>
      </c>
      <c r="D493" s="199">
        <v>30622.94</v>
      </c>
    </row>
    <row r="494" spans="1:4" ht="28.5">
      <c r="A494" s="201">
        <v>41055</v>
      </c>
      <c r="B494" s="201" t="s">
        <v>12527</v>
      </c>
      <c r="C494" s="196" t="s">
        <v>7</v>
      </c>
      <c r="D494" s="199">
        <v>14296.38</v>
      </c>
    </row>
    <row r="495" spans="1:4" ht="28.5">
      <c r="A495" s="201">
        <v>41056</v>
      </c>
      <c r="B495" s="201" t="s">
        <v>12528</v>
      </c>
      <c r="C495" s="196" t="s">
        <v>7</v>
      </c>
      <c r="D495" s="199">
        <v>22289.42</v>
      </c>
    </row>
    <row r="496" spans="1:4" ht="28.5">
      <c r="A496" s="201">
        <v>41058</v>
      </c>
      <c r="B496" s="201" t="s">
        <v>12529</v>
      </c>
      <c r="C496" s="196" t="s">
        <v>7</v>
      </c>
      <c r="D496" s="199">
        <v>18817.669999999998</v>
      </c>
    </row>
    <row r="497" spans="1:4" ht="15">
      <c r="A497" s="200">
        <v>411</v>
      </c>
      <c r="B497" s="333" t="s">
        <v>1305</v>
      </c>
      <c r="C497" s="334"/>
      <c r="D497" s="334"/>
    </row>
    <row r="498" spans="1:4" ht="14.25">
      <c r="A498" s="201">
        <v>41106</v>
      </c>
      <c r="B498" s="201" t="s">
        <v>12530</v>
      </c>
      <c r="C498" s="196" t="s">
        <v>6</v>
      </c>
      <c r="D498" s="197">
        <v>44.39</v>
      </c>
    </row>
    <row r="499" spans="1:4" ht="15">
      <c r="A499" s="200">
        <v>415</v>
      </c>
      <c r="B499" s="333" t="s">
        <v>1306</v>
      </c>
      <c r="C499" s="334"/>
      <c r="D499" s="334"/>
    </row>
    <row r="500" spans="1:4" ht="28.5">
      <c r="A500" s="201">
        <v>41520</v>
      </c>
      <c r="B500" s="201" t="s">
        <v>1307</v>
      </c>
      <c r="C500" s="196" t="s">
        <v>7</v>
      </c>
      <c r="D500" s="199">
        <v>1462.02</v>
      </c>
    </row>
    <row r="501" spans="1:4" ht="28.5">
      <c r="A501" s="201">
        <v>41528</v>
      </c>
      <c r="B501" s="201" t="s">
        <v>1308</v>
      </c>
      <c r="C501" s="196" t="s">
        <v>7</v>
      </c>
      <c r="D501" s="197">
        <v>432.13</v>
      </c>
    </row>
    <row r="502" spans="1:4" ht="28.5">
      <c r="A502" s="201">
        <v>41530</v>
      </c>
      <c r="B502" s="201" t="s">
        <v>1309</v>
      </c>
      <c r="C502" s="196" t="s">
        <v>7</v>
      </c>
      <c r="D502" s="197">
        <v>756.99</v>
      </c>
    </row>
    <row r="503" spans="1:4" ht="28.5">
      <c r="A503" s="201">
        <v>41533</v>
      </c>
      <c r="B503" s="201" t="s">
        <v>1310</v>
      </c>
      <c r="C503" s="196" t="s">
        <v>7</v>
      </c>
      <c r="D503" s="197">
        <v>448.99</v>
      </c>
    </row>
    <row r="504" spans="1:4" ht="28.5">
      <c r="A504" s="201">
        <v>41536</v>
      </c>
      <c r="B504" s="201" t="s">
        <v>1311</v>
      </c>
      <c r="C504" s="196" t="s">
        <v>7</v>
      </c>
      <c r="D504" s="197">
        <v>586.41</v>
      </c>
    </row>
    <row r="505" spans="1:4" ht="28.5">
      <c r="A505" s="201">
        <v>41537</v>
      </c>
      <c r="B505" s="201" t="s">
        <v>1312</v>
      </c>
      <c r="C505" s="196" t="s">
        <v>7</v>
      </c>
      <c r="D505" s="197">
        <v>32.15</v>
      </c>
    </row>
    <row r="506" spans="1:4" ht="28.5">
      <c r="A506" s="201">
        <v>41542</v>
      </c>
      <c r="B506" s="201" t="s">
        <v>1313</v>
      </c>
      <c r="C506" s="196" t="s">
        <v>7</v>
      </c>
      <c r="D506" s="197">
        <v>725.46</v>
      </c>
    </row>
    <row r="507" spans="1:4" ht="28.5">
      <c r="A507" s="201">
        <v>41569</v>
      </c>
      <c r="B507" s="201" t="s">
        <v>1314</v>
      </c>
      <c r="C507" s="196" t="s">
        <v>7</v>
      </c>
      <c r="D507" s="197">
        <v>211</v>
      </c>
    </row>
    <row r="508" spans="1:4" ht="28.5">
      <c r="A508" s="201">
        <v>41579</v>
      </c>
      <c r="B508" s="201" t="s">
        <v>12531</v>
      </c>
      <c r="C508" s="196" t="s">
        <v>7</v>
      </c>
      <c r="D508" s="199">
        <v>1330.29</v>
      </c>
    </row>
    <row r="509" spans="1:4" ht="14.25">
      <c r="A509" s="201">
        <v>41588</v>
      </c>
      <c r="B509" s="201" t="s">
        <v>12532</v>
      </c>
      <c r="C509" s="196" t="s">
        <v>7</v>
      </c>
      <c r="D509" s="197">
        <v>3.46</v>
      </c>
    </row>
    <row r="510" spans="1:4" ht="15">
      <c r="A510" s="200">
        <v>416</v>
      </c>
      <c r="B510" s="333" t="s">
        <v>1315</v>
      </c>
      <c r="C510" s="334"/>
      <c r="D510" s="334"/>
    </row>
    <row r="511" spans="1:4" ht="14.25">
      <c r="A511" s="201">
        <v>41667</v>
      </c>
      <c r="B511" s="201" t="s">
        <v>1316</v>
      </c>
      <c r="C511" s="196" t="s">
        <v>7</v>
      </c>
      <c r="D511" s="197">
        <v>5.03</v>
      </c>
    </row>
    <row r="512" spans="1:4" ht="15">
      <c r="A512" s="200">
        <v>417</v>
      </c>
      <c r="B512" s="333" t="s">
        <v>1315</v>
      </c>
      <c r="C512" s="334"/>
      <c r="D512" s="334"/>
    </row>
    <row r="513" spans="1:4" ht="28.5">
      <c r="A513" s="201">
        <v>41724</v>
      </c>
      <c r="B513" s="201" t="s">
        <v>1317</v>
      </c>
      <c r="C513" s="196" t="s">
        <v>7</v>
      </c>
      <c r="D513" s="197">
        <v>432.13</v>
      </c>
    </row>
    <row r="514" spans="1:4" ht="28.5">
      <c r="A514" s="201">
        <v>41726</v>
      </c>
      <c r="B514" s="201" t="s">
        <v>1318</v>
      </c>
      <c r="C514" s="196" t="s">
        <v>7</v>
      </c>
      <c r="D514" s="197">
        <v>483.76</v>
      </c>
    </row>
    <row r="515" spans="1:4" ht="15">
      <c r="A515" s="200">
        <v>418</v>
      </c>
      <c r="B515" s="333" t="s">
        <v>1315</v>
      </c>
      <c r="C515" s="334"/>
      <c r="D515" s="334"/>
    </row>
    <row r="516" spans="1:4" ht="28.5">
      <c r="A516" s="201">
        <v>41815</v>
      </c>
      <c r="B516" s="201" t="s">
        <v>1319</v>
      </c>
      <c r="C516" s="196" t="s">
        <v>7</v>
      </c>
      <c r="D516" s="199">
        <v>1373.95</v>
      </c>
    </row>
    <row r="517" spans="1:4" ht="28.5">
      <c r="A517" s="201">
        <v>41817</v>
      </c>
      <c r="B517" s="201" t="s">
        <v>1320</v>
      </c>
      <c r="C517" s="196" t="s">
        <v>7</v>
      </c>
      <c r="D517" s="199">
        <v>1188.78</v>
      </c>
    </row>
    <row r="518" spans="1:4" ht="28.5">
      <c r="A518" s="201">
        <v>41821</v>
      </c>
      <c r="B518" s="201" t="s">
        <v>1321</v>
      </c>
      <c r="C518" s="196" t="s">
        <v>7</v>
      </c>
      <c r="D518" s="197">
        <v>756.99</v>
      </c>
    </row>
    <row r="519" spans="1:4" ht="14.25">
      <c r="A519" s="201">
        <v>41860</v>
      </c>
      <c r="B519" s="201" t="s">
        <v>1322</v>
      </c>
      <c r="C519" s="196" t="s">
        <v>7</v>
      </c>
      <c r="D519" s="199">
        <v>1266.33</v>
      </c>
    </row>
    <row r="520" spans="1:4" ht="28.5">
      <c r="A520" s="201">
        <v>41861</v>
      </c>
      <c r="B520" s="201" t="s">
        <v>1323</v>
      </c>
      <c r="C520" s="196" t="s">
        <v>7</v>
      </c>
      <c r="D520" s="197">
        <v>159.51</v>
      </c>
    </row>
    <row r="521" spans="1:4" ht="28.5">
      <c r="A521" s="201">
        <v>41866</v>
      </c>
      <c r="B521" s="201" t="s">
        <v>12533</v>
      </c>
      <c r="C521" s="196" t="s">
        <v>7</v>
      </c>
      <c r="D521" s="197">
        <v>148.68</v>
      </c>
    </row>
    <row r="522" spans="1:4" ht="15">
      <c r="A522" s="200">
        <v>419</v>
      </c>
      <c r="B522" s="333" t="s">
        <v>1315</v>
      </c>
      <c r="C522" s="334"/>
      <c r="D522" s="334"/>
    </row>
    <row r="523" spans="1:4" ht="28.5">
      <c r="A523" s="201">
        <v>41962</v>
      </c>
      <c r="B523" s="201" t="s">
        <v>1324</v>
      </c>
      <c r="C523" s="196" t="s">
        <v>7</v>
      </c>
      <c r="D523" s="197">
        <v>586.41</v>
      </c>
    </row>
    <row r="524" spans="1:4" ht="15">
      <c r="A524" s="200">
        <v>420</v>
      </c>
      <c r="B524" s="333" t="s">
        <v>1325</v>
      </c>
      <c r="C524" s="334"/>
      <c r="D524" s="334"/>
    </row>
    <row r="525" spans="1:4" ht="14.25">
      <c r="A525" s="201">
        <v>42047</v>
      </c>
      <c r="B525" s="201" t="s">
        <v>14981</v>
      </c>
      <c r="C525" s="196" t="s">
        <v>6</v>
      </c>
      <c r="D525" s="197">
        <v>445.29</v>
      </c>
    </row>
    <row r="526" spans="1:4" ht="14.25">
      <c r="A526" s="201">
        <v>42051</v>
      </c>
      <c r="B526" s="201" t="s">
        <v>14982</v>
      </c>
      <c r="C526" s="196" t="s">
        <v>6</v>
      </c>
      <c r="D526" s="197">
        <v>52.08</v>
      </c>
    </row>
    <row r="527" spans="1:4" ht="14.25">
      <c r="A527" s="201">
        <v>42052</v>
      </c>
      <c r="B527" s="201" t="s">
        <v>14983</v>
      </c>
      <c r="C527" s="196" t="s">
        <v>6</v>
      </c>
      <c r="D527" s="197">
        <v>115.1</v>
      </c>
    </row>
    <row r="528" spans="1:4" ht="28.5">
      <c r="A528" s="201">
        <v>42087</v>
      </c>
      <c r="B528" s="201" t="s">
        <v>14984</v>
      </c>
      <c r="C528" s="196" t="s">
        <v>7</v>
      </c>
      <c r="D528" s="197">
        <v>106</v>
      </c>
    </row>
    <row r="529" spans="1:4" ht="14.25">
      <c r="A529" s="201">
        <v>42090</v>
      </c>
      <c r="B529" s="201" t="s">
        <v>14985</v>
      </c>
      <c r="C529" s="196" t="s">
        <v>6</v>
      </c>
      <c r="D529" s="197">
        <v>67.209999999999994</v>
      </c>
    </row>
    <row r="530" spans="1:4" ht="28.5">
      <c r="A530" s="201">
        <v>42091</v>
      </c>
      <c r="B530" s="201" t="s">
        <v>1326</v>
      </c>
      <c r="C530" s="196" t="s">
        <v>7</v>
      </c>
      <c r="D530" s="197">
        <v>30.72</v>
      </c>
    </row>
    <row r="531" spans="1:4" ht="15">
      <c r="A531" s="200">
        <v>423</v>
      </c>
      <c r="B531" s="333" t="s">
        <v>1327</v>
      </c>
      <c r="C531" s="334"/>
      <c r="D531" s="334"/>
    </row>
    <row r="532" spans="1:4" ht="28.5">
      <c r="A532" s="201">
        <v>42301</v>
      </c>
      <c r="B532" s="201" t="s">
        <v>19088</v>
      </c>
      <c r="C532" s="196" t="s">
        <v>7</v>
      </c>
      <c r="D532" s="197">
        <v>13.8</v>
      </c>
    </row>
    <row r="533" spans="1:4" ht="28.5">
      <c r="A533" s="201">
        <v>42302</v>
      </c>
      <c r="B533" s="201" t="s">
        <v>19089</v>
      </c>
      <c r="C533" s="196" t="s">
        <v>7</v>
      </c>
      <c r="D533" s="197">
        <v>14.06</v>
      </c>
    </row>
    <row r="534" spans="1:4" ht="28.5">
      <c r="A534" s="201">
        <v>42303</v>
      </c>
      <c r="B534" s="201" t="s">
        <v>19090</v>
      </c>
      <c r="C534" s="196" t="s">
        <v>7</v>
      </c>
      <c r="D534" s="197">
        <v>15.07</v>
      </c>
    </row>
    <row r="535" spans="1:4" ht="15">
      <c r="A535" s="200">
        <v>425</v>
      </c>
      <c r="B535" s="333" t="s">
        <v>1328</v>
      </c>
      <c r="C535" s="334"/>
      <c r="D535" s="334"/>
    </row>
    <row r="536" spans="1:4" ht="28.5">
      <c r="A536" s="201">
        <v>42501</v>
      </c>
      <c r="B536" s="201" t="s">
        <v>1329</v>
      </c>
      <c r="C536" s="196" t="s">
        <v>6</v>
      </c>
      <c r="D536" s="197">
        <v>3.05</v>
      </c>
    </row>
    <row r="537" spans="1:4" ht="28.5">
      <c r="A537" s="201">
        <v>42502</v>
      </c>
      <c r="B537" s="201" t="s">
        <v>1330</v>
      </c>
      <c r="C537" s="196" t="s">
        <v>6</v>
      </c>
      <c r="D537" s="197">
        <v>3.83</v>
      </c>
    </row>
    <row r="538" spans="1:4" ht="28.5">
      <c r="A538" s="201">
        <v>42503</v>
      </c>
      <c r="B538" s="201" t="s">
        <v>1331</v>
      </c>
      <c r="C538" s="196" t="s">
        <v>6</v>
      </c>
      <c r="D538" s="197">
        <v>5.0999999999999996</v>
      </c>
    </row>
    <row r="539" spans="1:4" ht="28.5">
      <c r="A539" s="201">
        <v>42504</v>
      </c>
      <c r="B539" s="201" t="s">
        <v>1332</v>
      </c>
      <c r="C539" s="196" t="s">
        <v>6</v>
      </c>
      <c r="D539" s="197">
        <v>8.77</v>
      </c>
    </row>
    <row r="540" spans="1:4" ht="28.5">
      <c r="A540" s="201">
        <v>42505</v>
      </c>
      <c r="B540" s="201" t="s">
        <v>1333</v>
      </c>
      <c r="C540" s="196" t="s">
        <v>6</v>
      </c>
      <c r="D540" s="197">
        <v>11.56</v>
      </c>
    </row>
    <row r="541" spans="1:4" ht="28.5">
      <c r="A541" s="201">
        <v>42506</v>
      </c>
      <c r="B541" s="201" t="s">
        <v>1334</v>
      </c>
      <c r="C541" s="196" t="s">
        <v>6</v>
      </c>
      <c r="D541" s="197">
        <v>14.81</v>
      </c>
    </row>
    <row r="542" spans="1:4" ht="28.5">
      <c r="A542" s="201">
        <v>42508</v>
      </c>
      <c r="B542" s="201" t="s">
        <v>1335</v>
      </c>
      <c r="C542" s="196" t="s">
        <v>6</v>
      </c>
      <c r="D542" s="197">
        <v>31.91</v>
      </c>
    </row>
    <row r="543" spans="1:4" ht="28.5">
      <c r="A543" s="201">
        <v>42509</v>
      </c>
      <c r="B543" s="201" t="s">
        <v>1336</v>
      </c>
      <c r="C543" s="196" t="s">
        <v>6</v>
      </c>
      <c r="D543" s="197">
        <v>46.65</v>
      </c>
    </row>
    <row r="544" spans="1:4" ht="14.25">
      <c r="A544" s="201">
        <v>42511</v>
      </c>
      <c r="B544" s="201" t="s">
        <v>1337</v>
      </c>
      <c r="C544" s="196" t="s">
        <v>7</v>
      </c>
      <c r="D544" s="197">
        <v>4.9000000000000004</v>
      </c>
    </row>
    <row r="545" spans="1:4" ht="14.25">
      <c r="A545" s="201">
        <v>42521</v>
      </c>
      <c r="B545" s="201" t="s">
        <v>1338</v>
      </c>
      <c r="C545" s="196" t="s">
        <v>7</v>
      </c>
      <c r="D545" s="197">
        <v>1.78</v>
      </c>
    </row>
    <row r="546" spans="1:4" ht="28.5">
      <c r="A546" s="201">
        <v>42529</v>
      </c>
      <c r="B546" s="201" t="s">
        <v>1339</v>
      </c>
      <c r="C546" s="196" t="s">
        <v>6</v>
      </c>
      <c r="D546" s="197">
        <v>7.16</v>
      </c>
    </row>
    <row r="547" spans="1:4" ht="14.25">
      <c r="A547" s="201">
        <v>42530</v>
      </c>
      <c r="B547" s="201" t="s">
        <v>1340</v>
      </c>
      <c r="C547" s="196" t="s">
        <v>7</v>
      </c>
      <c r="D547" s="197">
        <v>47.39</v>
      </c>
    </row>
    <row r="548" spans="1:4" ht="14.25">
      <c r="A548" s="201">
        <v>42535</v>
      </c>
      <c r="B548" s="201" t="s">
        <v>1341</v>
      </c>
      <c r="C548" s="196" t="s">
        <v>6</v>
      </c>
      <c r="D548" s="197">
        <v>4.2</v>
      </c>
    </row>
    <row r="549" spans="1:4" ht="28.5">
      <c r="A549" s="201">
        <v>42546</v>
      </c>
      <c r="B549" s="201" t="s">
        <v>1342</v>
      </c>
      <c r="C549" s="196" t="s">
        <v>6</v>
      </c>
      <c r="D549" s="197">
        <v>9.5399999999999991</v>
      </c>
    </row>
    <row r="550" spans="1:4" ht="14.25">
      <c r="A550" s="201">
        <v>42548</v>
      </c>
      <c r="B550" s="201" t="s">
        <v>1343</v>
      </c>
      <c r="C550" s="196" t="s">
        <v>6</v>
      </c>
      <c r="D550" s="197">
        <v>171.75</v>
      </c>
    </row>
    <row r="551" spans="1:4" ht="14.25">
      <c r="A551" s="201">
        <v>42552</v>
      </c>
      <c r="B551" s="201" t="s">
        <v>1344</v>
      </c>
      <c r="C551" s="196" t="s">
        <v>7</v>
      </c>
      <c r="D551" s="197">
        <v>3.6</v>
      </c>
    </row>
    <row r="552" spans="1:4" ht="42.75">
      <c r="A552" s="201">
        <v>42558</v>
      </c>
      <c r="B552" s="201" t="s">
        <v>12534</v>
      </c>
      <c r="C552" s="196" t="s">
        <v>7</v>
      </c>
      <c r="D552" s="197">
        <v>8.41</v>
      </c>
    </row>
    <row r="553" spans="1:4" ht="28.5">
      <c r="A553" s="201">
        <v>42565</v>
      </c>
      <c r="B553" s="201" t="s">
        <v>1345</v>
      </c>
      <c r="C553" s="196" t="s">
        <v>6</v>
      </c>
      <c r="D553" s="197">
        <v>1.99</v>
      </c>
    </row>
    <row r="554" spans="1:4" ht="28.5">
      <c r="A554" s="201">
        <v>42588</v>
      </c>
      <c r="B554" s="201" t="s">
        <v>1346</v>
      </c>
      <c r="C554" s="196" t="s">
        <v>6</v>
      </c>
      <c r="D554" s="197">
        <v>3.05</v>
      </c>
    </row>
    <row r="555" spans="1:4" ht="15">
      <c r="A555" s="200">
        <v>426</v>
      </c>
      <c r="B555" s="333" t="s">
        <v>1347</v>
      </c>
      <c r="C555" s="334"/>
      <c r="D555" s="334"/>
    </row>
    <row r="556" spans="1:4" ht="14.25">
      <c r="A556" s="201">
        <v>42636</v>
      </c>
      <c r="B556" s="201" t="s">
        <v>1348</v>
      </c>
      <c r="C556" s="196" t="s">
        <v>6</v>
      </c>
      <c r="D556" s="197">
        <v>26.5</v>
      </c>
    </row>
    <row r="557" spans="1:4" ht="14.25">
      <c r="A557" s="201">
        <v>42673</v>
      </c>
      <c r="B557" s="201" t="s">
        <v>1349</v>
      </c>
      <c r="C557" s="196" t="s">
        <v>6</v>
      </c>
      <c r="D557" s="197">
        <v>3.87</v>
      </c>
    </row>
    <row r="558" spans="1:4" ht="14.25">
      <c r="A558" s="201">
        <v>42674</v>
      </c>
      <c r="B558" s="201" t="s">
        <v>1350</v>
      </c>
      <c r="C558" s="196" t="s">
        <v>6</v>
      </c>
      <c r="D558" s="197">
        <v>4.75</v>
      </c>
    </row>
    <row r="559" spans="1:4" ht="14.25">
      <c r="A559" s="201">
        <v>42690</v>
      </c>
      <c r="B559" s="201" t="s">
        <v>1351</v>
      </c>
      <c r="C559" s="196" t="s">
        <v>6</v>
      </c>
      <c r="D559" s="197">
        <v>10.96</v>
      </c>
    </row>
    <row r="560" spans="1:4" ht="15">
      <c r="A560" s="200">
        <v>427</v>
      </c>
      <c r="B560" s="333" t="s">
        <v>1352</v>
      </c>
      <c r="C560" s="334"/>
      <c r="D560" s="334"/>
    </row>
    <row r="561" spans="1:4" ht="14.25">
      <c r="A561" s="201">
        <v>42701</v>
      </c>
      <c r="B561" s="201" t="s">
        <v>1353</v>
      </c>
      <c r="C561" s="196" t="s">
        <v>6</v>
      </c>
      <c r="D561" s="197">
        <v>7.75</v>
      </c>
    </row>
    <row r="562" spans="1:4" ht="14.25">
      <c r="A562" s="201">
        <v>42717</v>
      </c>
      <c r="B562" s="201" t="s">
        <v>1354</v>
      </c>
      <c r="C562" s="196" t="s">
        <v>6</v>
      </c>
      <c r="D562" s="197">
        <v>2.8</v>
      </c>
    </row>
    <row r="563" spans="1:4" ht="15">
      <c r="A563" s="200">
        <v>429</v>
      </c>
      <c r="B563" s="333" t="s">
        <v>1416</v>
      </c>
      <c r="C563" s="334"/>
      <c r="D563" s="334"/>
    </row>
    <row r="564" spans="1:4" ht="28.5">
      <c r="A564" s="201">
        <v>42906</v>
      </c>
      <c r="B564" s="201" t="s">
        <v>12535</v>
      </c>
      <c r="C564" s="196" t="s">
        <v>7</v>
      </c>
      <c r="D564" s="197">
        <v>5.58</v>
      </c>
    </row>
    <row r="565" spans="1:4" ht="15">
      <c r="A565" s="200">
        <v>430</v>
      </c>
      <c r="B565" s="333" t="s">
        <v>1355</v>
      </c>
      <c r="C565" s="334"/>
      <c r="D565" s="334"/>
    </row>
    <row r="566" spans="1:4" ht="14.25">
      <c r="A566" s="201">
        <v>43004</v>
      </c>
      <c r="B566" s="201" t="s">
        <v>1356</v>
      </c>
      <c r="C566" s="196" t="s">
        <v>6</v>
      </c>
      <c r="D566" s="197">
        <v>1.49</v>
      </c>
    </row>
    <row r="567" spans="1:4" ht="14.25">
      <c r="A567" s="201">
        <v>43005</v>
      </c>
      <c r="B567" s="201" t="s">
        <v>1357</v>
      </c>
      <c r="C567" s="196" t="s">
        <v>6</v>
      </c>
      <c r="D567" s="197">
        <v>2.12</v>
      </c>
    </row>
    <row r="568" spans="1:4" ht="14.25">
      <c r="A568" s="201">
        <v>43006</v>
      </c>
      <c r="B568" s="201" t="s">
        <v>1358</v>
      </c>
      <c r="C568" s="196" t="s">
        <v>6</v>
      </c>
      <c r="D568" s="197">
        <v>4.03</v>
      </c>
    </row>
    <row r="569" spans="1:4" ht="14.25">
      <c r="A569" s="201">
        <v>43007</v>
      </c>
      <c r="B569" s="201" t="s">
        <v>1359</v>
      </c>
      <c r="C569" s="196" t="s">
        <v>6</v>
      </c>
      <c r="D569" s="197">
        <v>5.47</v>
      </c>
    </row>
    <row r="570" spans="1:4" ht="28.5">
      <c r="A570" s="201">
        <v>43009</v>
      </c>
      <c r="B570" s="201" t="s">
        <v>14986</v>
      </c>
      <c r="C570" s="196" t="s">
        <v>6</v>
      </c>
      <c r="D570" s="197">
        <v>103.65</v>
      </c>
    </row>
    <row r="571" spans="1:4" ht="14.25">
      <c r="A571" s="201">
        <v>43015</v>
      </c>
      <c r="B571" s="201" t="s">
        <v>1360</v>
      </c>
      <c r="C571" s="196" t="s">
        <v>6</v>
      </c>
      <c r="D571" s="197">
        <v>14.35</v>
      </c>
    </row>
    <row r="572" spans="1:4" ht="14.25">
      <c r="A572" s="201">
        <v>43016</v>
      </c>
      <c r="B572" s="201" t="s">
        <v>1361</v>
      </c>
      <c r="C572" s="196" t="s">
        <v>6</v>
      </c>
      <c r="D572" s="197">
        <v>23.08</v>
      </c>
    </row>
    <row r="573" spans="1:4" ht="28.5">
      <c r="A573" s="201">
        <v>43023</v>
      </c>
      <c r="B573" s="201" t="s">
        <v>14987</v>
      </c>
      <c r="C573" s="196" t="s">
        <v>6</v>
      </c>
      <c r="D573" s="197">
        <v>209.82</v>
      </c>
    </row>
    <row r="574" spans="1:4" ht="28.5">
      <c r="A574" s="201">
        <v>43036</v>
      </c>
      <c r="B574" s="201" t="s">
        <v>12536</v>
      </c>
      <c r="C574" s="196" t="s">
        <v>6</v>
      </c>
      <c r="D574" s="197">
        <v>9.31</v>
      </c>
    </row>
    <row r="575" spans="1:4" ht="28.5">
      <c r="A575" s="201">
        <v>43038</v>
      </c>
      <c r="B575" s="201" t="s">
        <v>12537</v>
      </c>
      <c r="C575" s="196" t="s">
        <v>6</v>
      </c>
      <c r="D575" s="197">
        <v>18.52</v>
      </c>
    </row>
    <row r="576" spans="1:4" ht="28.5">
      <c r="A576" s="201">
        <v>43039</v>
      </c>
      <c r="B576" s="201" t="s">
        <v>12538</v>
      </c>
      <c r="C576" s="196" t="s">
        <v>6</v>
      </c>
      <c r="D576" s="197">
        <v>10.93</v>
      </c>
    </row>
    <row r="577" spans="1:4" ht="28.5">
      <c r="A577" s="201">
        <v>43040</v>
      </c>
      <c r="B577" s="201" t="s">
        <v>12539</v>
      </c>
      <c r="C577" s="196" t="s">
        <v>6</v>
      </c>
      <c r="D577" s="197">
        <v>27.03</v>
      </c>
    </row>
    <row r="578" spans="1:4" ht="28.5">
      <c r="A578" s="201">
        <v>43041</v>
      </c>
      <c r="B578" s="201" t="s">
        <v>12540</v>
      </c>
      <c r="C578" s="196" t="s">
        <v>6</v>
      </c>
      <c r="D578" s="197">
        <v>34.270000000000003</v>
      </c>
    </row>
    <row r="579" spans="1:4" ht="28.5">
      <c r="A579" s="201">
        <v>43044</v>
      </c>
      <c r="B579" s="201" t="s">
        <v>12541</v>
      </c>
      <c r="C579" s="196" t="s">
        <v>6</v>
      </c>
      <c r="D579" s="197">
        <v>56.17</v>
      </c>
    </row>
    <row r="580" spans="1:4" ht="14.25">
      <c r="A580" s="201">
        <v>43055</v>
      </c>
      <c r="B580" s="201" t="s">
        <v>1362</v>
      </c>
      <c r="C580" s="196" t="s">
        <v>6</v>
      </c>
      <c r="D580" s="197">
        <v>19.440000000000001</v>
      </c>
    </row>
    <row r="581" spans="1:4" ht="28.5">
      <c r="A581" s="201">
        <v>43059</v>
      </c>
      <c r="B581" s="201" t="s">
        <v>14988</v>
      </c>
      <c r="C581" s="196" t="s">
        <v>6</v>
      </c>
      <c r="D581" s="197">
        <v>14.52</v>
      </c>
    </row>
    <row r="582" spans="1:4" ht="15">
      <c r="A582" s="200">
        <v>431</v>
      </c>
      <c r="B582" s="333" t="s">
        <v>1363</v>
      </c>
      <c r="C582" s="334"/>
      <c r="D582" s="334"/>
    </row>
    <row r="583" spans="1:4" ht="14.25">
      <c r="A583" s="201">
        <v>43113</v>
      </c>
      <c r="B583" s="201" t="s">
        <v>1364</v>
      </c>
      <c r="C583" s="196" t="s">
        <v>6</v>
      </c>
      <c r="D583" s="197">
        <v>74.349999999999994</v>
      </c>
    </row>
    <row r="584" spans="1:4" ht="14.25">
      <c r="A584" s="201">
        <v>43127</v>
      </c>
      <c r="B584" s="201" t="s">
        <v>1365</v>
      </c>
      <c r="C584" s="196" t="s">
        <v>6</v>
      </c>
      <c r="D584" s="197">
        <v>2.99</v>
      </c>
    </row>
    <row r="585" spans="1:4" ht="28.5">
      <c r="A585" s="201">
        <v>43137</v>
      </c>
      <c r="B585" s="201" t="s">
        <v>14989</v>
      </c>
      <c r="C585" s="196" t="s">
        <v>6</v>
      </c>
      <c r="D585" s="197">
        <v>68.47</v>
      </c>
    </row>
    <row r="586" spans="1:4" ht="42.75">
      <c r="A586" s="201">
        <v>43149</v>
      </c>
      <c r="B586" s="201" t="s">
        <v>18936</v>
      </c>
      <c r="C586" s="196" t="s">
        <v>6</v>
      </c>
      <c r="D586" s="197">
        <v>20.11</v>
      </c>
    </row>
    <row r="587" spans="1:4" ht="42.75">
      <c r="A587" s="201">
        <v>43150</v>
      </c>
      <c r="B587" s="201" t="s">
        <v>18937</v>
      </c>
      <c r="C587" s="196" t="s">
        <v>6</v>
      </c>
      <c r="D587" s="197">
        <v>83.27</v>
      </c>
    </row>
    <row r="588" spans="1:4" ht="28.5">
      <c r="A588" s="201">
        <v>43160</v>
      </c>
      <c r="B588" s="201" t="s">
        <v>14990</v>
      </c>
      <c r="C588" s="196" t="s">
        <v>6</v>
      </c>
      <c r="D588" s="197">
        <v>27.02</v>
      </c>
    </row>
    <row r="589" spans="1:4" ht="28.5">
      <c r="A589" s="201">
        <v>43174</v>
      </c>
      <c r="B589" s="201" t="s">
        <v>14991</v>
      </c>
      <c r="C589" s="196" t="s">
        <v>6</v>
      </c>
      <c r="D589" s="197">
        <v>38.549999999999997</v>
      </c>
    </row>
    <row r="590" spans="1:4" ht="28.5">
      <c r="A590" s="201">
        <v>43175</v>
      </c>
      <c r="B590" s="201" t="s">
        <v>14992</v>
      </c>
      <c r="C590" s="196" t="s">
        <v>6</v>
      </c>
      <c r="D590" s="197">
        <v>7.34</v>
      </c>
    </row>
    <row r="591" spans="1:4" ht="28.5">
      <c r="A591" s="201">
        <v>43180</v>
      </c>
      <c r="B591" s="201" t="s">
        <v>14993</v>
      </c>
      <c r="C591" s="196" t="s">
        <v>6</v>
      </c>
      <c r="D591" s="197">
        <v>10.119999999999999</v>
      </c>
    </row>
    <row r="592" spans="1:4" ht="42.75">
      <c r="A592" s="201">
        <v>43188</v>
      </c>
      <c r="B592" s="201" t="s">
        <v>18938</v>
      </c>
      <c r="C592" s="196" t="s">
        <v>6</v>
      </c>
      <c r="D592" s="197">
        <v>17.63</v>
      </c>
    </row>
    <row r="593" spans="1:4" ht="28.5">
      <c r="A593" s="201">
        <v>43190</v>
      </c>
      <c r="B593" s="201" t="s">
        <v>14994</v>
      </c>
      <c r="C593" s="196" t="s">
        <v>6</v>
      </c>
      <c r="D593" s="197">
        <v>46.83</v>
      </c>
    </row>
    <row r="594" spans="1:4" ht="14.25">
      <c r="A594" s="201">
        <v>43193</v>
      </c>
      <c r="B594" s="201" t="s">
        <v>1366</v>
      </c>
      <c r="C594" s="196" t="s">
        <v>6</v>
      </c>
      <c r="D594" s="197">
        <v>10.23</v>
      </c>
    </row>
    <row r="595" spans="1:4" ht="28.5">
      <c r="A595" s="201">
        <v>43194</v>
      </c>
      <c r="B595" s="201" t="s">
        <v>14995</v>
      </c>
      <c r="C595" s="196" t="s">
        <v>6</v>
      </c>
      <c r="D595" s="197">
        <v>259.17</v>
      </c>
    </row>
    <row r="596" spans="1:4" ht="28.5">
      <c r="A596" s="201">
        <v>43199</v>
      </c>
      <c r="B596" s="201" t="s">
        <v>14996</v>
      </c>
      <c r="C596" s="196" t="s">
        <v>6</v>
      </c>
      <c r="D596" s="197">
        <v>160.24</v>
      </c>
    </row>
    <row r="597" spans="1:4" ht="15">
      <c r="A597" s="200">
        <v>432</v>
      </c>
      <c r="B597" s="333" t="s">
        <v>1363</v>
      </c>
      <c r="C597" s="334"/>
      <c r="D597" s="334"/>
    </row>
    <row r="598" spans="1:4" ht="28.5">
      <c r="A598" s="201">
        <v>43204</v>
      </c>
      <c r="B598" s="201" t="s">
        <v>1367</v>
      </c>
      <c r="C598" s="196" t="s">
        <v>6</v>
      </c>
      <c r="D598" s="197">
        <v>87.13</v>
      </c>
    </row>
    <row r="599" spans="1:4" ht="28.5">
      <c r="A599" s="201">
        <v>43205</v>
      </c>
      <c r="B599" s="201" t="s">
        <v>14997</v>
      </c>
      <c r="C599" s="196" t="s">
        <v>6</v>
      </c>
      <c r="D599" s="197">
        <v>3.46</v>
      </c>
    </row>
    <row r="600" spans="1:4" ht="28.5">
      <c r="A600" s="201">
        <v>43206</v>
      </c>
      <c r="B600" s="201" t="s">
        <v>14998</v>
      </c>
      <c r="C600" s="196" t="s">
        <v>6</v>
      </c>
      <c r="D600" s="197">
        <v>5.1100000000000003</v>
      </c>
    </row>
    <row r="601" spans="1:4" ht="28.5">
      <c r="A601" s="201">
        <v>43236</v>
      </c>
      <c r="B601" s="201" t="s">
        <v>14999</v>
      </c>
      <c r="C601" s="196" t="s">
        <v>6</v>
      </c>
      <c r="D601" s="197">
        <v>119.09</v>
      </c>
    </row>
    <row r="602" spans="1:4" ht="14.25">
      <c r="A602" s="201">
        <v>43243</v>
      </c>
      <c r="B602" s="201" t="s">
        <v>1368</v>
      </c>
      <c r="C602" s="196" t="s">
        <v>8</v>
      </c>
      <c r="D602" s="197">
        <v>107.75</v>
      </c>
    </row>
    <row r="603" spans="1:4" ht="28.5">
      <c r="A603" s="201">
        <v>43253</v>
      </c>
      <c r="B603" s="201" t="s">
        <v>15000</v>
      </c>
      <c r="C603" s="196" t="s">
        <v>6</v>
      </c>
      <c r="D603" s="197">
        <v>405.98</v>
      </c>
    </row>
    <row r="604" spans="1:4" ht="14.25">
      <c r="A604" s="201">
        <v>43287</v>
      </c>
      <c r="B604" s="201" t="s">
        <v>15001</v>
      </c>
      <c r="C604" s="196" t="s">
        <v>6</v>
      </c>
      <c r="D604" s="197">
        <v>4.2</v>
      </c>
    </row>
    <row r="605" spans="1:4" ht="15">
      <c r="A605" s="200">
        <v>433</v>
      </c>
      <c r="B605" s="333" t="s">
        <v>15002</v>
      </c>
      <c r="C605" s="334"/>
      <c r="D605" s="334"/>
    </row>
    <row r="606" spans="1:4" ht="14.25">
      <c r="A606" s="201">
        <v>43387</v>
      </c>
      <c r="B606" s="201" t="s">
        <v>15003</v>
      </c>
      <c r="C606" s="196" t="s">
        <v>6</v>
      </c>
      <c r="D606" s="197">
        <v>13.6</v>
      </c>
    </row>
    <row r="607" spans="1:4" ht="15">
      <c r="A607" s="200">
        <v>434</v>
      </c>
      <c r="B607" s="333" t="s">
        <v>1369</v>
      </c>
      <c r="C607" s="334"/>
      <c r="D607" s="334"/>
    </row>
    <row r="608" spans="1:4" ht="42.75">
      <c r="A608" s="201">
        <v>43406</v>
      </c>
      <c r="B608" s="201" t="s">
        <v>18939</v>
      </c>
      <c r="C608" s="196" t="s">
        <v>6</v>
      </c>
      <c r="D608" s="197">
        <v>6.8</v>
      </c>
    </row>
    <row r="609" spans="1:4" ht="14.25">
      <c r="A609" s="201">
        <v>43441</v>
      </c>
      <c r="B609" s="201" t="s">
        <v>15004</v>
      </c>
      <c r="C609" s="196" t="s">
        <v>6</v>
      </c>
      <c r="D609" s="197">
        <v>2.14</v>
      </c>
    </row>
    <row r="610" spans="1:4" ht="42.75">
      <c r="A610" s="201">
        <v>43496</v>
      </c>
      <c r="B610" s="201" t="s">
        <v>18940</v>
      </c>
      <c r="C610" s="196" t="s">
        <v>6</v>
      </c>
      <c r="D610" s="197">
        <v>8.82</v>
      </c>
    </row>
    <row r="611" spans="1:4" ht="15">
      <c r="A611" s="200">
        <v>437</v>
      </c>
      <c r="B611" s="333" t="s">
        <v>1129</v>
      </c>
      <c r="C611" s="334"/>
      <c r="D611" s="334"/>
    </row>
    <row r="612" spans="1:4" ht="14.25">
      <c r="A612" s="201">
        <v>43702</v>
      </c>
      <c r="B612" s="201" t="s">
        <v>1370</v>
      </c>
      <c r="C612" s="196" t="s">
        <v>7</v>
      </c>
      <c r="D612" s="197">
        <v>6.7</v>
      </c>
    </row>
    <row r="613" spans="1:4" ht="28.5">
      <c r="A613" s="201">
        <v>43792</v>
      </c>
      <c r="B613" s="201" t="s">
        <v>1371</v>
      </c>
      <c r="C613" s="196" t="s">
        <v>7</v>
      </c>
      <c r="D613" s="197">
        <v>4.8600000000000003</v>
      </c>
    </row>
    <row r="614" spans="1:4" ht="28.5">
      <c r="A614" s="201">
        <v>43795</v>
      </c>
      <c r="B614" s="201" t="s">
        <v>1372</v>
      </c>
      <c r="C614" s="196" t="s">
        <v>7</v>
      </c>
      <c r="D614" s="197">
        <v>3.72</v>
      </c>
    </row>
    <row r="615" spans="1:4" ht="15">
      <c r="A615" s="200">
        <v>438</v>
      </c>
      <c r="B615" s="333" t="s">
        <v>1315</v>
      </c>
      <c r="C615" s="334"/>
      <c r="D615" s="334"/>
    </row>
    <row r="616" spans="1:4" ht="28.5">
      <c r="A616" s="201">
        <v>43807</v>
      </c>
      <c r="B616" s="201" t="s">
        <v>1373</v>
      </c>
      <c r="C616" s="196" t="s">
        <v>7</v>
      </c>
      <c r="D616" s="197">
        <v>764.12</v>
      </c>
    </row>
    <row r="617" spans="1:4" ht="28.5">
      <c r="A617" s="201">
        <v>43835</v>
      </c>
      <c r="B617" s="201" t="s">
        <v>1374</v>
      </c>
      <c r="C617" s="196" t="s">
        <v>7</v>
      </c>
      <c r="D617" s="197">
        <v>125.25</v>
      </c>
    </row>
    <row r="618" spans="1:4" ht="28.5">
      <c r="A618" s="201">
        <v>43836</v>
      </c>
      <c r="B618" s="201" t="s">
        <v>1375</v>
      </c>
      <c r="C618" s="196" t="s">
        <v>7</v>
      </c>
      <c r="D618" s="197">
        <v>288.33</v>
      </c>
    </row>
    <row r="619" spans="1:4" ht="28.5">
      <c r="A619" s="201">
        <v>43837</v>
      </c>
      <c r="B619" s="201" t="s">
        <v>1376</v>
      </c>
      <c r="C619" s="196" t="s">
        <v>7</v>
      </c>
      <c r="D619" s="197">
        <v>708.06</v>
      </c>
    </row>
    <row r="620" spans="1:4" ht="28.5">
      <c r="A620" s="201">
        <v>43838</v>
      </c>
      <c r="B620" s="201" t="s">
        <v>1377</v>
      </c>
      <c r="C620" s="196" t="s">
        <v>7</v>
      </c>
      <c r="D620" s="197">
        <v>708.06</v>
      </c>
    </row>
    <row r="621" spans="1:4" ht="15">
      <c r="A621" s="200">
        <v>440</v>
      </c>
      <c r="B621" s="333" t="s">
        <v>1378</v>
      </c>
      <c r="C621" s="334"/>
      <c r="D621" s="334"/>
    </row>
    <row r="622" spans="1:4" ht="14.25">
      <c r="A622" s="201">
        <v>44014</v>
      </c>
      <c r="B622" s="201" t="s">
        <v>18941</v>
      </c>
      <c r="C622" s="196" t="s">
        <v>7</v>
      </c>
      <c r="D622" s="197">
        <v>74.849999999999994</v>
      </c>
    </row>
    <row r="623" spans="1:4" ht="14.25">
      <c r="A623" s="201">
        <v>44034</v>
      </c>
      <c r="B623" s="201" t="s">
        <v>18942</v>
      </c>
      <c r="C623" s="196" t="s">
        <v>7</v>
      </c>
      <c r="D623" s="197">
        <v>74.849999999999994</v>
      </c>
    </row>
    <row r="624" spans="1:4" ht="14.25">
      <c r="A624" s="201">
        <v>44059</v>
      </c>
      <c r="B624" s="201" t="s">
        <v>1379</v>
      </c>
      <c r="C624" s="196" t="s">
        <v>7</v>
      </c>
      <c r="D624" s="197">
        <v>74.849999999999994</v>
      </c>
    </row>
    <row r="625" spans="1:4" ht="14.25">
      <c r="A625" s="201">
        <v>44097</v>
      </c>
      <c r="B625" s="201" t="s">
        <v>18943</v>
      </c>
      <c r="C625" s="196" t="s">
        <v>7</v>
      </c>
      <c r="D625" s="197">
        <v>108</v>
      </c>
    </row>
    <row r="626" spans="1:4" ht="15">
      <c r="A626" s="200">
        <v>441</v>
      </c>
      <c r="B626" s="333" t="s">
        <v>1380</v>
      </c>
      <c r="C626" s="334"/>
      <c r="D626" s="334"/>
    </row>
    <row r="627" spans="1:4" ht="14.25">
      <c r="A627" s="201">
        <v>44112</v>
      </c>
      <c r="B627" s="201" t="s">
        <v>18944</v>
      </c>
      <c r="C627" s="196" t="s">
        <v>7</v>
      </c>
      <c r="D627" s="197">
        <v>102.62</v>
      </c>
    </row>
    <row r="628" spans="1:4" ht="14.25">
      <c r="A628" s="201">
        <v>44128</v>
      </c>
      <c r="B628" s="201" t="s">
        <v>1381</v>
      </c>
      <c r="C628" s="196" t="s">
        <v>7</v>
      </c>
      <c r="D628" s="197">
        <v>108</v>
      </c>
    </row>
    <row r="629" spans="1:4" ht="15">
      <c r="A629" s="200">
        <v>444</v>
      </c>
      <c r="B629" s="333" t="s">
        <v>1382</v>
      </c>
      <c r="C629" s="334"/>
      <c r="D629" s="334"/>
    </row>
    <row r="630" spans="1:4" ht="28.5">
      <c r="A630" s="201">
        <v>44481</v>
      </c>
      <c r="B630" s="201" t="s">
        <v>18945</v>
      </c>
      <c r="C630" s="196" t="s">
        <v>7</v>
      </c>
      <c r="D630" s="199">
        <v>1101.1400000000001</v>
      </c>
    </row>
    <row r="631" spans="1:4" ht="15">
      <c r="A631" s="200">
        <v>445</v>
      </c>
      <c r="B631" s="333" t="s">
        <v>13</v>
      </c>
      <c r="C631" s="334"/>
      <c r="D631" s="334"/>
    </row>
    <row r="632" spans="1:4" ht="28.5">
      <c r="A632" s="201">
        <v>44561</v>
      </c>
      <c r="B632" s="201" t="s">
        <v>15005</v>
      </c>
      <c r="C632" s="196" t="s">
        <v>7</v>
      </c>
      <c r="D632" s="197">
        <v>315.79000000000002</v>
      </c>
    </row>
    <row r="633" spans="1:4" ht="14.25">
      <c r="A633" s="201">
        <v>44562</v>
      </c>
      <c r="B633" s="201" t="s">
        <v>1383</v>
      </c>
      <c r="C633" s="196" t="s">
        <v>7</v>
      </c>
      <c r="D633" s="197">
        <v>172.68</v>
      </c>
    </row>
    <row r="634" spans="1:4" ht="28.5">
      <c r="A634" s="201">
        <v>44582</v>
      </c>
      <c r="B634" s="201" t="s">
        <v>15006</v>
      </c>
      <c r="C634" s="196" t="s">
        <v>7</v>
      </c>
      <c r="D634" s="197">
        <v>346.47</v>
      </c>
    </row>
    <row r="635" spans="1:4" ht="15">
      <c r="A635" s="200">
        <v>446</v>
      </c>
      <c r="B635" s="333" t="s">
        <v>1382</v>
      </c>
      <c r="C635" s="334"/>
      <c r="D635" s="334"/>
    </row>
    <row r="636" spans="1:4" ht="14.25">
      <c r="A636" s="201">
        <v>44624</v>
      </c>
      <c r="B636" s="201" t="s">
        <v>15007</v>
      </c>
      <c r="C636" s="196" t="s">
        <v>7</v>
      </c>
      <c r="D636" s="197">
        <v>103.08</v>
      </c>
    </row>
    <row r="637" spans="1:4" ht="28.5">
      <c r="A637" s="201">
        <v>44659</v>
      </c>
      <c r="B637" s="201" t="s">
        <v>1384</v>
      </c>
      <c r="C637" s="196" t="s">
        <v>7</v>
      </c>
      <c r="D637" s="197">
        <v>9.3800000000000008</v>
      </c>
    </row>
    <row r="638" spans="1:4" ht="28.5">
      <c r="A638" s="201">
        <v>44660</v>
      </c>
      <c r="B638" s="201" t="s">
        <v>1385</v>
      </c>
      <c r="C638" s="196" t="s">
        <v>7</v>
      </c>
      <c r="D638" s="197">
        <v>9.3800000000000008</v>
      </c>
    </row>
    <row r="639" spans="1:4" ht="28.5">
      <c r="A639" s="201">
        <v>44661</v>
      </c>
      <c r="B639" s="201" t="s">
        <v>1386</v>
      </c>
      <c r="C639" s="196" t="s">
        <v>7</v>
      </c>
      <c r="D639" s="197">
        <v>9.3800000000000008</v>
      </c>
    </row>
    <row r="640" spans="1:4" ht="28.5">
      <c r="A640" s="201">
        <v>44662</v>
      </c>
      <c r="B640" s="201" t="s">
        <v>1387</v>
      </c>
      <c r="C640" s="196" t="s">
        <v>7</v>
      </c>
      <c r="D640" s="197">
        <v>9.3800000000000008</v>
      </c>
    </row>
    <row r="641" spans="1:4" ht="28.5">
      <c r="A641" s="201">
        <v>44663</v>
      </c>
      <c r="B641" s="201" t="s">
        <v>1388</v>
      </c>
      <c r="C641" s="196" t="s">
        <v>7</v>
      </c>
      <c r="D641" s="197">
        <v>17.12</v>
      </c>
    </row>
    <row r="642" spans="1:4" ht="14.25">
      <c r="A642" s="201">
        <v>44664</v>
      </c>
      <c r="B642" s="201" t="s">
        <v>1389</v>
      </c>
      <c r="C642" s="196" t="s">
        <v>7</v>
      </c>
      <c r="D642" s="197">
        <v>38.770000000000003</v>
      </c>
    </row>
    <row r="643" spans="1:4" ht="14.25">
      <c r="A643" s="201">
        <v>44665</v>
      </c>
      <c r="B643" s="201" t="s">
        <v>1390</v>
      </c>
      <c r="C643" s="196" t="s">
        <v>7</v>
      </c>
      <c r="D643" s="197">
        <v>38.770000000000003</v>
      </c>
    </row>
    <row r="644" spans="1:4" ht="14.25">
      <c r="A644" s="201">
        <v>44666</v>
      </c>
      <c r="B644" s="201" t="s">
        <v>1391</v>
      </c>
      <c r="C644" s="196" t="s">
        <v>7</v>
      </c>
      <c r="D644" s="197">
        <v>38.770000000000003</v>
      </c>
    </row>
    <row r="645" spans="1:4" ht="14.25">
      <c r="A645" s="201">
        <v>44667</v>
      </c>
      <c r="B645" s="201" t="s">
        <v>1392</v>
      </c>
      <c r="C645" s="196" t="s">
        <v>7</v>
      </c>
      <c r="D645" s="197">
        <v>38.770000000000003</v>
      </c>
    </row>
    <row r="646" spans="1:4" ht="14.25">
      <c r="A646" s="201">
        <v>44668</v>
      </c>
      <c r="B646" s="201" t="s">
        <v>1393</v>
      </c>
      <c r="C646" s="196" t="s">
        <v>7</v>
      </c>
      <c r="D646" s="197">
        <v>47.15</v>
      </c>
    </row>
    <row r="647" spans="1:4" ht="14.25">
      <c r="A647" s="201">
        <v>44669</v>
      </c>
      <c r="B647" s="201" t="s">
        <v>1394</v>
      </c>
      <c r="C647" s="196" t="s">
        <v>7</v>
      </c>
      <c r="D647" s="197">
        <v>52.38</v>
      </c>
    </row>
    <row r="648" spans="1:4" ht="14.25">
      <c r="A648" s="201">
        <v>44670</v>
      </c>
      <c r="B648" s="201" t="s">
        <v>1395</v>
      </c>
      <c r="C648" s="196" t="s">
        <v>7</v>
      </c>
      <c r="D648" s="197">
        <v>48.64</v>
      </c>
    </row>
    <row r="649" spans="1:4" ht="14.25">
      <c r="A649" s="201">
        <v>44671</v>
      </c>
      <c r="B649" s="201" t="s">
        <v>1396</v>
      </c>
      <c r="C649" s="196" t="s">
        <v>7</v>
      </c>
      <c r="D649" s="197">
        <v>48.64</v>
      </c>
    </row>
    <row r="650" spans="1:4" ht="14.25">
      <c r="A650" s="201">
        <v>44672</v>
      </c>
      <c r="B650" s="201" t="s">
        <v>1397</v>
      </c>
      <c r="C650" s="196" t="s">
        <v>7</v>
      </c>
      <c r="D650" s="197">
        <v>48.64</v>
      </c>
    </row>
    <row r="651" spans="1:4" ht="14.25">
      <c r="A651" s="201">
        <v>44673</v>
      </c>
      <c r="B651" s="201" t="s">
        <v>1398</v>
      </c>
      <c r="C651" s="196" t="s">
        <v>7</v>
      </c>
      <c r="D651" s="197">
        <v>48.64</v>
      </c>
    </row>
    <row r="652" spans="1:4" ht="14.25">
      <c r="A652" s="201">
        <v>44674</v>
      </c>
      <c r="B652" s="201" t="s">
        <v>1399</v>
      </c>
      <c r="C652" s="196" t="s">
        <v>7</v>
      </c>
      <c r="D652" s="197">
        <v>61.1</v>
      </c>
    </row>
    <row r="653" spans="1:4" ht="14.25">
      <c r="A653" s="201">
        <v>44675</v>
      </c>
      <c r="B653" s="201" t="s">
        <v>1400</v>
      </c>
      <c r="C653" s="196" t="s">
        <v>7</v>
      </c>
      <c r="D653" s="197">
        <v>61.1</v>
      </c>
    </row>
    <row r="654" spans="1:4" ht="14.25">
      <c r="A654" s="201">
        <v>44676</v>
      </c>
      <c r="B654" s="201" t="s">
        <v>1401</v>
      </c>
      <c r="C654" s="196" t="s">
        <v>7</v>
      </c>
      <c r="D654" s="197">
        <v>123.64</v>
      </c>
    </row>
    <row r="655" spans="1:4" ht="14.25">
      <c r="A655" s="201">
        <v>44680</v>
      </c>
      <c r="B655" s="201" t="s">
        <v>15008</v>
      </c>
      <c r="C655" s="196" t="s">
        <v>7</v>
      </c>
      <c r="D655" s="197">
        <v>98.81</v>
      </c>
    </row>
    <row r="656" spans="1:4" ht="15">
      <c r="A656" s="200">
        <v>447</v>
      </c>
      <c r="B656" s="333" t="s">
        <v>1382</v>
      </c>
      <c r="C656" s="334"/>
      <c r="D656" s="334"/>
    </row>
    <row r="657" spans="1:4" ht="14.25">
      <c r="A657" s="201">
        <v>44711</v>
      </c>
      <c r="B657" s="201" t="s">
        <v>1402</v>
      </c>
      <c r="C657" s="196" t="s">
        <v>7</v>
      </c>
      <c r="D657" s="197">
        <v>155.35</v>
      </c>
    </row>
    <row r="658" spans="1:4" ht="14.25">
      <c r="A658" s="201">
        <v>44712</v>
      </c>
      <c r="B658" s="201" t="s">
        <v>1403</v>
      </c>
      <c r="C658" s="196" t="s">
        <v>7</v>
      </c>
      <c r="D658" s="197">
        <v>90.35</v>
      </c>
    </row>
    <row r="659" spans="1:4" ht="14.25">
      <c r="A659" s="201">
        <v>44714</v>
      </c>
      <c r="B659" s="201" t="s">
        <v>15009</v>
      </c>
      <c r="C659" s="196" t="s">
        <v>7</v>
      </c>
      <c r="D659" s="197">
        <v>384.05</v>
      </c>
    </row>
    <row r="660" spans="1:4" ht="28.5">
      <c r="A660" s="201">
        <v>44715</v>
      </c>
      <c r="B660" s="201" t="s">
        <v>1404</v>
      </c>
      <c r="C660" s="196" t="s">
        <v>7</v>
      </c>
      <c r="D660" s="197">
        <v>9.3800000000000008</v>
      </c>
    </row>
    <row r="661" spans="1:4" ht="14.25">
      <c r="A661" s="201">
        <v>44734</v>
      </c>
      <c r="B661" s="201" t="s">
        <v>15010</v>
      </c>
      <c r="C661" s="196" t="s">
        <v>7</v>
      </c>
      <c r="D661" s="197">
        <v>160.33000000000001</v>
      </c>
    </row>
    <row r="662" spans="1:4" ht="28.5">
      <c r="A662" s="201">
        <v>44740</v>
      </c>
      <c r="B662" s="201" t="s">
        <v>1405</v>
      </c>
      <c r="C662" s="196" t="s">
        <v>7</v>
      </c>
      <c r="D662" s="197">
        <v>19.48</v>
      </c>
    </row>
    <row r="663" spans="1:4" ht="28.5">
      <c r="A663" s="201">
        <v>44760</v>
      </c>
      <c r="B663" s="201" t="s">
        <v>1406</v>
      </c>
      <c r="C663" s="196" t="s">
        <v>7</v>
      </c>
      <c r="D663" s="197">
        <v>23.92</v>
      </c>
    </row>
    <row r="664" spans="1:4" ht="28.5">
      <c r="A664" s="201">
        <v>44781</v>
      </c>
      <c r="B664" s="201" t="s">
        <v>1407</v>
      </c>
      <c r="C664" s="196" t="s">
        <v>7</v>
      </c>
      <c r="D664" s="197">
        <v>17.47</v>
      </c>
    </row>
    <row r="665" spans="1:4" ht="28.5">
      <c r="A665" s="201">
        <v>44793</v>
      </c>
      <c r="B665" s="201" t="s">
        <v>18946</v>
      </c>
      <c r="C665" s="196" t="s">
        <v>7</v>
      </c>
      <c r="D665" s="197">
        <v>385.29</v>
      </c>
    </row>
    <row r="666" spans="1:4" ht="15">
      <c r="A666" s="200">
        <v>448</v>
      </c>
      <c r="B666" s="333" t="s">
        <v>1382</v>
      </c>
      <c r="C666" s="334"/>
      <c r="D666" s="334"/>
    </row>
    <row r="667" spans="1:4" ht="28.5">
      <c r="A667" s="201">
        <v>44805</v>
      </c>
      <c r="B667" s="201" t="s">
        <v>18947</v>
      </c>
      <c r="C667" s="196" t="s">
        <v>7</v>
      </c>
      <c r="D667" s="197">
        <v>361.08</v>
      </c>
    </row>
    <row r="668" spans="1:4" ht="28.5">
      <c r="A668" s="201">
        <v>44808</v>
      </c>
      <c r="B668" s="201" t="s">
        <v>1408</v>
      </c>
      <c r="C668" s="196" t="s">
        <v>7</v>
      </c>
      <c r="D668" s="197">
        <v>47.71</v>
      </c>
    </row>
    <row r="669" spans="1:4" ht="28.5">
      <c r="A669" s="201">
        <v>44833</v>
      </c>
      <c r="B669" s="201" t="s">
        <v>1409</v>
      </c>
      <c r="C669" s="196" t="s">
        <v>7</v>
      </c>
      <c r="D669" s="197">
        <v>21.66</v>
      </c>
    </row>
    <row r="670" spans="1:4" ht="28.5">
      <c r="A670" s="201">
        <v>44851</v>
      </c>
      <c r="B670" s="201" t="s">
        <v>1410</v>
      </c>
      <c r="C670" s="196" t="s">
        <v>7</v>
      </c>
      <c r="D670" s="197">
        <v>40.5</v>
      </c>
    </row>
    <row r="671" spans="1:4" ht="14.25">
      <c r="A671" s="201">
        <v>44852</v>
      </c>
      <c r="B671" s="201" t="s">
        <v>1411</v>
      </c>
      <c r="C671" s="196" t="s">
        <v>7</v>
      </c>
      <c r="D671" s="197">
        <v>55.45</v>
      </c>
    </row>
    <row r="672" spans="1:4" ht="14.25">
      <c r="A672" s="201">
        <v>44871</v>
      </c>
      <c r="B672" s="201" t="s">
        <v>1412</v>
      </c>
      <c r="C672" s="196" t="s">
        <v>7</v>
      </c>
      <c r="D672" s="197">
        <v>82.07</v>
      </c>
    </row>
    <row r="673" spans="1:4" ht="15">
      <c r="A673" s="200">
        <v>449</v>
      </c>
      <c r="B673" s="333" t="s">
        <v>1413</v>
      </c>
      <c r="C673" s="334"/>
      <c r="D673" s="334"/>
    </row>
    <row r="674" spans="1:4" ht="14.25">
      <c r="A674" s="201">
        <v>44905</v>
      </c>
      <c r="B674" s="201" t="s">
        <v>1414</v>
      </c>
      <c r="C674" s="196" t="s">
        <v>7</v>
      </c>
      <c r="D674" s="197">
        <v>104.9</v>
      </c>
    </row>
    <row r="675" spans="1:4" ht="28.5">
      <c r="A675" s="201">
        <v>44924</v>
      </c>
      <c r="B675" s="201" t="s">
        <v>15011</v>
      </c>
      <c r="C675" s="196" t="s">
        <v>7</v>
      </c>
      <c r="D675" s="197">
        <v>478.17</v>
      </c>
    </row>
    <row r="676" spans="1:4" ht="28.5">
      <c r="A676" s="201">
        <v>44951</v>
      </c>
      <c r="B676" s="201" t="s">
        <v>1415</v>
      </c>
      <c r="C676" s="196" t="s">
        <v>7</v>
      </c>
      <c r="D676" s="197">
        <v>47.71</v>
      </c>
    </row>
    <row r="677" spans="1:4" ht="14.25">
      <c r="A677" s="201">
        <v>44960</v>
      </c>
      <c r="B677" s="201" t="s">
        <v>15012</v>
      </c>
      <c r="C677" s="196" t="s">
        <v>7</v>
      </c>
      <c r="D677" s="197">
        <v>361.08</v>
      </c>
    </row>
    <row r="678" spans="1:4" ht="15">
      <c r="A678" s="200">
        <v>450</v>
      </c>
      <c r="B678" s="333" t="s">
        <v>1416</v>
      </c>
      <c r="C678" s="334"/>
      <c r="D678" s="334"/>
    </row>
    <row r="679" spans="1:4" ht="14.25">
      <c r="A679" s="201">
        <v>45001</v>
      </c>
      <c r="B679" s="201" t="s">
        <v>1417</v>
      </c>
      <c r="C679" s="196" t="s">
        <v>7</v>
      </c>
      <c r="D679" s="197">
        <v>26.52</v>
      </c>
    </row>
    <row r="680" spans="1:4" ht="14.25">
      <c r="A680" s="201">
        <v>45002</v>
      </c>
      <c r="B680" s="201" t="s">
        <v>1418</v>
      </c>
      <c r="C680" s="196" t="s">
        <v>7</v>
      </c>
      <c r="D680" s="197">
        <v>37.200000000000003</v>
      </c>
    </row>
    <row r="681" spans="1:4" ht="28.5">
      <c r="A681" s="201">
        <v>45003</v>
      </c>
      <c r="B681" s="201" t="s">
        <v>1419</v>
      </c>
      <c r="C681" s="196" t="s">
        <v>7</v>
      </c>
      <c r="D681" s="197">
        <v>56.77</v>
      </c>
    </row>
    <row r="682" spans="1:4" ht="28.5">
      <c r="A682" s="201">
        <v>45005</v>
      </c>
      <c r="B682" s="201" t="s">
        <v>1420</v>
      </c>
      <c r="C682" s="196" t="s">
        <v>7</v>
      </c>
      <c r="D682" s="197">
        <v>99.16</v>
      </c>
    </row>
    <row r="683" spans="1:4" ht="28.5">
      <c r="A683" s="201">
        <v>45035</v>
      </c>
      <c r="B683" s="201" t="s">
        <v>1421</v>
      </c>
      <c r="C683" s="196" t="s">
        <v>7</v>
      </c>
      <c r="D683" s="197">
        <v>85.97</v>
      </c>
    </row>
    <row r="684" spans="1:4" ht="28.5">
      <c r="A684" s="201">
        <v>45037</v>
      </c>
      <c r="B684" s="201" t="s">
        <v>1422</v>
      </c>
      <c r="C684" s="196" t="s">
        <v>7</v>
      </c>
      <c r="D684" s="197">
        <v>358.45</v>
      </c>
    </row>
    <row r="685" spans="1:4" ht="28.5">
      <c r="A685" s="201">
        <v>45038</v>
      </c>
      <c r="B685" s="201" t="s">
        <v>15013</v>
      </c>
      <c r="C685" s="196" t="s">
        <v>7</v>
      </c>
      <c r="D685" s="197">
        <v>647.32000000000005</v>
      </c>
    </row>
    <row r="686" spans="1:4" ht="28.5">
      <c r="A686" s="201">
        <v>45040</v>
      </c>
      <c r="B686" s="201" t="s">
        <v>15014</v>
      </c>
      <c r="C686" s="196" t="s">
        <v>7</v>
      </c>
      <c r="D686" s="199">
        <v>1884.68</v>
      </c>
    </row>
    <row r="687" spans="1:4" ht="14.25">
      <c r="A687" s="201">
        <v>45044</v>
      </c>
      <c r="B687" s="201" t="s">
        <v>1423</v>
      </c>
      <c r="C687" s="196" t="s">
        <v>7</v>
      </c>
      <c r="D687" s="197">
        <v>58.64</v>
      </c>
    </row>
    <row r="688" spans="1:4" ht="14.25">
      <c r="A688" s="201">
        <v>45067</v>
      </c>
      <c r="B688" s="201" t="s">
        <v>12542</v>
      </c>
      <c r="C688" s="196" t="s">
        <v>7</v>
      </c>
      <c r="D688" s="197">
        <v>28.95</v>
      </c>
    </row>
    <row r="689" spans="1:4" ht="15">
      <c r="A689" s="200">
        <v>451</v>
      </c>
      <c r="B689" s="333" t="s">
        <v>1424</v>
      </c>
      <c r="C689" s="334"/>
      <c r="D689" s="334"/>
    </row>
    <row r="690" spans="1:4" ht="14.25">
      <c r="A690" s="201">
        <v>45104</v>
      </c>
      <c r="B690" s="201" t="s">
        <v>12543</v>
      </c>
      <c r="C690" s="196" t="s">
        <v>7</v>
      </c>
      <c r="D690" s="197">
        <v>2.44</v>
      </c>
    </row>
    <row r="691" spans="1:4" ht="15">
      <c r="A691" s="200">
        <v>452</v>
      </c>
      <c r="B691" s="333" t="s">
        <v>1424</v>
      </c>
      <c r="C691" s="334"/>
      <c r="D691" s="334"/>
    </row>
    <row r="692" spans="1:4" ht="28.5">
      <c r="A692" s="201">
        <v>45270</v>
      </c>
      <c r="B692" s="201" t="s">
        <v>12544</v>
      </c>
      <c r="C692" s="196" t="s">
        <v>7</v>
      </c>
      <c r="D692" s="197">
        <v>16.63</v>
      </c>
    </row>
    <row r="693" spans="1:4" ht="15">
      <c r="A693" s="200">
        <v>454</v>
      </c>
      <c r="B693" s="333" t="s">
        <v>1425</v>
      </c>
      <c r="C693" s="334"/>
      <c r="D693" s="334"/>
    </row>
    <row r="694" spans="1:4" ht="14.25">
      <c r="A694" s="201">
        <v>45442</v>
      </c>
      <c r="B694" s="201" t="s">
        <v>1426</v>
      </c>
      <c r="C694" s="196" t="s">
        <v>7</v>
      </c>
      <c r="D694" s="199">
        <v>3554.72</v>
      </c>
    </row>
    <row r="695" spans="1:4" ht="42.75">
      <c r="A695" s="201">
        <v>45454</v>
      </c>
      <c r="B695" s="201" t="s">
        <v>19091</v>
      </c>
      <c r="C695" s="196" t="s">
        <v>7</v>
      </c>
      <c r="D695" s="199">
        <v>12231.19</v>
      </c>
    </row>
    <row r="696" spans="1:4" ht="42.75">
      <c r="A696" s="201">
        <v>45472</v>
      </c>
      <c r="B696" s="201" t="s">
        <v>15015</v>
      </c>
      <c r="C696" s="196" t="s">
        <v>7</v>
      </c>
      <c r="D696" s="199">
        <v>3377.36</v>
      </c>
    </row>
    <row r="697" spans="1:4" ht="42.75">
      <c r="A697" s="201">
        <v>45473</v>
      </c>
      <c r="B697" s="201" t="s">
        <v>15016</v>
      </c>
      <c r="C697" s="196" t="s">
        <v>7</v>
      </c>
      <c r="D697" s="199">
        <v>2030.33</v>
      </c>
    </row>
    <row r="698" spans="1:4" ht="42.75">
      <c r="A698" s="201">
        <v>45484</v>
      </c>
      <c r="B698" s="201" t="s">
        <v>15017</v>
      </c>
      <c r="C698" s="196" t="s">
        <v>7</v>
      </c>
      <c r="D698" s="199">
        <v>3954.42</v>
      </c>
    </row>
    <row r="699" spans="1:4" ht="15">
      <c r="A699" s="200">
        <v>455</v>
      </c>
      <c r="B699" s="333" t="s">
        <v>1427</v>
      </c>
      <c r="C699" s="334"/>
      <c r="D699" s="334"/>
    </row>
    <row r="700" spans="1:4" ht="28.5">
      <c r="A700" s="201">
        <v>45501</v>
      </c>
      <c r="B700" s="201" t="s">
        <v>1428</v>
      </c>
      <c r="C700" s="196" t="s">
        <v>7</v>
      </c>
      <c r="D700" s="197">
        <v>15.52</v>
      </c>
    </row>
    <row r="701" spans="1:4" ht="28.5">
      <c r="A701" s="201">
        <v>45502</v>
      </c>
      <c r="B701" s="201" t="s">
        <v>1429</v>
      </c>
      <c r="C701" s="196" t="s">
        <v>7</v>
      </c>
      <c r="D701" s="197">
        <v>20.100000000000001</v>
      </c>
    </row>
    <row r="702" spans="1:4" ht="28.5">
      <c r="A702" s="201">
        <v>45505</v>
      </c>
      <c r="B702" s="201" t="s">
        <v>1430</v>
      </c>
      <c r="C702" s="196" t="s">
        <v>7</v>
      </c>
      <c r="D702" s="197">
        <v>17.600000000000001</v>
      </c>
    </row>
    <row r="703" spans="1:4" ht="28.5">
      <c r="A703" s="201">
        <v>45519</v>
      </c>
      <c r="B703" s="201" t="s">
        <v>1431</v>
      </c>
      <c r="C703" s="196" t="s">
        <v>7</v>
      </c>
      <c r="D703" s="197">
        <v>21.47</v>
      </c>
    </row>
    <row r="704" spans="1:4" ht="28.5">
      <c r="A704" s="201">
        <v>45520</v>
      </c>
      <c r="B704" s="201" t="s">
        <v>1432</v>
      </c>
      <c r="C704" s="196" t="s">
        <v>7</v>
      </c>
      <c r="D704" s="197">
        <v>19.38</v>
      </c>
    </row>
    <row r="705" spans="1:4" ht="14.25">
      <c r="A705" s="201">
        <v>45523</v>
      </c>
      <c r="B705" s="201" t="s">
        <v>1433</v>
      </c>
      <c r="C705" s="196" t="s">
        <v>7</v>
      </c>
      <c r="D705" s="197">
        <v>21.56</v>
      </c>
    </row>
    <row r="706" spans="1:4" ht="14.25">
      <c r="A706" s="201">
        <v>45525</v>
      </c>
      <c r="B706" s="201" t="s">
        <v>1434</v>
      </c>
      <c r="C706" s="196" t="s">
        <v>7</v>
      </c>
      <c r="D706" s="197">
        <v>6.8</v>
      </c>
    </row>
    <row r="707" spans="1:4" ht="14.25">
      <c r="A707" s="201">
        <v>45526</v>
      </c>
      <c r="B707" s="201" t="s">
        <v>1435</v>
      </c>
      <c r="C707" s="196" t="s">
        <v>7</v>
      </c>
      <c r="D707" s="197">
        <v>15.87</v>
      </c>
    </row>
    <row r="708" spans="1:4" ht="15">
      <c r="A708" s="200">
        <v>458</v>
      </c>
      <c r="B708" s="333" t="s">
        <v>15018</v>
      </c>
      <c r="C708" s="334"/>
      <c r="D708" s="334"/>
    </row>
    <row r="709" spans="1:4" ht="14.25">
      <c r="A709" s="201">
        <v>45831</v>
      </c>
      <c r="B709" s="201" t="s">
        <v>15019</v>
      </c>
      <c r="C709" s="196" t="s">
        <v>7</v>
      </c>
      <c r="D709" s="197">
        <v>9.5399999999999991</v>
      </c>
    </row>
    <row r="710" spans="1:4" ht="14.25">
      <c r="A710" s="201">
        <v>45832</v>
      </c>
      <c r="B710" s="201" t="s">
        <v>19092</v>
      </c>
      <c r="C710" s="196" t="s">
        <v>7</v>
      </c>
      <c r="D710" s="197">
        <v>17.260000000000002</v>
      </c>
    </row>
    <row r="711" spans="1:4" ht="15">
      <c r="A711" s="200">
        <v>460</v>
      </c>
      <c r="B711" s="333" t="s">
        <v>1436</v>
      </c>
      <c r="C711" s="334"/>
      <c r="D711" s="334"/>
    </row>
    <row r="712" spans="1:4" ht="28.5">
      <c r="A712" s="201">
        <v>46027</v>
      </c>
      <c r="B712" s="201" t="s">
        <v>18948</v>
      </c>
      <c r="C712" s="196" t="s">
        <v>7</v>
      </c>
      <c r="D712" s="197">
        <v>21.05</v>
      </c>
    </row>
    <row r="713" spans="1:4" ht="14.25">
      <c r="A713" s="201">
        <v>46028</v>
      </c>
      <c r="B713" s="201" t="s">
        <v>1437</v>
      </c>
      <c r="C713" s="196" t="s">
        <v>7</v>
      </c>
      <c r="D713" s="197">
        <v>57.49</v>
      </c>
    </row>
    <row r="714" spans="1:4" ht="15">
      <c r="A714" s="200">
        <v>465</v>
      </c>
      <c r="B714" s="333" t="s">
        <v>1438</v>
      </c>
      <c r="C714" s="334"/>
      <c r="D714" s="334"/>
    </row>
    <row r="715" spans="1:4" ht="28.5">
      <c r="A715" s="201">
        <v>46504</v>
      </c>
      <c r="B715" s="201" t="s">
        <v>15020</v>
      </c>
      <c r="C715" s="196" t="s">
        <v>7</v>
      </c>
      <c r="D715" s="197">
        <v>6.42</v>
      </c>
    </row>
    <row r="716" spans="1:4" ht="14.25">
      <c r="A716" s="201">
        <v>46506</v>
      </c>
      <c r="B716" s="201" t="s">
        <v>1439</v>
      </c>
      <c r="C716" s="196" t="s">
        <v>7</v>
      </c>
      <c r="D716" s="197">
        <v>26.87</v>
      </c>
    </row>
    <row r="717" spans="1:4" ht="28.5">
      <c r="A717" s="201">
        <v>46509</v>
      </c>
      <c r="B717" s="201" t="s">
        <v>15021</v>
      </c>
      <c r="C717" s="196" t="s">
        <v>7</v>
      </c>
      <c r="D717" s="197">
        <v>18.2</v>
      </c>
    </row>
    <row r="718" spans="1:4" ht="28.5">
      <c r="A718" s="201">
        <v>46513</v>
      </c>
      <c r="B718" s="201" t="s">
        <v>1440</v>
      </c>
      <c r="C718" s="196" t="s">
        <v>7</v>
      </c>
      <c r="D718" s="197">
        <v>82.21</v>
      </c>
    </row>
    <row r="719" spans="1:4" ht="14.25">
      <c r="A719" s="201">
        <v>46524</v>
      </c>
      <c r="B719" s="201" t="s">
        <v>1441</v>
      </c>
      <c r="C719" s="196" t="s">
        <v>7</v>
      </c>
      <c r="D719" s="197">
        <v>21.19</v>
      </c>
    </row>
    <row r="720" spans="1:4" ht="14.25">
      <c r="A720" s="201">
        <v>46525</v>
      </c>
      <c r="B720" s="201" t="s">
        <v>1442</v>
      </c>
      <c r="C720" s="196" t="s">
        <v>7</v>
      </c>
      <c r="D720" s="197">
        <v>21.19</v>
      </c>
    </row>
    <row r="721" spans="1:4" ht="15">
      <c r="A721" s="200">
        <v>466</v>
      </c>
      <c r="B721" s="333" t="s">
        <v>1443</v>
      </c>
      <c r="C721" s="334"/>
      <c r="D721" s="334"/>
    </row>
    <row r="722" spans="1:4" ht="28.5">
      <c r="A722" s="201">
        <v>46636</v>
      </c>
      <c r="B722" s="201" t="s">
        <v>1444</v>
      </c>
      <c r="C722" s="196" t="s">
        <v>7</v>
      </c>
      <c r="D722" s="197">
        <v>42.36</v>
      </c>
    </row>
    <row r="723" spans="1:4" ht="14.25">
      <c r="A723" s="201">
        <v>46656</v>
      </c>
      <c r="B723" s="201" t="s">
        <v>1445</v>
      </c>
      <c r="C723" s="196" t="s">
        <v>7</v>
      </c>
      <c r="D723" s="197">
        <v>32.130000000000003</v>
      </c>
    </row>
    <row r="724" spans="1:4" ht="42.75">
      <c r="A724" s="201">
        <v>46689</v>
      </c>
      <c r="B724" s="201" t="s">
        <v>18949</v>
      </c>
      <c r="C724" s="196" t="s">
        <v>7</v>
      </c>
      <c r="D724" s="197">
        <v>106.9</v>
      </c>
    </row>
    <row r="725" spans="1:4" ht="15">
      <c r="A725" s="200">
        <v>469</v>
      </c>
      <c r="B725" s="333" t="s">
        <v>1446</v>
      </c>
      <c r="C725" s="334"/>
      <c r="D725" s="334"/>
    </row>
    <row r="726" spans="1:4" ht="57">
      <c r="A726" s="201">
        <v>46947</v>
      </c>
      <c r="B726" s="201" t="s">
        <v>18950</v>
      </c>
      <c r="C726" s="196" t="s">
        <v>7</v>
      </c>
      <c r="D726" s="197">
        <v>112.04</v>
      </c>
    </row>
    <row r="727" spans="1:4" ht="57">
      <c r="A727" s="201">
        <v>46986</v>
      </c>
      <c r="B727" s="201" t="s">
        <v>18951</v>
      </c>
      <c r="C727" s="196" t="s">
        <v>7</v>
      </c>
      <c r="D727" s="197">
        <v>148.04</v>
      </c>
    </row>
    <row r="728" spans="1:4" ht="15">
      <c r="A728" s="200">
        <v>471</v>
      </c>
      <c r="B728" s="333" t="s">
        <v>1446</v>
      </c>
      <c r="C728" s="334"/>
      <c r="D728" s="334"/>
    </row>
    <row r="729" spans="1:4" ht="57">
      <c r="A729" s="201">
        <v>47160</v>
      </c>
      <c r="B729" s="201" t="s">
        <v>18952</v>
      </c>
      <c r="C729" s="196" t="s">
        <v>7</v>
      </c>
      <c r="D729" s="197">
        <v>147.26</v>
      </c>
    </row>
    <row r="730" spans="1:4" ht="15">
      <c r="A730" s="200">
        <v>472</v>
      </c>
      <c r="B730" s="333" t="s">
        <v>1447</v>
      </c>
      <c r="C730" s="334"/>
      <c r="D730" s="334"/>
    </row>
    <row r="731" spans="1:4" ht="42.75">
      <c r="A731" s="201">
        <v>47239</v>
      </c>
      <c r="B731" s="201" t="s">
        <v>1448</v>
      </c>
      <c r="C731" s="196" t="s">
        <v>7</v>
      </c>
      <c r="D731" s="197">
        <v>462.23</v>
      </c>
    </row>
    <row r="732" spans="1:4" ht="57">
      <c r="A732" s="201">
        <v>47270</v>
      </c>
      <c r="B732" s="201" t="s">
        <v>18953</v>
      </c>
      <c r="C732" s="196" t="s">
        <v>7</v>
      </c>
      <c r="D732" s="197">
        <v>192.87</v>
      </c>
    </row>
    <row r="733" spans="1:4" ht="57">
      <c r="A733" s="201">
        <v>47271</v>
      </c>
      <c r="B733" s="201" t="s">
        <v>18954</v>
      </c>
      <c r="C733" s="196" t="s">
        <v>7</v>
      </c>
      <c r="D733" s="197">
        <v>92.15</v>
      </c>
    </row>
    <row r="734" spans="1:4" ht="15">
      <c r="A734" s="200">
        <v>475</v>
      </c>
      <c r="B734" s="333" t="s">
        <v>1449</v>
      </c>
      <c r="C734" s="334"/>
      <c r="D734" s="334"/>
    </row>
    <row r="735" spans="1:4" ht="14.25">
      <c r="A735" s="201">
        <v>47526</v>
      </c>
      <c r="B735" s="201" t="s">
        <v>1450</v>
      </c>
      <c r="C735" s="196" t="s">
        <v>7</v>
      </c>
      <c r="D735" s="197">
        <v>157.59</v>
      </c>
    </row>
    <row r="736" spans="1:4" ht="14.25">
      <c r="A736" s="201">
        <v>47527</v>
      </c>
      <c r="B736" s="201" t="s">
        <v>1451</v>
      </c>
      <c r="C736" s="196" t="s">
        <v>7</v>
      </c>
      <c r="D736" s="197">
        <v>865.32</v>
      </c>
    </row>
    <row r="737" spans="1:4" ht="28.5">
      <c r="A737" s="201">
        <v>47530</v>
      </c>
      <c r="B737" s="201" t="s">
        <v>1452</v>
      </c>
      <c r="C737" s="196" t="s">
        <v>7</v>
      </c>
      <c r="D737" s="199">
        <v>1112.6300000000001</v>
      </c>
    </row>
    <row r="738" spans="1:4" ht="14.25">
      <c r="A738" s="201">
        <v>47561</v>
      </c>
      <c r="B738" s="201" t="s">
        <v>1453</v>
      </c>
      <c r="C738" s="196" t="s">
        <v>7</v>
      </c>
      <c r="D738" s="197">
        <v>79.13</v>
      </c>
    </row>
    <row r="739" spans="1:4" ht="14.25">
      <c r="A739" s="201">
        <v>47566</v>
      </c>
      <c r="B739" s="201" t="s">
        <v>1454</v>
      </c>
      <c r="C739" s="196" t="s">
        <v>7</v>
      </c>
      <c r="D739" s="199">
        <v>1816.18</v>
      </c>
    </row>
    <row r="740" spans="1:4" ht="28.5">
      <c r="A740" s="201">
        <v>47574</v>
      </c>
      <c r="B740" s="201" t="s">
        <v>1455</v>
      </c>
      <c r="C740" s="196" t="s">
        <v>7</v>
      </c>
      <c r="D740" s="199">
        <v>4611.1499999999996</v>
      </c>
    </row>
    <row r="741" spans="1:4" ht="15">
      <c r="A741" s="200">
        <v>476</v>
      </c>
      <c r="B741" s="333" t="s">
        <v>1456</v>
      </c>
      <c r="C741" s="334"/>
      <c r="D741" s="334"/>
    </row>
    <row r="742" spans="1:4" ht="28.5">
      <c r="A742" s="201">
        <v>47633</v>
      </c>
      <c r="B742" s="201" t="s">
        <v>1457</v>
      </c>
      <c r="C742" s="196" t="s">
        <v>7</v>
      </c>
      <c r="D742" s="199">
        <v>1680.15</v>
      </c>
    </row>
    <row r="743" spans="1:4" ht="28.5">
      <c r="A743" s="201">
        <v>47634</v>
      </c>
      <c r="B743" s="201" t="s">
        <v>1458</v>
      </c>
      <c r="C743" s="196" t="s">
        <v>7</v>
      </c>
      <c r="D743" s="199">
        <v>1585.28</v>
      </c>
    </row>
    <row r="744" spans="1:4" ht="15">
      <c r="A744" s="200">
        <v>477</v>
      </c>
      <c r="B744" s="333" t="s">
        <v>1456</v>
      </c>
      <c r="C744" s="334"/>
      <c r="D744" s="334"/>
    </row>
    <row r="745" spans="1:4" ht="42.75">
      <c r="A745" s="201">
        <v>47724</v>
      </c>
      <c r="B745" s="201" t="s">
        <v>15022</v>
      </c>
      <c r="C745" s="196" t="s">
        <v>7</v>
      </c>
      <c r="D745" s="199">
        <v>4433.87</v>
      </c>
    </row>
    <row r="746" spans="1:4" ht="42.75">
      <c r="A746" s="201">
        <v>47766</v>
      </c>
      <c r="B746" s="201" t="s">
        <v>15023</v>
      </c>
      <c r="C746" s="196" t="s">
        <v>7</v>
      </c>
      <c r="D746" s="199">
        <v>6038.86</v>
      </c>
    </row>
    <row r="747" spans="1:4" ht="14.25">
      <c r="A747" s="201">
        <v>47795</v>
      </c>
      <c r="B747" s="201" t="s">
        <v>1459</v>
      </c>
      <c r="C747" s="196" t="s">
        <v>7</v>
      </c>
      <c r="D747" s="199">
        <v>1295.4100000000001</v>
      </c>
    </row>
    <row r="748" spans="1:4" ht="15">
      <c r="A748" s="200">
        <v>478</v>
      </c>
      <c r="B748" s="333" t="s">
        <v>1460</v>
      </c>
      <c r="C748" s="334"/>
      <c r="D748" s="334"/>
    </row>
    <row r="749" spans="1:4" ht="42.75">
      <c r="A749" s="201">
        <v>47826</v>
      </c>
      <c r="B749" s="201" t="s">
        <v>15024</v>
      </c>
      <c r="C749" s="196" t="s">
        <v>7</v>
      </c>
      <c r="D749" s="199">
        <v>2329.8200000000002</v>
      </c>
    </row>
    <row r="750" spans="1:4" ht="28.5">
      <c r="A750" s="201">
        <v>47855</v>
      </c>
      <c r="B750" s="201" t="s">
        <v>1461</v>
      </c>
      <c r="C750" s="196" t="s">
        <v>7</v>
      </c>
      <c r="D750" s="197">
        <v>84.1</v>
      </c>
    </row>
    <row r="751" spans="1:4" ht="14.25">
      <c r="A751" s="201">
        <v>47862</v>
      </c>
      <c r="B751" s="201" t="s">
        <v>1462</v>
      </c>
      <c r="C751" s="196" t="s">
        <v>7</v>
      </c>
      <c r="D751" s="197">
        <v>237.45</v>
      </c>
    </row>
    <row r="752" spans="1:4" ht="42.75">
      <c r="A752" s="201">
        <v>47876</v>
      </c>
      <c r="B752" s="201" t="s">
        <v>19093</v>
      </c>
      <c r="C752" s="196" t="s">
        <v>7</v>
      </c>
      <c r="D752" s="199">
        <v>9870.9599999999991</v>
      </c>
    </row>
    <row r="753" spans="1:4" ht="15">
      <c r="A753" s="200">
        <v>480</v>
      </c>
      <c r="B753" s="333" t="s">
        <v>1463</v>
      </c>
      <c r="C753" s="334"/>
      <c r="D753" s="334"/>
    </row>
    <row r="754" spans="1:4" ht="28.5">
      <c r="A754" s="201">
        <v>48002</v>
      </c>
      <c r="B754" s="201" t="s">
        <v>1464</v>
      </c>
      <c r="C754" s="196" t="s">
        <v>7</v>
      </c>
      <c r="D754" s="197">
        <v>83.37</v>
      </c>
    </row>
    <row r="755" spans="1:4" ht="28.5">
      <c r="A755" s="201">
        <v>48004</v>
      </c>
      <c r="B755" s="201" t="s">
        <v>1465</v>
      </c>
      <c r="C755" s="196" t="s">
        <v>7</v>
      </c>
      <c r="D755" s="197">
        <v>139.78</v>
      </c>
    </row>
    <row r="756" spans="1:4" ht="28.5">
      <c r="A756" s="201">
        <v>48015</v>
      </c>
      <c r="B756" s="201" t="s">
        <v>1466</v>
      </c>
      <c r="C756" s="196" t="s">
        <v>7</v>
      </c>
      <c r="D756" s="197">
        <v>95.15</v>
      </c>
    </row>
    <row r="757" spans="1:4" ht="14.25">
      <c r="A757" s="201">
        <v>48020</v>
      </c>
      <c r="B757" s="201" t="s">
        <v>1467</v>
      </c>
      <c r="C757" s="196" t="s">
        <v>7</v>
      </c>
      <c r="D757" s="197">
        <v>17.46</v>
      </c>
    </row>
    <row r="758" spans="1:4" ht="28.5">
      <c r="A758" s="201">
        <v>48035</v>
      </c>
      <c r="B758" s="201" t="s">
        <v>12545</v>
      </c>
      <c r="C758" s="196" t="s">
        <v>7</v>
      </c>
      <c r="D758" s="197">
        <v>145.21</v>
      </c>
    </row>
    <row r="759" spans="1:4" ht="14.25">
      <c r="A759" s="201">
        <v>48036</v>
      </c>
      <c r="B759" s="201" t="s">
        <v>1468</v>
      </c>
      <c r="C759" s="196" t="s">
        <v>7</v>
      </c>
      <c r="D759" s="197">
        <v>176.82</v>
      </c>
    </row>
    <row r="760" spans="1:4" ht="28.5">
      <c r="A760" s="201">
        <v>48038</v>
      </c>
      <c r="B760" s="201" t="s">
        <v>1469</v>
      </c>
      <c r="C760" s="196" t="s">
        <v>7</v>
      </c>
      <c r="D760" s="197">
        <v>22.22</v>
      </c>
    </row>
    <row r="761" spans="1:4" ht="14.25">
      <c r="A761" s="201">
        <v>48041</v>
      </c>
      <c r="B761" s="201" t="s">
        <v>1470</v>
      </c>
      <c r="C761" s="196" t="s">
        <v>7</v>
      </c>
      <c r="D761" s="197">
        <v>258.51</v>
      </c>
    </row>
    <row r="762" spans="1:4" ht="28.5">
      <c r="A762" s="201">
        <v>48051</v>
      </c>
      <c r="B762" s="201" t="s">
        <v>1471</v>
      </c>
      <c r="C762" s="196" t="s">
        <v>7</v>
      </c>
      <c r="D762" s="197">
        <v>16.579999999999998</v>
      </c>
    </row>
    <row r="763" spans="1:4" ht="28.5">
      <c r="A763" s="201">
        <v>48052</v>
      </c>
      <c r="B763" s="201" t="s">
        <v>15025</v>
      </c>
      <c r="C763" s="196" t="s">
        <v>7</v>
      </c>
      <c r="D763" s="197">
        <v>6.19</v>
      </c>
    </row>
    <row r="764" spans="1:4" ht="28.5">
      <c r="A764" s="201">
        <v>48053</v>
      </c>
      <c r="B764" s="201" t="s">
        <v>1472</v>
      </c>
      <c r="C764" s="196" t="s">
        <v>7</v>
      </c>
      <c r="D764" s="197">
        <v>36.729999999999997</v>
      </c>
    </row>
    <row r="765" spans="1:4" ht="28.5">
      <c r="A765" s="201">
        <v>48054</v>
      </c>
      <c r="B765" s="201" t="s">
        <v>1473</v>
      </c>
      <c r="C765" s="196" t="s">
        <v>7</v>
      </c>
      <c r="D765" s="197">
        <v>11.19</v>
      </c>
    </row>
    <row r="766" spans="1:4" ht="28.5">
      <c r="A766" s="201">
        <v>48055</v>
      </c>
      <c r="B766" s="201" t="s">
        <v>1474</v>
      </c>
      <c r="C766" s="196" t="s">
        <v>7</v>
      </c>
      <c r="D766" s="197">
        <v>31.15</v>
      </c>
    </row>
    <row r="767" spans="1:4" ht="28.5">
      <c r="A767" s="201">
        <v>48056</v>
      </c>
      <c r="B767" s="201" t="s">
        <v>1475</v>
      </c>
      <c r="C767" s="196" t="s">
        <v>7</v>
      </c>
      <c r="D767" s="197">
        <v>9.68</v>
      </c>
    </row>
    <row r="768" spans="1:4" ht="28.5">
      <c r="A768" s="201">
        <v>48057</v>
      </c>
      <c r="B768" s="201" t="s">
        <v>1476</v>
      </c>
      <c r="C768" s="196" t="s">
        <v>7</v>
      </c>
      <c r="D768" s="197">
        <v>13.68</v>
      </c>
    </row>
    <row r="769" spans="1:4" ht="28.5">
      <c r="A769" s="201">
        <v>48064</v>
      </c>
      <c r="B769" s="201" t="s">
        <v>1477</v>
      </c>
      <c r="C769" s="196" t="s">
        <v>7</v>
      </c>
      <c r="D769" s="197">
        <v>24.04</v>
      </c>
    </row>
    <row r="770" spans="1:4" ht="28.5">
      <c r="A770" s="201">
        <v>48067</v>
      </c>
      <c r="B770" s="201" t="s">
        <v>18955</v>
      </c>
      <c r="C770" s="196" t="s">
        <v>7</v>
      </c>
      <c r="D770" s="197">
        <v>2.5499999999999998</v>
      </c>
    </row>
    <row r="771" spans="1:4" ht="28.5">
      <c r="A771" s="201">
        <v>48070</v>
      </c>
      <c r="B771" s="201" t="s">
        <v>12546</v>
      </c>
      <c r="C771" s="196" t="s">
        <v>7</v>
      </c>
      <c r="D771" s="197">
        <v>1.54</v>
      </c>
    </row>
    <row r="772" spans="1:4" ht="28.5">
      <c r="A772" s="201">
        <v>48085</v>
      </c>
      <c r="B772" s="201" t="s">
        <v>1478</v>
      </c>
      <c r="C772" s="196" t="s">
        <v>7</v>
      </c>
      <c r="D772" s="197">
        <v>78.8</v>
      </c>
    </row>
    <row r="773" spans="1:4" ht="15">
      <c r="A773" s="200">
        <v>481</v>
      </c>
      <c r="B773" s="333" t="s">
        <v>1479</v>
      </c>
      <c r="C773" s="334"/>
      <c r="D773" s="334"/>
    </row>
    <row r="774" spans="1:4" ht="28.5">
      <c r="A774" s="201">
        <v>48120</v>
      </c>
      <c r="B774" s="201" t="s">
        <v>1480</v>
      </c>
      <c r="C774" s="196" t="s">
        <v>7</v>
      </c>
      <c r="D774" s="197">
        <v>16.579999999999998</v>
      </c>
    </row>
    <row r="775" spans="1:4" ht="14.25">
      <c r="A775" s="201">
        <v>48145</v>
      </c>
      <c r="B775" s="201" t="s">
        <v>1481</v>
      </c>
      <c r="C775" s="196" t="s">
        <v>7</v>
      </c>
      <c r="D775" s="197">
        <v>8.64</v>
      </c>
    </row>
    <row r="776" spans="1:4" ht="28.5">
      <c r="A776" s="201">
        <v>48146</v>
      </c>
      <c r="B776" s="201" t="s">
        <v>1482</v>
      </c>
      <c r="C776" s="196" t="s">
        <v>7</v>
      </c>
      <c r="D776" s="197">
        <v>7.17</v>
      </c>
    </row>
    <row r="777" spans="1:4" ht="28.5">
      <c r="A777" s="201">
        <v>48149</v>
      </c>
      <c r="B777" s="201" t="s">
        <v>1483</v>
      </c>
      <c r="C777" s="196" t="s">
        <v>7</v>
      </c>
      <c r="D777" s="197">
        <v>54.06</v>
      </c>
    </row>
    <row r="778" spans="1:4" ht="14.25">
      <c r="A778" s="201">
        <v>48150</v>
      </c>
      <c r="B778" s="201" t="s">
        <v>1484</v>
      </c>
      <c r="C778" s="196" t="s">
        <v>6</v>
      </c>
      <c r="D778" s="197">
        <v>87.87</v>
      </c>
    </row>
    <row r="779" spans="1:4" ht="14.25">
      <c r="A779" s="201">
        <v>48151</v>
      </c>
      <c r="B779" s="201" t="s">
        <v>1485</v>
      </c>
      <c r="C779" s="196" t="s">
        <v>6</v>
      </c>
      <c r="D779" s="197">
        <v>67.150000000000006</v>
      </c>
    </row>
    <row r="780" spans="1:4" ht="14.25">
      <c r="A780" s="201">
        <v>48152</v>
      </c>
      <c r="B780" s="201" t="s">
        <v>1486</v>
      </c>
      <c r="C780" s="196" t="s">
        <v>6</v>
      </c>
      <c r="D780" s="197">
        <v>36.86</v>
      </c>
    </row>
    <row r="781" spans="1:4" ht="15">
      <c r="A781" s="200">
        <v>482</v>
      </c>
      <c r="B781" s="333" t="s">
        <v>1120</v>
      </c>
      <c r="C781" s="334"/>
      <c r="D781" s="334"/>
    </row>
    <row r="782" spans="1:4" ht="14.25">
      <c r="A782" s="201">
        <v>48220</v>
      </c>
      <c r="B782" s="201" t="s">
        <v>12547</v>
      </c>
      <c r="C782" s="196" t="s">
        <v>7</v>
      </c>
      <c r="D782" s="197">
        <v>15.34</v>
      </c>
    </row>
    <row r="783" spans="1:4" ht="15">
      <c r="A783" s="200">
        <v>483</v>
      </c>
      <c r="B783" s="333" t="s">
        <v>1277</v>
      </c>
      <c r="C783" s="334"/>
      <c r="D783" s="334"/>
    </row>
    <row r="784" spans="1:4" ht="14.25">
      <c r="A784" s="201">
        <v>48316</v>
      </c>
      <c r="B784" s="201" t="s">
        <v>1487</v>
      </c>
      <c r="C784" s="196" t="s">
        <v>7</v>
      </c>
      <c r="D784" s="197">
        <v>521.41999999999996</v>
      </c>
    </row>
    <row r="785" spans="1:4" ht="14.25">
      <c r="A785" s="201">
        <v>48340</v>
      </c>
      <c r="B785" s="201" t="s">
        <v>1488</v>
      </c>
      <c r="C785" s="196" t="s">
        <v>7</v>
      </c>
      <c r="D785" s="197">
        <v>40.26</v>
      </c>
    </row>
    <row r="786" spans="1:4" ht="14.25">
      <c r="A786" s="201">
        <v>48341</v>
      </c>
      <c r="B786" s="201" t="s">
        <v>1489</v>
      </c>
      <c r="C786" s="196" t="s">
        <v>7</v>
      </c>
      <c r="D786" s="197">
        <v>103.21</v>
      </c>
    </row>
    <row r="787" spans="1:4" ht="28.5">
      <c r="A787" s="201">
        <v>48342</v>
      </c>
      <c r="B787" s="201" t="s">
        <v>1490</v>
      </c>
      <c r="C787" s="196" t="s">
        <v>7</v>
      </c>
      <c r="D787" s="197">
        <v>15.52</v>
      </c>
    </row>
    <row r="788" spans="1:4" ht="14.25">
      <c r="A788" s="201">
        <v>48365</v>
      </c>
      <c r="B788" s="201" t="s">
        <v>1491</v>
      </c>
      <c r="C788" s="196" t="s">
        <v>7</v>
      </c>
      <c r="D788" s="197">
        <v>7.43</v>
      </c>
    </row>
    <row r="789" spans="1:4" ht="28.5">
      <c r="A789" s="201">
        <v>48390</v>
      </c>
      <c r="B789" s="201" t="s">
        <v>1492</v>
      </c>
      <c r="C789" s="196" t="s">
        <v>6</v>
      </c>
      <c r="D789" s="197">
        <v>62.63</v>
      </c>
    </row>
    <row r="790" spans="1:4" ht="15">
      <c r="A790" s="200">
        <v>484</v>
      </c>
      <c r="B790" s="333" t="s">
        <v>1493</v>
      </c>
      <c r="C790" s="334"/>
      <c r="D790" s="334"/>
    </row>
    <row r="791" spans="1:4" ht="28.5">
      <c r="A791" s="201">
        <v>48444</v>
      </c>
      <c r="B791" s="201" t="s">
        <v>15026</v>
      </c>
      <c r="C791" s="196" t="s">
        <v>7</v>
      </c>
      <c r="D791" s="197">
        <v>35.5</v>
      </c>
    </row>
    <row r="792" spans="1:4" ht="28.5">
      <c r="A792" s="201">
        <v>48458</v>
      </c>
      <c r="B792" s="201" t="s">
        <v>1494</v>
      </c>
      <c r="C792" s="196" t="s">
        <v>7</v>
      </c>
      <c r="D792" s="197">
        <v>1.58</v>
      </c>
    </row>
    <row r="793" spans="1:4" ht="14.25">
      <c r="A793" s="201">
        <v>48474</v>
      </c>
      <c r="B793" s="201" t="s">
        <v>1495</v>
      </c>
      <c r="C793" s="196" t="s">
        <v>7</v>
      </c>
      <c r="D793" s="197">
        <v>266.27</v>
      </c>
    </row>
    <row r="794" spans="1:4" ht="15">
      <c r="A794" s="200">
        <v>485</v>
      </c>
      <c r="B794" s="333" t="s">
        <v>1493</v>
      </c>
      <c r="C794" s="334"/>
      <c r="D794" s="334"/>
    </row>
    <row r="795" spans="1:4" ht="28.5">
      <c r="A795" s="201">
        <v>48502</v>
      </c>
      <c r="B795" s="201" t="s">
        <v>12548</v>
      </c>
      <c r="C795" s="196" t="s">
        <v>7</v>
      </c>
      <c r="D795" s="197">
        <v>1.26</v>
      </c>
    </row>
    <row r="796" spans="1:4" ht="28.5">
      <c r="A796" s="201">
        <v>48503</v>
      </c>
      <c r="B796" s="201" t="s">
        <v>12549</v>
      </c>
      <c r="C796" s="196" t="s">
        <v>7</v>
      </c>
      <c r="D796" s="197">
        <v>1.61</v>
      </c>
    </row>
    <row r="797" spans="1:4" ht="28.5">
      <c r="A797" s="201">
        <v>48505</v>
      </c>
      <c r="B797" s="201" t="s">
        <v>12550</v>
      </c>
      <c r="C797" s="196" t="s">
        <v>7</v>
      </c>
      <c r="D797" s="197">
        <v>3.23</v>
      </c>
    </row>
    <row r="798" spans="1:4" ht="28.5">
      <c r="A798" s="201">
        <v>48506</v>
      </c>
      <c r="B798" s="201" t="s">
        <v>12551</v>
      </c>
      <c r="C798" s="196" t="s">
        <v>7</v>
      </c>
      <c r="D798" s="197">
        <v>5.74</v>
      </c>
    </row>
    <row r="799" spans="1:4" ht="28.5">
      <c r="A799" s="201">
        <v>48508</v>
      </c>
      <c r="B799" s="201" t="s">
        <v>12552</v>
      </c>
      <c r="C799" s="196" t="s">
        <v>7</v>
      </c>
      <c r="D799" s="197">
        <v>9.5299999999999994</v>
      </c>
    </row>
    <row r="800" spans="1:4" ht="28.5">
      <c r="A800" s="201">
        <v>48510</v>
      </c>
      <c r="B800" s="201" t="s">
        <v>12553</v>
      </c>
      <c r="C800" s="196" t="s">
        <v>7</v>
      </c>
      <c r="D800" s="197">
        <v>13.49</v>
      </c>
    </row>
    <row r="801" spans="1:4" ht="28.5">
      <c r="A801" s="201">
        <v>48512</v>
      </c>
      <c r="B801" s="201" t="s">
        <v>12554</v>
      </c>
      <c r="C801" s="196" t="s">
        <v>7</v>
      </c>
      <c r="D801" s="197">
        <v>49.24</v>
      </c>
    </row>
    <row r="802" spans="1:4" ht="28.5">
      <c r="A802" s="201">
        <v>48516</v>
      </c>
      <c r="B802" s="201" t="s">
        <v>12555</v>
      </c>
      <c r="C802" s="196" t="s">
        <v>7</v>
      </c>
      <c r="D802" s="197">
        <v>0.69</v>
      </c>
    </row>
    <row r="803" spans="1:4" ht="28.5">
      <c r="A803" s="201">
        <v>48517</v>
      </c>
      <c r="B803" s="201" t="s">
        <v>12556</v>
      </c>
      <c r="C803" s="196" t="s">
        <v>7</v>
      </c>
      <c r="D803" s="197">
        <v>1.26</v>
      </c>
    </row>
    <row r="804" spans="1:4" ht="28.5">
      <c r="A804" s="201">
        <v>48518</v>
      </c>
      <c r="B804" s="201" t="s">
        <v>15027</v>
      </c>
      <c r="C804" s="196" t="s">
        <v>7</v>
      </c>
      <c r="D804" s="197">
        <v>1.89</v>
      </c>
    </row>
    <row r="805" spans="1:4" ht="28.5">
      <c r="A805" s="201">
        <v>48519</v>
      </c>
      <c r="B805" s="201" t="s">
        <v>12557</v>
      </c>
      <c r="C805" s="196" t="s">
        <v>7</v>
      </c>
      <c r="D805" s="197">
        <v>2.2200000000000002</v>
      </c>
    </row>
    <row r="806" spans="1:4" ht="28.5">
      <c r="A806" s="201">
        <v>48520</v>
      </c>
      <c r="B806" s="201" t="s">
        <v>12558</v>
      </c>
      <c r="C806" s="196" t="s">
        <v>7</v>
      </c>
      <c r="D806" s="197">
        <v>3.01</v>
      </c>
    </row>
    <row r="807" spans="1:4" ht="28.5">
      <c r="A807" s="201">
        <v>48522</v>
      </c>
      <c r="B807" s="201" t="s">
        <v>12559</v>
      </c>
      <c r="C807" s="196" t="s">
        <v>7</v>
      </c>
      <c r="D807" s="197">
        <v>9.25</v>
      </c>
    </row>
    <row r="808" spans="1:4" ht="28.5">
      <c r="A808" s="201">
        <v>48524</v>
      </c>
      <c r="B808" s="201" t="s">
        <v>12560</v>
      </c>
      <c r="C808" s="196" t="s">
        <v>7</v>
      </c>
      <c r="D808" s="197">
        <v>10.84</v>
      </c>
    </row>
    <row r="809" spans="1:4" ht="28.5">
      <c r="A809" s="201">
        <v>48525</v>
      </c>
      <c r="B809" s="201" t="s">
        <v>12561</v>
      </c>
      <c r="C809" s="196" t="s">
        <v>7</v>
      </c>
      <c r="D809" s="197">
        <v>29.57</v>
      </c>
    </row>
    <row r="810" spans="1:4" ht="14.25">
      <c r="A810" s="201">
        <v>48534</v>
      </c>
      <c r="B810" s="201" t="s">
        <v>1496</v>
      </c>
      <c r="C810" s="196" t="s">
        <v>7</v>
      </c>
      <c r="D810" s="197">
        <v>0.6</v>
      </c>
    </row>
    <row r="811" spans="1:4" ht="14.25">
      <c r="A811" s="201">
        <v>48538</v>
      </c>
      <c r="B811" s="201" t="s">
        <v>1497</v>
      </c>
      <c r="C811" s="196" t="s">
        <v>7</v>
      </c>
      <c r="D811" s="197">
        <v>1.46</v>
      </c>
    </row>
    <row r="812" spans="1:4" ht="14.25">
      <c r="A812" s="201">
        <v>48553</v>
      </c>
      <c r="B812" s="201" t="s">
        <v>1498</v>
      </c>
      <c r="C812" s="196" t="s">
        <v>7</v>
      </c>
      <c r="D812" s="197">
        <v>5.08</v>
      </c>
    </row>
    <row r="813" spans="1:4" ht="14.25">
      <c r="A813" s="201">
        <v>48556</v>
      </c>
      <c r="B813" s="201" t="s">
        <v>1499</v>
      </c>
      <c r="C813" s="196" t="s">
        <v>7</v>
      </c>
      <c r="D813" s="197">
        <v>3.27</v>
      </c>
    </row>
    <row r="814" spans="1:4" ht="15">
      <c r="A814" s="200">
        <v>486</v>
      </c>
      <c r="B814" s="333" t="s">
        <v>1493</v>
      </c>
      <c r="C814" s="334"/>
      <c r="D814" s="334"/>
    </row>
    <row r="815" spans="1:4" ht="14.25">
      <c r="A815" s="201">
        <v>48604</v>
      </c>
      <c r="B815" s="201" t="s">
        <v>1500</v>
      </c>
      <c r="C815" s="196" t="s">
        <v>7</v>
      </c>
      <c r="D815" s="197">
        <v>3.63</v>
      </c>
    </row>
    <row r="816" spans="1:4" ht="14.25">
      <c r="A816" s="201">
        <v>48605</v>
      </c>
      <c r="B816" s="201" t="s">
        <v>1501</v>
      </c>
      <c r="C816" s="196" t="s">
        <v>7</v>
      </c>
      <c r="D816" s="197">
        <v>7.33</v>
      </c>
    </row>
    <row r="817" spans="1:4" ht="28.5">
      <c r="A817" s="201">
        <v>48606</v>
      </c>
      <c r="B817" s="201" t="s">
        <v>1502</v>
      </c>
      <c r="C817" s="196" t="s">
        <v>7</v>
      </c>
      <c r="D817" s="197">
        <v>10.18</v>
      </c>
    </row>
    <row r="818" spans="1:4" ht="28.5">
      <c r="A818" s="201">
        <v>48607</v>
      </c>
      <c r="B818" s="201" t="s">
        <v>1503</v>
      </c>
      <c r="C818" s="196" t="s">
        <v>7</v>
      </c>
      <c r="D818" s="197">
        <v>18.54</v>
      </c>
    </row>
    <row r="819" spans="1:4" ht="28.5">
      <c r="A819" s="201">
        <v>48630</v>
      </c>
      <c r="B819" s="201" t="s">
        <v>15028</v>
      </c>
      <c r="C819" s="196" t="s">
        <v>6</v>
      </c>
      <c r="D819" s="197">
        <v>4.6399999999999997</v>
      </c>
    </row>
    <row r="820" spans="1:4" ht="14.25">
      <c r="A820" s="201">
        <v>48634</v>
      </c>
      <c r="B820" s="201" t="s">
        <v>1504</v>
      </c>
      <c r="C820" s="196" t="s">
        <v>6</v>
      </c>
      <c r="D820" s="197">
        <v>44.71</v>
      </c>
    </row>
    <row r="821" spans="1:4" ht="14.25">
      <c r="A821" s="201">
        <v>48665</v>
      </c>
      <c r="B821" s="201" t="s">
        <v>15029</v>
      </c>
      <c r="C821" s="196" t="s">
        <v>7</v>
      </c>
      <c r="D821" s="197">
        <v>0.4</v>
      </c>
    </row>
    <row r="822" spans="1:4" ht="15">
      <c r="A822" s="200">
        <v>487</v>
      </c>
      <c r="B822" s="333" t="s">
        <v>1505</v>
      </c>
      <c r="C822" s="334"/>
      <c r="D822" s="334"/>
    </row>
    <row r="823" spans="1:4" ht="28.5">
      <c r="A823" s="201">
        <v>48701</v>
      </c>
      <c r="B823" s="201" t="s">
        <v>12562</v>
      </c>
      <c r="C823" s="196" t="s">
        <v>6</v>
      </c>
      <c r="D823" s="197">
        <v>13.56</v>
      </c>
    </row>
    <row r="824" spans="1:4" ht="14.25">
      <c r="A824" s="201">
        <v>48730</v>
      </c>
      <c r="B824" s="201" t="s">
        <v>1506</v>
      </c>
      <c r="C824" s="196" t="s">
        <v>7</v>
      </c>
      <c r="D824" s="197">
        <v>125.8</v>
      </c>
    </row>
    <row r="825" spans="1:4" ht="28.5">
      <c r="A825" s="201">
        <v>48744</v>
      </c>
      <c r="B825" s="201" t="s">
        <v>1507</v>
      </c>
      <c r="C825" s="196" t="s">
        <v>7</v>
      </c>
      <c r="D825" s="197">
        <v>99.13</v>
      </c>
    </row>
    <row r="826" spans="1:4" ht="14.25">
      <c r="A826" s="201">
        <v>48747</v>
      </c>
      <c r="B826" s="201" t="s">
        <v>1508</v>
      </c>
      <c r="C826" s="196" t="s">
        <v>7</v>
      </c>
      <c r="D826" s="197">
        <v>1.72</v>
      </c>
    </row>
    <row r="827" spans="1:4" ht="28.5">
      <c r="A827" s="201">
        <v>48763</v>
      </c>
      <c r="B827" s="201" t="s">
        <v>1509</v>
      </c>
      <c r="C827" s="196" t="s">
        <v>7</v>
      </c>
      <c r="D827" s="197">
        <v>31.85</v>
      </c>
    </row>
    <row r="828" spans="1:4" ht="14.25">
      <c r="A828" s="201">
        <v>48772</v>
      </c>
      <c r="B828" s="201" t="s">
        <v>1510</v>
      </c>
      <c r="C828" s="196" t="s">
        <v>7</v>
      </c>
      <c r="D828" s="197">
        <v>155.33000000000001</v>
      </c>
    </row>
    <row r="829" spans="1:4" ht="28.5">
      <c r="A829" s="201">
        <v>48782</v>
      </c>
      <c r="B829" s="201" t="s">
        <v>12563</v>
      </c>
      <c r="C829" s="196" t="s">
        <v>7</v>
      </c>
      <c r="D829" s="197">
        <v>101.49</v>
      </c>
    </row>
    <row r="830" spans="1:4" ht="28.5">
      <c r="A830" s="201">
        <v>48784</v>
      </c>
      <c r="B830" s="201" t="s">
        <v>1511</v>
      </c>
      <c r="C830" s="196" t="s">
        <v>7</v>
      </c>
      <c r="D830" s="197">
        <v>147.5</v>
      </c>
    </row>
    <row r="831" spans="1:4" ht="14.25">
      <c r="A831" s="201">
        <v>48790</v>
      </c>
      <c r="B831" s="201" t="s">
        <v>1512</v>
      </c>
      <c r="C831" s="196" t="s">
        <v>7</v>
      </c>
      <c r="D831" s="197">
        <v>601.55999999999995</v>
      </c>
    </row>
    <row r="832" spans="1:4" ht="14.25">
      <c r="A832" s="201">
        <v>48794</v>
      </c>
      <c r="B832" s="201" t="s">
        <v>1513</v>
      </c>
      <c r="C832" s="196" t="s">
        <v>7</v>
      </c>
      <c r="D832" s="197">
        <v>52.51</v>
      </c>
    </row>
    <row r="833" spans="1:4" ht="15">
      <c r="A833" s="200">
        <v>488</v>
      </c>
      <c r="B833" s="333" t="s">
        <v>1129</v>
      </c>
      <c r="C833" s="334"/>
      <c r="D833" s="334"/>
    </row>
    <row r="834" spans="1:4" ht="14.25">
      <c r="A834" s="201">
        <v>48860</v>
      </c>
      <c r="B834" s="201" t="s">
        <v>1514</v>
      </c>
      <c r="C834" s="196" t="s">
        <v>7</v>
      </c>
      <c r="D834" s="197">
        <v>27.64</v>
      </c>
    </row>
    <row r="835" spans="1:4" ht="15">
      <c r="A835" s="200">
        <v>489</v>
      </c>
      <c r="B835" s="333" t="s">
        <v>1277</v>
      </c>
      <c r="C835" s="334"/>
      <c r="D835" s="334"/>
    </row>
    <row r="836" spans="1:4" ht="14.25">
      <c r="A836" s="201">
        <v>48917</v>
      </c>
      <c r="B836" s="201" t="s">
        <v>1515</v>
      </c>
      <c r="C836" s="196" t="s">
        <v>6</v>
      </c>
      <c r="D836" s="197">
        <v>5.09</v>
      </c>
    </row>
    <row r="837" spans="1:4" ht="28.5">
      <c r="A837" s="201">
        <v>48986</v>
      </c>
      <c r="B837" s="201" t="s">
        <v>1516</v>
      </c>
      <c r="C837" s="196" t="s">
        <v>6</v>
      </c>
      <c r="D837" s="197">
        <v>100</v>
      </c>
    </row>
    <row r="838" spans="1:4" ht="28.5">
      <c r="A838" s="201">
        <v>48987</v>
      </c>
      <c r="B838" s="201" t="s">
        <v>1517</v>
      </c>
      <c r="C838" s="196" t="s">
        <v>7</v>
      </c>
      <c r="D838" s="197">
        <v>46.53</v>
      </c>
    </row>
    <row r="839" spans="1:4" ht="28.5">
      <c r="A839" s="201">
        <v>48988</v>
      </c>
      <c r="B839" s="201" t="s">
        <v>1518</v>
      </c>
      <c r="C839" s="196" t="s">
        <v>6</v>
      </c>
      <c r="D839" s="197">
        <v>149.91999999999999</v>
      </c>
    </row>
    <row r="840" spans="1:4" ht="15">
      <c r="A840" s="200">
        <v>490</v>
      </c>
      <c r="B840" s="333" t="s">
        <v>1519</v>
      </c>
      <c r="C840" s="334"/>
      <c r="D840" s="334"/>
    </row>
    <row r="841" spans="1:4" ht="28.5">
      <c r="A841" s="201">
        <v>49002</v>
      </c>
      <c r="B841" s="201" t="s">
        <v>15030</v>
      </c>
      <c r="C841" s="196" t="s">
        <v>7</v>
      </c>
      <c r="D841" s="197">
        <v>27.38</v>
      </c>
    </row>
    <row r="842" spans="1:4" ht="14.25">
      <c r="A842" s="201">
        <v>49028</v>
      </c>
      <c r="B842" s="201" t="s">
        <v>15031</v>
      </c>
      <c r="C842" s="196" t="s">
        <v>7</v>
      </c>
      <c r="D842" s="197">
        <v>195.4</v>
      </c>
    </row>
    <row r="843" spans="1:4" ht="28.5">
      <c r="A843" s="201">
        <v>49064</v>
      </c>
      <c r="B843" s="201" t="s">
        <v>15032</v>
      </c>
      <c r="C843" s="196" t="s">
        <v>7</v>
      </c>
      <c r="D843" s="197">
        <v>4.1500000000000004</v>
      </c>
    </row>
    <row r="844" spans="1:4" ht="14.25">
      <c r="A844" s="201">
        <v>49072</v>
      </c>
      <c r="B844" s="201" t="s">
        <v>1520</v>
      </c>
      <c r="C844" s="196" t="s">
        <v>7</v>
      </c>
      <c r="D844" s="197">
        <v>40.72</v>
      </c>
    </row>
    <row r="845" spans="1:4" ht="15">
      <c r="A845" s="200">
        <v>491</v>
      </c>
      <c r="B845" s="333" t="s">
        <v>1519</v>
      </c>
      <c r="C845" s="334"/>
      <c r="D845" s="334"/>
    </row>
    <row r="846" spans="1:4" ht="14.25">
      <c r="A846" s="201">
        <v>49101</v>
      </c>
      <c r="B846" s="201" t="s">
        <v>1521</v>
      </c>
      <c r="C846" s="196" t="s">
        <v>7</v>
      </c>
      <c r="D846" s="197">
        <v>471.33</v>
      </c>
    </row>
    <row r="847" spans="1:4" ht="14.25">
      <c r="A847" s="201">
        <v>49104</v>
      </c>
      <c r="B847" s="201" t="s">
        <v>1522</v>
      </c>
      <c r="C847" s="196" t="s">
        <v>7</v>
      </c>
      <c r="D847" s="197">
        <v>4.16</v>
      </c>
    </row>
    <row r="848" spans="1:4" ht="14.25">
      <c r="A848" s="201">
        <v>49112</v>
      </c>
      <c r="B848" s="201" t="s">
        <v>1523</v>
      </c>
      <c r="C848" s="196" t="s">
        <v>7</v>
      </c>
      <c r="D848" s="197">
        <v>45.02</v>
      </c>
    </row>
    <row r="849" spans="1:4" ht="28.5">
      <c r="A849" s="201">
        <v>49123</v>
      </c>
      <c r="B849" s="201" t="s">
        <v>1524</v>
      </c>
      <c r="C849" s="196" t="s">
        <v>7</v>
      </c>
      <c r="D849" s="197">
        <v>4.21</v>
      </c>
    </row>
    <row r="850" spans="1:4" ht="14.25">
      <c r="A850" s="201">
        <v>49143</v>
      </c>
      <c r="B850" s="201" t="s">
        <v>1525</v>
      </c>
      <c r="C850" s="196" t="s">
        <v>7</v>
      </c>
      <c r="D850" s="197">
        <v>144.56</v>
      </c>
    </row>
    <row r="851" spans="1:4" ht="28.5">
      <c r="A851" s="201">
        <v>49165</v>
      </c>
      <c r="B851" s="201" t="s">
        <v>1526</v>
      </c>
      <c r="C851" s="196" t="s">
        <v>7</v>
      </c>
      <c r="D851" s="197">
        <v>269.12</v>
      </c>
    </row>
    <row r="852" spans="1:4" ht="28.5">
      <c r="A852" s="201">
        <v>49170</v>
      </c>
      <c r="B852" s="201" t="s">
        <v>1527</v>
      </c>
      <c r="C852" s="196" t="s">
        <v>7</v>
      </c>
      <c r="D852" s="199">
        <v>2038.69</v>
      </c>
    </row>
    <row r="853" spans="1:4" ht="15">
      <c r="A853" s="200">
        <v>492</v>
      </c>
      <c r="B853" s="333" t="s">
        <v>1528</v>
      </c>
      <c r="C853" s="334"/>
      <c r="D853" s="334"/>
    </row>
    <row r="854" spans="1:4" ht="14.25">
      <c r="A854" s="201">
        <v>49227</v>
      </c>
      <c r="B854" s="201" t="s">
        <v>1529</v>
      </c>
      <c r="C854" s="196" t="s">
        <v>7</v>
      </c>
      <c r="D854" s="197">
        <v>4.6900000000000004</v>
      </c>
    </row>
    <row r="855" spans="1:4" ht="14.25">
      <c r="A855" s="201">
        <v>49228</v>
      </c>
      <c r="B855" s="201" t="s">
        <v>1530</v>
      </c>
      <c r="C855" s="196" t="s">
        <v>7</v>
      </c>
      <c r="D855" s="197">
        <v>6.77</v>
      </c>
    </row>
    <row r="856" spans="1:4" ht="14.25">
      <c r="A856" s="201">
        <v>49241</v>
      </c>
      <c r="B856" s="201" t="s">
        <v>1531</v>
      </c>
      <c r="C856" s="196" t="s">
        <v>7</v>
      </c>
      <c r="D856" s="197">
        <v>7.26</v>
      </c>
    </row>
    <row r="857" spans="1:4" ht="14.25">
      <c r="A857" s="201">
        <v>49242</v>
      </c>
      <c r="B857" s="201" t="s">
        <v>1532</v>
      </c>
      <c r="C857" s="196" t="s">
        <v>7</v>
      </c>
      <c r="D857" s="197">
        <v>4.5199999999999996</v>
      </c>
    </row>
    <row r="858" spans="1:4" ht="28.5">
      <c r="A858" s="201">
        <v>49243</v>
      </c>
      <c r="B858" s="201" t="s">
        <v>12564</v>
      </c>
      <c r="C858" s="196" t="s">
        <v>7</v>
      </c>
      <c r="D858" s="197">
        <v>5.88</v>
      </c>
    </row>
    <row r="859" spans="1:4" ht="28.5">
      <c r="A859" s="201">
        <v>49249</v>
      </c>
      <c r="B859" s="201" t="s">
        <v>1533</v>
      </c>
      <c r="C859" s="196" t="s">
        <v>7</v>
      </c>
      <c r="D859" s="197">
        <v>13.14</v>
      </c>
    </row>
    <row r="860" spans="1:4" ht="28.5">
      <c r="A860" s="201">
        <v>49274</v>
      </c>
      <c r="B860" s="201" t="s">
        <v>1534</v>
      </c>
      <c r="C860" s="196" t="s">
        <v>7</v>
      </c>
      <c r="D860" s="197">
        <v>102.11</v>
      </c>
    </row>
    <row r="861" spans="1:4" ht="28.5">
      <c r="A861" s="201">
        <v>49275</v>
      </c>
      <c r="B861" s="201" t="s">
        <v>1535</v>
      </c>
      <c r="C861" s="196" t="s">
        <v>7</v>
      </c>
      <c r="D861" s="197">
        <v>133.56</v>
      </c>
    </row>
    <row r="862" spans="1:4" ht="14.25">
      <c r="A862" s="201">
        <v>49277</v>
      </c>
      <c r="B862" s="201" t="s">
        <v>15033</v>
      </c>
      <c r="C862" s="196" t="s">
        <v>7</v>
      </c>
      <c r="D862" s="197">
        <v>25.1</v>
      </c>
    </row>
    <row r="863" spans="1:4" ht="28.5">
      <c r="A863" s="201">
        <v>49278</v>
      </c>
      <c r="B863" s="201" t="s">
        <v>15034</v>
      </c>
      <c r="C863" s="196" t="s">
        <v>7</v>
      </c>
      <c r="D863" s="197">
        <v>38.9</v>
      </c>
    </row>
    <row r="864" spans="1:4" ht="14.25">
      <c r="A864" s="201">
        <v>49289</v>
      </c>
      <c r="B864" s="201" t="s">
        <v>1536</v>
      </c>
      <c r="C864" s="196" t="s">
        <v>7</v>
      </c>
      <c r="D864" s="197">
        <v>13.3</v>
      </c>
    </row>
    <row r="865" spans="1:4" ht="15">
      <c r="A865" s="200">
        <v>494</v>
      </c>
      <c r="B865" s="333" t="s">
        <v>1537</v>
      </c>
      <c r="C865" s="334"/>
      <c r="D865" s="334"/>
    </row>
    <row r="866" spans="1:4" ht="28.5">
      <c r="A866" s="201">
        <v>49424</v>
      </c>
      <c r="B866" s="201" t="s">
        <v>1538</v>
      </c>
      <c r="C866" s="196" t="s">
        <v>7</v>
      </c>
      <c r="D866" s="197">
        <v>15.02</v>
      </c>
    </row>
    <row r="867" spans="1:4" ht="14.25">
      <c r="A867" s="201">
        <v>49428</v>
      </c>
      <c r="B867" s="201" t="s">
        <v>1539</v>
      </c>
      <c r="C867" s="196" t="s">
        <v>7</v>
      </c>
      <c r="D867" s="197">
        <v>4.83</v>
      </c>
    </row>
    <row r="868" spans="1:4" ht="28.5">
      <c r="A868" s="201">
        <v>49459</v>
      </c>
      <c r="B868" s="201" t="s">
        <v>1540</v>
      </c>
      <c r="C868" s="196" t="s">
        <v>7</v>
      </c>
      <c r="D868" s="197">
        <v>480.19</v>
      </c>
    </row>
    <row r="869" spans="1:4" ht="28.5">
      <c r="A869" s="201">
        <v>49463</v>
      </c>
      <c r="B869" s="201" t="s">
        <v>1541</v>
      </c>
      <c r="C869" s="196" t="s">
        <v>7</v>
      </c>
      <c r="D869" s="197">
        <v>73.33</v>
      </c>
    </row>
    <row r="870" spans="1:4" ht="28.5">
      <c r="A870" s="201">
        <v>49464</v>
      </c>
      <c r="B870" s="201" t="s">
        <v>1542</v>
      </c>
      <c r="C870" s="196" t="s">
        <v>7</v>
      </c>
      <c r="D870" s="197">
        <v>107.48</v>
      </c>
    </row>
    <row r="871" spans="1:4" ht="14.25">
      <c r="A871" s="201">
        <v>49488</v>
      </c>
      <c r="B871" s="201" t="s">
        <v>1543</v>
      </c>
      <c r="C871" s="196" t="s">
        <v>7</v>
      </c>
      <c r="D871" s="197">
        <v>1.51</v>
      </c>
    </row>
    <row r="872" spans="1:4" ht="14.25">
      <c r="A872" s="201">
        <v>49492</v>
      </c>
      <c r="B872" s="201" t="s">
        <v>15035</v>
      </c>
      <c r="C872" s="196" t="s">
        <v>7</v>
      </c>
      <c r="D872" s="197">
        <v>11.3</v>
      </c>
    </row>
    <row r="873" spans="1:4" ht="14.25">
      <c r="A873" s="201">
        <v>49493</v>
      </c>
      <c r="B873" s="201" t="s">
        <v>15036</v>
      </c>
      <c r="C873" s="196" t="s">
        <v>7</v>
      </c>
      <c r="D873" s="197">
        <v>20.62</v>
      </c>
    </row>
    <row r="874" spans="1:4" ht="15">
      <c r="A874" s="200">
        <v>495</v>
      </c>
      <c r="B874" s="333" t="s">
        <v>1120</v>
      </c>
      <c r="C874" s="334"/>
      <c r="D874" s="334"/>
    </row>
    <row r="875" spans="1:4" ht="14.25">
      <c r="A875" s="201">
        <v>49502</v>
      </c>
      <c r="B875" s="201" t="s">
        <v>1544</v>
      </c>
      <c r="C875" s="196" t="s">
        <v>7</v>
      </c>
      <c r="D875" s="197">
        <v>4.16</v>
      </c>
    </row>
    <row r="876" spans="1:4" ht="14.25">
      <c r="A876" s="201">
        <v>49503</v>
      </c>
      <c r="B876" s="201" t="s">
        <v>1545</v>
      </c>
      <c r="C876" s="196" t="s">
        <v>7</v>
      </c>
      <c r="D876" s="197">
        <v>29.93</v>
      </c>
    </row>
    <row r="877" spans="1:4" ht="28.5">
      <c r="A877" s="201">
        <v>49505</v>
      </c>
      <c r="B877" s="201" t="s">
        <v>1546</v>
      </c>
      <c r="C877" s="196" t="s">
        <v>7</v>
      </c>
      <c r="D877" s="197">
        <v>2.77</v>
      </c>
    </row>
    <row r="878" spans="1:4" ht="14.25">
      <c r="A878" s="201">
        <v>49507</v>
      </c>
      <c r="B878" s="201" t="s">
        <v>1547</v>
      </c>
      <c r="C878" s="196" t="s">
        <v>7</v>
      </c>
      <c r="D878" s="197">
        <v>4.16</v>
      </c>
    </row>
    <row r="879" spans="1:4" ht="28.5">
      <c r="A879" s="201">
        <v>49510</v>
      </c>
      <c r="B879" s="201" t="s">
        <v>1548</v>
      </c>
      <c r="C879" s="196" t="s">
        <v>7</v>
      </c>
      <c r="D879" s="197">
        <v>801</v>
      </c>
    </row>
    <row r="880" spans="1:4" ht="14.25">
      <c r="A880" s="201">
        <v>49514</v>
      </c>
      <c r="B880" s="201" t="s">
        <v>1549</v>
      </c>
      <c r="C880" s="196" t="s">
        <v>7</v>
      </c>
      <c r="D880" s="197">
        <v>21.01</v>
      </c>
    </row>
    <row r="881" spans="1:4" ht="28.5">
      <c r="A881" s="201">
        <v>49521</v>
      </c>
      <c r="B881" s="201" t="s">
        <v>12565</v>
      </c>
      <c r="C881" s="196" t="s">
        <v>7</v>
      </c>
      <c r="D881" s="197">
        <v>11.57</v>
      </c>
    </row>
    <row r="882" spans="1:4" ht="28.5">
      <c r="A882" s="201">
        <v>49524</v>
      </c>
      <c r="B882" s="201" t="s">
        <v>1550</v>
      </c>
      <c r="C882" s="196" t="s">
        <v>6</v>
      </c>
      <c r="D882" s="197">
        <v>20.02</v>
      </c>
    </row>
    <row r="883" spans="1:4" ht="14.25">
      <c r="A883" s="201">
        <v>49537</v>
      </c>
      <c r="B883" s="201" t="s">
        <v>15037</v>
      </c>
      <c r="C883" s="196" t="s">
        <v>7</v>
      </c>
      <c r="D883" s="197">
        <v>25.43</v>
      </c>
    </row>
    <row r="884" spans="1:4" ht="14.25">
      <c r="A884" s="201">
        <v>49565</v>
      </c>
      <c r="B884" s="201" t="s">
        <v>12566</v>
      </c>
      <c r="C884" s="196" t="s">
        <v>7</v>
      </c>
      <c r="D884" s="197">
        <v>21.71</v>
      </c>
    </row>
    <row r="885" spans="1:4" ht="14.25">
      <c r="A885" s="201">
        <v>49566</v>
      </c>
      <c r="B885" s="201" t="s">
        <v>1551</v>
      </c>
      <c r="C885" s="196" t="s">
        <v>7</v>
      </c>
      <c r="D885" s="197">
        <v>4.68</v>
      </c>
    </row>
    <row r="886" spans="1:4" ht="14.25">
      <c r="A886" s="201">
        <v>49568</v>
      </c>
      <c r="B886" s="201" t="s">
        <v>1552</v>
      </c>
      <c r="C886" s="196" t="s">
        <v>7</v>
      </c>
      <c r="D886" s="197">
        <v>8.68</v>
      </c>
    </row>
    <row r="887" spans="1:4" ht="14.25">
      <c r="A887" s="201">
        <v>49570</v>
      </c>
      <c r="B887" s="201" t="s">
        <v>1553</v>
      </c>
      <c r="C887" s="196" t="s">
        <v>7</v>
      </c>
      <c r="D887" s="197">
        <v>8.2100000000000009</v>
      </c>
    </row>
    <row r="888" spans="1:4" ht="15">
      <c r="A888" s="200">
        <v>496</v>
      </c>
      <c r="B888" s="333" t="s">
        <v>1129</v>
      </c>
      <c r="C888" s="334"/>
      <c r="D888" s="334"/>
    </row>
    <row r="889" spans="1:4" ht="28.5">
      <c r="A889" s="201">
        <v>49606</v>
      </c>
      <c r="B889" s="201" t="s">
        <v>1554</v>
      </c>
      <c r="C889" s="196" t="s">
        <v>6</v>
      </c>
      <c r="D889" s="197">
        <v>12.9</v>
      </c>
    </row>
    <row r="890" spans="1:4" ht="28.5">
      <c r="A890" s="201">
        <v>49626</v>
      </c>
      <c r="B890" s="201" t="s">
        <v>15038</v>
      </c>
      <c r="C890" s="196" t="s">
        <v>7</v>
      </c>
      <c r="D890" s="197">
        <v>3.91</v>
      </c>
    </row>
    <row r="891" spans="1:4" ht="14.25">
      <c r="A891" s="201">
        <v>49633</v>
      </c>
      <c r="B891" s="201" t="s">
        <v>15039</v>
      </c>
      <c r="C891" s="196" t="s">
        <v>7</v>
      </c>
      <c r="D891" s="197">
        <v>1.69</v>
      </c>
    </row>
    <row r="892" spans="1:4" ht="14.25">
      <c r="A892" s="201">
        <v>49645</v>
      </c>
      <c r="B892" s="201" t="s">
        <v>1555</v>
      </c>
      <c r="C892" s="196" t="s">
        <v>7</v>
      </c>
      <c r="D892" s="197">
        <v>471.33</v>
      </c>
    </row>
    <row r="893" spans="1:4" ht="28.5">
      <c r="A893" s="201">
        <v>49654</v>
      </c>
      <c r="B893" s="201" t="s">
        <v>1556</v>
      </c>
      <c r="C893" s="196" t="s">
        <v>7</v>
      </c>
      <c r="D893" s="197">
        <v>38.479999999999997</v>
      </c>
    </row>
    <row r="894" spans="1:4" ht="28.5">
      <c r="A894" s="201">
        <v>49666</v>
      </c>
      <c r="B894" s="201" t="s">
        <v>1557</v>
      </c>
      <c r="C894" s="196" t="s">
        <v>6</v>
      </c>
      <c r="D894" s="197">
        <v>16.600000000000001</v>
      </c>
    </row>
    <row r="895" spans="1:4" ht="14.25">
      <c r="A895" s="201">
        <v>49674</v>
      </c>
      <c r="B895" s="201" t="s">
        <v>12567</v>
      </c>
      <c r="C895" s="196" t="s">
        <v>7</v>
      </c>
      <c r="D895" s="197">
        <v>38.049999999999997</v>
      </c>
    </row>
    <row r="896" spans="1:4" ht="14.25">
      <c r="A896" s="201">
        <v>49679</v>
      </c>
      <c r="B896" s="201" t="s">
        <v>15040</v>
      </c>
      <c r="C896" s="196" t="s">
        <v>7</v>
      </c>
      <c r="D896" s="197">
        <v>35.97</v>
      </c>
    </row>
    <row r="897" spans="1:4" ht="14.25">
      <c r="A897" s="201">
        <v>49681</v>
      </c>
      <c r="B897" s="201" t="s">
        <v>1558</v>
      </c>
      <c r="C897" s="196" t="s">
        <v>7</v>
      </c>
      <c r="D897" s="197">
        <v>5.04</v>
      </c>
    </row>
    <row r="898" spans="1:4" ht="14.25">
      <c r="A898" s="201">
        <v>49686</v>
      </c>
      <c r="B898" s="201" t="s">
        <v>1559</v>
      </c>
      <c r="C898" s="196" t="s">
        <v>7</v>
      </c>
      <c r="D898" s="197">
        <v>70.39</v>
      </c>
    </row>
    <row r="899" spans="1:4" ht="28.5">
      <c r="A899" s="201">
        <v>49694</v>
      </c>
      <c r="B899" s="201" t="s">
        <v>1560</v>
      </c>
      <c r="C899" s="196" t="s">
        <v>7</v>
      </c>
      <c r="D899" s="197">
        <v>33.299999999999997</v>
      </c>
    </row>
    <row r="900" spans="1:4" ht="14.25">
      <c r="A900" s="201">
        <v>49695</v>
      </c>
      <c r="B900" s="201" t="s">
        <v>1561</v>
      </c>
      <c r="C900" s="196" t="s">
        <v>7</v>
      </c>
      <c r="D900" s="197">
        <v>69.180000000000007</v>
      </c>
    </row>
    <row r="901" spans="1:4" ht="14.25">
      <c r="A901" s="201">
        <v>49696</v>
      </c>
      <c r="B901" s="201" t="s">
        <v>1562</v>
      </c>
      <c r="C901" s="196" t="s">
        <v>7</v>
      </c>
      <c r="D901" s="197">
        <v>94.26</v>
      </c>
    </row>
    <row r="902" spans="1:4" ht="15">
      <c r="A902" s="200">
        <v>497</v>
      </c>
      <c r="B902" s="333" t="s">
        <v>1120</v>
      </c>
      <c r="C902" s="334"/>
      <c r="D902" s="334"/>
    </row>
    <row r="903" spans="1:4" ht="14.25">
      <c r="A903" s="201">
        <v>49709</v>
      </c>
      <c r="B903" s="201" t="s">
        <v>15041</v>
      </c>
      <c r="C903" s="196" t="s">
        <v>7</v>
      </c>
      <c r="D903" s="197">
        <v>10.38</v>
      </c>
    </row>
    <row r="904" spans="1:4" ht="28.5">
      <c r="A904" s="201">
        <v>49729</v>
      </c>
      <c r="B904" s="201" t="s">
        <v>15042</v>
      </c>
      <c r="C904" s="196" t="s">
        <v>6</v>
      </c>
      <c r="D904" s="197">
        <v>125.18</v>
      </c>
    </row>
    <row r="905" spans="1:4" ht="28.5">
      <c r="A905" s="201">
        <v>49774</v>
      </c>
      <c r="B905" s="201" t="s">
        <v>1563</v>
      </c>
      <c r="C905" s="196" t="s">
        <v>7</v>
      </c>
      <c r="D905" s="197">
        <v>34.14</v>
      </c>
    </row>
    <row r="906" spans="1:4" ht="28.5">
      <c r="A906" s="201">
        <v>49791</v>
      </c>
      <c r="B906" s="201" t="s">
        <v>1564</v>
      </c>
      <c r="C906" s="196" t="s">
        <v>7</v>
      </c>
      <c r="D906" s="197">
        <v>14.74</v>
      </c>
    </row>
    <row r="907" spans="1:4" ht="15">
      <c r="A907" s="200">
        <v>498</v>
      </c>
      <c r="B907" s="333" t="s">
        <v>1277</v>
      </c>
      <c r="C907" s="334"/>
      <c r="D907" s="334"/>
    </row>
    <row r="908" spans="1:4" ht="14.25">
      <c r="A908" s="201">
        <v>49803</v>
      </c>
      <c r="B908" s="201" t="s">
        <v>1565</v>
      </c>
      <c r="C908" s="196" t="s">
        <v>7</v>
      </c>
      <c r="D908" s="197">
        <v>4.68</v>
      </c>
    </row>
    <row r="909" spans="1:4" ht="14.25">
      <c r="A909" s="201">
        <v>49804</v>
      </c>
      <c r="B909" s="201" t="s">
        <v>1566</v>
      </c>
      <c r="C909" s="196" t="s">
        <v>7</v>
      </c>
      <c r="D909" s="197">
        <v>5.04</v>
      </c>
    </row>
    <row r="910" spans="1:4" ht="14.25">
      <c r="A910" s="201">
        <v>49805</v>
      </c>
      <c r="B910" s="201" t="s">
        <v>1567</v>
      </c>
      <c r="C910" s="196" t="s">
        <v>7</v>
      </c>
      <c r="D910" s="197">
        <v>9.32</v>
      </c>
    </row>
    <row r="911" spans="1:4" ht="14.25">
      <c r="A911" s="201">
        <v>49806</v>
      </c>
      <c r="B911" s="201" t="s">
        <v>1568</v>
      </c>
      <c r="C911" s="196" t="s">
        <v>7</v>
      </c>
      <c r="D911" s="197">
        <v>10.51</v>
      </c>
    </row>
    <row r="912" spans="1:4" ht="14.25">
      <c r="A912" s="201">
        <v>49807</v>
      </c>
      <c r="B912" s="201" t="s">
        <v>1569</v>
      </c>
      <c r="C912" s="196" t="s">
        <v>7</v>
      </c>
      <c r="D912" s="197">
        <v>17.66</v>
      </c>
    </row>
    <row r="913" spans="1:4" ht="14.25">
      <c r="A913" s="201">
        <v>49809</v>
      </c>
      <c r="B913" s="201" t="s">
        <v>1570</v>
      </c>
      <c r="C913" s="196" t="s">
        <v>7</v>
      </c>
      <c r="D913" s="197">
        <v>23.35</v>
      </c>
    </row>
    <row r="914" spans="1:4" ht="14.25">
      <c r="A914" s="201">
        <v>49811</v>
      </c>
      <c r="B914" s="201" t="s">
        <v>1571</v>
      </c>
      <c r="C914" s="196" t="s">
        <v>7</v>
      </c>
      <c r="D914" s="197">
        <v>33.799999999999997</v>
      </c>
    </row>
    <row r="915" spans="1:4" ht="14.25">
      <c r="A915" s="201">
        <v>49812</v>
      </c>
      <c r="B915" s="201" t="s">
        <v>1572</v>
      </c>
      <c r="C915" s="196" t="s">
        <v>7</v>
      </c>
      <c r="D915" s="197">
        <v>242.42</v>
      </c>
    </row>
    <row r="916" spans="1:4" ht="14.25">
      <c r="A916" s="201">
        <v>49818</v>
      </c>
      <c r="B916" s="201" t="s">
        <v>1573</v>
      </c>
      <c r="C916" s="196" t="s">
        <v>7</v>
      </c>
      <c r="D916" s="197">
        <v>2.08</v>
      </c>
    </row>
    <row r="917" spans="1:4" ht="28.5">
      <c r="A917" s="201">
        <v>49860</v>
      </c>
      <c r="B917" s="201" t="s">
        <v>1574</v>
      </c>
      <c r="C917" s="196" t="s">
        <v>7</v>
      </c>
      <c r="D917" s="197">
        <v>107.47</v>
      </c>
    </row>
    <row r="918" spans="1:4" ht="28.5">
      <c r="A918" s="201">
        <v>49861</v>
      </c>
      <c r="B918" s="201" t="s">
        <v>15043</v>
      </c>
      <c r="C918" s="196" t="s">
        <v>7</v>
      </c>
      <c r="D918" s="197">
        <v>5.61</v>
      </c>
    </row>
    <row r="919" spans="1:4" ht="14.25">
      <c r="A919" s="201">
        <v>49897</v>
      </c>
      <c r="B919" s="201" t="s">
        <v>1575</v>
      </c>
      <c r="C919" s="196" t="s">
        <v>7</v>
      </c>
      <c r="D919" s="197">
        <v>61.92</v>
      </c>
    </row>
    <row r="920" spans="1:4" ht="15">
      <c r="A920" s="200">
        <v>499</v>
      </c>
      <c r="B920" s="333" t="s">
        <v>1576</v>
      </c>
      <c r="C920" s="334"/>
      <c r="D920" s="334"/>
    </row>
    <row r="921" spans="1:4" ht="28.5">
      <c r="A921" s="201">
        <v>49905</v>
      </c>
      <c r="B921" s="201" t="s">
        <v>1577</v>
      </c>
      <c r="C921" s="196" t="s">
        <v>7</v>
      </c>
      <c r="D921" s="197">
        <v>238.89</v>
      </c>
    </row>
    <row r="922" spans="1:4" ht="14.25">
      <c r="A922" s="201">
        <v>49959</v>
      </c>
      <c r="B922" s="201" t="s">
        <v>1578</v>
      </c>
      <c r="C922" s="196" t="s">
        <v>7</v>
      </c>
      <c r="D922" s="197">
        <v>296.79000000000002</v>
      </c>
    </row>
    <row r="923" spans="1:4" ht="42.75">
      <c r="A923" s="201">
        <v>49967</v>
      </c>
      <c r="B923" s="201" t="s">
        <v>18956</v>
      </c>
      <c r="C923" s="196" t="s">
        <v>18957</v>
      </c>
      <c r="D923" s="197">
        <v>0.87</v>
      </c>
    </row>
    <row r="924" spans="1:4" ht="15">
      <c r="A924" s="200">
        <v>5</v>
      </c>
      <c r="B924" s="333" t="s">
        <v>1579</v>
      </c>
      <c r="C924" s="334"/>
      <c r="D924" s="334"/>
    </row>
    <row r="925" spans="1:4" ht="15">
      <c r="A925" s="200">
        <v>501</v>
      </c>
      <c r="B925" s="333" t="s">
        <v>1580</v>
      </c>
      <c r="C925" s="334"/>
      <c r="D925" s="334"/>
    </row>
    <row r="926" spans="1:4" ht="14.25">
      <c r="A926" s="201">
        <v>50105</v>
      </c>
      <c r="B926" s="201" t="s">
        <v>15044</v>
      </c>
      <c r="C926" s="196" t="s">
        <v>7</v>
      </c>
      <c r="D926" s="197">
        <v>37.86</v>
      </c>
    </row>
    <row r="927" spans="1:4" ht="14.25">
      <c r="A927" s="201">
        <v>50126</v>
      </c>
      <c r="B927" s="201" t="s">
        <v>15045</v>
      </c>
      <c r="C927" s="196" t="s">
        <v>7</v>
      </c>
      <c r="D927" s="197">
        <v>24.66</v>
      </c>
    </row>
    <row r="928" spans="1:4" ht="28.5">
      <c r="A928" s="201">
        <v>50128</v>
      </c>
      <c r="B928" s="201" t="s">
        <v>15046</v>
      </c>
      <c r="C928" s="196" t="s">
        <v>7</v>
      </c>
      <c r="D928" s="197">
        <v>0.86</v>
      </c>
    </row>
    <row r="929" spans="1:4" ht="14.25">
      <c r="A929" s="201">
        <v>50161</v>
      </c>
      <c r="B929" s="201" t="s">
        <v>15047</v>
      </c>
      <c r="C929" s="196" t="s">
        <v>6</v>
      </c>
      <c r="D929" s="197">
        <v>82.32</v>
      </c>
    </row>
    <row r="930" spans="1:4" ht="14.25">
      <c r="A930" s="201">
        <v>50163</v>
      </c>
      <c r="B930" s="201" t="s">
        <v>1581</v>
      </c>
      <c r="C930" s="196" t="s">
        <v>7</v>
      </c>
      <c r="D930" s="197">
        <v>4.04</v>
      </c>
    </row>
    <row r="931" spans="1:4" ht="14.25">
      <c r="A931" s="201">
        <v>50164</v>
      </c>
      <c r="B931" s="201" t="s">
        <v>1582</v>
      </c>
      <c r="C931" s="196" t="s">
        <v>7</v>
      </c>
      <c r="D931" s="197">
        <v>11.08</v>
      </c>
    </row>
    <row r="932" spans="1:4" ht="14.25">
      <c r="A932" s="201">
        <v>50167</v>
      </c>
      <c r="B932" s="201" t="s">
        <v>15048</v>
      </c>
      <c r="C932" s="196" t="s">
        <v>7</v>
      </c>
      <c r="D932" s="197">
        <v>48.25</v>
      </c>
    </row>
    <row r="933" spans="1:4" ht="14.25">
      <c r="A933" s="201">
        <v>50187</v>
      </c>
      <c r="B933" s="201" t="s">
        <v>15049</v>
      </c>
      <c r="C933" s="196" t="s">
        <v>6</v>
      </c>
      <c r="D933" s="197">
        <v>32.31</v>
      </c>
    </row>
    <row r="934" spans="1:4" ht="14.25">
      <c r="A934" s="201">
        <v>50188</v>
      </c>
      <c r="B934" s="201" t="s">
        <v>15050</v>
      </c>
      <c r="C934" s="196" t="s">
        <v>7</v>
      </c>
      <c r="D934" s="197">
        <v>44.25</v>
      </c>
    </row>
    <row r="935" spans="1:4" ht="15">
      <c r="A935" s="200">
        <v>510</v>
      </c>
      <c r="B935" s="333" t="s">
        <v>1583</v>
      </c>
      <c r="C935" s="334"/>
      <c r="D935" s="334"/>
    </row>
    <row r="936" spans="1:4" ht="14.25">
      <c r="A936" s="201">
        <v>51008</v>
      </c>
      <c r="B936" s="201" t="s">
        <v>1584</v>
      </c>
      <c r="C936" s="196" t="s">
        <v>7</v>
      </c>
      <c r="D936" s="197">
        <v>12.35</v>
      </c>
    </row>
    <row r="937" spans="1:4" ht="14.25">
      <c r="A937" s="201">
        <v>51015</v>
      </c>
      <c r="B937" s="201" t="s">
        <v>1585</v>
      </c>
      <c r="C937" s="196" t="s">
        <v>7</v>
      </c>
      <c r="D937" s="197">
        <v>57.15</v>
      </c>
    </row>
    <row r="938" spans="1:4" ht="14.25">
      <c r="A938" s="201">
        <v>51016</v>
      </c>
      <c r="B938" s="201" t="s">
        <v>1586</v>
      </c>
      <c r="C938" s="196" t="s">
        <v>7</v>
      </c>
      <c r="D938" s="197">
        <v>36.11</v>
      </c>
    </row>
    <row r="939" spans="1:4" ht="28.5">
      <c r="A939" s="201">
        <v>51033</v>
      </c>
      <c r="B939" s="201" t="s">
        <v>15051</v>
      </c>
      <c r="C939" s="196" t="s">
        <v>7</v>
      </c>
      <c r="D939" s="197">
        <v>27</v>
      </c>
    </row>
    <row r="940" spans="1:4" ht="28.5">
      <c r="A940" s="201">
        <v>51046</v>
      </c>
      <c r="B940" s="201" t="s">
        <v>15052</v>
      </c>
      <c r="C940" s="196" t="s">
        <v>7</v>
      </c>
      <c r="D940" s="197">
        <v>21.05</v>
      </c>
    </row>
    <row r="941" spans="1:4" ht="14.25">
      <c r="A941" s="201">
        <v>51048</v>
      </c>
      <c r="B941" s="201" t="s">
        <v>15053</v>
      </c>
      <c r="C941" s="196" t="s">
        <v>7</v>
      </c>
      <c r="D941" s="197">
        <v>13.97</v>
      </c>
    </row>
    <row r="942" spans="1:4" ht="14.25">
      <c r="A942" s="201">
        <v>51053</v>
      </c>
      <c r="B942" s="201" t="s">
        <v>15054</v>
      </c>
      <c r="C942" s="196" t="s">
        <v>7</v>
      </c>
      <c r="D942" s="197">
        <v>90.97</v>
      </c>
    </row>
    <row r="943" spans="1:4" ht="14.25">
      <c r="A943" s="201">
        <v>51054</v>
      </c>
      <c r="B943" s="201" t="s">
        <v>15055</v>
      </c>
      <c r="C943" s="196" t="s">
        <v>7</v>
      </c>
      <c r="D943" s="197">
        <v>100.47</v>
      </c>
    </row>
    <row r="944" spans="1:4" ht="15">
      <c r="A944" s="200">
        <v>520</v>
      </c>
      <c r="B944" s="333" t="s">
        <v>15056</v>
      </c>
      <c r="C944" s="334"/>
      <c r="D944" s="334"/>
    </row>
    <row r="945" spans="1:4" ht="28.5">
      <c r="A945" s="201">
        <v>52004</v>
      </c>
      <c r="B945" s="201" t="s">
        <v>15057</v>
      </c>
      <c r="C945" s="196" t="s">
        <v>7</v>
      </c>
      <c r="D945" s="197">
        <v>339.93</v>
      </c>
    </row>
    <row r="946" spans="1:4" ht="14.25">
      <c r="A946" s="201">
        <v>52011</v>
      </c>
      <c r="B946" s="201" t="s">
        <v>15058</v>
      </c>
      <c r="C946" s="196" t="s">
        <v>7</v>
      </c>
      <c r="D946" s="197">
        <v>300.26</v>
      </c>
    </row>
    <row r="947" spans="1:4" ht="71.25">
      <c r="A947" s="201">
        <v>52017</v>
      </c>
      <c r="B947" s="201" t="s">
        <v>15059</v>
      </c>
      <c r="C947" s="196" t="s">
        <v>7</v>
      </c>
      <c r="D947" s="199">
        <v>1730.64</v>
      </c>
    </row>
    <row r="948" spans="1:4" ht="14.25">
      <c r="A948" s="201">
        <v>52030</v>
      </c>
      <c r="B948" s="201" t="s">
        <v>15060</v>
      </c>
      <c r="C948" s="196" t="s">
        <v>7</v>
      </c>
      <c r="D948" s="197">
        <v>55.08</v>
      </c>
    </row>
    <row r="949" spans="1:4" ht="57">
      <c r="A949" s="201">
        <v>52031</v>
      </c>
      <c r="B949" s="201" t="s">
        <v>15061</v>
      </c>
      <c r="C949" s="196" t="s">
        <v>7</v>
      </c>
      <c r="D949" s="197">
        <v>531.39</v>
      </c>
    </row>
    <row r="950" spans="1:4" ht="42.75">
      <c r="A950" s="201">
        <v>52035</v>
      </c>
      <c r="B950" s="201" t="s">
        <v>18958</v>
      </c>
      <c r="C950" s="196" t="s">
        <v>7</v>
      </c>
      <c r="D950" s="197">
        <v>707.6</v>
      </c>
    </row>
    <row r="951" spans="1:4" ht="42.75">
      <c r="A951" s="201">
        <v>52036</v>
      </c>
      <c r="B951" s="201" t="s">
        <v>15062</v>
      </c>
      <c r="C951" s="196" t="s">
        <v>7</v>
      </c>
      <c r="D951" s="197">
        <v>613.51</v>
      </c>
    </row>
    <row r="952" spans="1:4" ht="42.75">
      <c r="A952" s="201">
        <v>52041</v>
      </c>
      <c r="B952" s="201" t="s">
        <v>15063</v>
      </c>
      <c r="C952" s="196" t="s">
        <v>7</v>
      </c>
      <c r="D952" s="197">
        <v>339.93</v>
      </c>
    </row>
    <row r="953" spans="1:4" ht="14.25">
      <c r="A953" s="201">
        <v>52053</v>
      </c>
      <c r="B953" s="201" t="s">
        <v>19094</v>
      </c>
      <c r="C953" s="196" t="s">
        <v>7</v>
      </c>
      <c r="D953" s="197">
        <v>69.63</v>
      </c>
    </row>
    <row r="954" spans="1:4" ht="57">
      <c r="A954" s="201">
        <v>52076</v>
      </c>
      <c r="B954" s="201" t="s">
        <v>15064</v>
      </c>
      <c r="C954" s="196" t="s">
        <v>7</v>
      </c>
      <c r="D954" s="197">
        <v>473.48</v>
      </c>
    </row>
    <row r="955" spans="1:4" ht="14.25">
      <c r="A955" s="201">
        <v>52078</v>
      </c>
      <c r="B955" s="201" t="s">
        <v>15065</v>
      </c>
      <c r="C955" s="196" t="s">
        <v>7</v>
      </c>
      <c r="D955" s="197">
        <v>473.34</v>
      </c>
    </row>
    <row r="956" spans="1:4" ht="15">
      <c r="A956" s="200">
        <v>521</v>
      </c>
      <c r="B956" s="333" t="s">
        <v>15066</v>
      </c>
      <c r="C956" s="334"/>
      <c r="D956" s="334"/>
    </row>
    <row r="957" spans="1:4" ht="14.25">
      <c r="A957" s="201">
        <v>52103</v>
      </c>
      <c r="B957" s="201" t="s">
        <v>15067</v>
      </c>
      <c r="C957" s="196" t="s">
        <v>7</v>
      </c>
      <c r="D957" s="199">
        <v>3819.48</v>
      </c>
    </row>
    <row r="958" spans="1:4" ht="28.5">
      <c r="A958" s="201">
        <v>52118</v>
      </c>
      <c r="B958" s="201" t="s">
        <v>15068</v>
      </c>
      <c r="C958" s="196" t="s">
        <v>7</v>
      </c>
      <c r="D958" s="199">
        <v>2466.17</v>
      </c>
    </row>
    <row r="959" spans="1:4" ht="57">
      <c r="A959" s="201">
        <v>52121</v>
      </c>
      <c r="B959" s="201" t="s">
        <v>15069</v>
      </c>
      <c r="C959" s="196" t="s">
        <v>7</v>
      </c>
      <c r="D959" s="197">
        <v>698.83</v>
      </c>
    </row>
    <row r="960" spans="1:4" ht="14.25">
      <c r="A960" s="201">
        <v>52123</v>
      </c>
      <c r="B960" s="201" t="s">
        <v>15070</v>
      </c>
      <c r="C960" s="196" t="s">
        <v>7</v>
      </c>
      <c r="D960" s="199">
        <v>1009.93</v>
      </c>
    </row>
    <row r="961" spans="1:4" ht="71.25">
      <c r="A961" s="201">
        <v>52125</v>
      </c>
      <c r="B961" s="201" t="s">
        <v>15071</v>
      </c>
      <c r="C961" s="196" t="s">
        <v>7</v>
      </c>
      <c r="D961" s="199">
        <v>2184.7600000000002</v>
      </c>
    </row>
    <row r="962" spans="1:4" ht="42.75">
      <c r="A962" s="201">
        <v>52126</v>
      </c>
      <c r="B962" s="201" t="s">
        <v>15072</v>
      </c>
      <c r="C962" s="196" t="s">
        <v>7</v>
      </c>
      <c r="D962" s="197">
        <v>639.66999999999996</v>
      </c>
    </row>
    <row r="963" spans="1:4" ht="71.25">
      <c r="A963" s="201">
        <v>52132</v>
      </c>
      <c r="B963" s="201" t="s">
        <v>15073</v>
      </c>
      <c r="C963" s="196" t="s">
        <v>7</v>
      </c>
      <c r="D963" s="199">
        <v>2018.5</v>
      </c>
    </row>
    <row r="964" spans="1:4" ht="57">
      <c r="A964" s="201">
        <v>52150</v>
      </c>
      <c r="B964" s="201" t="s">
        <v>15074</v>
      </c>
      <c r="C964" s="196" t="s">
        <v>7</v>
      </c>
      <c r="D964" s="197">
        <v>773.29</v>
      </c>
    </row>
    <row r="965" spans="1:4" ht="71.25">
      <c r="A965" s="201">
        <v>52164</v>
      </c>
      <c r="B965" s="201" t="s">
        <v>15075</v>
      </c>
      <c r="C965" s="196" t="s">
        <v>7</v>
      </c>
      <c r="D965" s="199">
        <v>2459.41</v>
      </c>
    </row>
    <row r="966" spans="1:4" ht="15">
      <c r="A966" s="200">
        <v>540</v>
      </c>
      <c r="B966" s="333" t="s">
        <v>1120</v>
      </c>
      <c r="C966" s="334"/>
      <c r="D966" s="334"/>
    </row>
    <row r="967" spans="1:4" ht="28.5">
      <c r="A967" s="201">
        <v>54003</v>
      </c>
      <c r="B967" s="201" t="s">
        <v>1587</v>
      </c>
      <c r="C967" s="196" t="s">
        <v>7</v>
      </c>
      <c r="D967" s="197">
        <v>4.0199999999999996</v>
      </c>
    </row>
    <row r="968" spans="1:4" ht="28.5">
      <c r="A968" s="201">
        <v>54010</v>
      </c>
      <c r="B968" s="201" t="s">
        <v>1588</v>
      </c>
      <c r="C968" s="196" t="s">
        <v>7</v>
      </c>
      <c r="D968" s="197">
        <v>28.48</v>
      </c>
    </row>
    <row r="969" spans="1:4" ht="14.25">
      <c r="A969" s="201">
        <v>54024</v>
      </c>
      <c r="B969" s="201" t="s">
        <v>19095</v>
      </c>
      <c r="C969" s="196" t="s">
        <v>7</v>
      </c>
      <c r="D969" s="197">
        <v>201.24</v>
      </c>
    </row>
    <row r="970" spans="1:4" ht="14.25">
      <c r="A970" s="201">
        <v>54025</v>
      </c>
      <c r="B970" s="201" t="s">
        <v>19096</v>
      </c>
      <c r="C970" s="196" t="s">
        <v>7</v>
      </c>
      <c r="D970" s="197">
        <v>242.72</v>
      </c>
    </row>
    <row r="971" spans="1:4" ht="14.25">
      <c r="A971" s="201">
        <v>54062</v>
      </c>
      <c r="B971" s="201" t="s">
        <v>15076</v>
      </c>
      <c r="C971" s="196" t="s">
        <v>7</v>
      </c>
      <c r="D971" s="197">
        <v>105.95</v>
      </c>
    </row>
    <row r="972" spans="1:4" ht="14.25">
      <c r="A972" s="201">
        <v>54063</v>
      </c>
      <c r="B972" s="201" t="s">
        <v>15077</v>
      </c>
      <c r="C972" s="196" t="s">
        <v>7</v>
      </c>
      <c r="D972" s="197">
        <v>284.8</v>
      </c>
    </row>
    <row r="973" spans="1:4" ht="28.5">
      <c r="A973" s="201">
        <v>54090</v>
      </c>
      <c r="B973" s="201" t="s">
        <v>15078</v>
      </c>
      <c r="C973" s="196" t="s">
        <v>7</v>
      </c>
      <c r="D973" s="199">
        <v>4982.05</v>
      </c>
    </row>
    <row r="974" spans="1:4" ht="15">
      <c r="A974" s="200">
        <v>6</v>
      </c>
      <c r="B974" s="333" t="s">
        <v>1589</v>
      </c>
      <c r="C974" s="334"/>
      <c r="D974" s="334"/>
    </row>
    <row r="975" spans="1:4" ht="15">
      <c r="A975" s="200">
        <v>601</v>
      </c>
      <c r="B975" s="333" t="s">
        <v>1590</v>
      </c>
      <c r="C975" s="334"/>
      <c r="D975" s="334"/>
    </row>
    <row r="976" spans="1:4" ht="28.5">
      <c r="A976" s="201">
        <v>60101</v>
      </c>
      <c r="B976" s="201" t="s">
        <v>15079</v>
      </c>
      <c r="C976" s="196" t="s">
        <v>6</v>
      </c>
      <c r="D976" s="197">
        <v>84.77</v>
      </c>
    </row>
    <row r="977" spans="1:4" ht="28.5">
      <c r="A977" s="201">
        <v>60104</v>
      </c>
      <c r="B977" s="201" t="s">
        <v>15080</v>
      </c>
      <c r="C977" s="196" t="s">
        <v>6</v>
      </c>
      <c r="D977" s="197">
        <v>63.84</v>
      </c>
    </row>
    <row r="978" spans="1:4" ht="15">
      <c r="A978" s="200">
        <v>602</v>
      </c>
      <c r="B978" s="333" t="s">
        <v>1591</v>
      </c>
      <c r="C978" s="334"/>
      <c r="D978" s="334"/>
    </row>
    <row r="979" spans="1:4" ht="14.25">
      <c r="A979" s="201">
        <v>60241</v>
      </c>
      <c r="B979" s="201" t="s">
        <v>1592</v>
      </c>
      <c r="C979" s="196" t="s">
        <v>7</v>
      </c>
      <c r="D979" s="197">
        <v>31.09</v>
      </c>
    </row>
    <row r="980" spans="1:4" ht="14.25">
      <c r="A980" s="201">
        <v>60242</v>
      </c>
      <c r="B980" s="201" t="s">
        <v>1593</v>
      </c>
      <c r="C980" s="196" t="s">
        <v>7</v>
      </c>
      <c r="D980" s="197">
        <v>52.71</v>
      </c>
    </row>
    <row r="981" spans="1:4" ht="14.25">
      <c r="A981" s="201">
        <v>60243</v>
      </c>
      <c r="B981" s="201" t="s">
        <v>1594</v>
      </c>
      <c r="C981" s="196" t="s">
        <v>7</v>
      </c>
      <c r="D981" s="197">
        <v>106.42</v>
      </c>
    </row>
    <row r="982" spans="1:4" ht="15">
      <c r="A982" s="200">
        <v>604</v>
      </c>
      <c r="B982" s="333" t="s">
        <v>1595</v>
      </c>
      <c r="C982" s="334"/>
      <c r="D982" s="334"/>
    </row>
    <row r="983" spans="1:4" ht="14.25">
      <c r="A983" s="201">
        <v>60406</v>
      </c>
      <c r="B983" s="201" t="s">
        <v>1596</v>
      </c>
      <c r="C983" s="196" t="s">
        <v>7</v>
      </c>
      <c r="D983" s="197">
        <v>162.44</v>
      </c>
    </row>
    <row r="984" spans="1:4" ht="14.25">
      <c r="A984" s="201">
        <v>60443</v>
      </c>
      <c r="B984" s="201" t="s">
        <v>1597</v>
      </c>
      <c r="C984" s="196" t="s">
        <v>7</v>
      </c>
      <c r="D984" s="197">
        <v>41</v>
      </c>
    </row>
    <row r="985" spans="1:4" ht="15">
      <c r="A985" s="200">
        <v>605</v>
      </c>
      <c r="B985" s="333" t="s">
        <v>1595</v>
      </c>
      <c r="C985" s="334"/>
      <c r="D985" s="334"/>
    </row>
    <row r="986" spans="1:4" ht="28.5">
      <c r="A986" s="201">
        <v>60501</v>
      </c>
      <c r="B986" s="201" t="s">
        <v>1598</v>
      </c>
      <c r="C986" s="196" t="s">
        <v>6</v>
      </c>
      <c r="D986" s="197">
        <v>19.86</v>
      </c>
    </row>
    <row r="987" spans="1:4" ht="28.5">
      <c r="A987" s="201">
        <v>60502</v>
      </c>
      <c r="B987" s="201" t="s">
        <v>1599</v>
      </c>
      <c r="C987" s="196" t="s">
        <v>6</v>
      </c>
      <c r="D987" s="197">
        <v>25.26</v>
      </c>
    </row>
    <row r="988" spans="1:4" ht="14.25">
      <c r="A988" s="201">
        <v>60503</v>
      </c>
      <c r="B988" s="201" t="s">
        <v>1600</v>
      </c>
      <c r="C988" s="196" t="s">
        <v>6</v>
      </c>
      <c r="D988" s="197">
        <v>29.66</v>
      </c>
    </row>
    <row r="989" spans="1:4" ht="28.5">
      <c r="A989" s="201">
        <v>60504</v>
      </c>
      <c r="B989" s="201" t="s">
        <v>1601</v>
      </c>
      <c r="C989" s="196" t="s">
        <v>6</v>
      </c>
      <c r="D989" s="197">
        <v>37.840000000000003</v>
      </c>
    </row>
    <row r="990" spans="1:4" ht="28.5">
      <c r="A990" s="201">
        <v>60505</v>
      </c>
      <c r="B990" s="201" t="s">
        <v>1602</v>
      </c>
      <c r="C990" s="196" t="s">
        <v>6</v>
      </c>
      <c r="D990" s="197">
        <v>48.38</v>
      </c>
    </row>
    <row r="991" spans="1:4" ht="14.25">
      <c r="A991" s="201">
        <v>60506</v>
      </c>
      <c r="B991" s="201" t="s">
        <v>1603</v>
      </c>
      <c r="C991" s="196" t="s">
        <v>6</v>
      </c>
      <c r="D991" s="197">
        <v>60.15</v>
      </c>
    </row>
    <row r="992" spans="1:4" ht="28.5">
      <c r="A992" s="201">
        <v>60507</v>
      </c>
      <c r="B992" s="201" t="s">
        <v>1604</v>
      </c>
      <c r="C992" s="196" t="s">
        <v>6</v>
      </c>
      <c r="D992" s="197">
        <v>82.6</v>
      </c>
    </row>
    <row r="993" spans="1:4" ht="14.25">
      <c r="A993" s="201">
        <v>60508</v>
      </c>
      <c r="B993" s="201" t="s">
        <v>1605</v>
      </c>
      <c r="C993" s="196" t="s">
        <v>6</v>
      </c>
      <c r="D993" s="197">
        <v>98.65</v>
      </c>
    </row>
    <row r="994" spans="1:4" ht="14.25">
      <c r="A994" s="201">
        <v>60509</v>
      </c>
      <c r="B994" s="201" t="s">
        <v>1606</v>
      </c>
      <c r="C994" s="196" t="s">
        <v>6</v>
      </c>
      <c r="D994" s="197">
        <v>147.25</v>
      </c>
    </row>
    <row r="995" spans="1:4" ht="14.25">
      <c r="A995" s="201">
        <v>60517</v>
      </c>
      <c r="B995" s="201" t="s">
        <v>15081</v>
      </c>
      <c r="C995" s="196" t="s">
        <v>7</v>
      </c>
      <c r="D995" s="197">
        <v>53.03</v>
      </c>
    </row>
    <row r="996" spans="1:4" ht="14.25">
      <c r="A996" s="201">
        <v>60518</v>
      </c>
      <c r="B996" s="201" t="s">
        <v>15082</v>
      </c>
      <c r="C996" s="196" t="s">
        <v>7</v>
      </c>
      <c r="D996" s="197">
        <v>85.62</v>
      </c>
    </row>
    <row r="997" spans="1:4" ht="14.25">
      <c r="A997" s="201">
        <v>60519</v>
      </c>
      <c r="B997" s="201" t="s">
        <v>15083</v>
      </c>
      <c r="C997" s="196" t="s">
        <v>7</v>
      </c>
      <c r="D997" s="197">
        <v>155.53</v>
      </c>
    </row>
    <row r="998" spans="1:4" ht="14.25">
      <c r="A998" s="201">
        <v>60528</v>
      </c>
      <c r="B998" s="201" t="s">
        <v>15084</v>
      </c>
      <c r="C998" s="196" t="s">
        <v>7</v>
      </c>
      <c r="D998" s="197">
        <v>38.380000000000003</v>
      </c>
    </row>
    <row r="999" spans="1:4" ht="14.25">
      <c r="A999" s="201">
        <v>60545</v>
      </c>
      <c r="B999" s="201" t="s">
        <v>15085</v>
      </c>
      <c r="C999" s="196" t="s">
        <v>7</v>
      </c>
      <c r="D999" s="197">
        <v>124.36</v>
      </c>
    </row>
    <row r="1000" spans="1:4" ht="28.5">
      <c r="A1000" s="201">
        <v>60546</v>
      </c>
      <c r="B1000" s="201" t="s">
        <v>15086</v>
      </c>
      <c r="C1000" s="196" t="s">
        <v>7</v>
      </c>
      <c r="D1000" s="197">
        <v>65.319999999999993</v>
      </c>
    </row>
    <row r="1001" spans="1:4" ht="14.25">
      <c r="A1001" s="201">
        <v>60585</v>
      </c>
      <c r="B1001" s="201" t="s">
        <v>15087</v>
      </c>
      <c r="C1001" s="196" t="s">
        <v>7</v>
      </c>
      <c r="D1001" s="197">
        <v>39.24</v>
      </c>
    </row>
    <row r="1002" spans="1:4" ht="14.25">
      <c r="A1002" s="201">
        <v>60596</v>
      </c>
      <c r="B1002" s="201" t="s">
        <v>15088</v>
      </c>
      <c r="C1002" s="196" t="s">
        <v>7</v>
      </c>
      <c r="D1002" s="197">
        <v>133.01</v>
      </c>
    </row>
    <row r="1003" spans="1:4" ht="28.5">
      <c r="A1003" s="201">
        <v>60598</v>
      </c>
      <c r="B1003" s="201" t="s">
        <v>15089</v>
      </c>
      <c r="C1003" s="196" t="s">
        <v>7</v>
      </c>
      <c r="D1003" s="197">
        <v>71.5</v>
      </c>
    </row>
    <row r="1004" spans="1:4" ht="15">
      <c r="A1004" s="200">
        <v>607</v>
      </c>
      <c r="B1004" s="333" t="s">
        <v>1595</v>
      </c>
      <c r="C1004" s="334"/>
      <c r="D1004" s="334"/>
    </row>
    <row r="1005" spans="1:4" ht="14.25">
      <c r="A1005" s="201">
        <v>60712</v>
      </c>
      <c r="B1005" s="201" t="s">
        <v>15090</v>
      </c>
      <c r="C1005" s="196" t="s">
        <v>7</v>
      </c>
      <c r="D1005" s="197">
        <v>224.52</v>
      </c>
    </row>
    <row r="1006" spans="1:4" ht="14.25">
      <c r="A1006" s="201">
        <v>60719</v>
      </c>
      <c r="B1006" s="201" t="s">
        <v>15091</v>
      </c>
      <c r="C1006" s="196" t="s">
        <v>7</v>
      </c>
      <c r="D1006" s="197">
        <v>232.28</v>
      </c>
    </row>
    <row r="1007" spans="1:4" ht="15">
      <c r="A1007" s="200">
        <v>609</v>
      </c>
      <c r="B1007" s="333" t="s">
        <v>15092</v>
      </c>
      <c r="C1007" s="334"/>
      <c r="D1007" s="334"/>
    </row>
    <row r="1008" spans="1:4" ht="14.25">
      <c r="A1008" s="201">
        <v>60906</v>
      </c>
      <c r="B1008" s="201" t="s">
        <v>15093</v>
      </c>
      <c r="C1008" s="196" t="s">
        <v>7</v>
      </c>
      <c r="D1008" s="197">
        <v>294.8</v>
      </c>
    </row>
    <row r="1009" spans="1:4" ht="15">
      <c r="A1009" s="200">
        <v>610</v>
      </c>
      <c r="B1009" s="333" t="s">
        <v>1607</v>
      </c>
      <c r="C1009" s="334"/>
      <c r="D1009" s="334"/>
    </row>
    <row r="1010" spans="1:4" ht="28.5">
      <c r="A1010" s="201">
        <v>61004</v>
      </c>
      <c r="B1010" s="201" t="s">
        <v>15094</v>
      </c>
      <c r="C1010" s="196" t="s">
        <v>6</v>
      </c>
      <c r="D1010" s="197">
        <v>535.39</v>
      </c>
    </row>
    <row r="1011" spans="1:4" ht="15">
      <c r="A1011" s="200">
        <v>621</v>
      </c>
      <c r="B1011" s="333" t="s">
        <v>1608</v>
      </c>
      <c r="C1011" s="334"/>
      <c r="D1011" s="334"/>
    </row>
    <row r="1012" spans="1:4" ht="28.5">
      <c r="A1012" s="201">
        <v>62101</v>
      </c>
      <c r="B1012" s="201" t="s">
        <v>18959</v>
      </c>
      <c r="C1012" s="196" t="s">
        <v>7</v>
      </c>
      <c r="D1012" s="197">
        <v>14.31</v>
      </c>
    </row>
    <row r="1013" spans="1:4" ht="28.5">
      <c r="A1013" s="201">
        <v>62102</v>
      </c>
      <c r="B1013" s="201" t="s">
        <v>18960</v>
      </c>
      <c r="C1013" s="196" t="s">
        <v>7</v>
      </c>
      <c r="D1013" s="197">
        <v>17.3</v>
      </c>
    </row>
    <row r="1014" spans="1:4" ht="28.5">
      <c r="A1014" s="201">
        <v>62103</v>
      </c>
      <c r="B1014" s="201" t="s">
        <v>18961</v>
      </c>
      <c r="C1014" s="196" t="s">
        <v>7</v>
      </c>
      <c r="D1014" s="197">
        <v>28.3</v>
      </c>
    </row>
    <row r="1015" spans="1:4" ht="28.5">
      <c r="A1015" s="201">
        <v>62104</v>
      </c>
      <c r="B1015" s="201" t="s">
        <v>18962</v>
      </c>
      <c r="C1015" s="196" t="s">
        <v>7</v>
      </c>
      <c r="D1015" s="197">
        <v>28.57</v>
      </c>
    </row>
    <row r="1016" spans="1:4" ht="28.5">
      <c r="A1016" s="201">
        <v>62105</v>
      </c>
      <c r="B1016" s="201" t="s">
        <v>18963</v>
      </c>
      <c r="C1016" s="196" t="s">
        <v>7</v>
      </c>
      <c r="D1016" s="197">
        <v>32.71</v>
      </c>
    </row>
    <row r="1017" spans="1:4" ht="28.5">
      <c r="A1017" s="201">
        <v>62106</v>
      </c>
      <c r="B1017" s="201" t="s">
        <v>18964</v>
      </c>
      <c r="C1017" s="196" t="s">
        <v>7</v>
      </c>
      <c r="D1017" s="197">
        <v>58.46</v>
      </c>
    </row>
    <row r="1018" spans="1:4" ht="28.5">
      <c r="A1018" s="201">
        <v>62107</v>
      </c>
      <c r="B1018" s="201" t="s">
        <v>18965</v>
      </c>
      <c r="C1018" s="196" t="s">
        <v>7</v>
      </c>
      <c r="D1018" s="197">
        <v>278.27</v>
      </c>
    </row>
    <row r="1019" spans="1:4" ht="28.5">
      <c r="A1019" s="201">
        <v>62111</v>
      </c>
      <c r="B1019" s="201" t="s">
        <v>1609</v>
      </c>
      <c r="C1019" s="196" t="s">
        <v>7</v>
      </c>
      <c r="D1019" s="197">
        <v>0.9</v>
      </c>
    </row>
    <row r="1020" spans="1:4" ht="28.5">
      <c r="A1020" s="201">
        <v>62112</v>
      </c>
      <c r="B1020" s="201" t="s">
        <v>1610</v>
      </c>
      <c r="C1020" s="196" t="s">
        <v>7</v>
      </c>
      <c r="D1020" s="197">
        <v>2.8</v>
      </c>
    </row>
    <row r="1021" spans="1:4" ht="28.5">
      <c r="A1021" s="201">
        <v>62116</v>
      </c>
      <c r="B1021" s="201" t="s">
        <v>1611</v>
      </c>
      <c r="C1021" s="196" t="s">
        <v>7</v>
      </c>
      <c r="D1021" s="197">
        <v>6.77</v>
      </c>
    </row>
    <row r="1022" spans="1:4" ht="28.5">
      <c r="A1022" s="201">
        <v>62122</v>
      </c>
      <c r="B1022" s="201" t="s">
        <v>1612</v>
      </c>
      <c r="C1022" s="196" t="s">
        <v>7</v>
      </c>
      <c r="D1022" s="197">
        <v>1.36</v>
      </c>
    </row>
    <row r="1023" spans="1:4" ht="28.5">
      <c r="A1023" s="201">
        <v>62129</v>
      </c>
      <c r="B1023" s="201" t="s">
        <v>1613</v>
      </c>
      <c r="C1023" s="196" t="s">
        <v>7</v>
      </c>
      <c r="D1023" s="197">
        <v>8.5500000000000007</v>
      </c>
    </row>
    <row r="1024" spans="1:4" ht="28.5">
      <c r="A1024" s="201">
        <v>62187</v>
      </c>
      <c r="B1024" s="201" t="s">
        <v>1614</v>
      </c>
      <c r="C1024" s="196" t="s">
        <v>7</v>
      </c>
      <c r="D1024" s="197">
        <v>6.46</v>
      </c>
    </row>
    <row r="1025" spans="1:4" ht="15">
      <c r="A1025" s="200">
        <v>623</v>
      </c>
      <c r="B1025" s="333" t="s">
        <v>1615</v>
      </c>
      <c r="C1025" s="334"/>
      <c r="D1025" s="334"/>
    </row>
    <row r="1026" spans="1:4" ht="14.25">
      <c r="A1026" s="201">
        <v>62319</v>
      </c>
      <c r="B1026" s="201" t="s">
        <v>1616</v>
      </c>
      <c r="C1026" s="196" t="s">
        <v>7</v>
      </c>
      <c r="D1026" s="197">
        <v>4.2699999999999996</v>
      </c>
    </row>
    <row r="1027" spans="1:4" ht="28.5">
      <c r="A1027" s="201">
        <v>62321</v>
      </c>
      <c r="B1027" s="201" t="s">
        <v>1617</v>
      </c>
      <c r="C1027" s="196" t="s">
        <v>7</v>
      </c>
      <c r="D1027" s="197">
        <v>3.97</v>
      </c>
    </row>
    <row r="1028" spans="1:4" ht="14.25">
      <c r="A1028" s="201">
        <v>62324</v>
      </c>
      <c r="B1028" s="201" t="s">
        <v>1618</v>
      </c>
      <c r="C1028" s="196" t="s">
        <v>7</v>
      </c>
      <c r="D1028" s="197">
        <v>3.4</v>
      </c>
    </row>
    <row r="1029" spans="1:4" ht="28.5">
      <c r="A1029" s="201">
        <v>62375</v>
      </c>
      <c r="B1029" s="201" t="s">
        <v>12568</v>
      </c>
      <c r="C1029" s="196" t="s">
        <v>6</v>
      </c>
      <c r="D1029" s="197">
        <v>92.31</v>
      </c>
    </row>
    <row r="1030" spans="1:4" ht="15">
      <c r="A1030" s="200">
        <v>624</v>
      </c>
      <c r="B1030" s="333" t="s">
        <v>1619</v>
      </c>
      <c r="C1030" s="334"/>
      <c r="D1030" s="334"/>
    </row>
    <row r="1031" spans="1:4" ht="14.25">
      <c r="A1031" s="201">
        <v>62420</v>
      </c>
      <c r="B1031" s="201" t="s">
        <v>1620</v>
      </c>
      <c r="C1031" s="196" t="s">
        <v>7</v>
      </c>
      <c r="D1031" s="197">
        <v>7.63</v>
      </c>
    </row>
    <row r="1032" spans="1:4" ht="14.25">
      <c r="A1032" s="201">
        <v>62423</v>
      </c>
      <c r="B1032" s="201" t="s">
        <v>1621</v>
      </c>
      <c r="C1032" s="196" t="s">
        <v>7</v>
      </c>
      <c r="D1032" s="197">
        <v>26.3</v>
      </c>
    </row>
    <row r="1033" spans="1:4" ht="14.25">
      <c r="A1033" s="201">
        <v>62430</v>
      </c>
      <c r="B1033" s="201" t="s">
        <v>1622</v>
      </c>
      <c r="C1033" s="196" t="s">
        <v>7</v>
      </c>
      <c r="D1033" s="197">
        <v>44.49</v>
      </c>
    </row>
    <row r="1034" spans="1:4" ht="14.25">
      <c r="A1034" s="201">
        <v>62440</v>
      </c>
      <c r="B1034" s="201" t="s">
        <v>1623</v>
      </c>
      <c r="C1034" s="196" t="s">
        <v>7</v>
      </c>
      <c r="D1034" s="197">
        <v>30.97</v>
      </c>
    </row>
    <row r="1035" spans="1:4" ht="14.25">
      <c r="A1035" s="201">
        <v>62472</v>
      </c>
      <c r="B1035" s="201" t="s">
        <v>1624</v>
      </c>
      <c r="C1035" s="196" t="s">
        <v>7</v>
      </c>
      <c r="D1035" s="197">
        <v>14</v>
      </c>
    </row>
    <row r="1036" spans="1:4" ht="14.25">
      <c r="A1036" s="201">
        <v>62482</v>
      </c>
      <c r="B1036" s="201" t="s">
        <v>1625</v>
      </c>
      <c r="C1036" s="196" t="s">
        <v>7</v>
      </c>
      <c r="D1036" s="197">
        <v>68.56</v>
      </c>
    </row>
    <row r="1037" spans="1:4" ht="15">
      <c r="A1037" s="200">
        <v>625</v>
      </c>
      <c r="B1037" s="333" t="s">
        <v>1626</v>
      </c>
      <c r="C1037" s="334"/>
      <c r="D1037" s="334"/>
    </row>
    <row r="1038" spans="1:4" ht="28.5">
      <c r="A1038" s="201">
        <v>62501</v>
      </c>
      <c r="B1038" s="201" t="s">
        <v>12569</v>
      </c>
      <c r="C1038" s="196" t="s">
        <v>6</v>
      </c>
      <c r="D1038" s="197">
        <v>4.9800000000000004</v>
      </c>
    </row>
    <row r="1039" spans="1:4" ht="28.5">
      <c r="A1039" s="201">
        <v>62502</v>
      </c>
      <c r="B1039" s="201" t="s">
        <v>12570</v>
      </c>
      <c r="C1039" s="196" t="s">
        <v>6</v>
      </c>
      <c r="D1039" s="197">
        <v>6.29</v>
      </c>
    </row>
    <row r="1040" spans="1:4" ht="28.5">
      <c r="A1040" s="201">
        <v>62503</v>
      </c>
      <c r="B1040" s="201" t="s">
        <v>12571</v>
      </c>
      <c r="C1040" s="196" t="s">
        <v>6</v>
      </c>
      <c r="D1040" s="197">
        <v>9.5299999999999994</v>
      </c>
    </row>
    <row r="1041" spans="1:4" ht="28.5">
      <c r="A1041" s="201">
        <v>62504</v>
      </c>
      <c r="B1041" s="201" t="s">
        <v>12572</v>
      </c>
      <c r="C1041" s="196" t="s">
        <v>6</v>
      </c>
      <c r="D1041" s="197">
        <v>13.31</v>
      </c>
    </row>
    <row r="1042" spans="1:4" ht="28.5">
      <c r="A1042" s="201">
        <v>62505</v>
      </c>
      <c r="B1042" s="201" t="s">
        <v>12573</v>
      </c>
      <c r="C1042" s="196" t="s">
        <v>6</v>
      </c>
      <c r="D1042" s="197">
        <v>20.79</v>
      </c>
    </row>
    <row r="1043" spans="1:4" ht="28.5">
      <c r="A1043" s="201">
        <v>62506</v>
      </c>
      <c r="B1043" s="201" t="s">
        <v>12574</v>
      </c>
      <c r="C1043" s="196" t="s">
        <v>6</v>
      </c>
      <c r="D1043" s="197">
        <v>35.54</v>
      </c>
    </row>
    <row r="1044" spans="1:4" ht="28.5">
      <c r="A1044" s="201">
        <v>62507</v>
      </c>
      <c r="B1044" s="201" t="s">
        <v>12575</v>
      </c>
      <c r="C1044" s="196" t="s">
        <v>6</v>
      </c>
      <c r="D1044" s="197">
        <v>58</v>
      </c>
    </row>
    <row r="1045" spans="1:4" ht="28.5">
      <c r="A1045" s="201">
        <v>62508</v>
      </c>
      <c r="B1045" s="201" t="s">
        <v>12576</v>
      </c>
      <c r="C1045" s="196" t="s">
        <v>6</v>
      </c>
      <c r="D1045" s="197">
        <v>76.040000000000006</v>
      </c>
    </row>
    <row r="1046" spans="1:4" ht="14.25">
      <c r="A1046" s="201">
        <v>62511</v>
      </c>
      <c r="B1046" s="201" t="s">
        <v>1627</v>
      </c>
      <c r="C1046" s="196" t="s">
        <v>7</v>
      </c>
      <c r="D1046" s="197">
        <v>1.1000000000000001</v>
      </c>
    </row>
    <row r="1047" spans="1:4" ht="14.25">
      <c r="A1047" s="201">
        <v>62512</v>
      </c>
      <c r="B1047" s="201" t="s">
        <v>1628</v>
      </c>
      <c r="C1047" s="196" t="s">
        <v>7</v>
      </c>
      <c r="D1047" s="197">
        <v>3.97</v>
      </c>
    </row>
    <row r="1048" spans="1:4" ht="14.25">
      <c r="A1048" s="201">
        <v>62514</v>
      </c>
      <c r="B1048" s="201" t="s">
        <v>1629</v>
      </c>
      <c r="C1048" s="196" t="s">
        <v>7</v>
      </c>
      <c r="D1048" s="197">
        <v>7.97</v>
      </c>
    </row>
    <row r="1049" spans="1:4" ht="14.25">
      <c r="A1049" s="201">
        <v>62520</v>
      </c>
      <c r="B1049" s="201" t="s">
        <v>1630</v>
      </c>
      <c r="C1049" s="196" t="s">
        <v>7</v>
      </c>
      <c r="D1049" s="197">
        <v>2.33</v>
      </c>
    </row>
    <row r="1050" spans="1:4" ht="14.25">
      <c r="A1050" s="201">
        <v>62521</v>
      </c>
      <c r="B1050" s="201" t="s">
        <v>1631</v>
      </c>
      <c r="C1050" s="196" t="s">
        <v>7</v>
      </c>
      <c r="D1050" s="197">
        <v>4.7300000000000004</v>
      </c>
    </row>
    <row r="1051" spans="1:4" ht="42.75">
      <c r="A1051" s="201">
        <v>62530</v>
      </c>
      <c r="B1051" s="201" t="s">
        <v>12577</v>
      </c>
      <c r="C1051" s="196" t="s">
        <v>6</v>
      </c>
      <c r="D1051" s="197">
        <v>8.08</v>
      </c>
    </row>
    <row r="1052" spans="1:4" ht="42.75">
      <c r="A1052" s="201">
        <v>62531</v>
      </c>
      <c r="B1052" s="201" t="s">
        <v>12578</v>
      </c>
      <c r="C1052" s="196" t="s">
        <v>6</v>
      </c>
      <c r="D1052" s="197">
        <v>11.88</v>
      </c>
    </row>
    <row r="1053" spans="1:4" ht="42.75">
      <c r="A1053" s="201">
        <v>62532</v>
      </c>
      <c r="B1053" s="201" t="s">
        <v>12579</v>
      </c>
      <c r="C1053" s="196" t="s">
        <v>6</v>
      </c>
      <c r="D1053" s="197">
        <v>19.239999999999998</v>
      </c>
    </row>
    <row r="1054" spans="1:4" ht="42.75">
      <c r="A1054" s="201">
        <v>62533</v>
      </c>
      <c r="B1054" s="201" t="s">
        <v>12580</v>
      </c>
      <c r="C1054" s="196" t="s">
        <v>6</v>
      </c>
      <c r="D1054" s="197">
        <v>24.72</v>
      </c>
    </row>
    <row r="1055" spans="1:4" ht="42.75">
      <c r="A1055" s="201">
        <v>62534</v>
      </c>
      <c r="B1055" s="201" t="s">
        <v>12581</v>
      </c>
      <c r="C1055" s="196" t="s">
        <v>6</v>
      </c>
      <c r="D1055" s="197">
        <v>42.26</v>
      </c>
    </row>
    <row r="1056" spans="1:4" ht="42.75">
      <c r="A1056" s="201">
        <v>62535</v>
      </c>
      <c r="B1056" s="201" t="s">
        <v>12582</v>
      </c>
      <c r="C1056" s="196" t="s">
        <v>6</v>
      </c>
      <c r="D1056" s="197">
        <v>90.08</v>
      </c>
    </row>
    <row r="1057" spans="1:4" ht="14.25">
      <c r="A1057" s="201">
        <v>62536</v>
      </c>
      <c r="B1057" s="201" t="s">
        <v>1632</v>
      </c>
      <c r="C1057" s="196" t="s">
        <v>7</v>
      </c>
      <c r="D1057" s="197">
        <v>2.77</v>
      </c>
    </row>
    <row r="1058" spans="1:4" ht="14.25">
      <c r="A1058" s="201">
        <v>62540</v>
      </c>
      <c r="B1058" s="201" t="s">
        <v>1633</v>
      </c>
      <c r="C1058" s="196" t="s">
        <v>7</v>
      </c>
      <c r="D1058" s="197">
        <v>2.5299999999999998</v>
      </c>
    </row>
    <row r="1059" spans="1:4" ht="14.25">
      <c r="A1059" s="201">
        <v>62542</v>
      </c>
      <c r="B1059" s="201" t="s">
        <v>1634</v>
      </c>
      <c r="C1059" s="196" t="s">
        <v>7</v>
      </c>
      <c r="D1059" s="197">
        <v>8.6300000000000008</v>
      </c>
    </row>
    <row r="1060" spans="1:4" ht="14.25">
      <c r="A1060" s="201">
        <v>62543</v>
      </c>
      <c r="B1060" s="201" t="s">
        <v>1635</v>
      </c>
      <c r="C1060" s="196" t="s">
        <v>7</v>
      </c>
      <c r="D1060" s="197">
        <v>9.8000000000000007</v>
      </c>
    </row>
    <row r="1061" spans="1:4" ht="14.25">
      <c r="A1061" s="201">
        <v>62544</v>
      </c>
      <c r="B1061" s="201" t="s">
        <v>1636</v>
      </c>
      <c r="C1061" s="196" t="s">
        <v>7</v>
      </c>
      <c r="D1061" s="197">
        <v>4.63</v>
      </c>
    </row>
    <row r="1062" spans="1:4" ht="14.25">
      <c r="A1062" s="201">
        <v>62547</v>
      </c>
      <c r="B1062" s="201" t="s">
        <v>1637</v>
      </c>
      <c r="C1062" s="196" t="s">
        <v>7</v>
      </c>
      <c r="D1062" s="197">
        <v>20.3</v>
      </c>
    </row>
    <row r="1063" spans="1:4" ht="14.25">
      <c r="A1063" s="201">
        <v>62549</v>
      </c>
      <c r="B1063" s="201" t="s">
        <v>1638</v>
      </c>
      <c r="C1063" s="196" t="s">
        <v>7</v>
      </c>
      <c r="D1063" s="197">
        <v>18.670000000000002</v>
      </c>
    </row>
    <row r="1064" spans="1:4" ht="14.25">
      <c r="A1064" s="201">
        <v>62570</v>
      </c>
      <c r="B1064" s="201" t="s">
        <v>1639</v>
      </c>
      <c r="C1064" s="196" t="s">
        <v>7</v>
      </c>
      <c r="D1064" s="197">
        <v>1.19</v>
      </c>
    </row>
    <row r="1065" spans="1:4" ht="14.25">
      <c r="A1065" s="201">
        <v>62577</v>
      </c>
      <c r="B1065" s="201" t="s">
        <v>1640</v>
      </c>
      <c r="C1065" s="196" t="s">
        <v>7</v>
      </c>
      <c r="D1065" s="197">
        <v>71.97</v>
      </c>
    </row>
    <row r="1066" spans="1:4" ht="14.25">
      <c r="A1066" s="201">
        <v>62588</v>
      </c>
      <c r="B1066" s="201" t="s">
        <v>1641</v>
      </c>
      <c r="C1066" s="196" t="s">
        <v>7</v>
      </c>
      <c r="D1066" s="197">
        <v>8.8699999999999992</v>
      </c>
    </row>
    <row r="1067" spans="1:4" ht="14.25">
      <c r="A1067" s="201">
        <v>62594</v>
      </c>
      <c r="B1067" s="201" t="s">
        <v>1642</v>
      </c>
      <c r="C1067" s="196" t="s">
        <v>7</v>
      </c>
      <c r="D1067" s="197">
        <v>1.97</v>
      </c>
    </row>
    <row r="1068" spans="1:4" ht="15">
      <c r="A1068" s="200">
        <v>626</v>
      </c>
      <c r="B1068" s="333" t="s">
        <v>1643</v>
      </c>
      <c r="C1068" s="334"/>
      <c r="D1068" s="334"/>
    </row>
    <row r="1069" spans="1:4" ht="14.25">
      <c r="A1069" s="201">
        <v>62674</v>
      </c>
      <c r="B1069" s="201" t="s">
        <v>1644</v>
      </c>
      <c r="C1069" s="196" t="s">
        <v>7</v>
      </c>
      <c r="D1069" s="197">
        <v>15.3</v>
      </c>
    </row>
    <row r="1070" spans="1:4" ht="15">
      <c r="A1070" s="200">
        <v>627</v>
      </c>
      <c r="B1070" s="333" t="s">
        <v>1645</v>
      </c>
      <c r="C1070" s="334"/>
      <c r="D1070" s="334"/>
    </row>
    <row r="1071" spans="1:4" ht="14.25">
      <c r="A1071" s="201">
        <v>62702</v>
      </c>
      <c r="B1071" s="201" t="s">
        <v>1646</v>
      </c>
      <c r="C1071" s="196" t="s">
        <v>6</v>
      </c>
      <c r="D1071" s="197">
        <v>21.65</v>
      </c>
    </row>
    <row r="1072" spans="1:4" ht="14.25">
      <c r="A1072" s="201">
        <v>62703</v>
      </c>
      <c r="B1072" s="201" t="s">
        <v>1647</v>
      </c>
      <c r="C1072" s="196" t="s">
        <v>6</v>
      </c>
      <c r="D1072" s="197">
        <v>38.67</v>
      </c>
    </row>
    <row r="1073" spans="1:4" ht="15">
      <c r="A1073" s="200">
        <v>628</v>
      </c>
      <c r="B1073" s="333" t="s">
        <v>1645</v>
      </c>
      <c r="C1073" s="334"/>
      <c r="D1073" s="334"/>
    </row>
    <row r="1074" spans="1:4" ht="14.25">
      <c r="A1074" s="201">
        <v>62813</v>
      </c>
      <c r="B1074" s="201" t="s">
        <v>1648</v>
      </c>
      <c r="C1074" s="196" t="s">
        <v>7</v>
      </c>
      <c r="D1074" s="197">
        <v>4.53</v>
      </c>
    </row>
    <row r="1075" spans="1:4" ht="14.25">
      <c r="A1075" s="201">
        <v>62814</v>
      </c>
      <c r="B1075" s="201" t="s">
        <v>1649</v>
      </c>
      <c r="C1075" s="196" t="s">
        <v>7</v>
      </c>
      <c r="D1075" s="197">
        <v>8.77</v>
      </c>
    </row>
    <row r="1076" spans="1:4" ht="14.25">
      <c r="A1076" s="201">
        <v>62890</v>
      </c>
      <c r="B1076" s="201" t="s">
        <v>1650</v>
      </c>
      <c r="C1076" s="196" t="s">
        <v>7</v>
      </c>
      <c r="D1076" s="197">
        <v>9.91</v>
      </c>
    </row>
    <row r="1077" spans="1:4" ht="15">
      <c r="A1077" s="200">
        <v>630</v>
      </c>
      <c r="B1077" s="333" t="s">
        <v>15095</v>
      </c>
      <c r="C1077" s="334"/>
      <c r="D1077" s="334"/>
    </row>
    <row r="1078" spans="1:4" ht="28.5">
      <c r="A1078" s="201">
        <v>63043</v>
      </c>
      <c r="B1078" s="201" t="s">
        <v>15096</v>
      </c>
      <c r="C1078" s="196" t="s">
        <v>6</v>
      </c>
      <c r="D1078" s="197">
        <v>20.51</v>
      </c>
    </row>
    <row r="1079" spans="1:4" ht="28.5">
      <c r="A1079" s="201">
        <v>63096</v>
      </c>
      <c r="B1079" s="201" t="s">
        <v>15097</v>
      </c>
      <c r="C1079" s="196" t="s">
        <v>6</v>
      </c>
      <c r="D1079" s="197">
        <v>43.62</v>
      </c>
    </row>
    <row r="1080" spans="1:4" ht="15">
      <c r="A1080" s="200">
        <v>631</v>
      </c>
      <c r="B1080" s="333" t="s">
        <v>15098</v>
      </c>
      <c r="C1080" s="334"/>
      <c r="D1080" s="334"/>
    </row>
    <row r="1081" spans="1:4" ht="28.5">
      <c r="A1081" s="201">
        <v>63108</v>
      </c>
      <c r="B1081" s="201" t="s">
        <v>15099</v>
      </c>
      <c r="C1081" s="196" t="s">
        <v>6</v>
      </c>
      <c r="D1081" s="197">
        <v>68.239999999999995</v>
      </c>
    </row>
    <row r="1082" spans="1:4" ht="28.5">
      <c r="A1082" s="201">
        <v>63109</v>
      </c>
      <c r="B1082" s="201" t="s">
        <v>15100</v>
      </c>
      <c r="C1082" s="196" t="s">
        <v>6</v>
      </c>
      <c r="D1082" s="197">
        <v>69.88</v>
      </c>
    </row>
    <row r="1083" spans="1:4" ht="28.5">
      <c r="A1083" s="201">
        <v>63148</v>
      </c>
      <c r="B1083" s="201" t="s">
        <v>15101</v>
      </c>
      <c r="C1083" s="196" t="s">
        <v>6</v>
      </c>
      <c r="D1083" s="197">
        <v>13.14</v>
      </c>
    </row>
    <row r="1084" spans="1:4" ht="28.5">
      <c r="A1084" s="201">
        <v>63149</v>
      </c>
      <c r="B1084" s="201" t="s">
        <v>15102</v>
      </c>
      <c r="C1084" s="196" t="s">
        <v>6</v>
      </c>
      <c r="D1084" s="197">
        <v>27.73</v>
      </c>
    </row>
    <row r="1085" spans="1:4" ht="28.5">
      <c r="A1085" s="201">
        <v>63150</v>
      </c>
      <c r="B1085" s="201" t="s">
        <v>15103</v>
      </c>
      <c r="C1085" s="196" t="s">
        <v>6</v>
      </c>
      <c r="D1085" s="197">
        <v>34.630000000000003</v>
      </c>
    </row>
    <row r="1086" spans="1:4" ht="28.5">
      <c r="A1086" s="201">
        <v>63164</v>
      </c>
      <c r="B1086" s="201" t="s">
        <v>15104</v>
      </c>
      <c r="C1086" s="196" t="s">
        <v>6</v>
      </c>
      <c r="D1086" s="197">
        <v>112.89</v>
      </c>
    </row>
    <row r="1087" spans="1:4" ht="28.5">
      <c r="A1087" s="201">
        <v>63165</v>
      </c>
      <c r="B1087" s="201" t="s">
        <v>15105</v>
      </c>
      <c r="C1087" s="196" t="s">
        <v>6</v>
      </c>
      <c r="D1087" s="197">
        <v>86.53</v>
      </c>
    </row>
    <row r="1088" spans="1:4" ht="15">
      <c r="A1088" s="200">
        <v>633</v>
      </c>
      <c r="B1088" s="333" t="s">
        <v>18966</v>
      </c>
      <c r="C1088" s="334"/>
      <c r="D1088" s="334"/>
    </row>
    <row r="1089" spans="1:4" ht="14.25">
      <c r="A1089" s="201">
        <v>63341</v>
      </c>
      <c r="B1089" s="201" t="s">
        <v>18967</v>
      </c>
      <c r="C1089" s="196" t="s">
        <v>7</v>
      </c>
      <c r="D1089" s="197">
        <v>2.29</v>
      </c>
    </row>
    <row r="1090" spans="1:4" ht="15">
      <c r="A1090" s="200">
        <v>634</v>
      </c>
      <c r="B1090" s="333" t="s">
        <v>1651</v>
      </c>
      <c r="C1090" s="334"/>
      <c r="D1090" s="334"/>
    </row>
    <row r="1091" spans="1:4" ht="14.25">
      <c r="A1091" s="201">
        <v>63480</v>
      </c>
      <c r="B1091" s="201" t="s">
        <v>1652</v>
      </c>
      <c r="C1091" s="196" t="s">
        <v>7</v>
      </c>
      <c r="D1091" s="197">
        <v>293.99</v>
      </c>
    </row>
    <row r="1092" spans="1:4" ht="15">
      <c r="A1092" s="200">
        <v>635</v>
      </c>
      <c r="B1092" s="333" t="s">
        <v>1653</v>
      </c>
      <c r="C1092" s="334"/>
      <c r="D1092" s="334"/>
    </row>
    <row r="1093" spans="1:4" ht="14.25">
      <c r="A1093" s="201">
        <v>63501</v>
      </c>
      <c r="B1093" s="201" t="s">
        <v>1654</v>
      </c>
      <c r="C1093" s="196" t="s">
        <v>7</v>
      </c>
      <c r="D1093" s="197">
        <v>32.39</v>
      </c>
    </row>
    <row r="1094" spans="1:4" ht="14.25">
      <c r="A1094" s="201">
        <v>63502</v>
      </c>
      <c r="B1094" s="201" t="s">
        <v>1655</v>
      </c>
      <c r="C1094" s="196" t="s">
        <v>7</v>
      </c>
      <c r="D1094" s="197">
        <v>42.03</v>
      </c>
    </row>
    <row r="1095" spans="1:4" ht="14.25">
      <c r="A1095" s="201">
        <v>63503</v>
      </c>
      <c r="B1095" s="201" t="s">
        <v>1656</v>
      </c>
      <c r="C1095" s="196" t="s">
        <v>7</v>
      </c>
      <c r="D1095" s="197">
        <v>61.6</v>
      </c>
    </row>
    <row r="1096" spans="1:4" ht="14.25">
      <c r="A1096" s="201">
        <v>63504</v>
      </c>
      <c r="B1096" s="201" t="s">
        <v>1657</v>
      </c>
      <c r="C1096" s="196" t="s">
        <v>7</v>
      </c>
      <c r="D1096" s="197">
        <v>87.96</v>
      </c>
    </row>
    <row r="1097" spans="1:4" ht="14.25">
      <c r="A1097" s="201">
        <v>63505</v>
      </c>
      <c r="B1097" s="201" t="s">
        <v>1658</v>
      </c>
      <c r="C1097" s="196" t="s">
        <v>7</v>
      </c>
      <c r="D1097" s="197">
        <v>113.46</v>
      </c>
    </row>
    <row r="1098" spans="1:4" ht="14.25">
      <c r="A1098" s="201">
        <v>63506</v>
      </c>
      <c r="B1098" s="201" t="s">
        <v>1659</v>
      </c>
      <c r="C1098" s="196" t="s">
        <v>7</v>
      </c>
      <c r="D1098" s="197">
        <v>184.95</v>
      </c>
    </row>
    <row r="1099" spans="1:4" ht="14.25">
      <c r="A1099" s="201">
        <v>63507</v>
      </c>
      <c r="B1099" s="201" t="s">
        <v>1660</v>
      </c>
      <c r="C1099" s="196" t="s">
        <v>7</v>
      </c>
      <c r="D1099" s="197">
        <v>369.1</v>
      </c>
    </row>
    <row r="1100" spans="1:4" ht="14.25">
      <c r="A1100" s="201">
        <v>63508</v>
      </c>
      <c r="B1100" s="201" t="s">
        <v>1661</v>
      </c>
      <c r="C1100" s="196" t="s">
        <v>7</v>
      </c>
      <c r="D1100" s="197">
        <v>547.02</v>
      </c>
    </row>
    <row r="1101" spans="1:4" ht="14.25">
      <c r="A1101" s="201">
        <v>63515</v>
      </c>
      <c r="B1101" s="201" t="s">
        <v>1662</v>
      </c>
      <c r="C1101" s="196" t="s">
        <v>7</v>
      </c>
      <c r="D1101" s="197">
        <v>87.63</v>
      </c>
    </row>
    <row r="1102" spans="1:4" ht="14.25">
      <c r="A1102" s="201">
        <v>63516</v>
      </c>
      <c r="B1102" s="201" t="s">
        <v>1663</v>
      </c>
      <c r="C1102" s="196" t="s">
        <v>7</v>
      </c>
      <c r="D1102" s="197">
        <v>95.31</v>
      </c>
    </row>
    <row r="1103" spans="1:4" ht="14.25">
      <c r="A1103" s="201">
        <v>63517</v>
      </c>
      <c r="B1103" s="201" t="s">
        <v>1664</v>
      </c>
      <c r="C1103" s="196" t="s">
        <v>7</v>
      </c>
      <c r="D1103" s="197">
        <v>137.44999999999999</v>
      </c>
    </row>
    <row r="1104" spans="1:4" ht="28.5">
      <c r="A1104" s="201">
        <v>63518</v>
      </c>
      <c r="B1104" s="201" t="s">
        <v>1665</v>
      </c>
      <c r="C1104" s="196" t="s">
        <v>7</v>
      </c>
      <c r="D1104" s="197">
        <v>201.68</v>
      </c>
    </row>
    <row r="1105" spans="1:4" ht="28.5">
      <c r="A1105" s="201">
        <v>63520</v>
      </c>
      <c r="B1105" s="201" t="s">
        <v>15106</v>
      </c>
      <c r="C1105" s="196" t="s">
        <v>7</v>
      </c>
      <c r="D1105" s="197">
        <v>88.39</v>
      </c>
    </row>
    <row r="1106" spans="1:4" ht="28.5">
      <c r="A1106" s="201">
        <v>63521</v>
      </c>
      <c r="B1106" s="201" t="s">
        <v>15107</v>
      </c>
      <c r="C1106" s="196" t="s">
        <v>7</v>
      </c>
      <c r="D1106" s="197">
        <v>101.41</v>
      </c>
    </row>
    <row r="1107" spans="1:4" ht="28.5">
      <c r="A1107" s="201">
        <v>63523</v>
      </c>
      <c r="B1107" s="201" t="s">
        <v>1666</v>
      </c>
      <c r="C1107" s="196" t="s">
        <v>7</v>
      </c>
      <c r="D1107" s="197">
        <v>180.09</v>
      </c>
    </row>
    <row r="1108" spans="1:4" ht="14.25">
      <c r="A1108" s="201">
        <v>63530</v>
      </c>
      <c r="B1108" s="201" t="s">
        <v>15108</v>
      </c>
      <c r="C1108" s="196" t="s">
        <v>7</v>
      </c>
      <c r="D1108" s="197">
        <v>41.83</v>
      </c>
    </row>
    <row r="1109" spans="1:4" ht="28.5">
      <c r="A1109" s="201">
        <v>63533</v>
      </c>
      <c r="B1109" s="201" t="s">
        <v>1667</v>
      </c>
      <c r="C1109" s="196" t="s">
        <v>7</v>
      </c>
      <c r="D1109" s="197">
        <v>48.82</v>
      </c>
    </row>
    <row r="1110" spans="1:4" ht="14.25">
      <c r="A1110" s="201">
        <v>63536</v>
      </c>
      <c r="B1110" s="201" t="s">
        <v>15109</v>
      </c>
      <c r="C1110" s="196" t="s">
        <v>7</v>
      </c>
      <c r="D1110" s="197">
        <v>37.92</v>
      </c>
    </row>
    <row r="1111" spans="1:4" ht="14.25">
      <c r="A1111" s="201">
        <v>63567</v>
      </c>
      <c r="B1111" s="201" t="s">
        <v>15110</v>
      </c>
      <c r="C1111" s="196" t="s">
        <v>7</v>
      </c>
      <c r="D1111" s="197">
        <v>853.32</v>
      </c>
    </row>
    <row r="1112" spans="1:4" ht="15">
      <c r="A1112" s="200">
        <v>640</v>
      </c>
      <c r="B1112" s="333" t="s">
        <v>1668</v>
      </c>
      <c r="C1112" s="334"/>
      <c r="D1112" s="334"/>
    </row>
    <row r="1113" spans="1:4" ht="28.5">
      <c r="A1113" s="201">
        <v>64001</v>
      </c>
      <c r="B1113" s="201" t="s">
        <v>19097</v>
      </c>
      <c r="C1113" s="196" t="s">
        <v>7</v>
      </c>
      <c r="D1113" s="197">
        <v>50.63</v>
      </c>
    </row>
    <row r="1114" spans="1:4" ht="14.25">
      <c r="A1114" s="201">
        <v>64002</v>
      </c>
      <c r="B1114" s="201" t="s">
        <v>1669</v>
      </c>
      <c r="C1114" s="196" t="s">
        <v>7</v>
      </c>
      <c r="D1114" s="197">
        <v>35.75</v>
      </c>
    </row>
    <row r="1115" spans="1:4" ht="28.5">
      <c r="A1115" s="201">
        <v>64003</v>
      </c>
      <c r="B1115" s="201" t="s">
        <v>1670</v>
      </c>
      <c r="C1115" s="196" t="s">
        <v>7</v>
      </c>
      <c r="D1115" s="197">
        <v>69.5</v>
      </c>
    </row>
    <row r="1116" spans="1:4" ht="14.25">
      <c r="A1116" s="201">
        <v>64004</v>
      </c>
      <c r="B1116" s="201" t="s">
        <v>1671</v>
      </c>
      <c r="C1116" s="196" t="s">
        <v>7</v>
      </c>
      <c r="D1116" s="197">
        <v>298.70999999999998</v>
      </c>
    </row>
    <row r="1117" spans="1:4" ht="14.25">
      <c r="A1117" s="201">
        <v>64005</v>
      </c>
      <c r="B1117" s="201" t="s">
        <v>1672</v>
      </c>
      <c r="C1117" s="196" t="s">
        <v>7</v>
      </c>
      <c r="D1117" s="197">
        <v>14.27</v>
      </c>
    </row>
    <row r="1118" spans="1:4" ht="14.25">
      <c r="A1118" s="201">
        <v>64006</v>
      </c>
      <c r="B1118" s="201" t="s">
        <v>1673</v>
      </c>
      <c r="C1118" s="196" t="s">
        <v>7</v>
      </c>
      <c r="D1118" s="197">
        <v>12.53</v>
      </c>
    </row>
    <row r="1119" spans="1:4" ht="28.5">
      <c r="A1119" s="201">
        <v>64010</v>
      </c>
      <c r="B1119" s="201" t="s">
        <v>1674</v>
      </c>
      <c r="C1119" s="196" t="s">
        <v>7</v>
      </c>
      <c r="D1119" s="197">
        <v>281.69</v>
      </c>
    </row>
    <row r="1120" spans="1:4" ht="28.5">
      <c r="A1120" s="201">
        <v>64011</v>
      </c>
      <c r="B1120" s="201" t="s">
        <v>1675</v>
      </c>
      <c r="C1120" s="196" t="s">
        <v>7</v>
      </c>
      <c r="D1120" s="197">
        <v>164.57</v>
      </c>
    </row>
    <row r="1121" spans="1:4" ht="28.5">
      <c r="A1121" s="201">
        <v>64015</v>
      </c>
      <c r="B1121" s="201" t="s">
        <v>19098</v>
      </c>
      <c r="C1121" s="196" t="s">
        <v>7</v>
      </c>
      <c r="D1121" s="197">
        <v>89.7</v>
      </c>
    </row>
    <row r="1122" spans="1:4" ht="28.5">
      <c r="A1122" s="201">
        <v>64016</v>
      </c>
      <c r="B1122" s="201" t="s">
        <v>19099</v>
      </c>
      <c r="C1122" s="196" t="s">
        <v>7</v>
      </c>
      <c r="D1122" s="197">
        <v>111.87</v>
      </c>
    </row>
    <row r="1123" spans="1:4" ht="28.5">
      <c r="A1123" s="201">
        <v>64017</v>
      </c>
      <c r="B1123" s="201" t="s">
        <v>19100</v>
      </c>
      <c r="C1123" s="196" t="s">
        <v>7</v>
      </c>
      <c r="D1123" s="197">
        <v>138.41999999999999</v>
      </c>
    </row>
    <row r="1124" spans="1:4" ht="28.5">
      <c r="A1124" s="201">
        <v>64018</v>
      </c>
      <c r="B1124" s="201" t="s">
        <v>19101</v>
      </c>
      <c r="C1124" s="196" t="s">
        <v>7</v>
      </c>
      <c r="D1124" s="197">
        <v>224.42</v>
      </c>
    </row>
    <row r="1125" spans="1:4" ht="28.5">
      <c r="A1125" s="201">
        <v>64019</v>
      </c>
      <c r="B1125" s="201" t="s">
        <v>19102</v>
      </c>
      <c r="C1125" s="196" t="s">
        <v>7</v>
      </c>
      <c r="D1125" s="197">
        <v>276.45999999999998</v>
      </c>
    </row>
    <row r="1126" spans="1:4" ht="28.5">
      <c r="A1126" s="201">
        <v>64020</v>
      </c>
      <c r="B1126" s="201" t="s">
        <v>19103</v>
      </c>
      <c r="C1126" s="196" t="s">
        <v>7</v>
      </c>
      <c r="D1126" s="197">
        <v>382.86</v>
      </c>
    </row>
    <row r="1127" spans="1:4" ht="28.5">
      <c r="A1127" s="201">
        <v>64021</v>
      </c>
      <c r="B1127" s="201" t="s">
        <v>19104</v>
      </c>
      <c r="C1127" s="196" t="s">
        <v>7</v>
      </c>
      <c r="D1127" s="197">
        <v>663.76</v>
      </c>
    </row>
    <row r="1128" spans="1:4" ht="14.25">
      <c r="A1128" s="201">
        <v>64022</v>
      </c>
      <c r="B1128" s="201" t="s">
        <v>1676</v>
      </c>
      <c r="C1128" s="196" t="s">
        <v>7</v>
      </c>
      <c r="D1128" s="197">
        <v>919.18</v>
      </c>
    </row>
    <row r="1129" spans="1:4" ht="28.5">
      <c r="A1129" s="201">
        <v>64023</v>
      </c>
      <c r="B1129" s="201" t="s">
        <v>19105</v>
      </c>
      <c r="C1129" s="196" t="s">
        <v>7</v>
      </c>
      <c r="D1129" s="199">
        <v>1330.76</v>
      </c>
    </row>
    <row r="1130" spans="1:4" ht="28.5">
      <c r="A1130" s="201">
        <v>64034</v>
      </c>
      <c r="B1130" s="201" t="s">
        <v>1677</v>
      </c>
      <c r="C1130" s="196" t="s">
        <v>7</v>
      </c>
      <c r="D1130" s="197">
        <v>140.72</v>
      </c>
    </row>
    <row r="1131" spans="1:4" ht="14.25">
      <c r="A1131" s="201">
        <v>64035</v>
      </c>
      <c r="B1131" s="201" t="s">
        <v>1678</v>
      </c>
      <c r="C1131" s="196" t="s">
        <v>7</v>
      </c>
      <c r="D1131" s="197">
        <v>73.72</v>
      </c>
    </row>
    <row r="1132" spans="1:4" ht="14.25">
      <c r="A1132" s="201">
        <v>64040</v>
      </c>
      <c r="B1132" s="201" t="s">
        <v>1679</v>
      </c>
      <c r="C1132" s="196" t="s">
        <v>7</v>
      </c>
      <c r="D1132" s="197">
        <v>60.96</v>
      </c>
    </row>
    <row r="1133" spans="1:4" ht="14.25">
      <c r="A1133" s="201">
        <v>64041</v>
      </c>
      <c r="B1133" s="201" t="s">
        <v>1680</v>
      </c>
      <c r="C1133" s="196" t="s">
        <v>7</v>
      </c>
      <c r="D1133" s="197">
        <v>152.96</v>
      </c>
    </row>
    <row r="1134" spans="1:4" ht="14.25">
      <c r="A1134" s="201">
        <v>64042</v>
      </c>
      <c r="B1134" s="201" t="s">
        <v>1681</v>
      </c>
      <c r="C1134" s="196" t="s">
        <v>7</v>
      </c>
      <c r="D1134" s="197">
        <v>231.32</v>
      </c>
    </row>
    <row r="1135" spans="1:4" ht="14.25">
      <c r="A1135" s="201">
        <v>64043</v>
      </c>
      <c r="B1135" s="201" t="s">
        <v>1682</v>
      </c>
      <c r="C1135" s="196" t="s">
        <v>7</v>
      </c>
      <c r="D1135" s="197">
        <v>406.23</v>
      </c>
    </row>
    <row r="1136" spans="1:4" ht="14.25">
      <c r="A1136" s="201">
        <v>64044</v>
      </c>
      <c r="B1136" s="201" t="s">
        <v>1683</v>
      </c>
      <c r="C1136" s="196" t="s">
        <v>7</v>
      </c>
      <c r="D1136" s="197">
        <v>545.13</v>
      </c>
    </row>
    <row r="1137" spans="1:4" ht="28.5">
      <c r="A1137" s="201">
        <v>64045</v>
      </c>
      <c r="B1137" s="201" t="s">
        <v>19106</v>
      </c>
      <c r="C1137" s="196" t="s">
        <v>7</v>
      </c>
      <c r="D1137" s="197">
        <v>53.97</v>
      </c>
    </row>
    <row r="1138" spans="1:4" ht="28.5">
      <c r="A1138" s="201">
        <v>64066</v>
      </c>
      <c r="B1138" s="201" t="s">
        <v>1684</v>
      </c>
      <c r="C1138" s="196" t="s">
        <v>7</v>
      </c>
      <c r="D1138" s="197">
        <v>77.58</v>
      </c>
    </row>
    <row r="1139" spans="1:4" ht="28.5">
      <c r="A1139" s="201">
        <v>64077</v>
      </c>
      <c r="B1139" s="201" t="s">
        <v>1685</v>
      </c>
      <c r="C1139" s="196" t="s">
        <v>7</v>
      </c>
      <c r="D1139" s="197">
        <v>12.53</v>
      </c>
    </row>
    <row r="1140" spans="1:4" ht="28.5">
      <c r="A1140" s="201">
        <v>64094</v>
      </c>
      <c r="B1140" s="201" t="s">
        <v>1686</v>
      </c>
      <c r="C1140" s="196" t="s">
        <v>7</v>
      </c>
      <c r="D1140" s="197">
        <v>281.69</v>
      </c>
    </row>
    <row r="1141" spans="1:4" ht="14.25">
      <c r="A1141" s="201">
        <v>64097</v>
      </c>
      <c r="B1141" s="201" t="s">
        <v>12583</v>
      </c>
      <c r="C1141" s="196" t="s">
        <v>7</v>
      </c>
      <c r="D1141" s="197">
        <v>298.70999999999998</v>
      </c>
    </row>
    <row r="1142" spans="1:4" ht="15">
      <c r="A1142" s="200">
        <v>641</v>
      </c>
      <c r="B1142" s="333" t="s">
        <v>1687</v>
      </c>
      <c r="C1142" s="334"/>
      <c r="D1142" s="334"/>
    </row>
    <row r="1143" spans="1:4" ht="14.25">
      <c r="A1143" s="201">
        <v>64142</v>
      </c>
      <c r="B1143" s="201" t="s">
        <v>15111</v>
      </c>
      <c r="C1143" s="196" t="s">
        <v>7</v>
      </c>
      <c r="D1143" s="197">
        <v>916.91</v>
      </c>
    </row>
    <row r="1144" spans="1:4" ht="14.25">
      <c r="A1144" s="201">
        <v>64149</v>
      </c>
      <c r="B1144" s="201" t="s">
        <v>1688</v>
      </c>
      <c r="C1144" s="196" t="s">
        <v>7</v>
      </c>
      <c r="D1144" s="197">
        <v>94</v>
      </c>
    </row>
    <row r="1145" spans="1:4" ht="15">
      <c r="A1145" s="200">
        <v>645</v>
      </c>
      <c r="B1145" s="333" t="s">
        <v>1689</v>
      </c>
      <c r="C1145" s="334"/>
      <c r="D1145" s="334"/>
    </row>
    <row r="1146" spans="1:4" ht="14.25">
      <c r="A1146" s="201">
        <v>64503</v>
      </c>
      <c r="B1146" s="201" t="s">
        <v>1690</v>
      </c>
      <c r="C1146" s="196" t="s">
        <v>7</v>
      </c>
      <c r="D1146" s="197">
        <v>149.30000000000001</v>
      </c>
    </row>
    <row r="1147" spans="1:4" ht="14.25">
      <c r="A1147" s="201">
        <v>64504</v>
      </c>
      <c r="B1147" s="201" t="s">
        <v>1691</v>
      </c>
      <c r="C1147" s="196" t="s">
        <v>7</v>
      </c>
      <c r="D1147" s="197">
        <v>215.99</v>
      </c>
    </row>
    <row r="1148" spans="1:4" ht="14.25">
      <c r="A1148" s="201">
        <v>64506</v>
      </c>
      <c r="B1148" s="201" t="s">
        <v>1692</v>
      </c>
      <c r="C1148" s="196" t="s">
        <v>7</v>
      </c>
      <c r="D1148" s="197">
        <v>166.96</v>
      </c>
    </row>
    <row r="1149" spans="1:4" ht="14.25">
      <c r="A1149" s="201">
        <v>64507</v>
      </c>
      <c r="B1149" s="201" t="s">
        <v>1693</v>
      </c>
      <c r="C1149" s="196" t="s">
        <v>7</v>
      </c>
      <c r="D1149" s="197">
        <v>15.93</v>
      </c>
    </row>
    <row r="1150" spans="1:4" ht="14.25">
      <c r="A1150" s="201">
        <v>64511</v>
      </c>
      <c r="B1150" s="201" t="s">
        <v>1694</v>
      </c>
      <c r="C1150" s="196" t="s">
        <v>7</v>
      </c>
      <c r="D1150" s="197">
        <v>205.77</v>
      </c>
    </row>
    <row r="1151" spans="1:4" ht="14.25">
      <c r="A1151" s="201">
        <v>64515</v>
      </c>
      <c r="B1151" s="201" t="s">
        <v>1695</v>
      </c>
      <c r="C1151" s="196" t="s">
        <v>7</v>
      </c>
      <c r="D1151" s="197">
        <v>18.38</v>
      </c>
    </row>
    <row r="1152" spans="1:4" ht="14.25">
      <c r="A1152" s="201">
        <v>64519</v>
      </c>
      <c r="B1152" s="201" t="s">
        <v>1696</v>
      </c>
      <c r="C1152" s="196" t="s">
        <v>7</v>
      </c>
      <c r="D1152" s="197">
        <v>18.38</v>
      </c>
    </row>
    <row r="1153" spans="1:4" ht="14.25">
      <c r="A1153" s="201">
        <v>64527</v>
      </c>
      <c r="B1153" s="201" t="s">
        <v>1697</v>
      </c>
      <c r="C1153" s="196" t="s">
        <v>7</v>
      </c>
      <c r="D1153" s="197">
        <v>37.299999999999997</v>
      </c>
    </row>
    <row r="1154" spans="1:4" ht="15">
      <c r="A1154" s="200">
        <v>647</v>
      </c>
      <c r="B1154" s="333" t="s">
        <v>1120</v>
      </c>
      <c r="C1154" s="334"/>
      <c r="D1154" s="334"/>
    </row>
    <row r="1155" spans="1:4" ht="28.5">
      <c r="A1155" s="201">
        <v>64701</v>
      </c>
      <c r="B1155" s="201" t="s">
        <v>1698</v>
      </c>
      <c r="C1155" s="196" t="s">
        <v>6</v>
      </c>
      <c r="D1155" s="197">
        <v>38.42</v>
      </c>
    </row>
    <row r="1156" spans="1:4" ht="14.25">
      <c r="A1156" s="201">
        <v>64702</v>
      </c>
      <c r="B1156" s="201" t="s">
        <v>1699</v>
      </c>
      <c r="C1156" s="196" t="s">
        <v>7</v>
      </c>
      <c r="D1156" s="197">
        <v>32.35</v>
      </c>
    </row>
    <row r="1157" spans="1:4" ht="14.25">
      <c r="A1157" s="201">
        <v>64703</v>
      </c>
      <c r="B1157" s="201" t="s">
        <v>1700</v>
      </c>
      <c r="C1157" s="196" t="s">
        <v>7</v>
      </c>
      <c r="D1157" s="197">
        <v>22.55</v>
      </c>
    </row>
    <row r="1158" spans="1:4" ht="14.25">
      <c r="A1158" s="201">
        <v>64704</v>
      </c>
      <c r="B1158" s="201" t="s">
        <v>1701</v>
      </c>
      <c r="C1158" s="196" t="s">
        <v>7</v>
      </c>
      <c r="D1158" s="197">
        <v>36.06</v>
      </c>
    </row>
    <row r="1159" spans="1:4" ht="14.25">
      <c r="A1159" s="201">
        <v>64706</v>
      </c>
      <c r="B1159" s="201" t="s">
        <v>1702</v>
      </c>
      <c r="C1159" s="196" t="s">
        <v>7</v>
      </c>
      <c r="D1159" s="197">
        <v>61.47</v>
      </c>
    </row>
    <row r="1160" spans="1:4" ht="28.5">
      <c r="A1160" s="201">
        <v>64707</v>
      </c>
      <c r="B1160" s="201" t="s">
        <v>1703</v>
      </c>
      <c r="C1160" s="196" t="s">
        <v>7</v>
      </c>
      <c r="D1160" s="197">
        <v>635.04999999999995</v>
      </c>
    </row>
    <row r="1161" spans="1:4" ht="14.25">
      <c r="A1161" s="201">
        <v>64709</v>
      </c>
      <c r="B1161" s="201" t="s">
        <v>15112</v>
      </c>
      <c r="C1161" s="196" t="s">
        <v>7</v>
      </c>
      <c r="D1161" s="197">
        <v>20.88</v>
      </c>
    </row>
    <row r="1162" spans="1:4" ht="15">
      <c r="A1162" s="200">
        <v>650</v>
      </c>
      <c r="B1162" s="333" t="s">
        <v>1704</v>
      </c>
      <c r="C1162" s="334"/>
      <c r="D1162" s="334"/>
    </row>
    <row r="1163" spans="1:4" ht="28.5">
      <c r="A1163" s="201">
        <v>65002</v>
      </c>
      <c r="B1163" s="201" t="s">
        <v>1705</v>
      </c>
      <c r="C1163" s="196" t="s">
        <v>7</v>
      </c>
      <c r="D1163" s="197">
        <v>44.37</v>
      </c>
    </row>
    <row r="1164" spans="1:4" ht="14.25">
      <c r="A1164" s="201">
        <v>65004</v>
      </c>
      <c r="B1164" s="201" t="s">
        <v>1706</v>
      </c>
      <c r="C1164" s="196" t="s">
        <v>7</v>
      </c>
      <c r="D1164" s="197">
        <v>425.24</v>
      </c>
    </row>
    <row r="1165" spans="1:4" ht="14.25">
      <c r="A1165" s="201">
        <v>65005</v>
      </c>
      <c r="B1165" s="201" t="s">
        <v>1707</v>
      </c>
      <c r="C1165" s="196" t="s">
        <v>7</v>
      </c>
      <c r="D1165" s="199">
        <v>3220.29</v>
      </c>
    </row>
    <row r="1166" spans="1:4" ht="14.25">
      <c r="A1166" s="201">
        <v>65023</v>
      </c>
      <c r="B1166" s="201" t="s">
        <v>1708</v>
      </c>
      <c r="C1166" s="196" t="s">
        <v>7</v>
      </c>
      <c r="D1166" s="199">
        <v>1241.42</v>
      </c>
    </row>
    <row r="1167" spans="1:4" ht="14.25">
      <c r="A1167" s="201">
        <v>65024</v>
      </c>
      <c r="B1167" s="201" t="s">
        <v>1709</v>
      </c>
      <c r="C1167" s="196" t="s">
        <v>7</v>
      </c>
      <c r="D1167" s="197">
        <v>301.39999999999998</v>
      </c>
    </row>
    <row r="1168" spans="1:4" ht="42.75">
      <c r="A1168" s="201">
        <v>65028</v>
      </c>
      <c r="B1168" s="201" t="s">
        <v>18968</v>
      </c>
      <c r="C1168" s="196" t="s">
        <v>7</v>
      </c>
      <c r="D1168" s="199">
        <v>15499.82</v>
      </c>
    </row>
    <row r="1169" spans="1:4" ht="14.25">
      <c r="A1169" s="201">
        <v>65031</v>
      </c>
      <c r="B1169" s="201" t="s">
        <v>1710</v>
      </c>
      <c r="C1169" s="196" t="s">
        <v>7</v>
      </c>
      <c r="D1169" s="197">
        <v>246.74</v>
      </c>
    </row>
    <row r="1170" spans="1:4" ht="14.25">
      <c r="A1170" s="201">
        <v>65032</v>
      </c>
      <c r="B1170" s="201" t="s">
        <v>1711</v>
      </c>
      <c r="C1170" s="196" t="s">
        <v>7</v>
      </c>
      <c r="D1170" s="199">
        <v>1926.91</v>
      </c>
    </row>
    <row r="1171" spans="1:4" ht="14.25">
      <c r="A1171" s="201">
        <v>65033</v>
      </c>
      <c r="B1171" s="201" t="s">
        <v>1712</v>
      </c>
      <c r="C1171" s="196" t="s">
        <v>7</v>
      </c>
      <c r="D1171" s="199">
        <v>1282.3</v>
      </c>
    </row>
    <row r="1172" spans="1:4" ht="14.25">
      <c r="A1172" s="201">
        <v>65076</v>
      </c>
      <c r="B1172" s="201" t="s">
        <v>1713</v>
      </c>
      <c r="C1172" s="196" t="s">
        <v>7</v>
      </c>
      <c r="D1172" s="199">
        <v>11091.78</v>
      </c>
    </row>
    <row r="1173" spans="1:4" ht="15">
      <c r="A1173" s="200">
        <v>652</v>
      </c>
      <c r="B1173" s="333" t="s">
        <v>1714</v>
      </c>
      <c r="C1173" s="334"/>
      <c r="D1173" s="334"/>
    </row>
    <row r="1174" spans="1:4" ht="14.25">
      <c r="A1174" s="201">
        <v>65204</v>
      </c>
      <c r="B1174" s="201" t="s">
        <v>1715</v>
      </c>
      <c r="C1174" s="196" t="s">
        <v>7</v>
      </c>
      <c r="D1174" s="199">
        <v>1272.31</v>
      </c>
    </row>
    <row r="1175" spans="1:4" ht="42.75">
      <c r="A1175" s="201">
        <v>65256</v>
      </c>
      <c r="B1175" s="201" t="s">
        <v>12584</v>
      </c>
      <c r="C1175" s="196" t="s">
        <v>7</v>
      </c>
      <c r="D1175" s="197">
        <v>220.55</v>
      </c>
    </row>
    <row r="1176" spans="1:4" ht="14.25">
      <c r="A1176" s="201">
        <v>65257</v>
      </c>
      <c r="B1176" s="201" t="s">
        <v>1716</v>
      </c>
      <c r="C1176" s="196" t="s">
        <v>7</v>
      </c>
      <c r="D1176" s="197">
        <v>625.76</v>
      </c>
    </row>
    <row r="1177" spans="1:4" ht="15">
      <c r="A1177" s="200">
        <v>655</v>
      </c>
      <c r="B1177" s="333" t="s">
        <v>1714</v>
      </c>
      <c r="C1177" s="334"/>
      <c r="D1177" s="334"/>
    </row>
    <row r="1178" spans="1:4" ht="14.25">
      <c r="A1178" s="201">
        <v>65502</v>
      </c>
      <c r="B1178" s="201" t="s">
        <v>1717</v>
      </c>
      <c r="C1178" s="196" t="s">
        <v>7</v>
      </c>
      <c r="D1178" s="197">
        <v>189.67</v>
      </c>
    </row>
    <row r="1179" spans="1:4" ht="14.25">
      <c r="A1179" s="201">
        <v>65503</v>
      </c>
      <c r="B1179" s="201" t="s">
        <v>1718</v>
      </c>
      <c r="C1179" s="196" t="s">
        <v>7</v>
      </c>
      <c r="D1179" s="197">
        <v>414.89</v>
      </c>
    </row>
    <row r="1180" spans="1:4" ht="14.25">
      <c r="A1180" s="201">
        <v>65507</v>
      </c>
      <c r="B1180" s="201" t="s">
        <v>1719</v>
      </c>
      <c r="C1180" s="196" t="s">
        <v>7</v>
      </c>
      <c r="D1180" s="197">
        <v>33.64</v>
      </c>
    </row>
    <row r="1181" spans="1:4" ht="14.25">
      <c r="A1181" s="201">
        <v>65508</v>
      </c>
      <c r="B1181" s="201" t="s">
        <v>1720</v>
      </c>
      <c r="C1181" s="196" t="s">
        <v>7</v>
      </c>
      <c r="D1181" s="197">
        <v>204.67</v>
      </c>
    </row>
    <row r="1182" spans="1:4" ht="14.25">
      <c r="A1182" s="201">
        <v>65509</v>
      </c>
      <c r="B1182" s="201" t="s">
        <v>1721</v>
      </c>
      <c r="C1182" s="196" t="s">
        <v>7</v>
      </c>
      <c r="D1182" s="197">
        <v>101.41</v>
      </c>
    </row>
    <row r="1183" spans="1:4" ht="14.25">
      <c r="A1183" s="201">
        <v>65510</v>
      </c>
      <c r="B1183" s="201" t="s">
        <v>1722</v>
      </c>
      <c r="C1183" s="196" t="s">
        <v>6</v>
      </c>
      <c r="D1183" s="199">
        <v>1191.92</v>
      </c>
    </row>
    <row r="1184" spans="1:4" ht="28.5">
      <c r="A1184" s="201">
        <v>65513</v>
      </c>
      <c r="B1184" s="201" t="s">
        <v>1723</v>
      </c>
      <c r="C1184" s="196" t="s">
        <v>7</v>
      </c>
      <c r="D1184" s="199">
        <v>1483.27</v>
      </c>
    </row>
    <row r="1185" spans="1:4" ht="14.25">
      <c r="A1185" s="201">
        <v>65521</v>
      </c>
      <c r="B1185" s="201" t="s">
        <v>1724</v>
      </c>
      <c r="C1185" s="196" t="s">
        <v>7</v>
      </c>
      <c r="D1185" s="199">
        <v>1411.29</v>
      </c>
    </row>
    <row r="1186" spans="1:4" ht="14.25">
      <c r="A1186" s="201">
        <v>65523</v>
      </c>
      <c r="B1186" s="201" t="s">
        <v>1725</v>
      </c>
      <c r="C1186" s="196" t="s">
        <v>7</v>
      </c>
      <c r="D1186" s="199">
        <v>1068.74</v>
      </c>
    </row>
    <row r="1187" spans="1:4" ht="14.25">
      <c r="A1187" s="201">
        <v>65524</v>
      </c>
      <c r="B1187" s="201" t="s">
        <v>1726</v>
      </c>
      <c r="C1187" s="196" t="s">
        <v>7</v>
      </c>
      <c r="D1187" s="197">
        <v>23.59</v>
      </c>
    </row>
    <row r="1188" spans="1:4" ht="14.25">
      <c r="A1188" s="201">
        <v>65526</v>
      </c>
      <c r="B1188" s="201" t="s">
        <v>1727</v>
      </c>
      <c r="C1188" s="196" t="s">
        <v>7</v>
      </c>
      <c r="D1188" s="197">
        <v>17.22</v>
      </c>
    </row>
    <row r="1189" spans="1:4" ht="14.25">
      <c r="A1189" s="201">
        <v>65528</v>
      </c>
      <c r="B1189" s="201" t="s">
        <v>1728</v>
      </c>
      <c r="C1189" s="196" t="s">
        <v>7</v>
      </c>
      <c r="D1189" s="197">
        <v>664.2</v>
      </c>
    </row>
    <row r="1190" spans="1:4" ht="28.5">
      <c r="A1190" s="201">
        <v>65544</v>
      </c>
      <c r="B1190" s="201" t="s">
        <v>1729</v>
      </c>
      <c r="C1190" s="196" t="s">
        <v>7</v>
      </c>
      <c r="D1190" s="197">
        <v>79.36</v>
      </c>
    </row>
    <row r="1191" spans="1:4" ht="14.25">
      <c r="A1191" s="201">
        <v>65555</v>
      </c>
      <c r="B1191" s="201" t="s">
        <v>1730</v>
      </c>
      <c r="C1191" s="196" t="s">
        <v>6</v>
      </c>
      <c r="D1191" s="199">
        <v>1111.58</v>
      </c>
    </row>
    <row r="1192" spans="1:4" ht="14.25">
      <c r="A1192" s="201">
        <v>65556</v>
      </c>
      <c r="B1192" s="201" t="s">
        <v>1731</v>
      </c>
      <c r="C1192" s="196" t="s">
        <v>6</v>
      </c>
      <c r="D1192" s="199">
        <v>1111.58</v>
      </c>
    </row>
    <row r="1193" spans="1:4" ht="14.25">
      <c r="A1193" s="201">
        <v>65563</v>
      </c>
      <c r="B1193" s="201" t="s">
        <v>1732</v>
      </c>
      <c r="C1193" s="196" t="s">
        <v>6</v>
      </c>
      <c r="D1193" s="199">
        <v>1191.92</v>
      </c>
    </row>
    <row r="1194" spans="1:4" ht="14.25">
      <c r="A1194" s="201">
        <v>65565</v>
      </c>
      <c r="B1194" s="201" t="s">
        <v>1733</v>
      </c>
      <c r="C1194" s="196" t="s">
        <v>7</v>
      </c>
      <c r="D1194" s="199">
        <v>2004.54</v>
      </c>
    </row>
    <row r="1195" spans="1:4" ht="28.5">
      <c r="A1195" s="201">
        <v>65566</v>
      </c>
      <c r="B1195" s="201" t="s">
        <v>1734</v>
      </c>
      <c r="C1195" s="196" t="s">
        <v>7</v>
      </c>
      <c r="D1195" s="199">
        <v>3320.72</v>
      </c>
    </row>
    <row r="1196" spans="1:4" ht="14.25">
      <c r="A1196" s="201">
        <v>65567</v>
      </c>
      <c r="B1196" s="201" t="s">
        <v>1735</v>
      </c>
      <c r="C1196" s="196" t="s">
        <v>7</v>
      </c>
      <c r="D1196" s="199">
        <v>1365.95</v>
      </c>
    </row>
    <row r="1197" spans="1:4" ht="14.25">
      <c r="A1197" s="201">
        <v>65572</v>
      </c>
      <c r="B1197" s="201" t="s">
        <v>1736</v>
      </c>
      <c r="C1197" s="196" t="s">
        <v>7</v>
      </c>
      <c r="D1197" s="199">
        <v>2630.11</v>
      </c>
    </row>
    <row r="1198" spans="1:4" ht="14.25">
      <c r="A1198" s="201">
        <v>65594</v>
      </c>
      <c r="B1198" s="201" t="s">
        <v>1737</v>
      </c>
      <c r="C1198" s="196" t="s">
        <v>6</v>
      </c>
      <c r="D1198" s="199">
        <v>1111.58</v>
      </c>
    </row>
    <row r="1199" spans="1:4" ht="14.25">
      <c r="A1199" s="201">
        <v>65596</v>
      </c>
      <c r="B1199" s="201" t="s">
        <v>1738</v>
      </c>
      <c r="C1199" s="196" t="s">
        <v>7</v>
      </c>
      <c r="D1199" s="197">
        <v>268.62</v>
      </c>
    </row>
    <row r="1200" spans="1:4" ht="14.25">
      <c r="A1200" s="201">
        <v>65598</v>
      </c>
      <c r="B1200" s="201" t="s">
        <v>1739</v>
      </c>
      <c r="C1200" s="196" t="s">
        <v>7</v>
      </c>
      <c r="D1200" s="197">
        <v>216.6</v>
      </c>
    </row>
    <row r="1201" spans="1:4" ht="15">
      <c r="A1201" s="200">
        <v>656</v>
      </c>
      <c r="B1201" s="333" t="s">
        <v>1714</v>
      </c>
      <c r="C1201" s="334"/>
      <c r="D1201" s="334"/>
    </row>
    <row r="1202" spans="1:4" ht="14.25">
      <c r="A1202" s="201">
        <v>65604</v>
      </c>
      <c r="B1202" s="201" t="s">
        <v>1740</v>
      </c>
      <c r="C1202" s="196" t="s">
        <v>7</v>
      </c>
      <c r="D1202" s="197">
        <v>26.16</v>
      </c>
    </row>
    <row r="1203" spans="1:4" ht="14.25">
      <c r="A1203" s="201">
        <v>65611</v>
      </c>
      <c r="B1203" s="201" t="s">
        <v>1741</v>
      </c>
      <c r="C1203" s="196" t="s">
        <v>7</v>
      </c>
      <c r="D1203" s="197">
        <v>62.5</v>
      </c>
    </row>
    <row r="1204" spans="1:4" ht="14.25">
      <c r="A1204" s="201">
        <v>65670</v>
      </c>
      <c r="B1204" s="201" t="s">
        <v>1742</v>
      </c>
      <c r="C1204" s="196" t="s">
        <v>7</v>
      </c>
      <c r="D1204" s="197">
        <v>94.76</v>
      </c>
    </row>
    <row r="1205" spans="1:4" ht="14.25">
      <c r="A1205" s="201">
        <v>65697</v>
      </c>
      <c r="B1205" s="201" t="s">
        <v>1743</v>
      </c>
      <c r="C1205" s="196" t="s">
        <v>7</v>
      </c>
      <c r="D1205" s="197">
        <v>195.1</v>
      </c>
    </row>
    <row r="1206" spans="1:4" ht="14.25">
      <c r="A1206" s="201">
        <v>65698</v>
      </c>
      <c r="B1206" s="201" t="s">
        <v>1744</v>
      </c>
      <c r="C1206" s="196" t="s">
        <v>7</v>
      </c>
      <c r="D1206" s="197">
        <v>99.02</v>
      </c>
    </row>
    <row r="1207" spans="1:4" ht="15">
      <c r="A1207" s="200">
        <v>657</v>
      </c>
      <c r="B1207" s="333" t="s">
        <v>1714</v>
      </c>
      <c r="C1207" s="334"/>
      <c r="D1207" s="334"/>
    </row>
    <row r="1208" spans="1:4" ht="14.25">
      <c r="A1208" s="201">
        <v>65717</v>
      </c>
      <c r="B1208" s="201" t="s">
        <v>1745</v>
      </c>
      <c r="C1208" s="196" t="s">
        <v>7</v>
      </c>
      <c r="D1208" s="197">
        <v>203.82</v>
      </c>
    </row>
    <row r="1209" spans="1:4" ht="15">
      <c r="A1209" s="200">
        <v>658</v>
      </c>
      <c r="B1209" s="333" t="s">
        <v>1714</v>
      </c>
      <c r="C1209" s="334"/>
      <c r="D1209" s="334"/>
    </row>
    <row r="1210" spans="1:4" ht="28.5">
      <c r="A1210" s="201">
        <v>65812</v>
      </c>
      <c r="B1210" s="201" t="s">
        <v>1746</v>
      </c>
      <c r="C1210" s="196" t="s">
        <v>7</v>
      </c>
      <c r="D1210" s="197">
        <v>491.48</v>
      </c>
    </row>
    <row r="1211" spans="1:4" ht="14.25">
      <c r="A1211" s="201">
        <v>65829</v>
      </c>
      <c r="B1211" s="201" t="s">
        <v>1747</v>
      </c>
      <c r="C1211" s="196" t="s">
        <v>7</v>
      </c>
      <c r="D1211" s="199">
        <v>1760.84</v>
      </c>
    </row>
    <row r="1212" spans="1:4" ht="14.25">
      <c r="A1212" s="201">
        <v>65830</v>
      </c>
      <c r="B1212" s="201" t="s">
        <v>1748</v>
      </c>
      <c r="C1212" s="196" t="s">
        <v>7</v>
      </c>
      <c r="D1212" s="199">
        <v>2376.27</v>
      </c>
    </row>
    <row r="1213" spans="1:4" ht="28.5">
      <c r="A1213" s="201">
        <v>65831</v>
      </c>
      <c r="B1213" s="201" t="s">
        <v>1749</v>
      </c>
      <c r="C1213" s="196" t="s">
        <v>7</v>
      </c>
      <c r="D1213" s="197">
        <v>199.68</v>
      </c>
    </row>
    <row r="1214" spans="1:4" ht="14.25">
      <c r="A1214" s="201">
        <v>65847</v>
      </c>
      <c r="B1214" s="201" t="s">
        <v>1750</v>
      </c>
      <c r="C1214" s="196" t="s">
        <v>7</v>
      </c>
      <c r="D1214" s="197">
        <v>231.85</v>
      </c>
    </row>
    <row r="1215" spans="1:4" ht="28.5">
      <c r="A1215" s="201">
        <v>65861</v>
      </c>
      <c r="B1215" s="201" t="s">
        <v>1751</v>
      </c>
      <c r="C1215" s="196" t="s">
        <v>7</v>
      </c>
      <c r="D1215" s="197">
        <v>374.11</v>
      </c>
    </row>
    <row r="1216" spans="1:4" ht="28.5">
      <c r="A1216" s="201">
        <v>65881</v>
      </c>
      <c r="B1216" s="201" t="s">
        <v>1752</v>
      </c>
      <c r="C1216" s="196" t="s">
        <v>7</v>
      </c>
      <c r="D1216" s="199">
        <v>1684.68</v>
      </c>
    </row>
    <row r="1217" spans="1:4" ht="15">
      <c r="A1217" s="200">
        <v>659</v>
      </c>
      <c r="B1217" s="333" t="s">
        <v>1714</v>
      </c>
      <c r="C1217" s="334"/>
      <c r="D1217" s="334"/>
    </row>
    <row r="1218" spans="1:4" ht="28.5">
      <c r="A1218" s="201">
        <v>65943</v>
      </c>
      <c r="B1218" s="201" t="s">
        <v>1753</v>
      </c>
      <c r="C1218" s="196" t="s">
        <v>7</v>
      </c>
      <c r="D1218" s="197">
        <v>298</v>
      </c>
    </row>
    <row r="1219" spans="1:4" ht="14.25">
      <c r="A1219" s="201">
        <v>65955</v>
      </c>
      <c r="B1219" s="201" t="s">
        <v>15113</v>
      </c>
      <c r="C1219" s="196" t="s">
        <v>7</v>
      </c>
      <c r="D1219" s="197">
        <v>450.2</v>
      </c>
    </row>
    <row r="1220" spans="1:4" ht="28.5">
      <c r="A1220" s="201">
        <v>65973</v>
      </c>
      <c r="B1220" s="201" t="s">
        <v>1754</v>
      </c>
      <c r="C1220" s="196" t="s">
        <v>7</v>
      </c>
      <c r="D1220" s="199">
        <v>1255.24</v>
      </c>
    </row>
    <row r="1221" spans="1:4" ht="15">
      <c r="A1221" s="200">
        <v>660</v>
      </c>
      <c r="B1221" s="333" t="s">
        <v>1755</v>
      </c>
      <c r="C1221" s="334"/>
      <c r="D1221" s="334"/>
    </row>
    <row r="1222" spans="1:4" ht="14.25">
      <c r="A1222" s="201">
        <v>66008</v>
      </c>
      <c r="B1222" s="201" t="s">
        <v>1756</v>
      </c>
      <c r="C1222" s="196" t="s">
        <v>7</v>
      </c>
      <c r="D1222" s="197">
        <v>190.68</v>
      </c>
    </row>
    <row r="1223" spans="1:4" ht="28.5">
      <c r="A1223" s="201">
        <v>66009</v>
      </c>
      <c r="B1223" s="201" t="s">
        <v>19107</v>
      </c>
      <c r="C1223" s="196" t="s">
        <v>7</v>
      </c>
      <c r="D1223" s="197">
        <v>134.69</v>
      </c>
    </row>
    <row r="1224" spans="1:4" ht="14.25">
      <c r="A1224" s="201">
        <v>66012</v>
      </c>
      <c r="B1224" s="201" t="s">
        <v>1757</v>
      </c>
      <c r="C1224" s="196" t="s">
        <v>7</v>
      </c>
      <c r="D1224" s="197">
        <v>149.38999999999999</v>
      </c>
    </row>
    <row r="1225" spans="1:4" ht="14.25">
      <c r="A1225" s="201">
        <v>66013</v>
      </c>
      <c r="B1225" s="201" t="s">
        <v>1758</v>
      </c>
      <c r="C1225" s="196" t="s">
        <v>7</v>
      </c>
      <c r="D1225" s="197">
        <v>157.9</v>
      </c>
    </row>
    <row r="1226" spans="1:4" ht="14.25">
      <c r="A1226" s="201">
        <v>66022</v>
      </c>
      <c r="B1226" s="201" t="s">
        <v>1759</v>
      </c>
      <c r="C1226" s="196" t="s">
        <v>7</v>
      </c>
      <c r="D1226" s="197">
        <v>88.68</v>
      </c>
    </row>
    <row r="1227" spans="1:4" ht="14.25">
      <c r="A1227" s="201">
        <v>66024</v>
      </c>
      <c r="B1227" s="201" t="s">
        <v>1760</v>
      </c>
      <c r="C1227" s="196" t="s">
        <v>7</v>
      </c>
      <c r="D1227" s="197">
        <v>28.2</v>
      </c>
    </row>
    <row r="1228" spans="1:4" ht="28.5">
      <c r="A1228" s="201">
        <v>66027</v>
      </c>
      <c r="B1228" s="201" t="s">
        <v>1761</v>
      </c>
      <c r="C1228" s="196" t="s">
        <v>7</v>
      </c>
      <c r="D1228" s="197">
        <v>289.49</v>
      </c>
    </row>
    <row r="1229" spans="1:4" ht="28.5">
      <c r="A1229" s="201">
        <v>66045</v>
      </c>
      <c r="B1229" s="201" t="s">
        <v>1762</v>
      </c>
      <c r="C1229" s="196" t="s">
        <v>7</v>
      </c>
      <c r="D1229" s="197">
        <v>201.14</v>
      </c>
    </row>
    <row r="1230" spans="1:4" ht="28.5">
      <c r="A1230" s="201">
        <v>66048</v>
      </c>
      <c r="B1230" s="201" t="s">
        <v>1763</v>
      </c>
      <c r="C1230" s="196" t="s">
        <v>7</v>
      </c>
      <c r="D1230" s="197">
        <v>90.59</v>
      </c>
    </row>
    <row r="1231" spans="1:4" ht="14.25">
      <c r="A1231" s="201">
        <v>66049</v>
      </c>
      <c r="B1231" s="201" t="s">
        <v>1764</v>
      </c>
      <c r="C1231" s="196" t="s">
        <v>7</v>
      </c>
      <c r="D1231" s="197">
        <v>16.45</v>
      </c>
    </row>
    <row r="1232" spans="1:4" ht="28.5">
      <c r="A1232" s="201">
        <v>66058</v>
      </c>
      <c r="B1232" s="201" t="s">
        <v>1765</v>
      </c>
      <c r="C1232" s="196" t="s">
        <v>7</v>
      </c>
      <c r="D1232" s="197">
        <v>190.68</v>
      </c>
    </row>
    <row r="1233" spans="1:4" ht="28.5">
      <c r="A1233" s="201">
        <v>66074</v>
      </c>
      <c r="B1233" s="201" t="s">
        <v>1766</v>
      </c>
      <c r="C1233" s="196" t="s">
        <v>7</v>
      </c>
      <c r="D1233" s="197">
        <v>393.47</v>
      </c>
    </row>
    <row r="1234" spans="1:4" ht="15">
      <c r="A1234" s="200">
        <v>661</v>
      </c>
      <c r="B1234" s="333" t="s">
        <v>1755</v>
      </c>
      <c r="C1234" s="334"/>
      <c r="D1234" s="334"/>
    </row>
    <row r="1235" spans="1:4" ht="14.25">
      <c r="A1235" s="201">
        <v>66124</v>
      </c>
      <c r="B1235" s="201" t="s">
        <v>1767</v>
      </c>
      <c r="C1235" s="196" t="s">
        <v>7</v>
      </c>
      <c r="D1235" s="197">
        <v>134.69</v>
      </c>
    </row>
    <row r="1236" spans="1:4" ht="28.5">
      <c r="A1236" s="201">
        <v>66125</v>
      </c>
      <c r="B1236" s="201" t="s">
        <v>1768</v>
      </c>
      <c r="C1236" s="196" t="s">
        <v>7</v>
      </c>
      <c r="D1236" s="197">
        <v>161.94999999999999</v>
      </c>
    </row>
    <row r="1237" spans="1:4" ht="28.5">
      <c r="A1237" s="201">
        <v>66178</v>
      </c>
      <c r="B1237" s="201" t="s">
        <v>15114</v>
      </c>
      <c r="C1237" s="196" t="s">
        <v>7</v>
      </c>
      <c r="D1237" s="197">
        <v>733.65</v>
      </c>
    </row>
    <row r="1238" spans="1:4" ht="15">
      <c r="A1238" s="200">
        <v>662</v>
      </c>
      <c r="B1238" s="333" t="s">
        <v>1714</v>
      </c>
      <c r="C1238" s="334"/>
      <c r="D1238" s="334"/>
    </row>
    <row r="1239" spans="1:4" ht="28.5">
      <c r="A1239" s="201">
        <v>66207</v>
      </c>
      <c r="B1239" s="201" t="s">
        <v>1769</v>
      </c>
      <c r="C1239" s="196" t="s">
        <v>7</v>
      </c>
      <c r="D1239" s="199">
        <v>1039.6400000000001</v>
      </c>
    </row>
    <row r="1240" spans="1:4" ht="15">
      <c r="A1240" s="200">
        <v>663</v>
      </c>
      <c r="B1240" s="333" t="s">
        <v>1755</v>
      </c>
      <c r="C1240" s="334"/>
      <c r="D1240" s="334"/>
    </row>
    <row r="1241" spans="1:4" ht="42.75">
      <c r="A1241" s="201">
        <v>66301</v>
      </c>
      <c r="B1241" s="201" t="s">
        <v>12585</v>
      </c>
      <c r="C1241" s="196" t="s">
        <v>7</v>
      </c>
      <c r="D1241" s="197">
        <v>512.91999999999996</v>
      </c>
    </row>
    <row r="1242" spans="1:4" ht="28.5">
      <c r="A1242" s="201">
        <v>66335</v>
      </c>
      <c r="B1242" s="201" t="s">
        <v>1770</v>
      </c>
      <c r="C1242" s="196" t="s">
        <v>7</v>
      </c>
      <c r="D1242" s="197">
        <v>242.36</v>
      </c>
    </row>
    <row r="1243" spans="1:4" ht="28.5">
      <c r="A1243" s="201">
        <v>66368</v>
      </c>
      <c r="B1243" s="201" t="s">
        <v>1771</v>
      </c>
      <c r="C1243" s="196" t="s">
        <v>7</v>
      </c>
      <c r="D1243" s="197">
        <v>691.92</v>
      </c>
    </row>
    <row r="1244" spans="1:4" ht="14.25">
      <c r="A1244" s="201">
        <v>66372</v>
      </c>
      <c r="B1244" s="201" t="s">
        <v>15115</v>
      </c>
      <c r="C1244" s="196" t="s">
        <v>7</v>
      </c>
      <c r="D1244" s="197">
        <v>343.64</v>
      </c>
    </row>
    <row r="1245" spans="1:4" ht="15">
      <c r="A1245" s="200">
        <v>666</v>
      </c>
      <c r="B1245" s="333" t="s">
        <v>1772</v>
      </c>
      <c r="C1245" s="334"/>
      <c r="D1245" s="334"/>
    </row>
    <row r="1246" spans="1:4" ht="28.5">
      <c r="A1246" s="201">
        <v>66608</v>
      </c>
      <c r="B1246" s="201" t="s">
        <v>1773</v>
      </c>
      <c r="C1246" s="196" t="s">
        <v>7</v>
      </c>
      <c r="D1246" s="199">
        <v>1135.6500000000001</v>
      </c>
    </row>
    <row r="1247" spans="1:4" ht="15">
      <c r="A1247" s="200">
        <v>670</v>
      </c>
      <c r="B1247" s="333" t="s">
        <v>1774</v>
      </c>
      <c r="C1247" s="334"/>
      <c r="D1247" s="334"/>
    </row>
    <row r="1248" spans="1:4" ht="28.5">
      <c r="A1248" s="201">
        <v>67001</v>
      </c>
      <c r="B1248" s="201" t="s">
        <v>1775</v>
      </c>
      <c r="C1248" s="196" t="s">
        <v>7</v>
      </c>
      <c r="D1248" s="197">
        <v>404.51</v>
      </c>
    </row>
    <row r="1249" spans="1:4" ht="14.25">
      <c r="A1249" s="201">
        <v>67004</v>
      </c>
      <c r="B1249" s="201" t="s">
        <v>1776</v>
      </c>
      <c r="C1249" s="196" t="s">
        <v>7</v>
      </c>
      <c r="D1249" s="197">
        <v>678.91</v>
      </c>
    </row>
    <row r="1250" spans="1:4" ht="28.5">
      <c r="A1250" s="201">
        <v>67007</v>
      </c>
      <c r="B1250" s="201" t="s">
        <v>1777</v>
      </c>
      <c r="C1250" s="196" t="s">
        <v>7</v>
      </c>
      <c r="D1250" s="197">
        <v>300.19</v>
      </c>
    </row>
    <row r="1251" spans="1:4" ht="28.5">
      <c r="A1251" s="201">
        <v>67008</v>
      </c>
      <c r="B1251" s="201" t="s">
        <v>18969</v>
      </c>
      <c r="C1251" s="196" t="s">
        <v>7</v>
      </c>
      <c r="D1251" s="197">
        <v>77.92</v>
      </c>
    </row>
    <row r="1252" spans="1:4" ht="14.25">
      <c r="A1252" s="201">
        <v>67035</v>
      </c>
      <c r="B1252" s="201" t="s">
        <v>1778</v>
      </c>
      <c r="C1252" s="196" t="s">
        <v>7</v>
      </c>
      <c r="D1252" s="197">
        <v>16.829999999999998</v>
      </c>
    </row>
    <row r="1253" spans="1:4" ht="14.25">
      <c r="A1253" s="201">
        <v>67040</v>
      </c>
      <c r="B1253" s="201" t="s">
        <v>1779</v>
      </c>
      <c r="C1253" s="196" t="s">
        <v>7</v>
      </c>
      <c r="D1253" s="197">
        <v>181.78</v>
      </c>
    </row>
    <row r="1254" spans="1:4" ht="14.25">
      <c r="A1254" s="201">
        <v>67042</v>
      </c>
      <c r="B1254" s="201" t="s">
        <v>1780</v>
      </c>
      <c r="C1254" s="196" t="s">
        <v>7</v>
      </c>
      <c r="D1254" s="197">
        <v>166.08</v>
      </c>
    </row>
    <row r="1255" spans="1:4" ht="14.25">
      <c r="A1255" s="201">
        <v>67043</v>
      </c>
      <c r="B1255" s="201" t="s">
        <v>1781</v>
      </c>
      <c r="C1255" s="196" t="s">
        <v>7</v>
      </c>
      <c r="D1255" s="197">
        <v>184.22</v>
      </c>
    </row>
    <row r="1256" spans="1:4" ht="14.25">
      <c r="A1256" s="201">
        <v>67046</v>
      </c>
      <c r="B1256" s="201" t="s">
        <v>1782</v>
      </c>
      <c r="C1256" s="196" t="s">
        <v>7</v>
      </c>
      <c r="D1256" s="197">
        <v>179.59</v>
      </c>
    </row>
    <row r="1257" spans="1:4" ht="14.25">
      <c r="A1257" s="201">
        <v>67047</v>
      </c>
      <c r="B1257" s="201" t="s">
        <v>1783</v>
      </c>
      <c r="C1257" s="196" t="s">
        <v>7</v>
      </c>
      <c r="D1257" s="197">
        <v>826.17</v>
      </c>
    </row>
    <row r="1258" spans="1:4" ht="14.25">
      <c r="A1258" s="201">
        <v>67050</v>
      </c>
      <c r="B1258" s="201" t="s">
        <v>1784</v>
      </c>
      <c r="C1258" s="196" t="s">
        <v>7</v>
      </c>
      <c r="D1258" s="197">
        <v>286.89</v>
      </c>
    </row>
    <row r="1259" spans="1:4" ht="28.5">
      <c r="A1259" s="201">
        <v>67051</v>
      </c>
      <c r="B1259" s="201" t="s">
        <v>1785</v>
      </c>
      <c r="C1259" s="196" t="s">
        <v>7</v>
      </c>
      <c r="D1259" s="197">
        <v>79.59</v>
      </c>
    </row>
    <row r="1260" spans="1:4" ht="28.5">
      <c r="A1260" s="201">
        <v>67054</v>
      </c>
      <c r="B1260" s="201" t="s">
        <v>1786</v>
      </c>
      <c r="C1260" s="196" t="s">
        <v>7</v>
      </c>
      <c r="D1260" s="197">
        <v>499.85</v>
      </c>
    </row>
    <row r="1261" spans="1:4" ht="14.25">
      <c r="A1261" s="201">
        <v>67061</v>
      </c>
      <c r="B1261" s="201" t="s">
        <v>1787</v>
      </c>
      <c r="C1261" s="196" t="s">
        <v>7</v>
      </c>
      <c r="D1261" s="197">
        <v>21.79</v>
      </c>
    </row>
    <row r="1262" spans="1:4" ht="28.5">
      <c r="A1262" s="201">
        <v>67066</v>
      </c>
      <c r="B1262" s="201" t="s">
        <v>1788</v>
      </c>
      <c r="C1262" s="196" t="s">
        <v>7</v>
      </c>
      <c r="D1262" s="197">
        <v>633.79</v>
      </c>
    </row>
    <row r="1263" spans="1:4" ht="14.25">
      <c r="A1263" s="201">
        <v>67067</v>
      </c>
      <c r="B1263" s="201" t="s">
        <v>1789</v>
      </c>
      <c r="C1263" s="196" t="s">
        <v>7</v>
      </c>
      <c r="D1263" s="197">
        <v>137.82</v>
      </c>
    </row>
    <row r="1264" spans="1:4" ht="42.75">
      <c r="A1264" s="201">
        <v>67090</v>
      </c>
      <c r="B1264" s="201" t="s">
        <v>1790</v>
      </c>
      <c r="C1264" s="196" t="s">
        <v>7</v>
      </c>
      <c r="D1264" s="197">
        <v>13.89</v>
      </c>
    </row>
    <row r="1265" spans="1:4" ht="14.25">
      <c r="A1265" s="201">
        <v>67094</v>
      </c>
      <c r="B1265" s="201" t="s">
        <v>1791</v>
      </c>
      <c r="C1265" s="196" t="s">
        <v>7</v>
      </c>
      <c r="D1265" s="197">
        <v>154.63</v>
      </c>
    </row>
    <row r="1266" spans="1:4" ht="15">
      <c r="A1266" s="200">
        <v>671</v>
      </c>
      <c r="B1266" s="333" t="s">
        <v>1774</v>
      </c>
      <c r="C1266" s="334"/>
      <c r="D1266" s="334"/>
    </row>
    <row r="1267" spans="1:4" ht="14.25">
      <c r="A1267" s="201">
        <v>67130</v>
      </c>
      <c r="B1267" s="201" t="s">
        <v>15116</v>
      </c>
      <c r="C1267" s="196" t="s">
        <v>7</v>
      </c>
      <c r="D1267" s="197">
        <v>144.22</v>
      </c>
    </row>
    <row r="1268" spans="1:4" ht="15">
      <c r="A1268" s="200">
        <v>675</v>
      </c>
      <c r="B1268" s="333" t="s">
        <v>1792</v>
      </c>
      <c r="C1268" s="334"/>
      <c r="D1268" s="334"/>
    </row>
    <row r="1269" spans="1:4" ht="28.5">
      <c r="A1269" s="201">
        <v>67507</v>
      </c>
      <c r="B1269" s="201" t="s">
        <v>1793</v>
      </c>
      <c r="C1269" s="196" t="s">
        <v>7</v>
      </c>
      <c r="D1269" s="197">
        <v>26.25</v>
      </c>
    </row>
    <row r="1270" spans="1:4" ht="14.25">
      <c r="A1270" s="201">
        <v>67510</v>
      </c>
      <c r="B1270" s="201" t="s">
        <v>1794</v>
      </c>
      <c r="C1270" s="196" t="s">
        <v>7</v>
      </c>
      <c r="D1270" s="197">
        <v>24.3</v>
      </c>
    </row>
    <row r="1271" spans="1:4" ht="28.5">
      <c r="A1271" s="201">
        <v>67512</v>
      </c>
      <c r="B1271" s="201" t="s">
        <v>1795</v>
      </c>
      <c r="C1271" s="196" t="s">
        <v>7</v>
      </c>
      <c r="D1271" s="197">
        <v>47.35</v>
      </c>
    </row>
    <row r="1272" spans="1:4" ht="14.25">
      <c r="A1272" s="201">
        <v>67522</v>
      </c>
      <c r="B1272" s="201" t="s">
        <v>1796</v>
      </c>
      <c r="C1272" s="196" t="s">
        <v>7</v>
      </c>
      <c r="D1272" s="197">
        <v>11.71</v>
      </c>
    </row>
    <row r="1273" spans="1:4" ht="28.5">
      <c r="A1273" s="201">
        <v>67552</v>
      </c>
      <c r="B1273" s="201" t="s">
        <v>1797</v>
      </c>
      <c r="C1273" s="196" t="s">
        <v>7</v>
      </c>
      <c r="D1273" s="197">
        <v>22.63</v>
      </c>
    </row>
    <row r="1274" spans="1:4" ht="28.5">
      <c r="A1274" s="201">
        <v>67560</v>
      </c>
      <c r="B1274" s="201" t="s">
        <v>1798</v>
      </c>
      <c r="C1274" s="196" t="s">
        <v>7</v>
      </c>
      <c r="D1274" s="197">
        <v>49.43</v>
      </c>
    </row>
    <row r="1275" spans="1:4" ht="14.25">
      <c r="A1275" s="201">
        <v>67561</v>
      </c>
      <c r="B1275" s="201" t="s">
        <v>1799</v>
      </c>
      <c r="C1275" s="196" t="s">
        <v>7</v>
      </c>
      <c r="D1275" s="197">
        <v>35.47</v>
      </c>
    </row>
    <row r="1276" spans="1:4" ht="28.5">
      <c r="A1276" s="201">
        <v>67578</v>
      </c>
      <c r="B1276" s="201" t="s">
        <v>1800</v>
      </c>
      <c r="C1276" s="196" t="s">
        <v>7</v>
      </c>
      <c r="D1276" s="197">
        <v>26.25</v>
      </c>
    </row>
    <row r="1277" spans="1:4" ht="15">
      <c r="A1277" s="200">
        <v>676</v>
      </c>
      <c r="B1277" s="333" t="s">
        <v>1801</v>
      </c>
      <c r="C1277" s="334"/>
      <c r="D1277" s="334"/>
    </row>
    <row r="1278" spans="1:4" ht="28.5">
      <c r="A1278" s="201">
        <v>67650</v>
      </c>
      <c r="B1278" s="201" t="s">
        <v>1802</v>
      </c>
      <c r="C1278" s="196" t="s">
        <v>7</v>
      </c>
      <c r="D1278" s="197">
        <v>44.97</v>
      </c>
    </row>
    <row r="1279" spans="1:4" ht="14.25">
      <c r="A1279" s="201">
        <v>67651</v>
      </c>
      <c r="B1279" s="201" t="s">
        <v>1803</v>
      </c>
      <c r="C1279" s="196" t="s">
        <v>7</v>
      </c>
      <c r="D1279" s="197">
        <v>32.299999999999997</v>
      </c>
    </row>
    <row r="1280" spans="1:4" ht="14.25">
      <c r="A1280" s="201">
        <v>67652</v>
      </c>
      <c r="B1280" s="201" t="s">
        <v>1804</v>
      </c>
      <c r="C1280" s="196" t="s">
        <v>7</v>
      </c>
      <c r="D1280" s="197">
        <v>9.9700000000000006</v>
      </c>
    </row>
    <row r="1281" spans="1:4" ht="15">
      <c r="A1281" s="200">
        <v>680</v>
      </c>
      <c r="B1281" s="333" t="s">
        <v>1805</v>
      </c>
      <c r="C1281" s="334"/>
      <c r="D1281" s="334"/>
    </row>
    <row r="1282" spans="1:4" ht="14.25">
      <c r="A1282" s="201">
        <v>68001</v>
      </c>
      <c r="B1282" s="201" t="s">
        <v>1806</v>
      </c>
      <c r="C1282" s="196" t="s">
        <v>6</v>
      </c>
      <c r="D1282" s="197">
        <v>14</v>
      </c>
    </row>
    <row r="1283" spans="1:4" ht="28.5">
      <c r="A1283" s="201">
        <v>68017</v>
      </c>
      <c r="B1283" s="201" t="s">
        <v>18970</v>
      </c>
      <c r="C1283" s="196" t="s">
        <v>7</v>
      </c>
      <c r="D1283" s="197">
        <v>31</v>
      </c>
    </row>
    <row r="1284" spans="1:4" ht="14.25">
      <c r="A1284" s="201">
        <v>68020</v>
      </c>
      <c r="B1284" s="201" t="s">
        <v>1807</v>
      </c>
      <c r="C1284" s="196" t="s">
        <v>9</v>
      </c>
      <c r="D1284" s="197">
        <v>117.13</v>
      </c>
    </row>
    <row r="1285" spans="1:4" ht="28.5">
      <c r="A1285" s="201">
        <v>68023</v>
      </c>
      <c r="B1285" s="201" t="s">
        <v>1808</v>
      </c>
      <c r="C1285" s="196" t="s">
        <v>6</v>
      </c>
      <c r="D1285" s="197">
        <v>167.78</v>
      </c>
    </row>
    <row r="1286" spans="1:4" ht="14.25">
      <c r="A1286" s="201">
        <v>68047</v>
      </c>
      <c r="B1286" s="201" t="s">
        <v>1809</v>
      </c>
      <c r="C1286" s="196" t="s">
        <v>9</v>
      </c>
      <c r="D1286" s="197">
        <v>176.62</v>
      </c>
    </row>
    <row r="1287" spans="1:4" ht="15">
      <c r="A1287" s="200">
        <v>681</v>
      </c>
      <c r="B1287" s="333" t="s">
        <v>1810</v>
      </c>
      <c r="C1287" s="334"/>
      <c r="D1287" s="334"/>
    </row>
    <row r="1288" spans="1:4" ht="14.25">
      <c r="A1288" s="201">
        <v>68138</v>
      </c>
      <c r="B1288" s="201" t="s">
        <v>1811</v>
      </c>
      <c r="C1288" s="196" t="s">
        <v>7</v>
      </c>
      <c r="D1288" s="197">
        <v>320.47000000000003</v>
      </c>
    </row>
    <row r="1289" spans="1:4" ht="15">
      <c r="A1289" s="200">
        <v>685</v>
      </c>
      <c r="B1289" s="333" t="s">
        <v>18971</v>
      </c>
      <c r="C1289" s="334"/>
      <c r="D1289" s="334"/>
    </row>
    <row r="1290" spans="1:4" ht="42.75">
      <c r="A1290" s="201">
        <v>68509</v>
      </c>
      <c r="B1290" s="201" t="s">
        <v>18972</v>
      </c>
      <c r="C1290" s="196" t="s">
        <v>6</v>
      </c>
      <c r="D1290" s="197">
        <v>17.309999999999999</v>
      </c>
    </row>
    <row r="1291" spans="1:4" ht="15">
      <c r="A1291" s="200">
        <v>691</v>
      </c>
      <c r="B1291" s="333" t="s">
        <v>1129</v>
      </c>
      <c r="C1291" s="334"/>
      <c r="D1291" s="334"/>
    </row>
    <row r="1292" spans="1:4" ht="14.25">
      <c r="A1292" s="201">
        <v>69172</v>
      </c>
      <c r="B1292" s="201" t="s">
        <v>1812</v>
      </c>
      <c r="C1292" s="196" t="s">
        <v>7</v>
      </c>
      <c r="D1292" s="197">
        <v>68.87</v>
      </c>
    </row>
    <row r="1293" spans="1:4" ht="28.5">
      <c r="A1293" s="201">
        <v>69185</v>
      </c>
      <c r="B1293" s="201" t="s">
        <v>15117</v>
      </c>
      <c r="C1293" s="196" t="s">
        <v>6</v>
      </c>
      <c r="D1293" s="197">
        <v>10.85</v>
      </c>
    </row>
    <row r="1294" spans="1:4" ht="28.5">
      <c r="A1294" s="201">
        <v>69191</v>
      </c>
      <c r="B1294" s="201" t="s">
        <v>1813</v>
      </c>
      <c r="C1294" s="196" t="s">
        <v>7</v>
      </c>
      <c r="D1294" s="197">
        <v>212.76</v>
      </c>
    </row>
    <row r="1295" spans="1:4" ht="28.5">
      <c r="A1295" s="201">
        <v>69194</v>
      </c>
      <c r="B1295" s="201" t="s">
        <v>15118</v>
      </c>
      <c r="C1295" s="196" t="s">
        <v>7</v>
      </c>
      <c r="D1295" s="197">
        <v>792.13</v>
      </c>
    </row>
    <row r="1296" spans="1:4" ht="15">
      <c r="A1296" s="200">
        <v>692</v>
      </c>
      <c r="B1296" s="333" t="s">
        <v>1814</v>
      </c>
      <c r="C1296" s="334"/>
      <c r="D1296" s="334"/>
    </row>
    <row r="1297" spans="1:4" ht="28.5">
      <c r="A1297" s="201">
        <v>69213</v>
      </c>
      <c r="B1297" s="201" t="s">
        <v>15119</v>
      </c>
      <c r="C1297" s="196" t="s">
        <v>7</v>
      </c>
      <c r="D1297" s="197">
        <v>166.1</v>
      </c>
    </row>
    <row r="1298" spans="1:4" ht="14.25">
      <c r="A1298" s="201">
        <v>69284</v>
      </c>
      <c r="B1298" s="201" t="s">
        <v>15120</v>
      </c>
      <c r="C1298" s="196" t="s">
        <v>9</v>
      </c>
      <c r="D1298" s="197">
        <v>53.39</v>
      </c>
    </row>
    <row r="1299" spans="1:4" ht="28.5">
      <c r="A1299" s="201">
        <v>69291</v>
      </c>
      <c r="B1299" s="201" t="s">
        <v>12586</v>
      </c>
      <c r="C1299" s="196" t="s">
        <v>7</v>
      </c>
      <c r="D1299" s="199">
        <v>1732.8</v>
      </c>
    </row>
    <row r="1300" spans="1:4" ht="15">
      <c r="A1300" s="200">
        <v>694</v>
      </c>
      <c r="B1300" s="333" t="s">
        <v>1277</v>
      </c>
      <c r="C1300" s="334"/>
      <c r="D1300" s="334"/>
    </row>
    <row r="1301" spans="1:4" ht="14.25">
      <c r="A1301" s="201">
        <v>69404</v>
      </c>
      <c r="B1301" s="201" t="s">
        <v>1815</v>
      </c>
      <c r="C1301" s="196" t="s">
        <v>7</v>
      </c>
      <c r="D1301" s="199">
        <v>1597.88</v>
      </c>
    </row>
    <row r="1302" spans="1:4" ht="28.5">
      <c r="A1302" s="201">
        <v>69409</v>
      </c>
      <c r="B1302" s="201" t="s">
        <v>1816</v>
      </c>
      <c r="C1302" s="196" t="s">
        <v>7</v>
      </c>
      <c r="D1302" s="197">
        <v>93.03</v>
      </c>
    </row>
    <row r="1303" spans="1:4" ht="28.5">
      <c r="A1303" s="201">
        <v>69421</v>
      </c>
      <c r="B1303" s="201" t="s">
        <v>1817</v>
      </c>
      <c r="C1303" s="196" t="s">
        <v>7</v>
      </c>
      <c r="D1303" s="197">
        <v>370.36</v>
      </c>
    </row>
    <row r="1304" spans="1:4" ht="28.5">
      <c r="A1304" s="201">
        <v>69445</v>
      </c>
      <c r="B1304" s="201" t="s">
        <v>12587</v>
      </c>
      <c r="C1304" s="196" t="s">
        <v>7</v>
      </c>
      <c r="D1304" s="199">
        <v>1753.55</v>
      </c>
    </row>
    <row r="1305" spans="1:4" ht="15">
      <c r="A1305" s="200">
        <v>695</v>
      </c>
      <c r="B1305" s="333" t="s">
        <v>1120</v>
      </c>
      <c r="C1305" s="334"/>
      <c r="D1305" s="334"/>
    </row>
    <row r="1306" spans="1:4" ht="14.25">
      <c r="A1306" s="201">
        <v>69503</v>
      </c>
      <c r="B1306" s="201" t="s">
        <v>1818</v>
      </c>
      <c r="C1306" s="196" t="s">
        <v>7</v>
      </c>
      <c r="D1306" s="197">
        <v>11.93</v>
      </c>
    </row>
    <row r="1307" spans="1:4" ht="14.25">
      <c r="A1307" s="201">
        <v>69505</v>
      </c>
      <c r="B1307" s="201" t="s">
        <v>1819</v>
      </c>
      <c r="C1307" s="196" t="s">
        <v>7</v>
      </c>
      <c r="D1307" s="197">
        <v>9.6</v>
      </c>
    </row>
    <row r="1308" spans="1:4" ht="14.25">
      <c r="A1308" s="201">
        <v>69506</v>
      </c>
      <c r="B1308" s="201" t="s">
        <v>1820</v>
      </c>
      <c r="C1308" s="196" t="s">
        <v>7</v>
      </c>
      <c r="D1308" s="197">
        <v>37.299999999999997</v>
      </c>
    </row>
    <row r="1309" spans="1:4" ht="28.5">
      <c r="A1309" s="201">
        <v>69508</v>
      </c>
      <c r="B1309" s="201" t="s">
        <v>15121</v>
      </c>
      <c r="C1309" s="196" t="s">
        <v>8</v>
      </c>
      <c r="D1309" s="197">
        <v>275.60000000000002</v>
      </c>
    </row>
    <row r="1310" spans="1:4" ht="14.25">
      <c r="A1310" s="201">
        <v>69509</v>
      </c>
      <c r="B1310" s="201" t="s">
        <v>1821</v>
      </c>
      <c r="C1310" s="196" t="s">
        <v>7</v>
      </c>
      <c r="D1310" s="197">
        <v>52.92</v>
      </c>
    </row>
    <row r="1311" spans="1:4" ht="14.25">
      <c r="A1311" s="201">
        <v>69512</v>
      </c>
      <c r="B1311" s="201" t="s">
        <v>1822</v>
      </c>
      <c r="C1311" s="196" t="s">
        <v>6</v>
      </c>
      <c r="D1311" s="197">
        <v>0.15</v>
      </c>
    </row>
    <row r="1312" spans="1:4" ht="14.25">
      <c r="A1312" s="201">
        <v>69513</v>
      </c>
      <c r="B1312" s="201" t="s">
        <v>1823</v>
      </c>
      <c r="C1312" s="196" t="s">
        <v>8</v>
      </c>
      <c r="D1312" s="197">
        <v>66.680000000000007</v>
      </c>
    </row>
    <row r="1313" spans="1:4" ht="14.25">
      <c r="A1313" s="201">
        <v>69514</v>
      </c>
      <c r="B1313" s="201" t="s">
        <v>1824</v>
      </c>
      <c r="C1313" s="196" t="s">
        <v>17</v>
      </c>
      <c r="D1313" s="197">
        <v>73.3</v>
      </c>
    </row>
    <row r="1314" spans="1:4" ht="28.5">
      <c r="A1314" s="201">
        <v>69515</v>
      </c>
      <c r="B1314" s="201" t="s">
        <v>1825</v>
      </c>
      <c r="C1314" s="196" t="s">
        <v>7</v>
      </c>
      <c r="D1314" s="197">
        <v>98.51</v>
      </c>
    </row>
    <row r="1315" spans="1:4" ht="14.25">
      <c r="A1315" s="201">
        <v>69516</v>
      </c>
      <c r="B1315" s="201" t="s">
        <v>19108</v>
      </c>
      <c r="C1315" s="196" t="s">
        <v>7</v>
      </c>
      <c r="D1315" s="197">
        <v>131.34</v>
      </c>
    </row>
    <row r="1316" spans="1:4" ht="28.5">
      <c r="A1316" s="201">
        <v>69521</v>
      </c>
      <c r="B1316" s="201" t="s">
        <v>1826</v>
      </c>
      <c r="C1316" s="196" t="s">
        <v>7</v>
      </c>
      <c r="D1316" s="197">
        <v>98.51</v>
      </c>
    </row>
    <row r="1317" spans="1:4" ht="28.5">
      <c r="A1317" s="201">
        <v>69522</v>
      </c>
      <c r="B1317" s="201" t="s">
        <v>19109</v>
      </c>
      <c r="C1317" s="196" t="s">
        <v>7</v>
      </c>
      <c r="D1317" s="197">
        <v>235.68</v>
      </c>
    </row>
    <row r="1318" spans="1:4" ht="28.5">
      <c r="A1318" s="201">
        <v>69525</v>
      </c>
      <c r="B1318" s="201" t="s">
        <v>1827</v>
      </c>
      <c r="C1318" s="196" t="s">
        <v>7</v>
      </c>
      <c r="D1318" s="199">
        <v>2210.8000000000002</v>
      </c>
    </row>
    <row r="1319" spans="1:4" ht="28.5">
      <c r="A1319" s="201">
        <v>69526</v>
      </c>
      <c r="B1319" s="201" t="s">
        <v>1828</v>
      </c>
      <c r="C1319" s="196" t="s">
        <v>7</v>
      </c>
      <c r="D1319" s="199">
        <v>4302.13</v>
      </c>
    </row>
    <row r="1320" spans="1:4" ht="28.5">
      <c r="A1320" s="201">
        <v>69527</v>
      </c>
      <c r="B1320" s="201" t="s">
        <v>1829</v>
      </c>
      <c r="C1320" s="196" t="s">
        <v>7</v>
      </c>
      <c r="D1320" s="199">
        <v>5506.64</v>
      </c>
    </row>
    <row r="1321" spans="1:4" ht="14.25">
      <c r="A1321" s="201">
        <v>69545</v>
      </c>
      <c r="B1321" s="201" t="s">
        <v>1830</v>
      </c>
      <c r="C1321" s="196" t="s">
        <v>7</v>
      </c>
      <c r="D1321" s="197">
        <v>148.43</v>
      </c>
    </row>
    <row r="1322" spans="1:4" ht="14.25">
      <c r="A1322" s="201">
        <v>69547</v>
      </c>
      <c r="B1322" s="201" t="s">
        <v>1831</v>
      </c>
      <c r="C1322" s="196" t="s">
        <v>7</v>
      </c>
      <c r="D1322" s="197">
        <v>9.6</v>
      </c>
    </row>
    <row r="1323" spans="1:4" ht="14.25">
      <c r="A1323" s="201">
        <v>69567</v>
      </c>
      <c r="B1323" s="201" t="s">
        <v>1832</v>
      </c>
      <c r="C1323" s="196" t="s">
        <v>7</v>
      </c>
      <c r="D1323" s="197">
        <v>9.6</v>
      </c>
    </row>
    <row r="1324" spans="1:4" ht="28.5">
      <c r="A1324" s="201">
        <v>69572</v>
      </c>
      <c r="B1324" s="201" t="s">
        <v>1833</v>
      </c>
      <c r="C1324" s="196" t="s">
        <v>8</v>
      </c>
      <c r="D1324" s="197">
        <v>65.56</v>
      </c>
    </row>
    <row r="1325" spans="1:4" ht="15">
      <c r="A1325" s="200">
        <v>696</v>
      </c>
      <c r="B1325" s="333" t="s">
        <v>1576</v>
      </c>
      <c r="C1325" s="334"/>
      <c r="D1325" s="334"/>
    </row>
    <row r="1326" spans="1:4" ht="14.25">
      <c r="A1326" s="201">
        <v>69606</v>
      </c>
      <c r="B1326" s="201" t="s">
        <v>1834</v>
      </c>
      <c r="C1326" s="196" t="s">
        <v>7</v>
      </c>
      <c r="D1326" s="199">
        <v>2038.8</v>
      </c>
    </row>
    <row r="1327" spans="1:4" ht="14.25">
      <c r="A1327" s="201">
        <v>69616</v>
      </c>
      <c r="B1327" s="201" t="s">
        <v>1835</v>
      </c>
      <c r="C1327" s="196" t="s">
        <v>7</v>
      </c>
      <c r="D1327" s="197">
        <v>49.72</v>
      </c>
    </row>
    <row r="1328" spans="1:4" ht="14.25">
      <c r="A1328" s="201">
        <v>69626</v>
      </c>
      <c r="B1328" s="201" t="s">
        <v>1836</v>
      </c>
      <c r="C1328" s="196" t="s">
        <v>7</v>
      </c>
      <c r="D1328" s="197">
        <v>97.87</v>
      </c>
    </row>
    <row r="1329" spans="1:4" ht="14.25">
      <c r="A1329" s="201">
        <v>69646</v>
      </c>
      <c r="B1329" s="201" t="s">
        <v>15122</v>
      </c>
      <c r="C1329" s="196" t="s">
        <v>7</v>
      </c>
      <c r="D1329" s="197">
        <v>117.33</v>
      </c>
    </row>
    <row r="1330" spans="1:4" ht="14.25">
      <c r="A1330" s="201">
        <v>69656</v>
      </c>
      <c r="B1330" s="201" t="s">
        <v>15123</v>
      </c>
      <c r="C1330" s="196" t="s">
        <v>7</v>
      </c>
      <c r="D1330" s="197">
        <v>122.11</v>
      </c>
    </row>
    <row r="1331" spans="1:4" ht="14.25">
      <c r="A1331" s="201">
        <v>69670</v>
      </c>
      <c r="B1331" s="201" t="s">
        <v>15124</v>
      </c>
      <c r="C1331" s="196" t="s">
        <v>7</v>
      </c>
      <c r="D1331" s="197">
        <v>161.30000000000001</v>
      </c>
    </row>
    <row r="1332" spans="1:4" ht="28.5">
      <c r="A1332" s="201">
        <v>69681</v>
      </c>
      <c r="B1332" s="201" t="s">
        <v>1837</v>
      </c>
      <c r="C1332" s="196" t="s">
        <v>7</v>
      </c>
      <c r="D1332" s="197">
        <v>582.87</v>
      </c>
    </row>
    <row r="1333" spans="1:4" ht="14.25">
      <c r="A1333" s="201">
        <v>69682</v>
      </c>
      <c r="B1333" s="201" t="s">
        <v>1838</v>
      </c>
      <c r="C1333" s="196" t="s">
        <v>7</v>
      </c>
      <c r="D1333" s="197">
        <v>647.77</v>
      </c>
    </row>
    <row r="1334" spans="1:4" ht="15">
      <c r="A1334" s="200">
        <v>697</v>
      </c>
      <c r="B1334" s="333" t="s">
        <v>1839</v>
      </c>
      <c r="C1334" s="334"/>
      <c r="D1334" s="334"/>
    </row>
    <row r="1335" spans="1:4" ht="14.25">
      <c r="A1335" s="201">
        <v>69753</v>
      </c>
      <c r="B1335" s="201" t="s">
        <v>1840</v>
      </c>
      <c r="C1335" s="196" t="s">
        <v>7</v>
      </c>
      <c r="D1335" s="197">
        <v>59.74</v>
      </c>
    </row>
    <row r="1336" spans="1:4" ht="15">
      <c r="A1336" s="200">
        <v>7</v>
      </c>
      <c r="B1336" s="333" t="s">
        <v>1120</v>
      </c>
      <c r="C1336" s="334"/>
      <c r="D1336" s="334"/>
    </row>
    <row r="1337" spans="1:4" ht="15">
      <c r="A1337" s="200">
        <v>701</v>
      </c>
      <c r="B1337" s="333" t="s">
        <v>1120</v>
      </c>
      <c r="C1337" s="334"/>
      <c r="D1337" s="334"/>
    </row>
    <row r="1338" spans="1:4" ht="28.5">
      <c r="A1338" s="201">
        <v>70114</v>
      </c>
      <c r="B1338" s="201" t="s">
        <v>1841</v>
      </c>
      <c r="C1338" s="196" t="s">
        <v>12</v>
      </c>
      <c r="D1338" s="197">
        <v>65.33</v>
      </c>
    </row>
    <row r="1339" spans="1:4" ht="15">
      <c r="A1339" s="200">
        <v>702</v>
      </c>
      <c r="B1339" s="333" t="s">
        <v>1519</v>
      </c>
      <c r="C1339" s="334"/>
      <c r="D1339" s="334"/>
    </row>
    <row r="1340" spans="1:4" ht="14.25">
      <c r="A1340" s="201">
        <v>70276</v>
      </c>
      <c r="B1340" s="201" t="s">
        <v>1842</v>
      </c>
      <c r="C1340" s="196" t="s">
        <v>6</v>
      </c>
      <c r="D1340" s="197">
        <v>12.56</v>
      </c>
    </row>
    <row r="1341" spans="1:4" ht="15">
      <c r="A1341" s="200">
        <v>703</v>
      </c>
      <c r="B1341" s="333" t="s">
        <v>1519</v>
      </c>
      <c r="C1341" s="334"/>
      <c r="D1341" s="334"/>
    </row>
    <row r="1342" spans="1:4" ht="14.25">
      <c r="A1342" s="201">
        <v>70328</v>
      </c>
      <c r="B1342" s="201" t="s">
        <v>1843</v>
      </c>
      <c r="C1342" s="196" t="s">
        <v>6</v>
      </c>
      <c r="D1342" s="197">
        <v>82.75</v>
      </c>
    </row>
    <row r="1343" spans="1:4" ht="14.25">
      <c r="A1343" s="201">
        <v>70350</v>
      </c>
      <c r="B1343" s="201" t="s">
        <v>1844</v>
      </c>
      <c r="C1343" s="196" t="s">
        <v>6</v>
      </c>
      <c r="D1343" s="197">
        <v>36.450000000000003</v>
      </c>
    </row>
    <row r="1344" spans="1:4" ht="15">
      <c r="A1344" s="200">
        <v>706</v>
      </c>
      <c r="B1344" s="333" t="s">
        <v>1519</v>
      </c>
      <c r="C1344" s="334"/>
      <c r="D1344" s="334"/>
    </row>
    <row r="1345" spans="1:4" ht="14.25">
      <c r="A1345" s="201">
        <v>70674</v>
      </c>
      <c r="B1345" s="201" t="s">
        <v>1845</v>
      </c>
      <c r="C1345" s="196" t="s">
        <v>7</v>
      </c>
      <c r="D1345" s="197">
        <v>555</v>
      </c>
    </row>
    <row r="1346" spans="1:4" ht="15">
      <c r="A1346" s="200">
        <v>710</v>
      </c>
      <c r="B1346" s="333" t="s">
        <v>1519</v>
      </c>
      <c r="C1346" s="334"/>
      <c r="D1346" s="334"/>
    </row>
    <row r="1347" spans="1:4" ht="14.25">
      <c r="A1347" s="201">
        <v>71096</v>
      </c>
      <c r="B1347" s="201" t="s">
        <v>1846</v>
      </c>
      <c r="C1347" s="196" t="s">
        <v>9</v>
      </c>
      <c r="D1347" s="197">
        <v>50.25</v>
      </c>
    </row>
    <row r="1348" spans="1:4" ht="15">
      <c r="A1348" s="200">
        <v>712</v>
      </c>
      <c r="B1348" s="333" t="s">
        <v>1519</v>
      </c>
      <c r="C1348" s="334"/>
      <c r="D1348" s="334"/>
    </row>
    <row r="1349" spans="1:4" ht="14.25">
      <c r="A1349" s="201">
        <v>71268</v>
      </c>
      <c r="B1349" s="201" t="s">
        <v>1847</v>
      </c>
      <c r="C1349" s="196" t="s">
        <v>6</v>
      </c>
      <c r="D1349" s="197">
        <v>27.84</v>
      </c>
    </row>
    <row r="1350" spans="1:4" ht="28.5">
      <c r="A1350" s="201">
        <v>71270</v>
      </c>
      <c r="B1350" s="201" t="s">
        <v>1848</v>
      </c>
      <c r="C1350" s="196" t="s">
        <v>6</v>
      </c>
      <c r="D1350" s="197">
        <v>96.6</v>
      </c>
    </row>
    <row r="1351" spans="1:4" ht="15">
      <c r="A1351" s="200">
        <v>716</v>
      </c>
      <c r="B1351" s="333" t="s">
        <v>1519</v>
      </c>
      <c r="C1351" s="334"/>
      <c r="D1351" s="334"/>
    </row>
    <row r="1352" spans="1:4" ht="28.5">
      <c r="A1352" s="201">
        <v>71637</v>
      </c>
      <c r="B1352" s="201" t="s">
        <v>15125</v>
      </c>
      <c r="C1352" s="196" t="s">
        <v>7</v>
      </c>
      <c r="D1352" s="197">
        <v>155.38</v>
      </c>
    </row>
    <row r="1353" spans="1:4" ht="15">
      <c r="A1353" s="200">
        <v>717</v>
      </c>
      <c r="B1353" s="333" t="s">
        <v>1519</v>
      </c>
      <c r="C1353" s="334"/>
      <c r="D1353" s="334"/>
    </row>
    <row r="1354" spans="1:4" ht="28.5">
      <c r="A1354" s="201">
        <v>71707</v>
      </c>
      <c r="B1354" s="201" t="s">
        <v>1849</v>
      </c>
      <c r="C1354" s="196" t="s">
        <v>865</v>
      </c>
      <c r="D1354" s="197">
        <v>759</v>
      </c>
    </row>
    <row r="1355" spans="1:4" ht="28.5">
      <c r="A1355" s="201">
        <v>71711</v>
      </c>
      <c r="B1355" s="201" t="s">
        <v>1850</v>
      </c>
      <c r="C1355" s="196" t="s">
        <v>9</v>
      </c>
      <c r="D1355" s="197">
        <v>9.77</v>
      </c>
    </row>
    <row r="1356" spans="1:4" ht="15">
      <c r="A1356" s="200">
        <v>718</v>
      </c>
      <c r="B1356" s="333" t="s">
        <v>1519</v>
      </c>
      <c r="C1356" s="334"/>
      <c r="D1356" s="334"/>
    </row>
    <row r="1357" spans="1:4" ht="28.5">
      <c r="A1357" s="201">
        <v>71820</v>
      </c>
      <c r="B1357" s="201" t="s">
        <v>1851</v>
      </c>
      <c r="C1357" s="196" t="s">
        <v>7</v>
      </c>
      <c r="D1357" s="199">
        <v>1833.5</v>
      </c>
    </row>
    <row r="1358" spans="1:4" ht="28.5">
      <c r="A1358" s="201">
        <v>71874</v>
      </c>
      <c r="B1358" s="201" t="s">
        <v>1852</v>
      </c>
      <c r="C1358" s="196" t="s">
        <v>6</v>
      </c>
      <c r="D1358" s="197">
        <v>55.55</v>
      </c>
    </row>
    <row r="1359" spans="1:4" ht="28.5">
      <c r="A1359" s="201">
        <v>71894</v>
      </c>
      <c r="B1359" s="201" t="s">
        <v>1853</v>
      </c>
      <c r="C1359" s="196" t="s">
        <v>7</v>
      </c>
      <c r="D1359" s="197">
        <v>202.92</v>
      </c>
    </row>
    <row r="1360" spans="1:4" ht="15">
      <c r="A1360" s="200">
        <v>719</v>
      </c>
      <c r="B1360" s="333" t="s">
        <v>1519</v>
      </c>
      <c r="C1360" s="334"/>
      <c r="D1360" s="334"/>
    </row>
    <row r="1361" spans="1:4" ht="14.25">
      <c r="A1361" s="201">
        <v>71911</v>
      </c>
      <c r="B1361" s="201" t="s">
        <v>1854</v>
      </c>
      <c r="C1361" s="196" t="s">
        <v>1855</v>
      </c>
      <c r="D1361" s="197">
        <v>260.62</v>
      </c>
    </row>
    <row r="1362" spans="1:4" ht="28.5">
      <c r="A1362" s="201">
        <v>71963</v>
      </c>
      <c r="B1362" s="201" t="s">
        <v>15126</v>
      </c>
      <c r="C1362" s="196" t="s">
        <v>7</v>
      </c>
      <c r="D1362" s="197">
        <v>16.73</v>
      </c>
    </row>
    <row r="1363" spans="1:4" ht="15">
      <c r="A1363" s="200">
        <v>720</v>
      </c>
      <c r="B1363" s="333" t="s">
        <v>1519</v>
      </c>
      <c r="C1363" s="334"/>
      <c r="D1363" s="334"/>
    </row>
    <row r="1364" spans="1:4" ht="28.5">
      <c r="A1364" s="201">
        <v>72054</v>
      </c>
      <c r="B1364" s="201" t="s">
        <v>1856</v>
      </c>
      <c r="C1364" s="196" t="s">
        <v>865</v>
      </c>
      <c r="D1364" s="197">
        <v>764.25</v>
      </c>
    </row>
    <row r="1365" spans="1:4" ht="15">
      <c r="A1365" s="200">
        <v>722</v>
      </c>
      <c r="B1365" s="333" t="s">
        <v>1519</v>
      </c>
      <c r="C1365" s="334"/>
      <c r="D1365" s="334"/>
    </row>
    <row r="1366" spans="1:4" ht="14.25">
      <c r="A1366" s="201">
        <v>72280</v>
      </c>
      <c r="B1366" s="201" t="s">
        <v>1857</v>
      </c>
      <c r="C1366" s="196" t="s">
        <v>865</v>
      </c>
      <c r="D1366" s="199">
        <v>1156.75</v>
      </c>
    </row>
    <row r="1367" spans="1:4" ht="14.25">
      <c r="A1367" s="201">
        <v>72282</v>
      </c>
      <c r="B1367" s="201" t="s">
        <v>1858</v>
      </c>
      <c r="C1367" s="196" t="s">
        <v>865</v>
      </c>
      <c r="D1367" s="199">
        <v>1181.75</v>
      </c>
    </row>
    <row r="1368" spans="1:4" ht="15">
      <c r="A1368" s="200">
        <v>724</v>
      </c>
      <c r="B1368" s="333" t="s">
        <v>1519</v>
      </c>
      <c r="C1368" s="334"/>
      <c r="D1368" s="334"/>
    </row>
    <row r="1369" spans="1:4" ht="28.5">
      <c r="A1369" s="201">
        <v>72455</v>
      </c>
      <c r="B1369" s="201" t="s">
        <v>1859</v>
      </c>
      <c r="C1369" s="196" t="s">
        <v>7</v>
      </c>
      <c r="D1369" s="197">
        <v>78.17</v>
      </c>
    </row>
    <row r="1370" spans="1:4" ht="15">
      <c r="A1370" s="200">
        <v>727</v>
      </c>
      <c r="B1370" s="333" t="s">
        <v>1519</v>
      </c>
      <c r="C1370" s="334"/>
      <c r="D1370" s="334"/>
    </row>
    <row r="1371" spans="1:4" ht="14.25">
      <c r="A1371" s="201">
        <v>72708</v>
      </c>
      <c r="B1371" s="201" t="s">
        <v>1860</v>
      </c>
      <c r="C1371" s="196" t="s">
        <v>7</v>
      </c>
      <c r="D1371" s="197">
        <v>22.41</v>
      </c>
    </row>
    <row r="1372" spans="1:4" ht="15">
      <c r="A1372" s="200">
        <v>728</v>
      </c>
      <c r="B1372" s="333" t="s">
        <v>1120</v>
      </c>
      <c r="C1372" s="334"/>
      <c r="D1372" s="334"/>
    </row>
    <row r="1373" spans="1:4" ht="14.25">
      <c r="A1373" s="201">
        <v>72812</v>
      </c>
      <c r="B1373" s="201" t="s">
        <v>15127</v>
      </c>
      <c r="C1373" s="196" t="s">
        <v>6</v>
      </c>
      <c r="D1373" s="197">
        <v>7.08</v>
      </c>
    </row>
    <row r="1374" spans="1:4" ht="15">
      <c r="A1374" s="200">
        <v>781</v>
      </c>
      <c r="B1374" s="333" t="s">
        <v>1129</v>
      </c>
      <c r="C1374" s="334"/>
      <c r="D1374" s="334"/>
    </row>
    <row r="1375" spans="1:4" ht="28.5">
      <c r="A1375" s="201">
        <v>78133</v>
      </c>
      <c r="B1375" s="201" t="s">
        <v>1861</v>
      </c>
      <c r="C1375" s="196" t="s">
        <v>865</v>
      </c>
      <c r="D1375" s="199">
        <v>1156.75</v>
      </c>
    </row>
    <row r="1376" spans="1:4" ht="15">
      <c r="A1376" s="200">
        <v>782</v>
      </c>
      <c r="B1376" s="333" t="s">
        <v>1120</v>
      </c>
      <c r="C1376" s="334"/>
      <c r="D1376" s="334"/>
    </row>
    <row r="1377" spans="1:4" ht="28.5">
      <c r="A1377" s="201">
        <v>78203</v>
      </c>
      <c r="B1377" s="201" t="s">
        <v>1862</v>
      </c>
      <c r="C1377" s="196" t="s">
        <v>7</v>
      </c>
      <c r="D1377" s="197">
        <v>563.33000000000004</v>
      </c>
    </row>
    <row r="1378" spans="1:4" ht="28.5">
      <c r="A1378" s="201">
        <v>78226</v>
      </c>
      <c r="B1378" s="201" t="s">
        <v>1863</v>
      </c>
      <c r="C1378" s="196" t="s">
        <v>7</v>
      </c>
      <c r="D1378" s="197">
        <v>8.01</v>
      </c>
    </row>
    <row r="1379" spans="1:4" ht="15">
      <c r="A1379" s="200">
        <v>783</v>
      </c>
      <c r="B1379" s="333" t="s">
        <v>1864</v>
      </c>
      <c r="C1379" s="334"/>
      <c r="D1379" s="334"/>
    </row>
    <row r="1380" spans="1:4" ht="28.5">
      <c r="A1380" s="201">
        <v>78373</v>
      </c>
      <c r="B1380" s="201" t="s">
        <v>1865</v>
      </c>
      <c r="C1380" s="196" t="s">
        <v>865</v>
      </c>
      <c r="D1380" s="199">
        <v>1081.75</v>
      </c>
    </row>
    <row r="1381" spans="1:4" ht="15">
      <c r="A1381" s="200">
        <v>784</v>
      </c>
      <c r="B1381" s="333" t="s">
        <v>1120</v>
      </c>
      <c r="C1381" s="334"/>
      <c r="D1381" s="334"/>
    </row>
    <row r="1382" spans="1:4" ht="28.5">
      <c r="A1382" s="201">
        <v>78402</v>
      </c>
      <c r="B1382" s="201" t="s">
        <v>15128</v>
      </c>
      <c r="C1382" s="196" t="s">
        <v>6</v>
      </c>
      <c r="D1382" s="197">
        <v>4.8099999999999996</v>
      </c>
    </row>
    <row r="1383" spans="1:4" ht="14.25">
      <c r="A1383" s="201">
        <v>78403</v>
      </c>
      <c r="B1383" s="201" t="s">
        <v>15129</v>
      </c>
      <c r="C1383" s="196" t="s">
        <v>6</v>
      </c>
      <c r="D1383" s="197">
        <v>4.0599999999999996</v>
      </c>
    </row>
    <row r="1384" spans="1:4" ht="14.25">
      <c r="A1384" s="201">
        <v>78404</v>
      </c>
      <c r="B1384" s="201" t="s">
        <v>15130</v>
      </c>
      <c r="C1384" s="196" t="s">
        <v>6</v>
      </c>
      <c r="D1384" s="197">
        <v>5.65</v>
      </c>
    </row>
    <row r="1385" spans="1:4" ht="14.25">
      <c r="A1385" s="201">
        <v>78405</v>
      </c>
      <c r="B1385" s="201" t="s">
        <v>15131</v>
      </c>
      <c r="C1385" s="196" t="s">
        <v>6</v>
      </c>
      <c r="D1385" s="197">
        <v>6.24</v>
      </c>
    </row>
    <row r="1386" spans="1:4" ht="14.25">
      <c r="A1386" s="201">
        <v>78406</v>
      </c>
      <c r="B1386" s="201" t="s">
        <v>15132</v>
      </c>
      <c r="C1386" s="196" t="s">
        <v>6</v>
      </c>
      <c r="D1386" s="197">
        <v>4.3</v>
      </c>
    </row>
    <row r="1387" spans="1:4" ht="15">
      <c r="A1387" s="200">
        <v>786</v>
      </c>
      <c r="B1387" s="333" t="s">
        <v>1277</v>
      </c>
      <c r="C1387" s="334"/>
      <c r="D1387" s="334"/>
    </row>
    <row r="1388" spans="1:4" ht="14.25">
      <c r="A1388" s="201">
        <v>78627</v>
      </c>
      <c r="B1388" s="201" t="s">
        <v>1866</v>
      </c>
      <c r="C1388" s="196" t="s">
        <v>7</v>
      </c>
      <c r="D1388" s="197">
        <v>143.31</v>
      </c>
    </row>
    <row r="1389" spans="1:4" ht="15">
      <c r="A1389" s="200">
        <v>787</v>
      </c>
      <c r="B1389" s="333" t="s">
        <v>1864</v>
      </c>
      <c r="C1389" s="334"/>
      <c r="D1389" s="334"/>
    </row>
    <row r="1390" spans="1:4" ht="14.25">
      <c r="A1390" s="201">
        <v>78735</v>
      </c>
      <c r="B1390" s="201" t="s">
        <v>1867</v>
      </c>
      <c r="C1390" s="196" t="s">
        <v>7</v>
      </c>
      <c r="D1390" s="197">
        <v>29.33</v>
      </c>
    </row>
    <row r="1391" spans="1:4" ht="14.25">
      <c r="A1391" s="201">
        <v>78749</v>
      </c>
      <c r="B1391" s="201" t="s">
        <v>1868</v>
      </c>
      <c r="C1391" s="196" t="s">
        <v>7</v>
      </c>
      <c r="D1391" s="197">
        <v>89.02</v>
      </c>
    </row>
    <row r="1392" spans="1:4" ht="14.25">
      <c r="A1392" s="201">
        <v>78760</v>
      </c>
      <c r="B1392" s="201" t="s">
        <v>15133</v>
      </c>
      <c r="C1392" s="196" t="s">
        <v>6</v>
      </c>
      <c r="D1392" s="197">
        <v>10.75</v>
      </c>
    </row>
    <row r="1393" spans="1:4" ht="15">
      <c r="A1393" s="200">
        <v>788</v>
      </c>
      <c r="B1393" s="333" t="s">
        <v>1120</v>
      </c>
      <c r="C1393" s="334"/>
      <c r="D1393" s="334"/>
    </row>
    <row r="1394" spans="1:4" ht="14.25">
      <c r="A1394" s="201">
        <v>78848</v>
      </c>
      <c r="B1394" s="201" t="s">
        <v>15134</v>
      </c>
      <c r="C1394" s="196" t="s">
        <v>6</v>
      </c>
      <c r="D1394" s="197">
        <v>8.81</v>
      </c>
    </row>
    <row r="1395" spans="1:4" ht="28.5">
      <c r="A1395" s="201">
        <v>78898</v>
      </c>
      <c r="B1395" s="201" t="s">
        <v>15135</v>
      </c>
      <c r="C1395" s="196" t="s">
        <v>7</v>
      </c>
      <c r="D1395" s="197">
        <v>34.700000000000003</v>
      </c>
    </row>
    <row r="1396" spans="1:4" ht="15">
      <c r="A1396" s="200">
        <v>791</v>
      </c>
      <c r="B1396" s="333" t="s">
        <v>15136</v>
      </c>
      <c r="C1396" s="334"/>
      <c r="D1396" s="334"/>
    </row>
    <row r="1397" spans="1:4" ht="28.5">
      <c r="A1397" s="201">
        <v>79166</v>
      </c>
      <c r="B1397" s="201" t="s">
        <v>15137</v>
      </c>
      <c r="C1397" s="196" t="s">
        <v>6</v>
      </c>
      <c r="D1397" s="197">
        <v>5.88</v>
      </c>
    </row>
    <row r="1398" spans="1:4" ht="15">
      <c r="A1398" s="200">
        <v>792</v>
      </c>
      <c r="B1398" s="333" t="s">
        <v>15136</v>
      </c>
      <c r="C1398" s="334"/>
      <c r="D1398" s="334"/>
    </row>
    <row r="1399" spans="1:4" ht="14.25">
      <c r="A1399" s="201">
        <v>79245</v>
      </c>
      <c r="B1399" s="201" t="s">
        <v>15138</v>
      </c>
      <c r="C1399" s="196" t="s">
        <v>8</v>
      </c>
      <c r="D1399" s="197">
        <v>46.86</v>
      </c>
    </row>
    <row r="1400" spans="1:4" ht="14.25">
      <c r="A1400" s="201">
        <v>79246</v>
      </c>
      <c r="B1400" s="201" t="s">
        <v>15139</v>
      </c>
      <c r="C1400" s="196" t="s">
        <v>8</v>
      </c>
      <c r="D1400" s="197">
        <v>58.34</v>
      </c>
    </row>
    <row r="1401" spans="1:4" ht="14.25">
      <c r="A1401" s="201">
        <v>79247</v>
      </c>
      <c r="B1401" s="201" t="s">
        <v>15140</v>
      </c>
      <c r="C1401" s="196" t="s">
        <v>8</v>
      </c>
      <c r="D1401" s="197">
        <v>57.03</v>
      </c>
    </row>
    <row r="1402" spans="1:4" ht="15">
      <c r="A1402" s="200">
        <v>793</v>
      </c>
      <c r="B1402" s="333" t="s">
        <v>1519</v>
      </c>
      <c r="C1402" s="334"/>
      <c r="D1402" s="334"/>
    </row>
    <row r="1403" spans="1:4" ht="28.5">
      <c r="A1403" s="201">
        <v>79372</v>
      </c>
      <c r="B1403" s="201" t="s">
        <v>1869</v>
      </c>
      <c r="C1403" s="196" t="s">
        <v>6</v>
      </c>
      <c r="D1403" s="197">
        <v>202.94</v>
      </c>
    </row>
    <row r="1404" spans="1:4" ht="28.5">
      <c r="A1404" s="201">
        <v>79374</v>
      </c>
      <c r="B1404" s="201" t="s">
        <v>1870</v>
      </c>
      <c r="C1404" s="196" t="s">
        <v>7</v>
      </c>
      <c r="D1404" s="197">
        <v>43.75</v>
      </c>
    </row>
    <row r="1405" spans="1:4" ht="14.25">
      <c r="A1405" s="201">
        <v>79375</v>
      </c>
      <c r="B1405" s="201" t="s">
        <v>1871</v>
      </c>
      <c r="C1405" s="196" t="s">
        <v>8</v>
      </c>
      <c r="D1405" s="197">
        <v>3.27</v>
      </c>
    </row>
    <row r="1406" spans="1:4" ht="15">
      <c r="A1406" s="200">
        <v>794</v>
      </c>
      <c r="B1406" s="333" t="s">
        <v>15141</v>
      </c>
      <c r="C1406" s="334"/>
      <c r="D1406" s="334"/>
    </row>
    <row r="1407" spans="1:4" ht="14.25">
      <c r="A1407" s="201">
        <v>79419</v>
      </c>
      <c r="B1407" s="201" t="s">
        <v>15142</v>
      </c>
      <c r="C1407" s="196" t="s">
        <v>9</v>
      </c>
      <c r="D1407" s="197">
        <v>62.4</v>
      </c>
    </row>
    <row r="1408" spans="1:4" ht="15">
      <c r="A1408" s="200">
        <v>796</v>
      </c>
      <c r="B1408" s="333" t="s">
        <v>1519</v>
      </c>
      <c r="C1408" s="334"/>
      <c r="D1408" s="334"/>
    </row>
    <row r="1409" spans="1:4" ht="28.5">
      <c r="A1409" s="201">
        <v>79654</v>
      </c>
      <c r="B1409" s="201" t="s">
        <v>18973</v>
      </c>
      <c r="C1409" s="196" t="s">
        <v>35</v>
      </c>
      <c r="D1409" s="197">
        <v>553.63</v>
      </c>
    </row>
    <row r="1410" spans="1:4" ht="15">
      <c r="A1410" s="200">
        <v>10</v>
      </c>
      <c r="B1410" s="333" t="s">
        <v>1872</v>
      </c>
      <c r="C1410" s="334"/>
      <c r="D1410" s="334"/>
    </row>
    <row r="1411" spans="1:4" ht="15">
      <c r="A1411" s="200">
        <v>1001</v>
      </c>
      <c r="B1411" s="333" t="s">
        <v>1872</v>
      </c>
      <c r="C1411" s="334"/>
      <c r="D1411" s="334"/>
    </row>
    <row r="1412" spans="1:4" ht="14.25">
      <c r="A1412" s="201">
        <v>100150</v>
      </c>
      <c r="B1412" s="201" t="s">
        <v>15143</v>
      </c>
      <c r="C1412" s="196" t="s">
        <v>12</v>
      </c>
      <c r="D1412" s="197">
        <v>65</v>
      </c>
    </row>
    <row r="1413" spans="1:4" ht="14.25">
      <c r="A1413" s="201">
        <v>100151</v>
      </c>
      <c r="B1413" s="201" t="s">
        <v>15144</v>
      </c>
      <c r="C1413" s="196" t="s">
        <v>8</v>
      </c>
      <c r="D1413" s="197">
        <v>271.67</v>
      </c>
    </row>
    <row r="1414" spans="1:4" ht="14.25">
      <c r="A1414" s="201">
        <v>100189</v>
      </c>
      <c r="B1414" s="201" t="s">
        <v>1873</v>
      </c>
      <c r="C1414" s="196" t="s">
        <v>6</v>
      </c>
      <c r="D1414" s="197">
        <v>3.95</v>
      </c>
    </row>
    <row r="1415" spans="1:4" ht="14.25">
      <c r="A1415" s="201">
        <v>100190</v>
      </c>
      <c r="B1415" s="201" t="s">
        <v>1874</v>
      </c>
      <c r="C1415" s="196" t="s">
        <v>6</v>
      </c>
      <c r="D1415" s="197">
        <v>14.06</v>
      </c>
    </row>
    <row r="1416" spans="1:4" ht="28.5">
      <c r="A1416" s="201">
        <v>100192</v>
      </c>
      <c r="B1416" s="201" t="s">
        <v>1875</v>
      </c>
      <c r="C1416" s="196" t="s">
        <v>6</v>
      </c>
      <c r="D1416" s="197">
        <v>21.28</v>
      </c>
    </row>
    <row r="1417" spans="1:4" ht="14.25">
      <c r="A1417" s="201">
        <v>100194</v>
      </c>
      <c r="B1417" s="201" t="s">
        <v>1876</v>
      </c>
      <c r="C1417" s="196" t="s">
        <v>6</v>
      </c>
      <c r="D1417" s="197">
        <v>7.86</v>
      </c>
    </row>
    <row r="1418" spans="1:4" ht="14.25">
      <c r="A1418" s="201">
        <v>100195</v>
      </c>
      <c r="B1418" s="201" t="s">
        <v>1877</v>
      </c>
      <c r="C1418" s="196" t="s">
        <v>8</v>
      </c>
      <c r="D1418" s="197">
        <v>8.39</v>
      </c>
    </row>
    <row r="1419" spans="1:4" ht="14.25">
      <c r="A1419" s="201">
        <v>100196</v>
      </c>
      <c r="B1419" s="201" t="s">
        <v>1878</v>
      </c>
      <c r="C1419" s="196" t="s">
        <v>8</v>
      </c>
      <c r="D1419" s="197">
        <v>7.65</v>
      </c>
    </row>
    <row r="1420" spans="1:4" ht="14.25">
      <c r="A1420" s="201">
        <v>100197</v>
      </c>
      <c r="B1420" s="201" t="s">
        <v>1879</v>
      </c>
      <c r="C1420" s="196" t="s">
        <v>8</v>
      </c>
      <c r="D1420" s="197">
        <v>8.68</v>
      </c>
    </row>
    <row r="1421" spans="1:4" ht="14.25">
      <c r="A1421" s="201">
        <v>100198</v>
      </c>
      <c r="B1421" s="201" t="s">
        <v>1880</v>
      </c>
      <c r="C1421" s="196" t="s">
        <v>6</v>
      </c>
      <c r="D1421" s="197">
        <v>9.9600000000000009</v>
      </c>
    </row>
    <row r="1422" spans="1:4" ht="15">
      <c r="A1422" s="200">
        <v>1002</v>
      </c>
      <c r="B1422" s="333" t="s">
        <v>1881</v>
      </c>
      <c r="C1422" s="334"/>
      <c r="D1422" s="334"/>
    </row>
    <row r="1423" spans="1:4" ht="14.25">
      <c r="A1423" s="201">
        <v>100202</v>
      </c>
      <c r="B1423" s="201" t="s">
        <v>1882</v>
      </c>
      <c r="C1423" s="196" t="s">
        <v>8</v>
      </c>
      <c r="D1423" s="197">
        <v>10.92</v>
      </c>
    </row>
    <row r="1424" spans="1:4" ht="14.25">
      <c r="A1424" s="201">
        <v>100203</v>
      </c>
      <c r="B1424" s="201" t="s">
        <v>1883</v>
      </c>
      <c r="C1424" s="196" t="s">
        <v>8</v>
      </c>
      <c r="D1424" s="197">
        <v>13</v>
      </c>
    </row>
    <row r="1425" spans="1:4" ht="14.25">
      <c r="A1425" s="201">
        <v>100205</v>
      </c>
      <c r="B1425" s="201" t="s">
        <v>15145</v>
      </c>
      <c r="C1425" s="196" t="s">
        <v>6</v>
      </c>
      <c r="D1425" s="197">
        <v>204.61</v>
      </c>
    </row>
    <row r="1426" spans="1:4" ht="14.25">
      <c r="A1426" s="201">
        <v>100208</v>
      </c>
      <c r="B1426" s="201" t="s">
        <v>1884</v>
      </c>
      <c r="C1426" s="196" t="s">
        <v>6</v>
      </c>
      <c r="D1426" s="197">
        <v>123.43</v>
      </c>
    </row>
    <row r="1427" spans="1:4" ht="28.5">
      <c r="A1427" s="201">
        <v>100209</v>
      </c>
      <c r="B1427" s="201" t="s">
        <v>1885</v>
      </c>
      <c r="C1427" s="196" t="s">
        <v>8</v>
      </c>
      <c r="D1427" s="197">
        <v>10.92</v>
      </c>
    </row>
    <row r="1428" spans="1:4" ht="15">
      <c r="A1428" s="200">
        <v>13</v>
      </c>
      <c r="B1428" s="333" t="s">
        <v>1886</v>
      </c>
      <c r="C1428" s="334"/>
      <c r="D1428" s="334"/>
    </row>
    <row r="1429" spans="1:4" ht="15">
      <c r="A1429" s="200">
        <v>1304</v>
      </c>
      <c r="B1429" s="333" t="s">
        <v>1887</v>
      </c>
      <c r="C1429" s="334"/>
      <c r="D1429" s="334"/>
    </row>
    <row r="1430" spans="1:4" ht="14.25">
      <c r="A1430" s="201">
        <v>130401</v>
      </c>
      <c r="B1430" s="201" t="s">
        <v>1888</v>
      </c>
      <c r="C1430" s="196" t="s">
        <v>7</v>
      </c>
      <c r="D1430" s="197">
        <v>201.78</v>
      </c>
    </row>
    <row r="1431" spans="1:4" ht="15">
      <c r="A1431" s="200">
        <v>1305</v>
      </c>
      <c r="B1431" s="333" t="s">
        <v>1446</v>
      </c>
      <c r="C1431" s="334"/>
      <c r="D1431" s="334"/>
    </row>
    <row r="1432" spans="1:4" ht="57">
      <c r="A1432" s="201">
        <v>130561</v>
      </c>
      <c r="B1432" s="201" t="s">
        <v>18974</v>
      </c>
      <c r="C1432" s="196" t="s">
        <v>7</v>
      </c>
      <c r="D1432" s="197">
        <v>186.66</v>
      </c>
    </row>
    <row r="1433" spans="1:4" ht="57">
      <c r="A1433" s="201">
        <v>130572</v>
      </c>
      <c r="B1433" s="201" t="s">
        <v>18975</v>
      </c>
      <c r="C1433" s="196" t="s">
        <v>7</v>
      </c>
      <c r="D1433" s="197">
        <v>499.08</v>
      </c>
    </row>
    <row r="1434" spans="1:4" ht="15">
      <c r="A1434" s="200">
        <v>1306</v>
      </c>
      <c r="B1434" s="333" t="s">
        <v>1315</v>
      </c>
      <c r="C1434" s="334"/>
      <c r="D1434" s="334"/>
    </row>
    <row r="1435" spans="1:4" ht="28.5">
      <c r="A1435" s="201">
        <v>130627</v>
      </c>
      <c r="B1435" s="201" t="s">
        <v>12588</v>
      </c>
      <c r="C1435" s="196" t="s">
        <v>7</v>
      </c>
      <c r="D1435" s="197">
        <v>55.75</v>
      </c>
    </row>
    <row r="1436" spans="1:4" ht="28.5">
      <c r="A1436" s="201">
        <v>130628</v>
      </c>
      <c r="B1436" s="201" t="s">
        <v>12589</v>
      </c>
      <c r="C1436" s="196" t="s">
        <v>7</v>
      </c>
      <c r="D1436" s="197">
        <v>75.400000000000006</v>
      </c>
    </row>
    <row r="1437" spans="1:4" ht="15">
      <c r="A1437" s="200">
        <v>1307</v>
      </c>
      <c r="B1437" s="333" t="s">
        <v>12524</v>
      </c>
      <c r="C1437" s="334"/>
      <c r="D1437" s="334"/>
    </row>
    <row r="1438" spans="1:4" ht="28.5">
      <c r="A1438" s="201">
        <v>130701</v>
      </c>
      <c r="B1438" s="201" t="s">
        <v>12590</v>
      </c>
      <c r="C1438" s="196" t="s">
        <v>7</v>
      </c>
      <c r="D1438" s="197">
        <v>17.77</v>
      </c>
    </row>
    <row r="1439" spans="1:4" ht="15">
      <c r="A1439" s="200">
        <v>15</v>
      </c>
      <c r="B1439" s="333" t="s">
        <v>1889</v>
      </c>
      <c r="C1439" s="334"/>
      <c r="D1439" s="334"/>
    </row>
    <row r="1440" spans="1:4" ht="15">
      <c r="A1440" s="200">
        <v>1502</v>
      </c>
      <c r="B1440" s="333" t="s">
        <v>1890</v>
      </c>
      <c r="C1440" s="334"/>
      <c r="D1440" s="334"/>
    </row>
    <row r="1441" spans="1:4" ht="28.5">
      <c r="A1441" s="201">
        <v>150266</v>
      </c>
      <c r="B1441" s="201" t="s">
        <v>1891</v>
      </c>
      <c r="C1441" s="196" t="s">
        <v>9</v>
      </c>
      <c r="D1441" s="197">
        <v>48.26</v>
      </c>
    </row>
    <row r="1442" spans="1:4" ht="15">
      <c r="A1442" s="200">
        <v>1507</v>
      </c>
      <c r="B1442" s="333" t="s">
        <v>1892</v>
      </c>
      <c r="C1442" s="334"/>
      <c r="D1442" s="334"/>
    </row>
    <row r="1443" spans="1:4" ht="28.5">
      <c r="A1443" s="201">
        <v>150706</v>
      </c>
      <c r="B1443" s="201" t="s">
        <v>1893</v>
      </c>
      <c r="C1443" s="196" t="s">
        <v>7</v>
      </c>
      <c r="D1443" s="199">
        <v>2213.34</v>
      </c>
    </row>
    <row r="1444" spans="1:4" ht="15">
      <c r="A1444" s="200">
        <v>1508</v>
      </c>
      <c r="B1444" s="333" t="s">
        <v>18976</v>
      </c>
      <c r="C1444" s="334"/>
      <c r="D1444" s="334"/>
    </row>
    <row r="1445" spans="1:4" ht="28.5">
      <c r="A1445" s="201">
        <v>150881</v>
      </c>
      <c r="B1445" s="201" t="s">
        <v>19110</v>
      </c>
      <c r="C1445" s="196" t="s">
        <v>7</v>
      </c>
      <c r="D1445" s="197">
        <v>2.29</v>
      </c>
    </row>
    <row r="1446" spans="1:4" ht="15">
      <c r="A1446" s="200">
        <v>60</v>
      </c>
      <c r="B1446" s="333" t="s">
        <v>1894</v>
      </c>
      <c r="C1446" s="334"/>
      <c r="D1446" s="334"/>
    </row>
    <row r="1447" spans="1:4" ht="15">
      <c r="A1447" s="200">
        <v>6003</v>
      </c>
      <c r="B1447" s="333" t="s">
        <v>1895</v>
      </c>
      <c r="C1447" s="334"/>
      <c r="D1447" s="334"/>
    </row>
    <row r="1448" spans="1:4" ht="14.25">
      <c r="A1448" s="201">
        <v>600327</v>
      </c>
      <c r="B1448" s="201" t="s">
        <v>1896</v>
      </c>
      <c r="C1448" s="196" t="s">
        <v>12</v>
      </c>
      <c r="D1448" s="197">
        <v>176.11</v>
      </c>
    </row>
    <row r="1449" spans="1:4" ht="15">
      <c r="A1449" s="200">
        <v>80</v>
      </c>
      <c r="B1449" s="333" t="s">
        <v>1897</v>
      </c>
      <c r="C1449" s="334"/>
      <c r="D1449" s="334"/>
    </row>
    <row r="1450" spans="1:4" ht="15">
      <c r="A1450" s="200">
        <v>8001</v>
      </c>
      <c r="B1450" s="333" t="s">
        <v>1898</v>
      </c>
      <c r="C1450" s="334"/>
      <c r="D1450" s="334"/>
    </row>
    <row r="1451" spans="1:4" ht="14.25">
      <c r="A1451" s="201">
        <v>800102</v>
      </c>
      <c r="B1451" s="201" t="s">
        <v>24</v>
      </c>
      <c r="C1451" s="196" t="s">
        <v>17</v>
      </c>
      <c r="D1451" s="197">
        <v>5.43</v>
      </c>
    </row>
    <row r="1452" spans="1:4" ht="14.25">
      <c r="A1452" s="201">
        <v>800103</v>
      </c>
      <c r="B1452" s="201" t="s">
        <v>18977</v>
      </c>
      <c r="C1452" s="196" t="s">
        <v>17</v>
      </c>
      <c r="D1452" s="197">
        <v>5.79</v>
      </c>
    </row>
    <row r="1453" spans="1:4" ht="15">
      <c r="A1453" s="200">
        <v>8005</v>
      </c>
      <c r="B1453" s="333" t="s">
        <v>1899</v>
      </c>
      <c r="C1453" s="334"/>
      <c r="D1453" s="334"/>
    </row>
    <row r="1454" spans="1:4" ht="14.25">
      <c r="A1454" s="201">
        <v>800502</v>
      </c>
      <c r="B1454" s="201" t="s">
        <v>1900</v>
      </c>
      <c r="C1454" s="196" t="s">
        <v>8</v>
      </c>
      <c r="D1454" s="197">
        <v>15.92</v>
      </c>
    </row>
    <row r="1455" spans="1:4" ht="14.25">
      <c r="A1455" s="201">
        <v>800560</v>
      </c>
      <c r="B1455" s="201" t="s">
        <v>18978</v>
      </c>
      <c r="C1455" s="196" t="s">
        <v>18979</v>
      </c>
      <c r="D1455" s="197">
        <v>5.41</v>
      </c>
    </row>
    <row r="1456" spans="1:4" ht="15">
      <c r="A1456" s="200">
        <v>82</v>
      </c>
      <c r="B1456" s="333" t="s">
        <v>19111</v>
      </c>
      <c r="C1456" s="334"/>
      <c r="D1456" s="334"/>
    </row>
    <row r="1457" spans="1:4" ht="15">
      <c r="A1457" s="200">
        <v>8201</v>
      </c>
      <c r="B1457" s="333" t="s">
        <v>19112</v>
      </c>
      <c r="C1457" s="334"/>
      <c r="D1457" s="334"/>
    </row>
    <row r="1458" spans="1:4" ht="14.25">
      <c r="A1458" s="201">
        <v>820101</v>
      </c>
      <c r="B1458" s="201" t="s">
        <v>1901</v>
      </c>
      <c r="C1458" s="196" t="s">
        <v>7</v>
      </c>
      <c r="D1458" s="197">
        <v>129.86000000000001</v>
      </c>
    </row>
    <row r="1459" spans="1:4" ht="14.25">
      <c r="A1459" s="201">
        <v>820104</v>
      </c>
      <c r="B1459" s="201" t="s">
        <v>1902</v>
      </c>
      <c r="C1459" s="196" t="s">
        <v>7</v>
      </c>
      <c r="D1459" s="197">
        <v>140.68</v>
      </c>
    </row>
    <row r="1460" spans="1:4" ht="14.25">
      <c r="A1460" s="201">
        <v>820106</v>
      </c>
      <c r="B1460" s="201" t="s">
        <v>1903</v>
      </c>
      <c r="C1460" s="196" t="s">
        <v>7</v>
      </c>
      <c r="D1460" s="197">
        <v>26.79</v>
      </c>
    </row>
    <row r="1461" spans="1:4" ht="14.25">
      <c r="A1461" s="201">
        <v>820113</v>
      </c>
      <c r="B1461" s="201" t="s">
        <v>1904</v>
      </c>
      <c r="C1461" s="196" t="s">
        <v>7</v>
      </c>
      <c r="D1461" s="197">
        <v>29.05</v>
      </c>
    </row>
    <row r="1462" spans="1:4" ht="14.25">
      <c r="A1462" s="201">
        <v>820114</v>
      </c>
      <c r="B1462" s="201" t="s">
        <v>1905</v>
      </c>
      <c r="C1462" s="196" t="s">
        <v>7</v>
      </c>
      <c r="D1462" s="197">
        <v>12.67</v>
      </c>
    </row>
    <row r="1463" spans="1:4" ht="14.25">
      <c r="A1463" s="201">
        <v>820115</v>
      </c>
      <c r="B1463" s="201" t="s">
        <v>1906</v>
      </c>
      <c r="C1463" s="196" t="s">
        <v>7</v>
      </c>
      <c r="D1463" s="197">
        <v>62.09</v>
      </c>
    </row>
    <row r="1464" spans="1:4" ht="14.25">
      <c r="A1464" s="201">
        <v>820116</v>
      </c>
      <c r="B1464" s="201" t="s">
        <v>1907</v>
      </c>
      <c r="C1464" s="196" t="s">
        <v>7</v>
      </c>
      <c r="D1464" s="197">
        <v>4.54</v>
      </c>
    </row>
    <row r="1465" spans="1:4" ht="14.25">
      <c r="A1465" s="201">
        <v>820117</v>
      </c>
      <c r="B1465" s="201" t="s">
        <v>1908</v>
      </c>
      <c r="C1465" s="196" t="s">
        <v>7</v>
      </c>
      <c r="D1465" s="197">
        <v>14.01</v>
      </c>
    </row>
    <row r="1466" spans="1:4" ht="14.25">
      <c r="A1466" s="201">
        <v>820118</v>
      </c>
      <c r="B1466" s="201" t="s">
        <v>1909</v>
      </c>
      <c r="C1466" s="196" t="s">
        <v>7</v>
      </c>
      <c r="D1466" s="197">
        <v>2.3199999999999998</v>
      </c>
    </row>
    <row r="1467" spans="1:4" ht="15">
      <c r="A1467" s="200">
        <v>83</v>
      </c>
      <c r="B1467" s="333" t="s">
        <v>1910</v>
      </c>
      <c r="C1467" s="334"/>
      <c r="D1467" s="334"/>
    </row>
    <row r="1468" spans="1:4" ht="15">
      <c r="A1468" s="200">
        <v>8301</v>
      </c>
      <c r="B1468" s="333" t="s">
        <v>1911</v>
      </c>
      <c r="C1468" s="334"/>
      <c r="D1468" s="334"/>
    </row>
    <row r="1469" spans="1:4" ht="14.25">
      <c r="A1469" s="201">
        <v>830101</v>
      </c>
      <c r="B1469" s="201" t="s">
        <v>1912</v>
      </c>
      <c r="C1469" s="196" t="s">
        <v>7</v>
      </c>
      <c r="D1469" s="197">
        <v>115.45</v>
      </c>
    </row>
    <row r="1470" spans="1:4" ht="14.25">
      <c r="A1470" s="201">
        <v>830102</v>
      </c>
      <c r="B1470" s="201" t="s">
        <v>1913</v>
      </c>
      <c r="C1470" s="196" t="s">
        <v>7</v>
      </c>
      <c r="D1470" s="197">
        <v>49.01</v>
      </c>
    </row>
    <row r="1471" spans="1:4" ht="14.25">
      <c r="A1471" s="201">
        <v>830103</v>
      </c>
      <c r="B1471" s="201" t="s">
        <v>1914</v>
      </c>
      <c r="C1471" s="196" t="s">
        <v>7</v>
      </c>
      <c r="D1471" s="197">
        <v>53.76</v>
      </c>
    </row>
    <row r="1472" spans="1:4" ht="14.25">
      <c r="A1472" s="201">
        <v>830104</v>
      </c>
      <c r="B1472" s="201" t="s">
        <v>1915</v>
      </c>
      <c r="C1472" s="196" t="s">
        <v>7</v>
      </c>
      <c r="D1472" s="197">
        <v>83.17</v>
      </c>
    </row>
    <row r="1473" spans="1:4" ht="14.25">
      <c r="A1473" s="201">
        <v>830105</v>
      </c>
      <c r="B1473" s="201" t="s">
        <v>1916</v>
      </c>
      <c r="C1473" s="196" t="s">
        <v>7</v>
      </c>
      <c r="D1473" s="197">
        <v>39.17</v>
      </c>
    </row>
    <row r="1474" spans="1:4" ht="14.25">
      <c r="A1474" s="201">
        <v>830106</v>
      </c>
      <c r="B1474" s="201" t="s">
        <v>1917</v>
      </c>
      <c r="C1474" s="196" t="s">
        <v>7</v>
      </c>
      <c r="D1474" s="197">
        <v>41.57</v>
      </c>
    </row>
    <row r="1475" spans="1:4" ht="14.25">
      <c r="A1475" s="201">
        <v>830107</v>
      </c>
      <c r="B1475" s="201" t="s">
        <v>1918</v>
      </c>
      <c r="C1475" s="196" t="s">
        <v>7</v>
      </c>
      <c r="D1475" s="197">
        <v>43.71</v>
      </c>
    </row>
    <row r="1476" spans="1:4" ht="14.25">
      <c r="A1476" s="201">
        <v>830108</v>
      </c>
      <c r="B1476" s="201" t="s">
        <v>1919</v>
      </c>
      <c r="C1476" s="196" t="s">
        <v>7</v>
      </c>
      <c r="D1476" s="197">
        <v>163.52000000000001</v>
      </c>
    </row>
    <row r="1477" spans="1:4" ht="14.25">
      <c r="A1477" s="201">
        <v>830109</v>
      </c>
      <c r="B1477" s="201" t="s">
        <v>1920</v>
      </c>
      <c r="C1477" s="196" t="s">
        <v>7</v>
      </c>
      <c r="D1477" s="197">
        <v>66.94</v>
      </c>
    </row>
    <row r="1478" spans="1:4" ht="14.25">
      <c r="A1478" s="201">
        <v>830110</v>
      </c>
      <c r="B1478" s="201" t="s">
        <v>1921</v>
      </c>
      <c r="C1478" s="196" t="s">
        <v>7</v>
      </c>
      <c r="D1478" s="197">
        <v>48.61</v>
      </c>
    </row>
    <row r="1479" spans="1:4" ht="14.25">
      <c r="A1479" s="201">
        <v>830111</v>
      </c>
      <c r="B1479" s="201" t="s">
        <v>1922</v>
      </c>
      <c r="C1479" s="196" t="s">
        <v>7</v>
      </c>
      <c r="D1479" s="197">
        <v>71</v>
      </c>
    </row>
    <row r="1480" spans="1:4" ht="14.25">
      <c r="A1480" s="201">
        <v>830112</v>
      </c>
      <c r="B1480" s="201" t="s">
        <v>1923</v>
      </c>
      <c r="C1480" s="196" t="s">
        <v>7</v>
      </c>
      <c r="D1480" s="197">
        <v>504.27</v>
      </c>
    </row>
    <row r="1481" spans="1:4" ht="14.25">
      <c r="A1481" s="201">
        <v>830113</v>
      </c>
      <c r="B1481" s="201" t="s">
        <v>1924</v>
      </c>
      <c r="C1481" s="196" t="s">
        <v>7</v>
      </c>
      <c r="D1481" s="197">
        <v>763.2</v>
      </c>
    </row>
    <row r="1482" spans="1:4" ht="14.25">
      <c r="A1482" s="201">
        <v>830114</v>
      </c>
      <c r="B1482" s="201" t="s">
        <v>1925</v>
      </c>
      <c r="C1482" s="196" t="s">
        <v>7</v>
      </c>
      <c r="D1482" s="197">
        <v>252.5</v>
      </c>
    </row>
    <row r="1483" spans="1:4" ht="15">
      <c r="A1483" s="200">
        <v>92</v>
      </c>
      <c r="B1483" s="333" t="s">
        <v>1926</v>
      </c>
      <c r="C1483" s="334"/>
      <c r="D1483" s="334"/>
    </row>
    <row r="1484" spans="1:4" ht="15">
      <c r="A1484" s="200">
        <v>9201</v>
      </c>
      <c r="B1484" s="333" t="s">
        <v>1927</v>
      </c>
      <c r="C1484" s="334"/>
      <c r="D1484" s="334"/>
    </row>
    <row r="1485" spans="1:4" ht="14.25">
      <c r="A1485" s="201">
        <v>920110</v>
      </c>
      <c r="B1485" s="201" t="s">
        <v>1928</v>
      </c>
      <c r="C1485" s="196" t="s">
        <v>865</v>
      </c>
      <c r="D1485" s="199">
        <v>1308.51</v>
      </c>
    </row>
    <row r="1486" spans="1:4" ht="15">
      <c r="A1486" s="200">
        <v>9206</v>
      </c>
      <c r="B1486" s="333" t="s">
        <v>18980</v>
      </c>
      <c r="C1486" s="334"/>
      <c r="D1486" s="334"/>
    </row>
    <row r="1487" spans="1:4" ht="28.5">
      <c r="A1487" s="201">
        <v>920610</v>
      </c>
      <c r="B1487" s="201" t="s">
        <v>18981</v>
      </c>
      <c r="C1487" s="196" t="s">
        <v>4791</v>
      </c>
      <c r="D1487" s="199">
        <v>10793.15</v>
      </c>
    </row>
    <row r="1488" spans="1:4" ht="14.25">
      <c r="A1488" s="201">
        <v>920611</v>
      </c>
      <c r="B1488" s="201" t="s">
        <v>18982</v>
      </c>
      <c r="C1488" s="196" t="s">
        <v>4791</v>
      </c>
      <c r="D1488" s="199">
        <v>28277.23</v>
      </c>
    </row>
    <row r="1489" spans="1:4" ht="14.25">
      <c r="A1489" s="201">
        <v>920612</v>
      </c>
      <c r="B1489" s="201" t="s">
        <v>18983</v>
      </c>
      <c r="C1489" s="196" t="s">
        <v>4791</v>
      </c>
      <c r="D1489" s="199">
        <v>11752.7</v>
      </c>
    </row>
    <row r="1490" spans="1:4" ht="14.25">
      <c r="A1490" s="201">
        <v>920613</v>
      </c>
      <c r="B1490" s="201" t="s">
        <v>18984</v>
      </c>
      <c r="C1490" s="196" t="s">
        <v>4791</v>
      </c>
      <c r="D1490" s="199">
        <v>3589.66</v>
      </c>
    </row>
    <row r="1491" spans="1:4" ht="14.25">
      <c r="A1491" s="201">
        <v>920614</v>
      </c>
      <c r="B1491" s="201" t="s">
        <v>18985</v>
      </c>
      <c r="C1491" s="196" t="s">
        <v>4791</v>
      </c>
      <c r="D1491" s="199">
        <v>20222.919999999998</v>
      </c>
    </row>
    <row r="1492" spans="1:4" ht="28.5">
      <c r="A1492" s="201">
        <v>920615</v>
      </c>
      <c r="B1492" s="201" t="s">
        <v>18986</v>
      </c>
      <c r="C1492" s="196" t="s">
        <v>4791</v>
      </c>
      <c r="D1492" s="199">
        <v>8634.73</v>
      </c>
    </row>
    <row r="1493" spans="1:4" ht="28.5">
      <c r="A1493" s="201">
        <v>920616</v>
      </c>
      <c r="B1493" s="201" t="s">
        <v>18987</v>
      </c>
      <c r="C1493" s="196" t="s">
        <v>4791</v>
      </c>
      <c r="D1493" s="199">
        <v>6906.65</v>
      </c>
    </row>
    <row r="1494" spans="1:4" ht="14.25">
      <c r="A1494" s="201">
        <v>920617</v>
      </c>
      <c r="B1494" s="201" t="s">
        <v>18988</v>
      </c>
      <c r="C1494" s="196" t="s">
        <v>4791</v>
      </c>
      <c r="D1494" s="199">
        <v>16153.49</v>
      </c>
    </row>
    <row r="1495" spans="1:4" ht="14.25">
      <c r="A1495" s="201">
        <v>920618</v>
      </c>
      <c r="B1495" s="201" t="s">
        <v>18989</v>
      </c>
      <c r="C1495" s="196" t="s">
        <v>4791</v>
      </c>
      <c r="D1495" s="199">
        <v>13374.95</v>
      </c>
    </row>
    <row r="1496" spans="1:4" ht="28.5">
      <c r="A1496" s="201">
        <v>920619</v>
      </c>
      <c r="B1496" s="201" t="s">
        <v>18990</v>
      </c>
      <c r="C1496" s="196" t="s">
        <v>4791</v>
      </c>
      <c r="D1496" s="199">
        <v>13374.95</v>
      </c>
    </row>
    <row r="1497" spans="1:4" ht="28.5">
      <c r="A1497" s="201">
        <v>920620</v>
      </c>
      <c r="B1497" s="201" t="s">
        <v>18991</v>
      </c>
      <c r="C1497" s="196" t="s">
        <v>4791</v>
      </c>
      <c r="D1497" s="199">
        <v>12391.24</v>
      </c>
    </row>
    <row r="1498" spans="1:4" ht="14.25">
      <c r="A1498" s="201">
        <v>920621</v>
      </c>
      <c r="B1498" s="201" t="s">
        <v>18992</v>
      </c>
      <c r="C1498" s="196" t="s">
        <v>4791</v>
      </c>
      <c r="D1498" s="199">
        <v>12520.68</v>
      </c>
    </row>
    <row r="1499" spans="1:4" ht="28.5">
      <c r="A1499" s="201">
        <v>920622</v>
      </c>
      <c r="B1499" s="201" t="s">
        <v>18993</v>
      </c>
      <c r="C1499" s="196" t="s">
        <v>4791</v>
      </c>
      <c r="D1499" s="199">
        <v>13374.95</v>
      </c>
    </row>
    <row r="1500" spans="1:4" ht="28.5">
      <c r="A1500" s="201">
        <v>920623</v>
      </c>
      <c r="B1500" s="201" t="s">
        <v>18994</v>
      </c>
      <c r="C1500" s="196" t="s">
        <v>4791</v>
      </c>
      <c r="D1500" s="199">
        <v>28950.3</v>
      </c>
    </row>
    <row r="1501" spans="1:4" ht="14.25">
      <c r="A1501" s="201">
        <v>920624</v>
      </c>
      <c r="B1501" s="201" t="s">
        <v>18995</v>
      </c>
      <c r="C1501" s="196" t="s">
        <v>4791</v>
      </c>
      <c r="D1501" s="199">
        <v>7179.33</v>
      </c>
    </row>
    <row r="1502" spans="1:4" ht="14.25">
      <c r="A1502" s="201">
        <v>920625</v>
      </c>
      <c r="B1502" s="201" t="s">
        <v>18996</v>
      </c>
      <c r="C1502" s="196" t="s">
        <v>4791</v>
      </c>
      <c r="D1502" s="199">
        <v>16153.49</v>
      </c>
    </row>
    <row r="1503" spans="1:4" ht="14.25">
      <c r="A1503" s="201">
        <v>920626</v>
      </c>
      <c r="B1503" s="201" t="s">
        <v>18997</v>
      </c>
      <c r="C1503" s="196" t="s">
        <v>865</v>
      </c>
      <c r="D1503" s="199">
        <v>24219.88</v>
      </c>
    </row>
    <row r="1504" spans="1:4" ht="14.25">
      <c r="A1504" s="201">
        <v>920627</v>
      </c>
      <c r="B1504" s="201" t="s">
        <v>18998</v>
      </c>
      <c r="C1504" s="196" t="s">
        <v>4791</v>
      </c>
      <c r="D1504" s="199">
        <v>3356.34</v>
      </c>
    </row>
    <row r="1505" spans="1:4" ht="14.25">
      <c r="A1505" s="201">
        <v>920628</v>
      </c>
      <c r="B1505" s="201" t="s">
        <v>18999</v>
      </c>
      <c r="C1505" s="196" t="s">
        <v>4791</v>
      </c>
      <c r="D1505" s="199">
        <v>6071.02</v>
      </c>
    </row>
    <row r="1506" spans="1:4" ht="14.25">
      <c r="A1506" s="201">
        <v>920629</v>
      </c>
      <c r="B1506" s="201" t="s">
        <v>19000</v>
      </c>
      <c r="C1506" s="196" t="s">
        <v>4791</v>
      </c>
      <c r="D1506" s="199">
        <v>2490.67</v>
      </c>
    </row>
    <row r="1507" spans="1:4" ht="14.25">
      <c r="A1507" s="201">
        <v>920630</v>
      </c>
      <c r="B1507" s="201" t="s">
        <v>19001</v>
      </c>
      <c r="C1507" s="196" t="s">
        <v>4791</v>
      </c>
      <c r="D1507" s="199">
        <v>2490.67</v>
      </c>
    </row>
    <row r="1508" spans="1:4" ht="28.5">
      <c r="A1508" s="201">
        <v>920632</v>
      </c>
      <c r="B1508" s="201" t="s">
        <v>19002</v>
      </c>
      <c r="C1508" s="196" t="s">
        <v>865</v>
      </c>
      <c r="D1508" s="199">
        <v>9310.33</v>
      </c>
    </row>
    <row r="1509" spans="1:4" ht="14.25">
      <c r="A1509" s="201">
        <v>920633</v>
      </c>
      <c r="B1509" s="201" t="s">
        <v>19003</v>
      </c>
      <c r="C1509" s="196" t="s">
        <v>865</v>
      </c>
      <c r="D1509" s="199">
        <v>24392.35</v>
      </c>
    </row>
    <row r="1510" spans="1:4" ht="14.25">
      <c r="A1510" s="201">
        <v>920634</v>
      </c>
      <c r="B1510" s="201" t="s">
        <v>19004</v>
      </c>
      <c r="C1510" s="196" t="s">
        <v>865</v>
      </c>
      <c r="D1510" s="199">
        <v>10138.049999999999</v>
      </c>
    </row>
    <row r="1511" spans="1:4" ht="14.25">
      <c r="A1511" s="201">
        <v>920635</v>
      </c>
      <c r="B1511" s="201" t="s">
        <v>19005</v>
      </c>
      <c r="C1511" s="196" t="s">
        <v>865</v>
      </c>
      <c r="D1511" s="199">
        <v>3096.5</v>
      </c>
    </row>
    <row r="1512" spans="1:4" ht="14.25">
      <c r="A1512" s="201">
        <v>920636</v>
      </c>
      <c r="B1512" s="201" t="s">
        <v>19006</v>
      </c>
      <c r="C1512" s="196" t="s">
        <v>865</v>
      </c>
      <c r="D1512" s="199">
        <v>17444.59</v>
      </c>
    </row>
    <row r="1513" spans="1:4" ht="28.5">
      <c r="A1513" s="201">
        <v>920637</v>
      </c>
      <c r="B1513" s="201" t="s">
        <v>19007</v>
      </c>
      <c r="C1513" s="196" t="s">
        <v>865</v>
      </c>
      <c r="D1513" s="199">
        <v>7448.44</v>
      </c>
    </row>
    <row r="1514" spans="1:4" ht="28.5">
      <c r="A1514" s="201">
        <v>920638</v>
      </c>
      <c r="B1514" s="201" t="s">
        <v>19008</v>
      </c>
      <c r="C1514" s="196" t="s">
        <v>865</v>
      </c>
      <c r="D1514" s="199">
        <v>5957.78</v>
      </c>
    </row>
    <row r="1515" spans="1:4" ht="14.25">
      <c r="A1515" s="201">
        <v>920639</v>
      </c>
      <c r="B1515" s="201" t="s">
        <v>19009</v>
      </c>
      <c r="C1515" s="196" t="s">
        <v>865</v>
      </c>
      <c r="D1515" s="199">
        <v>13934.23</v>
      </c>
    </row>
    <row r="1516" spans="1:4" ht="14.25">
      <c r="A1516" s="201">
        <v>920640</v>
      </c>
      <c r="B1516" s="201" t="s">
        <v>19010</v>
      </c>
      <c r="C1516" s="196" t="s">
        <v>865</v>
      </c>
      <c r="D1516" s="199">
        <v>11537.43</v>
      </c>
    </row>
    <row r="1517" spans="1:4" ht="28.5">
      <c r="A1517" s="201">
        <v>920641</v>
      </c>
      <c r="B1517" s="201" t="s">
        <v>19011</v>
      </c>
      <c r="C1517" s="196" t="s">
        <v>865</v>
      </c>
      <c r="D1517" s="199">
        <v>11537.43</v>
      </c>
    </row>
    <row r="1518" spans="1:4" ht="28.5">
      <c r="A1518" s="201">
        <v>920642</v>
      </c>
      <c r="B1518" s="201" t="s">
        <v>19012</v>
      </c>
      <c r="C1518" s="196" t="s">
        <v>865</v>
      </c>
      <c r="D1518" s="199">
        <v>10688.87</v>
      </c>
    </row>
    <row r="1519" spans="1:4" ht="14.25">
      <c r="A1519" s="201">
        <v>920643</v>
      </c>
      <c r="B1519" s="201" t="s">
        <v>19013</v>
      </c>
      <c r="C1519" s="196" t="s">
        <v>865</v>
      </c>
      <c r="D1519" s="199">
        <v>10800.52</v>
      </c>
    </row>
    <row r="1520" spans="1:4" ht="28.5">
      <c r="A1520" s="201">
        <v>920644</v>
      </c>
      <c r="B1520" s="201" t="s">
        <v>19014</v>
      </c>
      <c r="C1520" s="196" t="s">
        <v>865</v>
      </c>
      <c r="D1520" s="199">
        <v>11537.43</v>
      </c>
    </row>
    <row r="1521" spans="1:4" ht="28.5">
      <c r="A1521" s="201">
        <v>920645</v>
      </c>
      <c r="B1521" s="201" t="s">
        <v>19015</v>
      </c>
      <c r="C1521" s="196" t="s">
        <v>865</v>
      </c>
      <c r="D1521" s="199">
        <v>24972.94</v>
      </c>
    </row>
    <row r="1522" spans="1:4" ht="14.25">
      <c r="A1522" s="201">
        <v>920646</v>
      </c>
      <c r="B1522" s="201" t="s">
        <v>19016</v>
      </c>
      <c r="C1522" s="196" t="s">
        <v>865</v>
      </c>
      <c r="D1522" s="199">
        <v>6192.99</v>
      </c>
    </row>
    <row r="1523" spans="1:4" ht="14.25">
      <c r="A1523" s="201">
        <v>920647</v>
      </c>
      <c r="B1523" s="201" t="s">
        <v>19017</v>
      </c>
      <c r="C1523" s="196" t="s">
        <v>865</v>
      </c>
      <c r="D1523" s="199">
        <v>13934.23</v>
      </c>
    </row>
    <row r="1524" spans="1:4" ht="14.25">
      <c r="A1524" s="201">
        <v>920648</v>
      </c>
      <c r="B1524" s="201" t="s">
        <v>19018</v>
      </c>
      <c r="C1524" s="196" t="s">
        <v>865</v>
      </c>
      <c r="D1524" s="199">
        <v>20892.419999999998</v>
      </c>
    </row>
    <row r="1525" spans="1:4" ht="14.25">
      <c r="A1525" s="201">
        <v>920649</v>
      </c>
      <c r="B1525" s="201" t="s">
        <v>19019</v>
      </c>
      <c r="C1525" s="196" t="s">
        <v>865</v>
      </c>
      <c r="D1525" s="199">
        <v>2895.22</v>
      </c>
    </row>
    <row r="1526" spans="1:4" ht="14.25">
      <c r="A1526" s="201">
        <v>920650</v>
      </c>
      <c r="B1526" s="201" t="s">
        <v>19020</v>
      </c>
      <c r="C1526" s="196" t="s">
        <v>865</v>
      </c>
      <c r="D1526" s="199">
        <v>5236.95</v>
      </c>
    </row>
    <row r="1527" spans="1:4" ht="14.25">
      <c r="A1527" s="201">
        <v>920651</v>
      </c>
      <c r="B1527" s="201" t="s">
        <v>19021</v>
      </c>
      <c r="C1527" s="196" t="s">
        <v>865</v>
      </c>
      <c r="D1527" s="199">
        <v>2148.4899999999998</v>
      </c>
    </row>
    <row r="1528" spans="1:4" ht="14.25">
      <c r="A1528" s="201">
        <v>920652</v>
      </c>
      <c r="B1528" s="201" t="s">
        <v>19022</v>
      </c>
      <c r="C1528" s="196" t="s">
        <v>865</v>
      </c>
      <c r="D1528" s="199">
        <v>2148.4899999999998</v>
      </c>
    </row>
    <row r="1529" spans="1:4" ht="14.25">
      <c r="A1529" s="201">
        <v>920653</v>
      </c>
      <c r="B1529" s="201" t="s">
        <v>19023</v>
      </c>
      <c r="C1529" s="196" t="s">
        <v>865</v>
      </c>
      <c r="D1529" s="199">
        <v>4028.42</v>
      </c>
    </row>
    <row r="1530" spans="1:4" ht="28.5">
      <c r="A1530" s="201">
        <v>920658</v>
      </c>
      <c r="B1530" s="201" t="s">
        <v>19024</v>
      </c>
      <c r="C1530" s="196" t="s">
        <v>865</v>
      </c>
      <c r="D1530" s="199">
        <v>9323.4599999999991</v>
      </c>
    </row>
    <row r="1531" spans="1:4" ht="14.25">
      <c r="A1531" s="201">
        <v>920659</v>
      </c>
      <c r="B1531" s="201" t="s">
        <v>19025</v>
      </c>
      <c r="C1531" s="196" t="s">
        <v>865</v>
      </c>
      <c r="D1531" s="199">
        <v>24426.76</v>
      </c>
    </row>
    <row r="1532" spans="1:4" ht="14.25">
      <c r="A1532" s="201">
        <v>920660</v>
      </c>
      <c r="B1532" s="201" t="s">
        <v>19026</v>
      </c>
      <c r="C1532" s="196" t="s">
        <v>865</v>
      </c>
      <c r="D1532" s="199">
        <v>10152.35</v>
      </c>
    </row>
    <row r="1533" spans="1:4" ht="14.25">
      <c r="A1533" s="201">
        <v>920661</v>
      </c>
      <c r="B1533" s="201" t="s">
        <v>19027</v>
      </c>
      <c r="C1533" s="196" t="s">
        <v>865</v>
      </c>
      <c r="D1533" s="199">
        <v>3100.86</v>
      </c>
    </row>
    <row r="1534" spans="1:4" ht="14.25">
      <c r="A1534" s="201">
        <v>920662</v>
      </c>
      <c r="B1534" s="201" t="s">
        <v>19028</v>
      </c>
      <c r="C1534" s="196" t="s">
        <v>865</v>
      </c>
      <c r="D1534" s="199">
        <v>17469.189999999999</v>
      </c>
    </row>
    <row r="1535" spans="1:4" ht="28.5">
      <c r="A1535" s="201">
        <v>920663</v>
      </c>
      <c r="B1535" s="201" t="s">
        <v>19029</v>
      </c>
      <c r="C1535" s="196" t="s">
        <v>865</v>
      </c>
      <c r="D1535" s="199">
        <v>7458.95</v>
      </c>
    </row>
    <row r="1536" spans="1:4" ht="28.5">
      <c r="A1536" s="201">
        <v>920664</v>
      </c>
      <c r="B1536" s="201" t="s">
        <v>19030</v>
      </c>
      <c r="C1536" s="196" t="s">
        <v>865</v>
      </c>
      <c r="D1536" s="199">
        <v>5966.18</v>
      </c>
    </row>
    <row r="1537" spans="1:4" ht="14.25">
      <c r="A1537" s="201">
        <v>920665</v>
      </c>
      <c r="B1537" s="201" t="s">
        <v>19031</v>
      </c>
      <c r="C1537" s="196" t="s">
        <v>865</v>
      </c>
      <c r="D1537" s="199">
        <v>13953.89</v>
      </c>
    </row>
    <row r="1538" spans="1:4" ht="14.25">
      <c r="A1538" s="201">
        <v>920666</v>
      </c>
      <c r="B1538" s="201" t="s">
        <v>19032</v>
      </c>
      <c r="C1538" s="196" t="s">
        <v>865</v>
      </c>
      <c r="D1538" s="199">
        <v>11553.7</v>
      </c>
    </row>
    <row r="1539" spans="1:4" ht="28.5">
      <c r="A1539" s="201">
        <v>920667</v>
      </c>
      <c r="B1539" s="201" t="s">
        <v>19033</v>
      </c>
      <c r="C1539" s="196" t="s">
        <v>865</v>
      </c>
      <c r="D1539" s="199">
        <v>11553.7</v>
      </c>
    </row>
    <row r="1540" spans="1:4" ht="28.5">
      <c r="A1540" s="201">
        <v>920668</v>
      </c>
      <c r="B1540" s="201" t="s">
        <v>19034</v>
      </c>
      <c r="C1540" s="196" t="s">
        <v>865</v>
      </c>
      <c r="D1540" s="199">
        <v>10703.94</v>
      </c>
    </row>
    <row r="1541" spans="1:4" ht="14.25">
      <c r="A1541" s="201">
        <v>920669</v>
      </c>
      <c r="B1541" s="201" t="s">
        <v>19035</v>
      </c>
      <c r="C1541" s="196" t="s">
        <v>865</v>
      </c>
      <c r="D1541" s="199">
        <v>10815.75</v>
      </c>
    </row>
    <row r="1542" spans="1:4" ht="28.5">
      <c r="A1542" s="201">
        <v>920670</v>
      </c>
      <c r="B1542" s="201" t="s">
        <v>19036</v>
      </c>
      <c r="C1542" s="196" t="s">
        <v>865</v>
      </c>
      <c r="D1542" s="199">
        <v>11553.7</v>
      </c>
    </row>
    <row r="1543" spans="1:4" ht="28.5">
      <c r="A1543" s="201">
        <v>920671</v>
      </c>
      <c r="B1543" s="201" t="s">
        <v>19037</v>
      </c>
      <c r="C1543" s="196" t="s">
        <v>865</v>
      </c>
      <c r="D1543" s="199">
        <v>25008.17</v>
      </c>
    </row>
    <row r="1544" spans="1:4" ht="14.25">
      <c r="A1544" s="201">
        <v>920672</v>
      </c>
      <c r="B1544" s="201" t="s">
        <v>19038</v>
      </c>
      <c r="C1544" s="196" t="s">
        <v>865</v>
      </c>
      <c r="D1544" s="199">
        <v>6201.73</v>
      </c>
    </row>
    <row r="1545" spans="1:4" ht="14.25">
      <c r="A1545" s="201">
        <v>920673</v>
      </c>
      <c r="B1545" s="201" t="s">
        <v>19039</v>
      </c>
      <c r="C1545" s="196" t="s">
        <v>865</v>
      </c>
      <c r="D1545" s="199">
        <v>13953.89</v>
      </c>
    </row>
    <row r="1546" spans="1:4" ht="14.25">
      <c r="A1546" s="201">
        <v>920674</v>
      </c>
      <c r="B1546" s="201" t="s">
        <v>19040</v>
      </c>
      <c r="C1546" s="196" t="s">
        <v>865</v>
      </c>
      <c r="D1546" s="199">
        <v>20921.89</v>
      </c>
    </row>
    <row r="1547" spans="1:4" ht="14.25">
      <c r="A1547" s="201">
        <v>920675</v>
      </c>
      <c r="B1547" s="201" t="s">
        <v>19041</v>
      </c>
      <c r="C1547" s="196" t="s">
        <v>865</v>
      </c>
      <c r="D1547" s="199">
        <v>2722.2</v>
      </c>
    </row>
    <row r="1548" spans="1:4" ht="14.25">
      <c r="A1548" s="201">
        <v>920676</v>
      </c>
      <c r="B1548" s="201" t="s">
        <v>19042</v>
      </c>
      <c r="C1548" s="196" t="s">
        <v>865</v>
      </c>
      <c r="D1548" s="199">
        <v>4924.5600000000004</v>
      </c>
    </row>
    <row r="1549" spans="1:4" ht="14.25">
      <c r="A1549" s="201">
        <v>920677</v>
      </c>
      <c r="B1549" s="201" t="s">
        <v>19043</v>
      </c>
      <c r="C1549" s="196" t="s">
        <v>865</v>
      </c>
      <c r="D1549" s="199">
        <v>2020.33</v>
      </c>
    </row>
    <row r="1550" spans="1:4" ht="14.25">
      <c r="A1550" s="201">
        <v>920678</v>
      </c>
      <c r="B1550" s="201" t="s">
        <v>19044</v>
      </c>
      <c r="C1550" s="196" t="s">
        <v>865</v>
      </c>
      <c r="D1550" s="199">
        <v>2020.33</v>
      </c>
    </row>
    <row r="1551" spans="1:4" ht="14.25">
      <c r="A1551" s="201">
        <v>920679</v>
      </c>
      <c r="B1551" s="201" t="s">
        <v>19045</v>
      </c>
      <c r="C1551" s="196" t="s">
        <v>865</v>
      </c>
      <c r="D1551" s="199">
        <v>3788.12</v>
      </c>
    </row>
    <row r="1552" spans="1:4" ht="28.5">
      <c r="A1552" s="201">
        <v>920680</v>
      </c>
      <c r="B1552" s="201" t="s">
        <v>19046</v>
      </c>
      <c r="C1552" s="196" t="s">
        <v>7</v>
      </c>
      <c r="D1552" s="199">
        <v>4773.54</v>
      </c>
    </row>
    <row r="1553" spans="1:4" ht="28.5">
      <c r="A1553" s="201">
        <v>920681</v>
      </c>
      <c r="B1553" s="201" t="s">
        <v>19047</v>
      </c>
      <c r="C1553" s="196" t="s">
        <v>865</v>
      </c>
      <c r="D1553" s="199">
        <v>10815.04</v>
      </c>
    </row>
    <row r="1554" spans="1:4" ht="14.25">
      <c r="A1554" s="201">
        <v>920682</v>
      </c>
      <c r="B1554" s="201" t="s">
        <v>19048</v>
      </c>
      <c r="C1554" s="196" t="s">
        <v>865</v>
      </c>
      <c r="D1554" s="199">
        <v>28334.58</v>
      </c>
    </row>
    <row r="1555" spans="1:4" ht="14.25">
      <c r="A1555" s="201">
        <v>920683</v>
      </c>
      <c r="B1555" s="201" t="s">
        <v>19049</v>
      </c>
      <c r="C1555" s="196" t="s">
        <v>865</v>
      </c>
      <c r="D1555" s="199">
        <v>11776.53</v>
      </c>
    </row>
    <row r="1556" spans="1:4" ht="14.25">
      <c r="A1556" s="201">
        <v>920684</v>
      </c>
      <c r="B1556" s="201" t="s">
        <v>19050</v>
      </c>
      <c r="C1556" s="196" t="s">
        <v>865</v>
      </c>
      <c r="D1556" s="199">
        <v>3596.94</v>
      </c>
    </row>
    <row r="1557" spans="1:4" ht="14.25">
      <c r="A1557" s="201">
        <v>920685</v>
      </c>
      <c r="B1557" s="201" t="s">
        <v>19051</v>
      </c>
      <c r="C1557" s="196" t="s">
        <v>865</v>
      </c>
      <c r="D1557" s="199">
        <v>20263.939999999999</v>
      </c>
    </row>
    <row r="1558" spans="1:4" ht="28.5">
      <c r="A1558" s="201">
        <v>920686</v>
      </c>
      <c r="B1558" s="201" t="s">
        <v>19052</v>
      </c>
      <c r="C1558" s="196" t="s">
        <v>865</v>
      </c>
      <c r="D1558" s="199">
        <v>8652.24</v>
      </c>
    </row>
    <row r="1559" spans="1:4" ht="28.5">
      <c r="A1559" s="201">
        <v>920687</v>
      </c>
      <c r="B1559" s="201" t="s">
        <v>19053</v>
      </c>
      <c r="C1559" s="196" t="s">
        <v>865</v>
      </c>
      <c r="D1559" s="199">
        <v>6920.66</v>
      </c>
    </row>
    <row r="1560" spans="1:4" ht="14.25">
      <c r="A1560" s="201">
        <v>920688</v>
      </c>
      <c r="B1560" s="201" t="s">
        <v>19054</v>
      </c>
      <c r="C1560" s="196" t="s">
        <v>865</v>
      </c>
      <c r="D1560" s="199">
        <v>16186.25</v>
      </c>
    </row>
    <row r="1561" spans="1:4" ht="14.25">
      <c r="A1561" s="201">
        <v>920689</v>
      </c>
      <c r="B1561" s="201" t="s">
        <v>19055</v>
      </c>
      <c r="C1561" s="196" t="s">
        <v>865</v>
      </c>
      <c r="D1561" s="199">
        <v>13402.08</v>
      </c>
    </row>
    <row r="1562" spans="1:4" ht="28.5">
      <c r="A1562" s="201">
        <v>920690</v>
      </c>
      <c r="B1562" s="201" t="s">
        <v>19056</v>
      </c>
      <c r="C1562" s="196" t="s">
        <v>865</v>
      </c>
      <c r="D1562" s="199">
        <v>13402.08</v>
      </c>
    </row>
    <row r="1563" spans="1:4" ht="28.5">
      <c r="A1563" s="201">
        <v>920691</v>
      </c>
      <c r="B1563" s="201" t="s">
        <v>19057</v>
      </c>
      <c r="C1563" s="196" t="s">
        <v>865</v>
      </c>
      <c r="D1563" s="199">
        <v>12416.37</v>
      </c>
    </row>
    <row r="1564" spans="1:4" ht="14.25">
      <c r="A1564" s="201">
        <v>920692</v>
      </c>
      <c r="B1564" s="201" t="s">
        <v>19058</v>
      </c>
      <c r="C1564" s="196" t="s">
        <v>865</v>
      </c>
      <c r="D1564" s="199">
        <v>12546.07</v>
      </c>
    </row>
    <row r="1565" spans="1:4" ht="28.5">
      <c r="A1565" s="201">
        <v>920693</v>
      </c>
      <c r="B1565" s="201" t="s">
        <v>19059</v>
      </c>
      <c r="C1565" s="196" t="s">
        <v>865</v>
      </c>
      <c r="D1565" s="199">
        <v>13402.08</v>
      </c>
    </row>
    <row r="1566" spans="1:4" ht="28.5">
      <c r="A1566" s="201">
        <v>920694</v>
      </c>
      <c r="B1566" s="201" t="s">
        <v>19060</v>
      </c>
      <c r="C1566" s="196" t="s">
        <v>865</v>
      </c>
      <c r="D1566" s="199">
        <v>29009.01</v>
      </c>
    </row>
    <row r="1567" spans="1:4" ht="14.25">
      <c r="A1567" s="201">
        <v>920695</v>
      </c>
      <c r="B1567" s="201" t="s">
        <v>19061</v>
      </c>
      <c r="C1567" s="196" t="s">
        <v>865</v>
      </c>
      <c r="D1567" s="199">
        <v>7193.89</v>
      </c>
    </row>
    <row r="1568" spans="1:4" ht="14.25">
      <c r="A1568" s="201">
        <v>920696</v>
      </c>
      <c r="B1568" s="201" t="s">
        <v>19062</v>
      </c>
      <c r="C1568" s="196" t="s">
        <v>865</v>
      </c>
      <c r="D1568" s="199">
        <v>16186.25</v>
      </c>
    </row>
    <row r="1569" spans="1:4" ht="14.25">
      <c r="A1569" s="201">
        <v>920697</v>
      </c>
      <c r="B1569" s="201" t="s">
        <v>19063</v>
      </c>
      <c r="C1569" s="196" t="s">
        <v>865</v>
      </c>
      <c r="D1569" s="199">
        <v>24269</v>
      </c>
    </row>
    <row r="1570" spans="1:4" ht="14.25">
      <c r="A1570" s="201">
        <v>920698</v>
      </c>
      <c r="B1570" s="201" t="s">
        <v>19064</v>
      </c>
      <c r="C1570" s="196" t="s">
        <v>865</v>
      </c>
      <c r="D1570" s="199">
        <v>3157.7</v>
      </c>
    </row>
    <row r="1571" spans="1:4" ht="14.25">
      <c r="A1571" s="201">
        <v>920699</v>
      </c>
      <c r="B1571" s="201" t="s">
        <v>19065</v>
      </c>
      <c r="C1571" s="196" t="s">
        <v>865</v>
      </c>
      <c r="D1571" s="199">
        <v>5712.4</v>
      </c>
    </row>
    <row r="1572" spans="1:4" ht="15">
      <c r="A1572" s="200">
        <v>9207</v>
      </c>
      <c r="B1572" s="333" t="s">
        <v>19066</v>
      </c>
      <c r="C1572" s="334"/>
      <c r="D1572" s="334"/>
    </row>
    <row r="1573" spans="1:4" ht="14.25">
      <c r="A1573" s="201">
        <v>920701</v>
      </c>
      <c r="B1573" s="201" t="s">
        <v>19067</v>
      </c>
      <c r="C1573" s="196" t="s">
        <v>865</v>
      </c>
      <c r="D1573" s="199">
        <v>2343.5500000000002</v>
      </c>
    </row>
    <row r="1574" spans="1:4" ht="14.25">
      <c r="A1574" s="201">
        <v>920702</v>
      </c>
      <c r="B1574" s="201" t="s">
        <v>19068</v>
      </c>
      <c r="C1574" s="196" t="s">
        <v>865</v>
      </c>
      <c r="D1574" s="199">
        <v>2343.5500000000002</v>
      </c>
    </row>
    <row r="1575" spans="1:4" ht="28.5">
      <c r="A1575" s="201">
        <v>920703</v>
      </c>
      <c r="B1575" s="201" t="s">
        <v>19069</v>
      </c>
      <c r="C1575" s="196" t="s">
        <v>865</v>
      </c>
      <c r="D1575" s="199">
        <v>4394.1499999999996</v>
      </c>
    </row>
    <row r="1576" spans="1:4" ht="28.5">
      <c r="A1576" s="201">
        <v>920704</v>
      </c>
      <c r="B1576" s="201" t="s">
        <v>19070</v>
      </c>
      <c r="C1576" s="196" t="s">
        <v>865</v>
      </c>
      <c r="D1576" s="199">
        <v>5537.22</v>
      </c>
    </row>
    <row r="1577" spans="1:4" ht="15">
      <c r="A1577" s="200">
        <v>93</v>
      </c>
      <c r="B1577" s="333" t="s">
        <v>1929</v>
      </c>
      <c r="C1577" s="334"/>
      <c r="D1577" s="334"/>
    </row>
    <row r="1578" spans="1:4" ht="15">
      <c r="A1578" s="200">
        <v>9302</v>
      </c>
      <c r="B1578" s="333" t="s">
        <v>1930</v>
      </c>
      <c r="C1578" s="334"/>
      <c r="D1578" s="334"/>
    </row>
    <row r="1579" spans="1:4" ht="28.5">
      <c r="A1579" s="201">
        <v>930213</v>
      </c>
      <c r="B1579" s="201" t="s">
        <v>15146</v>
      </c>
      <c r="C1579" s="196" t="s">
        <v>7</v>
      </c>
      <c r="D1579" s="199">
        <v>1118</v>
      </c>
    </row>
    <row r="1580" spans="1:4" ht="28.5">
      <c r="A1580" s="201">
        <v>930214</v>
      </c>
      <c r="B1580" s="201" t="s">
        <v>15147</v>
      </c>
      <c r="C1580" s="196" t="s">
        <v>7</v>
      </c>
      <c r="D1580" s="199">
        <v>2314</v>
      </c>
    </row>
    <row r="1581" spans="1:4" ht="28.5">
      <c r="A1581" s="201">
        <v>930218</v>
      </c>
      <c r="B1581" s="201" t="s">
        <v>15148</v>
      </c>
      <c r="C1581" s="196" t="s">
        <v>7</v>
      </c>
      <c r="D1581" s="197">
        <v>865</v>
      </c>
    </row>
    <row r="1582" spans="1:4" ht="28.5">
      <c r="A1582" s="201">
        <v>930219</v>
      </c>
      <c r="B1582" s="201" t="s">
        <v>15149</v>
      </c>
      <c r="C1582" s="196" t="s">
        <v>7</v>
      </c>
      <c r="D1582" s="197">
        <v>947.33</v>
      </c>
    </row>
    <row r="1583" spans="1:4" ht="28.5">
      <c r="A1583" s="201">
        <v>930220</v>
      </c>
      <c r="B1583" s="201" t="s">
        <v>15150</v>
      </c>
      <c r="C1583" s="196" t="s">
        <v>7</v>
      </c>
      <c r="D1583" s="199">
        <v>1266.67</v>
      </c>
    </row>
    <row r="1584" spans="1:4" ht="28.5">
      <c r="A1584" s="201">
        <v>930226</v>
      </c>
      <c r="B1584" s="201" t="s">
        <v>13881</v>
      </c>
      <c r="C1584" s="196" t="s">
        <v>7</v>
      </c>
      <c r="D1584" s="199">
        <v>5736.67</v>
      </c>
    </row>
    <row r="1585" spans="1:4" ht="28.5">
      <c r="A1585" s="201">
        <v>930235</v>
      </c>
      <c r="B1585" s="201" t="s">
        <v>15151</v>
      </c>
      <c r="C1585" s="196" t="s">
        <v>7</v>
      </c>
      <c r="D1585" s="197">
        <v>198.77</v>
      </c>
    </row>
    <row r="1586" spans="1:4" ht="15">
      <c r="A1586" s="200">
        <v>95</v>
      </c>
      <c r="B1586" s="333" t="s">
        <v>1931</v>
      </c>
      <c r="C1586" s="334"/>
      <c r="D1586" s="334"/>
    </row>
    <row r="1587" spans="1:4" ht="15">
      <c r="A1587" s="200">
        <v>9501</v>
      </c>
      <c r="B1587" s="333" t="s">
        <v>1932</v>
      </c>
      <c r="C1587" s="334"/>
      <c r="D1587" s="334"/>
    </row>
    <row r="1588" spans="1:4" ht="28.5">
      <c r="A1588" s="201">
        <v>950101</v>
      </c>
      <c r="B1588" s="201" t="s">
        <v>1933</v>
      </c>
      <c r="C1588" s="196" t="s">
        <v>10</v>
      </c>
      <c r="D1588" s="197">
        <v>2.98</v>
      </c>
    </row>
    <row r="1589" spans="1:4" ht="28.5">
      <c r="A1589" s="201">
        <v>950102</v>
      </c>
      <c r="B1589" s="201" t="s">
        <v>1934</v>
      </c>
      <c r="C1589" s="196" t="s">
        <v>10</v>
      </c>
      <c r="D1589" s="197">
        <v>10.220000000000001</v>
      </c>
    </row>
    <row r="1590" spans="1:4" ht="14.25">
      <c r="A1590" s="335"/>
      <c r="B1590" s="336"/>
      <c r="C1590" s="336"/>
      <c r="D1590" s="336"/>
    </row>
    <row r="1591" spans="1:4" ht="15">
      <c r="A1591" s="333" t="s">
        <v>1935</v>
      </c>
      <c r="B1591" s="334"/>
      <c r="C1591" s="334"/>
      <c r="D1591" s="334"/>
    </row>
    <row r="1592" spans="1:4" ht="14.25">
      <c r="A1592" s="335"/>
      <c r="B1592" s="336"/>
      <c r="C1592" s="336"/>
      <c r="D1592" s="336"/>
    </row>
    <row r="1593" spans="1:4" ht="30">
      <c r="A1593" s="202" t="s">
        <v>937</v>
      </c>
      <c r="B1593" s="202" t="s">
        <v>938</v>
      </c>
      <c r="C1593" s="203" t="s">
        <v>939</v>
      </c>
      <c r="D1593" s="203" t="s">
        <v>1936</v>
      </c>
    </row>
    <row r="1594" spans="1:4" ht="15">
      <c r="A1594" s="200">
        <v>8</v>
      </c>
      <c r="B1594" s="333" t="s">
        <v>1937</v>
      </c>
      <c r="C1594" s="334"/>
      <c r="D1594" s="334"/>
    </row>
    <row r="1595" spans="1:4" ht="15">
      <c r="A1595" s="200">
        <v>802</v>
      </c>
      <c r="B1595" s="333" t="s">
        <v>1938</v>
      </c>
      <c r="C1595" s="334"/>
      <c r="D1595" s="334"/>
    </row>
    <row r="1596" spans="1:4" ht="28.5">
      <c r="A1596" s="201">
        <v>80201</v>
      </c>
      <c r="B1596" s="201" t="s">
        <v>1939</v>
      </c>
      <c r="C1596" s="196" t="s">
        <v>10</v>
      </c>
      <c r="D1596" s="197">
        <v>2.34</v>
      </c>
    </row>
    <row r="1597" spans="1:4" ht="14.25">
      <c r="A1597" s="201">
        <v>80202</v>
      </c>
      <c r="B1597" s="201" t="s">
        <v>1940</v>
      </c>
      <c r="C1597" s="196" t="s">
        <v>10</v>
      </c>
      <c r="D1597" s="197">
        <v>2.34</v>
      </c>
    </row>
    <row r="1598" spans="1:4" ht="15">
      <c r="A1598" s="200">
        <v>804</v>
      </c>
      <c r="B1598" s="333" t="s">
        <v>15152</v>
      </c>
      <c r="C1598" s="334"/>
      <c r="D1598" s="334"/>
    </row>
    <row r="1599" spans="1:4" ht="28.5">
      <c r="A1599" s="201">
        <v>80425</v>
      </c>
      <c r="B1599" s="201" t="s">
        <v>15153</v>
      </c>
      <c r="C1599" s="196" t="s">
        <v>7</v>
      </c>
      <c r="D1599" s="197">
        <v>292.33999999999997</v>
      </c>
    </row>
    <row r="1600" spans="1:4" ht="15">
      <c r="A1600" s="200">
        <v>807</v>
      </c>
      <c r="B1600" s="333" t="s">
        <v>1941</v>
      </c>
      <c r="C1600" s="334"/>
      <c r="D1600" s="334"/>
    </row>
    <row r="1601" spans="1:4" ht="28.5">
      <c r="A1601" s="201">
        <v>80731</v>
      </c>
      <c r="B1601" s="201" t="s">
        <v>19071</v>
      </c>
      <c r="C1601" s="196" t="s">
        <v>7</v>
      </c>
      <c r="D1601" s="199">
        <v>78144</v>
      </c>
    </row>
    <row r="1602" spans="1:4" ht="15">
      <c r="A1602" s="200">
        <v>811</v>
      </c>
      <c r="B1602" s="333" t="s">
        <v>19072</v>
      </c>
      <c r="C1602" s="334"/>
      <c r="D1602" s="334"/>
    </row>
    <row r="1603" spans="1:4" ht="42.75">
      <c r="A1603" s="201">
        <v>81115</v>
      </c>
      <c r="B1603" s="201" t="s">
        <v>19073</v>
      </c>
      <c r="C1603" s="196" t="s">
        <v>7</v>
      </c>
      <c r="D1603" s="199">
        <v>4853.37</v>
      </c>
    </row>
    <row r="1604" spans="1:4" ht="57">
      <c r="A1604" s="201">
        <v>81116</v>
      </c>
      <c r="B1604" s="201" t="s">
        <v>19074</v>
      </c>
      <c r="C1604" s="196" t="s">
        <v>7</v>
      </c>
      <c r="D1604" s="199">
        <v>547702.68000000005</v>
      </c>
    </row>
    <row r="1605" spans="1:4" ht="28.5">
      <c r="A1605" s="201">
        <v>81117</v>
      </c>
      <c r="B1605" s="201" t="s">
        <v>19075</v>
      </c>
      <c r="C1605" s="196" t="s">
        <v>7</v>
      </c>
      <c r="D1605" s="199">
        <v>53076.92</v>
      </c>
    </row>
    <row r="1606" spans="1:4" ht="28.5">
      <c r="A1606" s="201">
        <v>81120</v>
      </c>
      <c r="B1606" s="201" t="s">
        <v>19076</v>
      </c>
      <c r="C1606" s="196" t="s">
        <v>7</v>
      </c>
      <c r="D1606" s="199">
        <v>23191.78</v>
      </c>
    </row>
    <row r="1607" spans="1:4" ht="42.75">
      <c r="A1607" s="201">
        <v>81121</v>
      </c>
      <c r="B1607" s="201" t="s">
        <v>19077</v>
      </c>
      <c r="C1607" s="196" t="s">
        <v>7</v>
      </c>
      <c r="D1607" s="199">
        <v>2807.88</v>
      </c>
    </row>
    <row r="1608" spans="1:4" ht="71.25">
      <c r="A1608" s="201">
        <v>81124</v>
      </c>
      <c r="B1608" s="201" t="s">
        <v>19078</v>
      </c>
      <c r="C1608" s="196" t="s">
        <v>7</v>
      </c>
      <c r="D1608" s="199">
        <v>139625</v>
      </c>
    </row>
    <row r="1609" spans="1:4" ht="42.75">
      <c r="A1609" s="201">
        <v>81126</v>
      </c>
      <c r="B1609" s="201" t="s">
        <v>19079</v>
      </c>
      <c r="C1609" s="196" t="s">
        <v>7</v>
      </c>
      <c r="D1609" s="199">
        <v>780000</v>
      </c>
    </row>
    <row r="1610" spans="1:4" ht="57">
      <c r="A1610" s="201">
        <v>81128</v>
      </c>
      <c r="B1610" s="201" t="s">
        <v>19080</v>
      </c>
      <c r="C1610" s="196" t="s">
        <v>7</v>
      </c>
      <c r="D1610" s="199">
        <v>12358.02</v>
      </c>
    </row>
    <row r="1611" spans="1:4" ht="42.75">
      <c r="A1611" s="201">
        <v>81129</v>
      </c>
      <c r="B1611" s="201" t="s">
        <v>19081</v>
      </c>
      <c r="C1611" s="196" t="s">
        <v>29</v>
      </c>
      <c r="D1611" s="199">
        <v>13530.62</v>
      </c>
    </row>
    <row r="1612" spans="1:4" ht="85.5">
      <c r="A1612" s="201">
        <v>81130</v>
      </c>
      <c r="B1612" s="201" t="s">
        <v>19082</v>
      </c>
      <c r="C1612" s="196" t="s">
        <v>29</v>
      </c>
      <c r="D1612" s="199">
        <v>9166.7900000000009</v>
      </c>
    </row>
    <row r="1613" spans="1:4" ht="85.5">
      <c r="A1613" s="201">
        <v>81133</v>
      </c>
      <c r="B1613" s="201" t="s">
        <v>19083</v>
      </c>
      <c r="C1613" s="196" t="s">
        <v>29</v>
      </c>
      <c r="D1613" s="199">
        <v>428707.3</v>
      </c>
    </row>
    <row r="1614" spans="1:4" ht="42.75">
      <c r="A1614" s="201">
        <v>81134</v>
      </c>
      <c r="B1614" s="201" t="s">
        <v>19084</v>
      </c>
      <c r="C1614" s="196" t="s">
        <v>29</v>
      </c>
      <c r="D1614" s="199">
        <v>69217.47</v>
      </c>
    </row>
    <row r="1615" spans="1:4" ht="57">
      <c r="A1615" s="201">
        <v>81135</v>
      </c>
      <c r="B1615" s="201" t="s">
        <v>19085</v>
      </c>
      <c r="C1615" s="196" t="s">
        <v>29</v>
      </c>
      <c r="D1615" s="199">
        <v>482500</v>
      </c>
    </row>
  </sheetData>
  <autoFilter ref="A3:D1417" xr:uid="{00000000-0009-0000-0000-000003000000}"/>
  <mergeCells count="283">
    <mergeCell ref="B1602:D1602"/>
    <mergeCell ref="A1591:D1591"/>
    <mergeCell ref="A1592:D1592"/>
    <mergeCell ref="B1594:D1594"/>
    <mergeCell ref="B1595:D1595"/>
    <mergeCell ref="B1598:D1598"/>
    <mergeCell ref="B1600:D1600"/>
    <mergeCell ref="B1572:D1572"/>
    <mergeCell ref="B1577:D1577"/>
    <mergeCell ref="B1578:D1578"/>
    <mergeCell ref="B1586:D1586"/>
    <mergeCell ref="B1587:D1587"/>
    <mergeCell ref="A1590:D1590"/>
    <mergeCell ref="B1457:D1457"/>
    <mergeCell ref="B1467:D1467"/>
    <mergeCell ref="B1468:D1468"/>
    <mergeCell ref="B1483:D1483"/>
    <mergeCell ref="B1484:D1484"/>
    <mergeCell ref="B1486:D1486"/>
    <mergeCell ref="B1446:D1446"/>
    <mergeCell ref="B1447:D1447"/>
    <mergeCell ref="B1449:D1449"/>
    <mergeCell ref="B1450:D1450"/>
    <mergeCell ref="B1453:D1453"/>
    <mergeCell ref="B1456:D1456"/>
    <mergeCell ref="B1434:D1434"/>
    <mergeCell ref="B1437:D1437"/>
    <mergeCell ref="B1439:D1439"/>
    <mergeCell ref="B1440:D1440"/>
    <mergeCell ref="B1442:D1442"/>
    <mergeCell ref="B1444:D1444"/>
    <mergeCell ref="B1410:D1410"/>
    <mergeCell ref="B1411:D1411"/>
    <mergeCell ref="B1422:D1422"/>
    <mergeCell ref="B1428:D1428"/>
    <mergeCell ref="B1429:D1429"/>
    <mergeCell ref="B1431:D1431"/>
    <mergeCell ref="B1393:D1393"/>
    <mergeCell ref="B1396:D1396"/>
    <mergeCell ref="B1398:D1398"/>
    <mergeCell ref="B1402:D1402"/>
    <mergeCell ref="B1406:D1406"/>
    <mergeCell ref="B1408:D1408"/>
    <mergeCell ref="B1374:D1374"/>
    <mergeCell ref="B1376:D1376"/>
    <mergeCell ref="B1379:D1379"/>
    <mergeCell ref="B1381:D1381"/>
    <mergeCell ref="B1387:D1387"/>
    <mergeCell ref="B1389:D1389"/>
    <mergeCell ref="B1360:D1360"/>
    <mergeCell ref="B1363:D1363"/>
    <mergeCell ref="B1365:D1365"/>
    <mergeCell ref="B1368:D1368"/>
    <mergeCell ref="B1370:D1370"/>
    <mergeCell ref="B1372:D1372"/>
    <mergeCell ref="B1344:D1344"/>
    <mergeCell ref="B1346:D1346"/>
    <mergeCell ref="B1348:D1348"/>
    <mergeCell ref="B1351:D1351"/>
    <mergeCell ref="B1353:D1353"/>
    <mergeCell ref="B1356:D1356"/>
    <mergeCell ref="B1325:D1325"/>
    <mergeCell ref="B1334:D1334"/>
    <mergeCell ref="B1336:D1336"/>
    <mergeCell ref="B1337:D1337"/>
    <mergeCell ref="B1339:D1339"/>
    <mergeCell ref="B1341:D1341"/>
    <mergeCell ref="B1287:D1287"/>
    <mergeCell ref="B1289:D1289"/>
    <mergeCell ref="B1291:D1291"/>
    <mergeCell ref="B1296:D1296"/>
    <mergeCell ref="B1300:D1300"/>
    <mergeCell ref="B1305:D1305"/>
    <mergeCell ref="B1245:D1245"/>
    <mergeCell ref="B1247:D1247"/>
    <mergeCell ref="B1266:D1266"/>
    <mergeCell ref="B1268:D1268"/>
    <mergeCell ref="B1277:D1277"/>
    <mergeCell ref="B1281:D1281"/>
    <mergeCell ref="B1209:D1209"/>
    <mergeCell ref="B1217:D1217"/>
    <mergeCell ref="B1221:D1221"/>
    <mergeCell ref="B1234:D1234"/>
    <mergeCell ref="B1238:D1238"/>
    <mergeCell ref="B1240:D1240"/>
    <mergeCell ref="B1154:D1154"/>
    <mergeCell ref="B1162:D1162"/>
    <mergeCell ref="B1173:D1173"/>
    <mergeCell ref="B1177:D1177"/>
    <mergeCell ref="B1201:D1201"/>
    <mergeCell ref="B1207:D1207"/>
    <mergeCell ref="B1088:D1088"/>
    <mergeCell ref="B1090:D1090"/>
    <mergeCell ref="B1092:D1092"/>
    <mergeCell ref="B1112:D1112"/>
    <mergeCell ref="B1142:D1142"/>
    <mergeCell ref="B1145:D1145"/>
    <mergeCell ref="B1037:D1037"/>
    <mergeCell ref="B1068:D1068"/>
    <mergeCell ref="B1070:D1070"/>
    <mergeCell ref="B1073:D1073"/>
    <mergeCell ref="B1077:D1077"/>
    <mergeCell ref="B1080:D1080"/>
    <mergeCell ref="B1004:D1004"/>
    <mergeCell ref="B1007:D1007"/>
    <mergeCell ref="B1009:D1009"/>
    <mergeCell ref="B1011:D1011"/>
    <mergeCell ref="B1025:D1025"/>
    <mergeCell ref="B1030:D1030"/>
    <mergeCell ref="B966:D966"/>
    <mergeCell ref="B974:D974"/>
    <mergeCell ref="B975:D975"/>
    <mergeCell ref="B978:D978"/>
    <mergeCell ref="B982:D982"/>
    <mergeCell ref="B985:D985"/>
    <mergeCell ref="B920:D920"/>
    <mergeCell ref="B924:D924"/>
    <mergeCell ref="B925:D925"/>
    <mergeCell ref="B935:D935"/>
    <mergeCell ref="B944:D944"/>
    <mergeCell ref="B956:D956"/>
    <mergeCell ref="B853:D853"/>
    <mergeCell ref="B865:D865"/>
    <mergeCell ref="B874:D874"/>
    <mergeCell ref="B888:D888"/>
    <mergeCell ref="B902:D902"/>
    <mergeCell ref="B907:D907"/>
    <mergeCell ref="B814:D814"/>
    <mergeCell ref="B822:D822"/>
    <mergeCell ref="B833:D833"/>
    <mergeCell ref="B835:D835"/>
    <mergeCell ref="B840:D840"/>
    <mergeCell ref="B845:D845"/>
    <mergeCell ref="B753:D753"/>
    <mergeCell ref="B773:D773"/>
    <mergeCell ref="B781:D781"/>
    <mergeCell ref="B783:D783"/>
    <mergeCell ref="B790:D790"/>
    <mergeCell ref="B794:D794"/>
    <mergeCell ref="B728:D728"/>
    <mergeCell ref="B730:D730"/>
    <mergeCell ref="B734:D734"/>
    <mergeCell ref="B741:D741"/>
    <mergeCell ref="B744:D744"/>
    <mergeCell ref="B748:D748"/>
    <mergeCell ref="B699:D699"/>
    <mergeCell ref="B708:D708"/>
    <mergeCell ref="B711:D711"/>
    <mergeCell ref="B714:D714"/>
    <mergeCell ref="B721:D721"/>
    <mergeCell ref="B725:D725"/>
    <mergeCell ref="B666:D666"/>
    <mergeCell ref="B673:D673"/>
    <mergeCell ref="B678:D678"/>
    <mergeCell ref="B689:D689"/>
    <mergeCell ref="B691:D691"/>
    <mergeCell ref="B693:D693"/>
    <mergeCell ref="B621:D621"/>
    <mergeCell ref="B626:D626"/>
    <mergeCell ref="B629:D629"/>
    <mergeCell ref="B631:D631"/>
    <mergeCell ref="B635:D635"/>
    <mergeCell ref="B656:D656"/>
    <mergeCell ref="B582:D582"/>
    <mergeCell ref="B597:D597"/>
    <mergeCell ref="B605:D605"/>
    <mergeCell ref="B607:D607"/>
    <mergeCell ref="B611:D611"/>
    <mergeCell ref="B615:D615"/>
    <mergeCell ref="B531:D531"/>
    <mergeCell ref="B535:D535"/>
    <mergeCell ref="B555:D555"/>
    <mergeCell ref="B560:D560"/>
    <mergeCell ref="B563:D563"/>
    <mergeCell ref="B565:D565"/>
    <mergeCell ref="B499:D499"/>
    <mergeCell ref="B510:D510"/>
    <mergeCell ref="B512:D512"/>
    <mergeCell ref="B515:D515"/>
    <mergeCell ref="B522:D522"/>
    <mergeCell ref="B524:D524"/>
    <mergeCell ref="B481:D481"/>
    <mergeCell ref="B483:D483"/>
    <mergeCell ref="B488:D488"/>
    <mergeCell ref="B490:D490"/>
    <mergeCell ref="B492:D492"/>
    <mergeCell ref="B497:D497"/>
    <mergeCell ref="B464:D464"/>
    <mergeCell ref="B467:D467"/>
    <mergeCell ref="B469:D469"/>
    <mergeCell ref="B470:D470"/>
    <mergeCell ref="B473:D473"/>
    <mergeCell ref="B476:D476"/>
    <mergeCell ref="B423:D423"/>
    <mergeCell ref="B425:D425"/>
    <mergeCell ref="B445:D445"/>
    <mergeCell ref="B447:D447"/>
    <mergeCell ref="B450:D450"/>
    <mergeCell ref="B457:D457"/>
    <mergeCell ref="B397:D397"/>
    <mergeCell ref="B402:D402"/>
    <mergeCell ref="B404:D404"/>
    <mergeCell ref="B406:D406"/>
    <mergeCell ref="B412:D412"/>
    <mergeCell ref="B414:D414"/>
    <mergeCell ref="B375:D375"/>
    <mergeCell ref="B379:D379"/>
    <mergeCell ref="B381:D381"/>
    <mergeCell ref="B385:D385"/>
    <mergeCell ref="B387:D387"/>
    <mergeCell ref="B395:D395"/>
    <mergeCell ref="B361:D361"/>
    <mergeCell ref="B363:D363"/>
    <mergeCell ref="B366:D366"/>
    <mergeCell ref="B368:D368"/>
    <mergeCell ref="B371:D371"/>
    <mergeCell ref="B373:D373"/>
    <mergeCell ref="B342:D342"/>
    <mergeCell ref="B345:D345"/>
    <mergeCell ref="B348:D348"/>
    <mergeCell ref="B350:D350"/>
    <mergeCell ref="B357:D357"/>
    <mergeCell ref="B359:D359"/>
    <mergeCell ref="B315:D315"/>
    <mergeCell ref="B329:D329"/>
    <mergeCell ref="B332:D332"/>
    <mergeCell ref="B334:D334"/>
    <mergeCell ref="B338:D338"/>
    <mergeCell ref="B340:D340"/>
    <mergeCell ref="B303:D303"/>
    <mergeCell ref="B305:D305"/>
    <mergeCell ref="B307:D307"/>
    <mergeCell ref="B309:D309"/>
    <mergeCell ref="B311:D311"/>
    <mergeCell ref="B313:D313"/>
    <mergeCell ref="B273:D273"/>
    <mergeCell ref="B274:D274"/>
    <mergeCell ref="B282:D282"/>
    <mergeCell ref="B293:D293"/>
    <mergeCell ref="B295:D295"/>
    <mergeCell ref="B298:D298"/>
    <mergeCell ref="B253:D253"/>
    <mergeCell ref="B256:D256"/>
    <mergeCell ref="B260:D260"/>
    <mergeCell ref="B265:D265"/>
    <mergeCell ref="B267:D267"/>
    <mergeCell ref="B271:D271"/>
    <mergeCell ref="B215:D215"/>
    <mergeCell ref="B219:D219"/>
    <mergeCell ref="B222:D222"/>
    <mergeCell ref="B231:D231"/>
    <mergeCell ref="B236:D236"/>
    <mergeCell ref="B244:D244"/>
    <mergeCell ref="B165:D165"/>
    <mergeCell ref="B167:D167"/>
    <mergeCell ref="B170:D170"/>
    <mergeCell ref="B175:D175"/>
    <mergeCell ref="B199:D199"/>
    <mergeCell ref="B213:D213"/>
    <mergeCell ref="B126:D126"/>
    <mergeCell ref="B135:D135"/>
    <mergeCell ref="B138:D138"/>
    <mergeCell ref="B142:D142"/>
    <mergeCell ref="B150:D150"/>
    <mergeCell ref="B156:D156"/>
    <mergeCell ref="B114:D114"/>
    <mergeCell ref="B117:D117"/>
    <mergeCell ref="B123:D123"/>
    <mergeCell ref="B42:D42"/>
    <mergeCell ref="B43:D43"/>
    <mergeCell ref="B45:D45"/>
    <mergeCell ref="B50:D50"/>
    <mergeCell ref="B73:D73"/>
    <mergeCell ref="B76:D76"/>
    <mergeCell ref="B4:D4"/>
    <mergeCell ref="B5:D5"/>
    <mergeCell ref="B26:D26"/>
    <mergeCell ref="A38:D38"/>
    <mergeCell ref="A39:D39"/>
    <mergeCell ref="A40:D40"/>
    <mergeCell ref="B84:D84"/>
    <mergeCell ref="B103:D103"/>
    <mergeCell ref="B111:D111"/>
  </mergeCells>
  <pageMargins left="0.511811024" right="0.511811024" top="0.78740157499999996" bottom="0.78740157499999996" header="0.31496062000000002" footer="0.31496062000000002"/>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E1572"/>
  <sheetViews>
    <sheetView workbookViewId="0">
      <selection activeCell="B1" sqref="B1"/>
    </sheetView>
  </sheetViews>
  <sheetFormatPr defaultRowHeight="11.25"/>
  <cols>
    <col min="1" max="1" width="10.125" style="12" customWidth="1"/>
    <col min="2" max="2" width="36.625" style="12" bestFit="1" customWidth="1"/>
    <col min="3" max="3" width="7" style="12" bestFit="1" customWidth="1"/>
    <col min="4" max="4" width="13.25" style="12" bestFit="1" customWidth="1"/>
    <col min="5" max="5" width="8.75" style="26" bestFit="1" customWidth="1"/>
    <col min="6" max="16384" width="9" style="12"/>
  </cols>
  <sheetData>
    <row r="1" spans="1:5">
      <c r="A1" s="17" t="s">
        <v>1944</v>
      </c>
      <c r="B1" s="18">
        <v>43800</v>
      </c>
      <c r="E1" s="24"/>
    </row>
    <row r="2" spans="1:5" s="25" customFormat="1">
      <c r="A2" s="25">
        <v>1</v>
      </c>
      <c r="B2" s="25">
        <v>2</v>
      </c>
      <c r="C2" s="25">
        <v>3</v>
      </c>
      <c r="D2" s="25">
        <v>5</v>
      </c>
      <c r="E2" s="25">
        <v>5</v>
      </c>
    </row>
    <row r="3" spans="1:5">
      <c r="A3" s="12" t="s">
        <v>28</v>
      </c>
      <c r="B3" s="12" t="s">
        <v>934</v>
      </c>
      <c r="C3" s="12" t="s">
        <v>5</v>
      </c>
      <c r="D3" s="12" t="s">
        <v>2097</v>
      </c>
    </row>
    <row r="4" spans="1:5">
      <c r="A4" s="12" t="s">
        <v>4928</v>
      </c>
    </row>
    <row r="5" spans="1:5">
      <c r="A5" s="12">
        <v>7010100010</v>
      </c>
      <c r="B5" s="12" t="s">
        <v>4929</v>
      </c>
      <c r="C5" s="12" t="s">
        <v>9</v>
      </c>
      <c r="D5" s="12" t="s">
        <v>4930</v>
      </c>
    </row>
    <row r="6" spans="1:5">
      <c r="A6" s="12">
        <v>7010100020</v>
      </c>
      <c r="B6" s="12" t="s">
        <v>4931</v>
      </c>
      <c r="C6" s="12" t="s">
        <v>9</v>
      </c>
      <c r="D6" s="12" t="s">
        <v>4932</v>
      </c>
    </row>
    <row r="7" spans="1:5">
      <c r="A7" s="12">
        <v>7010100030</v>
      </c>
      <c r="B7" s="12" t="s">
        <v>4933</v>
      </c>
      <c r="C7" s="12" t="s">
        <v>9</v>
      </c>
      <c r="D7" s="12" t="s">
        <v>4934</v>
      </c>
    </row>
    <row r="8" spans="1:5">
      <c r="A8" s="12">
        <v>7010100040</v>
      </c>
      <c r="B8" s="12" t="s">
        <v>4935</v>
      </c>
      <c r="C8" s="12" t="s">
        <v>9</v>
      </c>
      <c r="D8" s="12" t="s">
        <v>4936</v>
      </c>
    </row>
    <row r="9" spans="1:5">
      <c r="A9" s="12">
        <v>7010100050</v>
      </c>
      <c r="B9" s="12" t="s">
        <v>4937</v>
      </c>
      <c r="C9" s="12" t="s">
        <v>9</v>
      </c>
      <c r="D9" s="12" t="s">
        <v>4938</v>
      </c>
    </row>
    <row r="10" spans="1:5">
      <c r="A10" s="12">
        <v>7010100060</v>
      </c>
      <c r="B10" s="12" t="s">
        <v>4939</v>
      </c>
      <c r="C10" s="12" t="s">
        <v>9</v>
      </c>
      <c r="D10" s="12" t="s">
        <v>4940</v>
      </c>
    </row>
    <row r="11" spans="1:5">
      <c r="A11" s="12">
        <v>7010100070</v>
      </c>
      <c r="B11" s="12" t="s">
        <v>4941</v>
      </c>
      <c r="C11" s="12" t="s">
        <v>7</v>
      </c>
      <c r="D11" s="12" t="s">
        <v>4942</v>
      </c>
    </row>
    <row r="12" spans="1:5">
      <c r="A12" s="12">
        <v>7010100080</v>
      </c>
      <c r="B12" s="12" t="s">
        <v>4943</v>
      </c>
      <c r="C12" s="12" t="s">
        <v>7</v>
      </c>
      <c r="D12" s="12" t="s">
        <v>2290</v>
      </c>
    </row>
    <row r="13" spans="1:5">
      <c r="A13" s="12">
        <v>7010100090</v>
      </c>
      <c r="B13" s="12" t="s">
        <v>4944</v>
      </c>
      <c r="C13" s="12" t="s">
        <v>9</v>
      </c>
      <c r="D13" s="12" t="s">
        <v>2301</v>
      </c>
    </row>
    <row r="14" spans="1:5">
      <c r="A14" s="12">
        <v>7010100100</v>
      </c>
      <c r="B14" s="12" t="s">
        <v>4945</v>
      </c>
      <c r="C14" s="12" t="s">
        <v>6</v>
      </c>
      <c r="D14" s="12" t="s">
        <v>4946</v>
      </c>
    </row>
    <row r="15" spans="1:5">
      <c r="A15" s="12">
        <v>7010100110</v>
      </c>
      <c r="B15" s="12" t="s">
        <v>4947</v>
      </c>
      <c r="C15" s="12" t="s">
        <v>9</v>
      </c>
      <c r="D15" s="12" t="s">
        <v>4948</v>
      </c>
    </row>
    <row r="16" spans="1:5">
      <c r="A16" s="12">
        <v>7010100120</v>
      </c>
      <c r="B16" s="12" t="s">
        <v>4949</v>
      </c>
      <c r="C16" s="12" t="s">
        <v>7</v>
      </c>
      <c r="D16" s="12" t="s">
        <v>4950</v>
      </c>
    </row>
    <row r="17" spans="1:4">
      <c r="A17" s="12">
        <v>7010100130</v>
      </c>
      <c r="B17" s="12" t="s">
        <v>4951</v>
      </c>
      <c r="C17" s="12" t="s">
        <v>7</v>
      </c>
      <c r="D17" s="12" t="s">
        <v>4952</v>
      </c>
    </row>
    <row r="18" spans="1:4">
      <c r="A18" s="12">
        <v>7010100140</v>
      </c>
      <c r="B18" s="12" t="s">
        <v>4953</v>
      </c>
      <c r="C18" s="12" t="s">
        <v>7</v>
      </c>
      <c r="D18" s="12" t="s">
        <v>4954</v>
      </c>
    </row>
    <row r="19" spans="1:4">
      <c r="A19" s="12">
        <v>7010100150</v>
      </c>
      <c r="B19" s="12" t="s">
        <v>4955</v>
      </c>
      <c r="C19" s="12" t="s">
        <v>4956</v>
      </c>
      <c r="D19" s="12" t="s">
        <v>2244</v>
      </c>
    </row>
    <row r="20" spans="1:4">
      <c r="A20" s="12">
        <v>7010100160</v>
      </c>
      <c r="B20" s="12" t="s">
        <v>4957</v>
      </c>
      <c r="C20" s="12" t="s">
        <v>4956</v>
      </c>
      <c r="D20" s="12" t="s">
        <v>2244</v>
      </c>
    </row>
    <row r="21" spans="1:4">
      <c r="A21" s="12">
        <v>7010100170</v>
      </c>
      <c r="B21" s="12" t="s">
        <v>4958</v>
      </c>
      <c r="C21" s="12" t="s">
        <v>4956</v>
      </c>
      <c r="D21" s="12" t="s">
        <v>2245</v>
      </c>
    </row>
    <row r="22" spans="1:4">
      <c r="A22" s="12">
        <v>7010100180</v>
      </c>
      <c r="B22" s="12" t="s">
        <v>4959</v>
      </c>
      <c r="C22" s="12" t="s">
        <v>4956</v>
      </c>
      <c r="D22" s="12" t="s">
        <v>2246</v>
      </c>
    </row>
    <row r="23" spans="1:4">
      <c r="A23" s="12">
        <v>7010100190</v>
      </c>
      <c r="B23" s="12" t="s">
        <v>4960</v>
      </c>
      <c r="C23" s="12" t="s">
        <v>7</v>
      </c>
      <c r="D23" s="12" t="s">
        <v>4961</v>
      </c>
    </row>
    <row r="24" spans="1:4">
      <c r="A24" s="12">
        <v>7010100200</v>
      </c>
      <c r="B24" s="12" t="s">
        <v>4962</v>
      </c>
      <c r="C24" s="12" t="s">
        <v>7</v>
      </c>
      <c r="D24" s="12" t="s">
        <v>4961</v>
      </c>
    </row>
    <row r="25" spans="1:4">
      <c r="A25" s="12">
        <v>7010100210</v>
      </c>
      <c r="B25" s="12" t="s">
        <v>4963</v>
      </c>
      <c r="C25" s="12" t="s">
        <v>4956</v>
      </c>
      <c r="D25" s="12" t="s">
        <v>4964</v>
      </c>
    </row>
    <row r="26" spans="1:4">
      <c r="A26" s="12">
        <v>7010100220</v>
      </c>
      <c r="B26" s="12" t="s">
        <v>4965</v>
      </c>
      <c r="C26" s="12" t="s">
        <v>4956</v>
      </c>
      <c r="D26" s="12" t="s">
        <v>4966</v>
      </c>
    </row>
    <row r="27" spans="1:4">
      <c r="A27" s="12">
        <v>7010100230</v>
      </c>
      <c r="B27" s="12" t="s">
        <v>4967</v>
      </c>
      <c r="C27" s="12" t="s">
        <v>4968</v>
      </c>
      <c r="D27" s="12" t="s">
        <v>3223</v>
      </c>
    </row>
    <row r="28" spans="1:4">
      <c r="A28" s="12">
        <v>7010100240</v>
      </c>
      <c r="B28" s="12" t="s">
        <v>4969</v>
      </c>
      <c r="C28" s="12" t="s">
        <v>4968</v>
      </c>
      <c r="D28" s="12" t="s">
        <v>2145</v>
      </c>
    </row>
    <row r="29" spans="1:4">
      <c r="A29" s="12">
        <v>7010100250</v>
      </c>
      <c r="B29" s="12" t="s">
        <v>4970</v>
      </c>
      <c r="C29" s="12" t="s">
        <v>4968</v>
      </c>
      <c r="D29" s="12" t="s">
        <v>2156</v>
      </c>
    </row>
    <row r="30" spans="1:4">
      <c r="A30" s="12">
        <v>7010100260</v>
      </c>
      <c r="B30" s="12" t="s">
        <v>4971</v>
      </c>
      <c r="C30" s="12" t="s">
        <v>4972</v>
      </c>
      <c r="D30" s="12" t="s">
        <v>4973</v>
      </c>
    </row>
    <row r="31" spans="1:4">
      <c r="A31" s="12">
        <v>7010100270</v>
      </c>
      <c r="B31" s="12" t="s">
        <v>4971</v>
      </c>
      <c r="C31" s="12" t="s">
        <v>4791</v>
      </c>
      <c r="D31" s="12" t="s">
        <v>4974</v>
      </c>
    </row>
    <row r="32" spans="1:4">
      <c r="A32" s="12">
        <v>7010100280</v>
      </c>
      <c r="B32" s="12" t="s">
        <v>4975</v>
      </c>
      <c r="C32" s="12" t="s">
        <v>4972</v>
      </c>
      <c r="D32" s="12" t="s">
        <v>4976</v>
      </c>
    </row>
    <row r="33" spans="1:4">
      <c r="A33" s="12">
        <v>7010100290</v>
      </c>
      <c r="B33" s="12" t="s">
        <v>4975</v>
      </c>
      <c r="C33" s="12" t="s">
        <v>4791</v>
      </c>
      <c r="D33" s="12" t="s">
        <v>4977</v>
      </c>
    </row>
    <row r="34" spans="1:4">
      <c r="A34" s="12">
        <v>7010100300</v>
      </c>
      <c r="B34" s="12" t="s">
        <v>4978</v>
      </c>
      <c r="C34" s="12" t="s">
        <v>4972</v>
      </c>
      <c r="D34" s="12" t="s">
        <v>4979</v>
      </c>
    </row>
    <row r="35" spans="1:4">
      <c r="A35" s="12">
        <v>7010100310</v>
      </c>
      <c r="B35" s="12" t="s">
        <v>4978</v>
      </c>
      <c r="C35" s="12" t="s">
        <v>4791</v>
      </c>
      <c r="D35" s="12" t="s">
        <v>4980</v>
      </c>
    </row>
    <row r="36" spans="1:4">
      <c r="A36" s="12">
        <v>7010100320</v>
      </c>
      <c r="B36" s="12" t="s">
        <v>4981</v>
      </c>
      <c r="C36" s="12" t="s">
        <v>4972</v>
      </c>
      <c r="D36" s="12" t="s">
        <v>4982</v>
      </c>
    </row>
    <row r="37" spans="1:4">
      <c r="A37" s="12">
        <v>7010100330</v>
      </c>
      <c r="B37" s="12" t="s">
        <v>4981</v>
      </c>
      <c r="C37" s="12" t="s">
        <v>4791</v>
      </c>
      <c r="D37" s="12" t="s">
        <v>4983</v>
      </c>
    </row>
    <row r="38" spans="1:4">
      <c r="A38" s="12">
        <v>7010100340</v>
      </c>
      <c r="B38" s="12" t="s">
        <v>4984</v>
      </c>
      <c r="C38" s="12" t="s">
        <v>7</v>
      </c>
      <c r="D38" s="12" t="s">
        <v>4985</v>
      </c>
    </row>
    <row r="39" spans="1:4">
      <c r="A39" s="12">
        <v>7010100350</v>
      </c>
      <c r="B39" s="12" t="s">
        <v>4986</v>
      </c>
      <c r="C39" s="12" t="s">
        <v>4987</v>
      </c>
      <c r="D39" s="12" t="s">
        <v>2157</v>
      </c>
    </row>
    <row r="40" spans="1:4">
      <c r="A40" s="12" t="s">
        <v>4988</v>
      </c>
    </row>
    <row r="41" spans="1:4">
      <c r="A41" s="12">
        <v>7020100010</v>
      </c>
      <c r="B41" s="12" t="s">
        <v>4989</v>
      </c>
      <c r="C41" s="12" t="s">
        <v>6</v>
      </c>
      <c r="D41" s="12" t="s">
        <v>2548</v>
      </c>
    </row>
    <row r="42" spans="1:4">
      <c r="A42" s="12">
        <v>7020100020</v>
      </c>
      <c r="B42" s="12" t="s">
        <v>4990</v>
      </c>
      <c r="C42" s="12" t="s">
        <v>7</v>
      </c>
      <c r="D42" s="12" t="s">
        <v>4991</v>
      </c>
    </row>
    <row r="43" spans="1:4">
      <c r="A43" s="12">
        <v>7020100030</v>
      </c>
      <c r="B43" s="12" t="s">
        <v>4992</v>
      </c>
      <c r="C43" s="12" t="s">
        <v>6</v>
      </c>
      <c r="D43" s="12" t="s">
        <v>2129</v>
      </c>
    </row>
    <row r="44" spans="1:4">
      <c r="A44" s="12">
        <v>7020100040</v>
      </c>
      <c r="B44" s="12" t="s">
        <v>4993</v>
      </c>
      <c r="C44" s="12" t="s">
        <v>6</v>
      </c>
      <c r="D44" s="12" t="s">
        <v>2111</v>
      </c>
    </row>
    <row r="45" spans="1:4">
      <c r="A45" s="12">
        <v>7020100050</v>
      </c>
      <c r="B45" s="12" t="s">
        <v>4994</v>
      </c>
      <c r="C45" s="12" t="s">
        <v>6</v>
      </c>
      <c r="D45" s="12" t="s">
        <v>2116</v>
      </c>
    </row>
    <row r="46" spans="1:4">
      <c r="A46" s="12">
        <v>7020100060</v>
      </c>
      <c r="B46" s="12" t="s">
        <v>4995</v>
      </c>
      <c r="C46" s="12" t="s">
        <v>6</v>
      </c>
      <c r="D46" s="12" t="s">
        <v>2111</v>
      </c>
    </row>
    <row r="47" spans="1:4">
      <c r="A47" s="12">
        <v>7020100070</v>
      </c>
      <c r="B47" s="12" t="s">
        <v>4996</v>
      </c>
      <c r="C47" s="12" t="s">
        <v>6</v>
      </c>
      <c r="D47" s="12" t="s">
        <v>2247</v>
      </c>
    </row>
    <row r="48" spans="1:4">
      <c r="A48" s="12">
        <v>7020100080</v>
      </c>
      <c r="B48" s="12" t="s">
        <v>4997</v>
      </c>
      <c r="C48" s="12" t="s">
        <v>6</v>
      </c>
      <c r="D48" s="12" t="s">
        <v>2143</v>
      </c>
    </row>
    <row r="49" spans="1:4">
      <c r="A49" s="12">
        <v>7020100090</v>
      </c>
      <c r="B49" s="12" t="s">
        <v>4998</v>
      </c>
      <c r="C49" s="12" t="s">
        <v>9</v>
      </c>
      <c r="D49" s="12" t="s">
        <v>4999</v>
      </c>
    </row>
    <row r="50" spans="1:4">
      <c r="A50" s="12">
        <v>7020100100</v>
      </c>
      <c r="B50" s="12" t="s">
        <v>5000</v>
      </c>
      <c r="C50" s="12" t="s">
        <v>9</v>
      </c>
      <c r="D50" s="12" t="s">
        <v>5001</v>
      </c>
    </row>
    <row r="51" spans="1:4">
      <c r="A51" s="12">
        <v>7020100110</v>
      </c>
      <c r="B51" s="12" t="s">
        <v>5002</v>
      </c>
      <c r="C51" s="12" t="s">
        <v>9</v>
      </c>
      <c r="D51" s="12" t="s">
        <v>2231</v>
      </c>
    </row>
    <row r="54" spans="1:4">
      <c r="D54" s="24"/>
    </row>
    <row r="55" spans="1:4">
      <c r="D55" s="24"/>
    </row>
    <row r="56" spans="1:4">
      <c r="A56" s="12">
        <v>7020100120</v>
      </c>
      <c r="B56" s="12" t="s">
        <v>5003</v>
      </c>
      <c r="C56" s="12" t="s">
        <v>4956</v>
      </c>
      <c r="D56" s="12" t="s">
        <v>5004</v>
      </c>
    </row>
    <row r="57" spans="1:4">
      <c r="A57" s="12">
        <v>7020100130</v>
      </c>
      <c r="B57" s="12" t="s">
        <v>5005</v>
      </c>
      <c r="C57" s="12" t="s">
        <v>29</v>
      </c>
      <c r="D57" s="12" t="s">
        <v>5006</v>
      </c>
    </row>
    <row r="58" spans="1:4">
      <c r="A58" s="12">
        <v>7020100140</v>
      </c>
      <c r="B58" s="12" t="s">
        <v>5007</v>
      </c>
      <c r="C58" s="12" t="s">
        <v>7</v>
      </c>
      <c r="D58" s="12" t="s">
        <v>5008</v>
      </c>
    </row>
    <row r="59" spans="1:4">
      <c r="A59" s="12">
        <v>7020100150</v>
      </c>
      <c r="B59" s="12" t="s">
        <v>5009</v>
      </c>
      <c r="C59" s="12" t="s">
        <v>7</v>
      </c>
      <c r="D59" s="12" t="s">
        <v>5010</v>
      </c>
    </row>
    <row r="60" spans="1:4">
      <c r="A60" s="12">
        <v>7020100160</v>
      </c>
      <c r="B60" s="12" t="s">
        <v>5011</v>
      </c>
      <c r="C60" s="12" t="s">
        <v>6</v>
      </c>
      <c r="D60" s="12" t="s">
        <v>2132</v>
      </c>
    </row>
    <row r="61" spans="1:4">
      <c r="A61" s="12" t="s">
        <v>5012</v>
      </c>
    </row>
    <row r="62" spans="1:4">
      <c r="A62" s="12">
        <v>7030100010</v>
      </c>
      <c r="B62" s="12" t="s">
        <v>5013</v>
      </c>
      <c r="C62" s="12" t="s">
        <v>6</v>
      </c>
      <c r="D62" s="12" t="s">
        <v>3746</v>
      </c>
    </row>
    <row r="63" spans="1:4">
      <c r="A63" s="12">
        <v>7030100020</v>
      </c>
      <c r="B63" s="12" t="s">
        <v>5014</v>
      </c>
      <c r="C63" s="12" t="s">
        <v>9</v>
      </c>
      <c r="D63" s="24" t="s">
        <v>2139</v>
      </c>
    </row>
    <row r="64" spans="1:4">
      <c r="A64" s="12">
        <v>7030100030</v>
      </c>
      <c r="B64" s="12" t="s">
        <v>5015</v>
      </c>
      <c r="C64" s="12" t="s">
        <v>6</v>
      </c>
      <c r="D64" s="24" t="s">
        <v>2292</v>
      </c>
    </row>
    <row r="65" spans="1:4">
      <c r="A65" s="12">
        <v>7030100040</v>
      </c>
      <c r="B65" s="12" t="s">
        <v>5016</v>
      </c>
      <c r="C65" s="12" t="s">
        <v>9</v>
      </c>
      <c r="D65" s="12" t="s">
        <v>5017</v>
      </c>
    </row>
    <row r="66" spans="1:4">
      <c r="A66" s="12">
        <v>7030100050</v>
      </c>
      <c r="B66" s="12" t="s">
        <v>5018</v>
      </c>
      <c r="C66" s="12" t="s">
        <v>8</v>
      </c>
      <c r="D66" s="12" t="s">
        <v>2167</v>
      </c>
    </row>
    <row r="67" spans="1:4">
      <c r="A67" s="12">
        <v>7030100060</v>
      </c>
      <c r="B67" s="12" t="s">
        <v>5019</v>
      </c>
      <c r="C67" s="12" t="s">
        <v>9</v>
      </c>
      <c r="D67" s="12" t="s">
        <v>2257</v>
      </c>
    </row>
    <row r="68" spans="1:4">
      <c r="A68" s="12">
        <v>7030100070</v>
      </c>
      <c r="B68" s="12" t="s">
        <v>5020</v>
      </c>
      <c r="C68" s="12" t="s">
        <v>9</v>
      </c>
      <c r="D68" s="12" t="s">
        <v>2120</v>
      </c>
    </row>
    <row r="69" spans="1:4">
      <c r="A69" s="12">
        <v>7030100080</v>
      </c>
      <c r="B69" s="12" t="s">
        <v>5021</v>
      </c>
      <c r="C69" s="12" t="s">
        <v>7</v>
      </c>
      <c r="D69" s="12" t="s">
        <v>5022</v>
      </c>
    </row>
    <row r="70" spans="1:4">
      <c r="A70" s="12">
        <v>7030100090</v>
      </c>
      <c r="B70" s="12" t="s">
        <v>5023</v>
      </c>
      <c r="C70" s="12" t="s">
        <v>7</v>
      </c>
      <c r="D70" s="12" t="s">
        <v>5024</v>
      </c>
    </row>
    <row r="71" spans="1:4">
      <c r="A71" s="12">
        <v>7030100100</v>
      </c>
      <c r="B71" s="12" t="s">
        <v>5025</v>
      </c>
      <c r="C71" s="12" t="s">
        <v>4956</v>
      </c>
      <c r="D71" s="12" t="s">
        <v>2216</v>
      </c>
    </row>
    <row r="72" spans="1:4">
      <c r="A72" s="12">
        <v>7030100110</v>
      </c>
      <c r="B72" s="12" t="s">
        <v>5026</v>
      </c>
      <c r="C72" s="12" t="s">
        <v>7</v>
      </c>
      <c r="D72" s="12" t="s">
        <v>2242</v>
      </c>
    </row>
    <row r="73" spans="1:4">
      <c r="A73" s="12">
        <v>7030100120</v>
      </c>
      <c r="B73" s="12" t="s">
        <v>5027</v>
      </c>
      <c r="C73" s="12" t="s">
        <v>9</v>
      </c>
      <c r="D73" s="12" t="s">
        <v>2208</v>
      </c>
    </row>
    <row r="74" spans="1:4">
      <c r="A74" s="12">
        <v>7030100130</v>
      </c>
      <c r="B74" s="12" t="s">
        <v>5028</v>
      </c>
      <c r="C74" s="12" t="s">
        <v>8</v>
      </c>
      <c r="D74" s="12" t="s">
        <v>2150</v>
      </c>
    </row>
    <row r="75" spans="1:4">
      <c r="A75" s="12">
        <v>7030100140</v>
      </c>
      <c r="B75" s="12" t="s">
        <v>5029</v>
      </c>
      <c r="C75" s="12" t="s">
        <v>8</v>
      </c>
      <c r="D75" s="12" t="s">
        <v>2115</v>
      </c>
    </row>
    <row r="76" spans="1:4">
      <c r="A76" s="12">
        <v>7030100150</v>
      </c>
      <c r="B76" s="12" t="s">
        <v>5030</v>
      </c>
      <c r="C76" s="12" t="s">
        <v>5031</v>
      </c>
      <c r="D76" s="12" t="s">
        <v>5032</v>
      </c>
    </row>
    <row r="77" spans="1:4">
      <c r="A77" s="12">
        <v>7030100160</v>
      </c>
      <c r="B77" s="12" t="s">
        <v>5033</v>
      </c>
      <c r="C77" s="12" t="s">
        <v>7</v>
      </c>
      <c r="D77" s="12" t="s">
        <v>5034</v>
      </c>
    </row>
    <row r="78" spans="1:4">
      <c r="A78" s="12">
        <v>7030100170</v>
      </c>
      <c r="B78" s="12" t="s">
        <v>5035</v>
      </c>
      <c r="C78" s="12" t="s">
        <v>7</v>
      </c>
      <c r="D78" s="12" t="s">
        <v>5036</v>
      </c>
    </row>
    <row r="79" spans="1:4">
      <c r="A79" s="12">
        <v>7030100180</v>
      </c>
      <c r="B79" s="12" t="s">
        <v>5037</v>
      </c>
      <c r="C79" s="12" t="s">
        <v>9</v>
      </c>
      <c r="D79" s="12" t="s">
        <v>2226</v>
      </c>
    </row>
    <row r="80" spans="1:4">
      <c r="A80" s="12">
        <v>7030100190</v>
      </c>
      <c r="B80" s="12" t="s">
        <v>5038</v>
      </c>
      <c r="C80" s="12" t="s">
        <v>9</v>
      </c>
      <c r="D80" s="12" t="s">
        <v>2269</v>
      </c>
    </row>
    <row r="81" spans="1:4">
      <c r="A81" s="12">
        <v>7030100200</v>
      </c>
      <c r="B81" s="12" t="s">
        <v>5039</v>
      </c>
      <c r="C81" s="12" t="s">
        <v>9</v>
      </c>
      <c r="D81" s="12" t="s">
        <v>3934</v>
      </c>
    </row>
    <row r="82" spans="1:4">
      <c r="A82" s="12">
        <v>7030100210</v>
      </c>
      <c r="B82" s="12" t="s">
        <v>5040</v>
      </c>
      <c r="C82" s="12" t="s">
        <v>9</v>
      </c>
      <c r="D82" s="12" t="s">
        <v>5041</v>
      </c>
    </row>
    <row r="83" spans="1:4">
      <c r="A83" s="12">
        <v>7030100220</v>
      </c>
      <c r="B83" s="12" t="s">
        <v>5042</v>
      </c>
      <c r="C83" s="12" t="s">
        <v>9</v>
      </c>
      <c r="D83" s="12" t="s">
        <v>2860</v>
      </c>
    </row>
    <row r="84" spans="1:4">
      <c r="A84" s="12">
        <v>7030100230</v>
      </c>
      <c r="B84" s="12" t="s">
        <v>5043</v>
      </c>
      <c r="C84" s="12" t="s">
        <v>9</v>
      </c>
      <c r="D84" s="12" t="s">
        <v>2974</v>
      </c>
    </row>
    <row r="85" spans="1:4">
      <c r="A85" s="12">
        <v>7030100240</v>
      </c>
      <c r="B85" s="12" t="s">
        <v>5044</v>
      </c>
      <c r="C85" s="12" t="s">
        <v>8</v>
      </c>
      <c r="D85" s="12" t="s">
        <v>2180</v>
      </c>
    </row>
    <row r="86" spans="1:4">
      <c r="A86" s="12">
        <v>7030100250</v>
      </c>
      <c r="B86" s="12" t="s">
        <v>5045</v>
      </c>
      <c r="C86" s="12" t="s">
        <v>9</v>
      </c>
      <c r="D86" s="12" t="s">
        <v>2234</v>
      </c>
    </row>
    <row r="87" spans="1:4">
      <c r="A87" s="12">
        <v>7030100260</v>
      </c>
      <c r="B87" s="12" t="s">
        <v>5046</v>
      </c>
      <c r="C87" s="12" t="s">
        <v>6</v>
      </c>
      <c r="D87" s="12" t="s">
        <v>2235</v>
      </c>
    </row>
    <row r="88" spans="1:4">
      <c r="A88" s="12">
        <v>7030100270</v>
      </c>
      <c r="B88" s="12" t="s">
        <v>5047</v>
      </c>
      <c r="C88" s="12" t="s">
        <v>6</v>
      </c>
      <c r="D88" s="12" t="s">
        <v>2268</v>
      </c>
    </row>
    <row r="89" spans="1:4">
      <c r="A89" s="12">
        <v>7030100280</v>
      </c>
      <c r="B89" s="12" t="s">
        <v>5048</v>
      </c>
      <c r="C89" s="12" t="s">
        <v>9</v>
      </c>
      <c r="D89" s="12" t="s">
        <v>4321</v>
      </c>
    </row>
    <row r="90" spans="1:4">
      <c r="A90" s="12">
        <v>7030100291</v>
      </c>
      <c r="B90" s="12" t="s">
        <v>5049</v>
      </c>
      <c r="C90" s="12" t="s">
        <v>9</v>
      </c>
      <c r="D90" s="12" t="s">
        <v>2222</v>
      </c>
    </row>
    <row r="91" spans="1:4">
      <c r="A91" s="12">
        <v>7030100300</v>
      </c>
      <c r="B91" s="12" t="s">
        <v>5050</v>
      </c>
      <c r="C91" s="12" t="s">
        <v>7</v>
      </c>
      <c r="D91" s="12" t="s">
        <v>5051</v>
      </c>
    </row>
    <row r="92" spans="1:4">
      <c r="A92" s="12">
        <v>7030100310</v>
      </c>
      <c r="B92" s="12" t="s">
        <v>5052</v>
      </c>
      <c r="C92" s="12" t="s">
        <v>7</v>
      </c>
      <c r="D92" s="12" t="s">
        <v>5051</v>
      </c>
    </row>
    <row r="93" spans="1:4">
      <c r="A93" s="12">
        <v>7030100320</v>
      </c>
      <c r="B93" s="12" t="s">
        <v>5053</v>
      </c>
      <c r="C93" s="12" t="s">
        <v>7</v>
      </c>
      <c r="D93" s="12" t="s">
        <v>2174</v>
      </c>
    </row>
    <row r="94" spans="1:4">
      <c r="A94" s="12">
        <v>7030100330</v>
      </c>
      <c r="B94" s="12" t="s">
        <v>5054</v>
      </c>
      <c r="C94" s="12" t="s">
        <v>6</v>
      </c>
      <c r="D94" s="12" t="s">
        <v>4305</v>
      </c>
    </row>
    <row r="95" spans="1:4">
      <c r="A95" s="12">
        <v>7030100340</v>
      </c>
      <c r="B95" s="12" t="s">
        <v>5055</v>
      </c>
      <c r="C95" s="12" t="s">
        <v>6</v>
      </c>
      <c r="D95" s="12" t="s">
        <v>3747</v>
      </c>
    </row>
    <row r="96" spans="1:4">
      <c r="A96" s="12">
        <v>7030100350</v>
      </c>
      <c r="B96" s="12" t="s">
        <v>5056</v>
      </c>
      <c r="C96" s="12" t="s">
        <v>4972</v>
      </c>
      <c r="D96" s="12" t="s">
        <v>5057</v>
      </c>
    </row>
    <row r="97" spans="1:4">
      <c r="A97" s="12">
        <v>7030100360</v>
      </c>
      <c r="B97" s="12" t="s">
        <v>5058</v>
      </c>
      <c r="C97" s="12" t="s">
        <v>12</v>
      </c>
      <c r="D97" s="12" t="s">
        <v>2177</v>
      </c>
    </row>
    <row r="98" spans="1:4">
      <c r="A98" s="12">
        <v>7030100370</v>
      </c>
      <c r="B98" s="12" t="s">
        <v>5059</v>
      </c>
      <c r="C98" s="12" t="s">
        <v>9</v>
      </c>
      <c r="D98" s="12" t="s">
        <v>2128</v>
      </c>
    </row>
    <row r="99" spans="1:4">
      <c r="A99" s="12">
        <v>7030100380</v>
      </c>
      <c r="B99" s="12" t="s">
        <v>5060</v>
      </c>
      <c r="C99" s="12" t="s">
        <v>9</v>
      </c>
      <c r="D99" s="12" t="s">
        <v>2281</v>
      </c>
    </row>
    <row r="100" spans="1:4">
      <c r="A100" s="12">
        <v>7030100390</v>
      </c>
      <c r="B100" s="12" t="s">
        <v>5061</v>
      </c>
      <c r="C100" s="12" t="s">
        <v>9</v>
      </c>
      <c r="D100" s="12" t="s">
        <v>2146</v>
      </c>
    </row>
    <row r="101" spans="1:4">
      <c r="A101" s="12">
        <v>7030100400</v>
      </c>
      <c r="B101" s="12" t="s">
        <v>5062</v>
      </c>
      <c r="C101" s="12" t="s">
        <v>12</v>
      </c>
      <c r="D101" s="12" t="s">
        <v>2108</v>
      </c>
    </row>
    <row r="102" spans="1:4">
      <c r="A102" s="12">
        <v>7030100410</v>
      </c>
      <c r="B102" s="12" t="s">
        <v>5063</v>
      </c>
      <c r="C102" s="12" t="s">
        <v>9</v>
      </c>
      <c r="D102" s="12" t="s">
        <v>2226</v>
      </c>
    </row>
    <row r="103" spans="1:4">
      <c r="A103" s="12">
        <v>7030100420</v>
      </c>
      <c r="B103" s="12" t="s">
        <v>5064</v>
      </c>
      <c r="C103" s="12" t="s">
        <v>9</v>
      </c>
      <c r="D103" s="12" t="s">
        <v>2195</v>
      </c>
    </row>
    <row r="108" spans="1:4">
      <c r="A108" s="12">
        <v>7030100430</v>
      </c>
      <c r="B108" s="12" t="s">
        <v>5065</v>
      </c>
      <c r="C108" s="12" t="s">
        <v>29</v>
      </c>
      <c r="D108" s="12" t="s">
        <v>2211</v>
      </c>
    </row>
    <row r="109" spans="1:4">
      <c r="A109" s="12">
        <v>7030100440</v>
      </c>
      <c r="B109" s="12" t="s">
        <v>5066</v>
      </c>
      <c r="C109" s="12" t="s">
        <v>6</v>
      </c>
      <c r="D109" s="12" t="s">
        <v>2146</v>
      </c>
    </row>
    <row r="110" spans="1:4">
      <c r="A110" s="12">
        <v>7030100450</v>
      </c>
      <c r="B110" s="12" t="s">
        <v>5067</v>
      </c>
      <c r="C110" s="12" t="s">
        <v>29</v>
      </c>
      <c r="D110" s="12" t="s">
        <v>2258</v>
      </c>
    </row>
    <row r="111" spans="1:4">
      <c r="A111" s="12">
        <v>7030100460</v>
      </c>
      <c r="B111" s="12" t="s">
        <v>5068</v>
      </c>
      <c r="C111" s="12" t="s">
        <v>29</v>
      </c>
      <c r="D111" s="12" t="s">
        <v>2207</v>
      </c>
    </row>
    <row r="112" spans="1:4">
      <c r="A112" s="12">
        <v>7030100470</v>
      </c>
      <c r="B112" s="12" t="s">
        <v>5069</v>
      </c>
      <c r="C112" s="12" t="s">
        <v>29</v>
      </c>
      <c r="D112" s="12" t="s">
        <v>5070</v>
      </c>
    </row>
    <row r="113" spans="1:4">
      <c r="A113" s="12">
        <v>7030100480</v>
      </c>
      <c r="B113" s="12" t="s">
        <v>5071</v>
      </c>
      <c r="C113" s="12" t="s">
        <v>29</v>
      </c>
      <c r="D113" s="12" t="s">
        <v>5072</v>
      </c>
    </row>
    <row r="114" spans="1:4">
      <c r="A114" s="12">
        <v>7030100490</v>
      </c>
      <c r="B114" s="12" t="s">
        <v>5073</v>
      </c>
      <c r="C114" s="12" t="s">
        <v>29</v>
      </c>
      <c r="D114" s="12" t="s">
        <v>5074</v>
      </c>
    </row>
    <row r="115" spans="1:4">
      <c r="A115" s="12">
        <v>7030100500</v>
      </c>
      <c r="B115" s="12" t="s">
        <v>5075</v>
      </c>
      <c r="C115" s="12" t="s">
        <v>6</v>
      </c>
      <c r="D115" s="12" t="s">
        <v>2232</v>
      </c>
    </row>
    <row r="116" spans="1:4">
      <c r="A116" s="12">
        <v>7030100510</v>
      </c>
      <c r="B116" s="12" t="s">
        <v>5076</v>
      </c>
      <c r="C116" s="12" t="s">
        <v>9</v>
      </c>
      <c r="D116" s="12" t="s">
        <v>5077</v>
      </c>
    </row>
    <row r="117" spans="1:4">
      <c r="A117" s="12">
        <v>7030100520</v>
      </c>
      <c r="B117" s="12" t="s">
        <v>5078</v>
      </c>
      <c r="C117" s="12" t="s">
        <v>12</v>
      </c>
      <c r="D117" s="12" t="s">
        <v>5079</v>
      </c>
    </row>
    <row r="118" spans="1:4">
      <c r="A118" s="12">
        <v>7030100530</v>
      </c>
      <c r="B118" s="12" t="s">
        <v>5080</v>
      </c>
      <c r="C118" s="12" t="s">
        <v>9</v>
      </c>
      <c r="D118" s="12" t="s">
        <v>3090</v>
      </c>
    </row>
    <row r="119" spans="1:4">
      <c r="A119" s="12">
        <v>7030100540</v>
      </c>
      <c r="B119" s="12" t="s">
        <v>5081</v>
      </c>
      <c r="C119" s="12" t="s">
        <v>12</v>
      </c>
      <c r="D119" s="12" t="s">
        <v>5082</v>
      </c>
    </row>
    <row r="120" spans="1:4">
      <c r="A120" s="12">
        <v>7030100550</v>
      </c>
      <c r="B120" s="12" t="s">
        <v>5083</v>
      </c>
      <c r="C120" s="12" t="s">
        <v>12</v>
      </c>
      <c r="D120" s="12" t="s">
        <v>5084</v>
      </c>
    </row>
    <row r="121" spans="1:4">
      <c r="A121" s="12">
        <v>7030100560</v>
      </c>
      <c r="B121" s="12" t="s">
        <v>5085</v>
      </c>
      <c r="C121" s="12" t="s">
        <v>12</v>
      </c>
      <c r="D121" s="24" t="s">
        <v>5086</v>
      </c>
    </row>
    <row r="122" spans="1:4">
      <c r="A122" s="12">
        <v>7030100570</v>
      </c>
      <c r="B122" s="12" t="s">
        <v>5087</v>
      </c>
      <c r="C122" s="12" t="s">
        <v>9</v>
      </c>
      <c r="D122" s="24" t="s">
        <v>2556</v>
      </c>
    </row>
    <row r="123" spans="1:4">
      <c r="A123" s="12">
        <v>7030100580</v>
      </c>
      <c r="B123" s="12" t="s">
        <v>5088</v>
      </c>
      <c r="C123" s="12" t="s">
        <v>9</v>
      </c>
      <c r="D123" s="12" t="s">
        <v>2276</v>
      </c>
    </row>
    <row r="124" spans="1:4">
      <c r="A124" s="12">
        <v>7030100590</v>
      </c>
      <c r="B124" s="12" t="s">
        <v>5089</v>
      </c>
      <c r="C124" s="12" t="s">
        <v>9</v>
      </c>
      <c r="D124" s="12" t="s">
        <v>5090</v>
      </c>
    </row>
    <row r="125" spans="1:4">
      <c r="A125" s="12">
        <v>7030100600</v>
      </c>
      <c r="B125" s="12" t="s">
        <v>5091</v>
      </c>
      <c r="C125" s="12" t="s">
        <v>9</v>
      </c>
      <c r="D125" s="12" t="s">
        <v>3752</v>
      </c>
    </row>
    <row r="126" spans="1:4">
      <c r="A126" s="12">
        <v>7030100610</v>
      </c>
      <c r="B126" s="12" t="s">
        <v>5092</v>
      </c>
      <c r="C126" s="12" t="s">
        <v>7</v>
      </c>
      <c r="D126" s="12" t="s">
        <v>2209</v>
      </c>
    </row>
    <row r="127" spans="1:4">
      <c r="A127" s="12">
        <v>7030100620</v>
      </c>
      <c r="B127" s="12" t="s">
        <v>5093</v>
      </c>
      <c r="C127" s="12" t="s">
        <v>9</v>
      </c>
      <c r="D127" s="12" t="s">
        <v>2134</v>
      </c>
    </row>
    <row r="128" spans="1:4">
      <c r="A128" s="12">
        <v>7030100630</v>
      </c>
      <c r="B128" s="12" t="s">
        <v>5094</v>
      </c>
      <c r="C128" s="12" t="s">
        <v>9</v>
      </c>
      <c r="D128" s="12" t="s">
        <v>2543</v>
      </c>
    </row>
    <row r="129" spans="1:4">
      <c r="A129" s="12">
        <v>7030100640</v>
      </c>
      <c r="B129" s="12" t="s">
        <v>5095</v>
      </c>
      <c r="C129" s="12" t="s">
        <v>9</v>
      </c>
      <c r="D129" s="12" t="s">
        <v>4973</v>
      </c>
    </row>
    <row r="130" spans="1:4">
      <c r="A130" s="12">
        <v>7030100650</v>
      </c>
      <c r="B130" s="12" t="s">
        <v>5096</v>
      </c>
      <c r="C130" s="12" t="s">
        <v>9</v>
      </c>
      <c r="D130" s="12" t="s">
        <v>2253</v>
      </c>
    </row>
    <row r="131" spans="1:4">
      <c r="A131" s="12">
        <v>7030100660</v>
      </c>
      <c r="B131" s="12" t="s">
        <v>5097</v>
      </c>
      <c r="C131" s="12" t="s">
        <v>6</v>
      </c>
      <c r="D131" s="12" t="s">
        <v>2269</v>
      </c>
    </row>
    <row r="132" spans="1:4">
      <c r="A132" s="12">
        <v>7030100670</v>
      </c>
      <c r="B132" s="12" t="s">
        <v>5098</v>
      </c>
      <c r="C132" s="12" t="s">
        <v>9</v>
      </c>
      <c r="D132" s="12" t="s">
        <v>4321</v>
      </c>
    </row>
    <row r="133" spans="1:4">
      <c r="A133" s="12">
        <v>7030100680</v>
      </c>
      <c r="B133" s="12" t="s">
        <v>5099</v>
      </c>
      <c r="C133" s="12" t="s">
        <v>6</v>
      </c>
      <c r="D133" s="12" t="s">
        <v>2147</v>
      </c>
    </row>
    <row r="134" spans="1:4">
      <c r="A134" s="12">
        <v>7030100690</v>
      </c>
      <c r="B134" s="12" t="s">
        <v>5100</v>
      </c>
      <c r="C134" s="12" t="s">
        <v>9</v>
      </c>
      <c r="D134" s="12" t="s">
        <v>2209</v>
      </c>
    </row>
    <row r="135" spans="1:4">
      <c r="A135" s="12">
        <v>7030100700</v>
      </c>
      <c r="B135" s="12" t="s">
        <v>5101</v>
      </c>
      <c r="C135" s="12" t="s">
        <v>9</v>
      </c>
      <c r="D135" s="12" t="s">
        <v>5102</v>
      </c>
    </row>
    <row r="136" spans="1:4">
      <c r="A136" s="12">
        <v>7030100710</v>
      </c>
      <c r="B136" s="12" t="s">
        <v>5103</v>
      </c>
      <c r="C136" s="12" t="s">
        <v>9</v>
      </c>
      <c r="D136" s="12" t="s">
        <v>2151</v>
      </c>
    </row>
    <row r="137" spans="1:4">
      <c r="A137" s="12">
        <v>7030100720</v>
      </c>
      <c r="B137" s="12" t="s">
        <v>5104</v>
      </c>
      <c r="C137" s="12" t="s">
        <v>6</v>
      </c>
      <c r="D137" s="12" t="s">
        <v>2192</v>
      </c>
    </row>
    <row r="138" spans="1:4">
      <c r="A138" s="12">
        <v>7030100730</v>
      </c>
      <c r="B138" s="12" t="s">
        <v>5105</v>
      </c>
      <c r="C138" s="12" t="s">
        <v>9</v>
      </c>
      <c r="D138" s="12" t="s">
        <v>3931</v>
      </c>
    </row>
    <row r="139" spans="1:4">
      <c r="A139" s="12">
        <v>7030100740</v>
      </c>
      <c r="B139" s="12" t="s">
        <v>5106</v>
      </c>
      <c r="C139" s="12" t="s">
        <v>7</v>
      </c>
      <c r="D139" s="12" t="s">
        <v>5107</v>
      </c>
    </row>
    <row r="140" spans="1:4">
      <c r="A140" s="12">
        <v>7030100750</v>
      </c>
      <c r="B140" s="12" t="s">
        <v>5108</v>
      </c>
      <c r="C140" s="12" t="s">
        <v>9</v>
      </c>
      <c r="D140" s="12" t="s">
        <v>2227</v>
      </c>
    </row>
    <row r="141" spans="1:4">
      <c r="A141" s="12">
        <v>7030100760</v>
      </c>
      <c r="B141" s="12" t="s">
        <v>5109</v>
      </c>
      <c r="C141" s="12" t="s">
        <v>6</v>
      </c>
      <c r="D141" s="12" t="s">
        <v>3752</v>
      </c>
    </row>
    <row r="142" spans="1:4">
      <c r="A142" s="12">
        <v>7030100770</v>
      </c>
      <c r="B142" s="12" t="s">
        <v>5110</v>
      </c>
      <c r="C142" s="12" t="s">
        <v>9</v>
      </c>
      <c r="D142" s="12" t="s">
        <v>2182</v>
      </c>
    </row>
    <row r="143" spans="1:4">
      <c r="A143" s="12">
        <v>7030100780</v>
      </c>
      <c r="B143" s="12" t="s">
        <v>5111</v>
      </c>
      <c r="C143" s="12" t="s">
        <v>7</v>
      </c>
      <c r="D143" s="12" t="s">
        <v>2187</v>
      </c>
    </row>
    <row r="144" spans="1:4">
      <c r="A144" s="12">
        <v>7030100790</v>
      </c>
      <c r="B144" s="12" t="s">
        <v>5112</v>
      </c>
      <c r="C144" s="12" t="s">
        <v>9</v>
      </c>
      <c r="D144" s="12" t="s">
        <v>2186</v>
      </c>
    </row>
    <row r="145" spans="1:4">
      <c r="A145" s="12">
        <v>7030100800</v>
      </c>
      <c r="B145" s="12" t="s">
        <v>5113</v>
      </c>
      <c r="C145" s="12" t="s">
        <v>9</v>
      </c>
      <c r="D145" s="12" t="s">
        <v>2248</v>
      </c>
    </row>
    <row r="146" spans="1:4">
      <c r="A146" s="12">
        <v>7030100810</v>
      </c>
      <c r="B146" s="12" t="s">
        <v>5114</v>
      </c>
      <c r="C146" s="12" t="s">
        <v>7</v>
      </c>
      <c r="D146" s="12" t="s">
        <v>5115</v>
      </c>
    </row>
    <row r="147" spans="1:4">
      <c r="A147" s="12">
        <v>7030100820</v>
      </c>
      <c r="B147" s="12" t="s">
        <v>5116</v>
      </c>
      <c r="C147" s="12" t="s">
        <v>7</v>
      </c>
      <c r="D147" s="12" t="s">
        <v>2153</v>
      </c>
    </row>
    <row r="148" spans="1:4">
      <c r="A148" s="12">
        <v>7030100830</v>
      </c>
      <c r="B148" s="12" t="s">
        <v>5117</v>
      </c>
      <c r="C148" s="12" t="s">
        <v>7</v>
      </c>
      <c r="D148" s="12" t="s">
        <v>2202</v>
      </c>
    </row>
    <row r="149" spans="1:4">
      <c r="A149" s="12">
        <v>7030100840</v>
      </c>
      <c r="B149" s="12" t="s">
        <v>5118</v>
      </c>
      <c r="C149" s="12" t="s">
        <v>6</v>
      </c>
      <c r="D149" s="12" t="s">
        <v>5119</v>
      </c>
    </row>
    <row r="150" spans="1:4">
      <c r="A150" s="12">
        <v>7030100850</v>
      </c>
      <c r="B150" s="12" t="s">
        <v>5120</v>
      </c>
      <c r="C150" s="12" t="s">
        <v>6</v>
      </c>
      <c r="D150" s="12" t="s">
        <v>2121</v>
      </c>
    </row>
    <row r="151" spans="1:4">
      <c r="A151" s="12">
        <v>7030100860</v>
      </c>
      <c r="B151" s="12" t="s">
        <v>5121</v>
      </c>
      <c r="C151" s="12" t="s">
        <v>6</v>
      </c>
      <c r="D151" s="12" t="s">
        <v>2183</v>
      </c>
    </row>
    <row r="152" spans="1:4">
      <c r="A152" s="12">
        <v>7030100870</v>
      </c>
      <c r="B152" s="12" t="s">
        <v>5122</v>
      </c>
      <c r="C152" s="12" t="s">
        <v>12</v>
      </c>
      <c r="D152" s="12" t="s">
        <v>2219</v>
      </c>
    </row>
    <row r="153" spans="1:4">
      <c r="A153" s="12">
        <v>7030100880</v>
      </c>
      <c r="B153" s="12" t="s">
        <v>5123</v>
      </c>
      <c r="C153" s="12" t="s">
        <v>9</v>
      </c>
      <c r="D153" s="12" t="s">
        <v>5051</v>
      </c>
    </row>
    <row r="154" spans="1:4">
      <c r="A154" s="12">
        <v>7030100890</v>
      </c>
      <c r="B154" s="12" t="s">
        <v>5124</v>
      </c>
      <c r="C154" s="12" t="s">
        <v>9</v>
      </c>
      <c r="D154" s="12" t="s">
        <v>2224</v>
      </c>
    </row>
    <row r="155" spans="1:4">
      <c r="A155" s="12">
        <v>7030100900</v>
      </c>
      <c r="B155" s="12" t="s">
        <v>5125</v>
      </c>
      <c r="C155" s="12" t="s">
        <v>7</v>
      </c>
      <c r="D155" s="12" t="s">
        <v>5126</v>
      </c>
    </row>
    <row r="160" spans="1:4">
      <c r="A160" s="12">
        <v>7030100910</v>
      </c>
      <c r="B160" s="12" t="s">
        <v>5127</v>
      </c>
      <c r="C160" s="12" t="s">
        <v>12</v>
      </c>
      <c r="D160" s="12" t="s">
        <v>5051</v>
      </c>
    </row>
    <row r="161" spans="1:4">
      <c r="A161" s="12">
        <v>7030100920</v>
      </c>
      <c r="B161" s="12" t="s">
        <v>5128</v>
      </c>
      <c r="C161" s="12" t="s">
        <v>9</v>
      </c>
      <c r="D161" s="12" t="s">
        <v>5129</v>
      </c>
    </row>
    <row r="162" spans="1:4">
      <c r="A162" s="12">
        <v>7030100930</v>
      </c>
      <c r="B162" s="12" t="s">
        <v>5130</v>
      </c>
      <c r="C162" s="12" t="s">
        <v>9</v>
      </c>
      <c r="D162" s="12" t="s">
        <v>5131</v>
      </c>
    </row>
    <row r="163" spans="1:4">
      <c r="A163" s="12">
        <v>7030100940</v>
      </c>
      <c r="B163" s="12" t="s">
        <v>5132</v>
      </c>
      <c r="C163" s="12" t="s">
        <v>7</v>
      </c>
      <c r="D163" s="12" t="s">
        <v>2220</v>
      </c>
    </row>
    <row r="164" spans="1:4">
      <c r="A164" s="12">
        <v>7030100950</v>
      </c>
      <c r="B164" s="12" t="s">
        <v>5133</v>
      </c>
      <c r="C164" s="12" t="s">
        <v>9</v>
      </c>
      <c r="D164" s="12" t="s">
        <v>5134</v>
      </c>
    </row>
    <row r="165" spans="1:4">
      <c r="A165" s="12">
        <v>7030100960</v>
      </c>
      <c r="B165" s="12" t="s">
        <v>5135</v>
      </c>
      <c r="C165" s="12" t="s">
        <v>6</v>
      </c>
      <c r="D165" s="12" t="s">
        <v>4663</v>
      </c>
    </row>
    <row r="166" spans="1:4">
      <c r="A166" s="12" t="s">
        <v>5136</v>
      </c>
    </row>
    <row r="167" spans="1:4">
      <c r="A167" s="12">
        <v>7040100010</v>
      </c>
      <c r="B167" s="12" t="s">
        <v>5137</v>
      </c>
      <c r="C167" s="12" t="s">
        <v>12</v>
      </c>
      <c r="D167" s="12" t="s">
        <v>5138</v>
      </c>
    </row>
    <row r="168" spans="1:4">
      <c r="A168" s="12">
        <v>7040100020</v>
      </c>
      <c r="B168" s="12" t="s">
        <v>5139</v>
      </c>
      <c r="C168" s="12" t="s">
        <v>12</v>
      </c>
      <c r="D168" s="12" t="s">
        <v>5140</v>
      </c>
    </row>
    <row r="169" spans="1:4">
      <c r="A169" s="12">
        <v>7040100030</v>
      </c>
      <c r="B169" s="12" t="s">
        <v>5141</v>
      </c>
      <c r="C169" s="12" t="s">
        <v>12</v>
      </c>
      <c r="D169" s="12" t="s">
        <v>5142</v>
      </c>
    </row>
    <row r="170" spans="1:4">
      <c r="A170" s="12">
        <v>7040100040</v>
      </c>
      <c r="B170" s="12" t="s">
        <v>5143</v>
      </c>
      <c r="C170" s="12" t="s">
        <v>12</v>
      </c>
      <c r="D170" s="12" t="s">
        <v>5144</v>
      </c>
    </row>
    <row r="171" spans="1:4">
      <c r="A171" s="12">
        <v>7040100050</v>
      </c>
      <c r="B171" s="12" t="s">
        <v>5145</v>
      </c>
      <c r="C171" s="12" t="s">
        <v>12</v>
      </c>
      <c r="D171" s="12" t="s">
        <v>5146</v>
      </c>
    </row>
    <row r="172" spans="1:4">
      <c r="A172" s="12">
        <v>7040100060</v>
      </c>
      <c r="B172" s="12" t="s">
        <v>5147</v>
      </c>
      <c r="C172" s="12" t="s">
        <v>12</v>
      </c>
      <c r="D172" s="12" t="s">
        <v>4898</v>
      </c>
    </row>
    <row r="173" spans="1:4">
      <c r="A173" s="12">
        <v>7040100070</v>
      </c>
      <c r="B173" s="12" t="s">
        <v>5148</v>
      </c>
      <c r="C173" s="12" t="s">
        <v>12</v>
      </c>
      <c r="D173" s="12" t="s">
        <v>2155</v>
      </c>
    </row>
    <row r="174" spans="1:4">
      <c r="A174" s="12">
        <v>7040100080</v>
      </c>
      <c r="B174" s="12" t="s">
        <v>5149</v>
      </c>
      <c r="C174" s="12" t="s">
        <v>12</v>
      </c>
      <c r="D174" s="12" t="s">
        <v>2183</v>
      </c>
    </row>
    <row r="175" spans="1:4">
      <c r="A175" s="12">
        <v>7040100090</v>
      </c>
      <c r="B175" s="12" t="s">
        <v>5150</v>
      </c>
      <c r="C175" s="12" t="s">
        <v>12</v>
      </c>
      <c r="D175" s="12" t="s">
        <v>3880</v>
      </c>
    </row>
    <row r="176" spans="1:4">
      <c r="A176" s="12">
        <v>7040100100</v>
      </c>
      <c r="B176" s="12" t="s">
        <v>5151</v>
      </c>
      <c r="C176" s="12" t="s">
        <v>12</v>
      </c>
      <c r="D176" s="12" t="s">
        <v>2358</v>
      </c>
    </row>
    <row r="177" spans="1:4">
      <c r="A177" s="12">
        <v>7040100110</v>
      </c>
      <c r="B177" s="12" t="s">
        <v>5152</v>
      </c>
      <c r="C177" s="12" t="s">
        <v>12</v>
      </c>
      <c r="D177" s="12" t="s">
        <v>5153</v>
      </c>
    </row>
    <row r="178" spans="1:4">
      <c r="A178" s="12">
        <v>7040100120</v>
      </c>
      <c r="B178" s="12" t="s">
        <v>5154</v>
      </c>
      <c r="C178" s="12" t="s">
        <v>12</v>
      </c>
      <c r="D178" s="12" t="s">
        <v>5155</v>
      </c>
    </row>
    <row r="179" spans="1:4">
      <c r="A179" s="12">
        <v>7040100130</v>
      </c>
      <c r="B179" s="12" t="s">
        <v>5156</v>
      </c>
      <c r="C179" s="12" t="s">
        <v>12</v>
      </c>
      <c r="D179" s="24" t="s">
        <v>5157</v>
      </c>
    </row>
    <row r="180" spans="1:4">
      <c r="A180" s="12">
        <v>7040100140</v>
      </c>
      <c r="B180" s="12" t="s">
        <v>5158</v>
      </c>
      <c r="C180" s="12" t="s">
        <v>12</v>
      </c>
      <c r="D180" s="24" t="s">
        <v>5159</v>
      </c>
    </row>
    <row r="181" spans="1:4">
      <c r="A181" s="12">
        <v>7040100150</v>
      </c>
      <c r="B181" s="12" t="s">
        <v>5160</v>
      </c>
      <c r="C181" s="12" t="s">
        <v>12</v>
      </c>
      <c r="D181" s="12" t="s">
        <v>2311</v>
      </c>
    </row>
    <row r="182" spans="1:4">
      <c r="A182" s="12">
        <v>7040100160</v>
      </c>
      <c r="B182" s="12" t="s">
        <v>5161</v>
      </c>
      <c r="C182" s="12" t="s">
        <v>12</v>
      </c>
      <c r="D182" s="12" t="s">
        <v>5162</v>
      </c>
    </row>
    <row r="183" spans="1:4">
      <c r="A183" s="12">
        <v>7040100170</v>
      </c>
      <c r="B183" s="12" t="s">
        <v>5163</v>
      </c>
      <c r="C183" s="12" t="s">
        <v>12</v>
      </c>
      <c r="D183" s="12" t="s">
        <v>3649</v>
      </c>
    </row>
    <row r="184" spans="1:4">
      <c r="A184" s="12">
        <v>7040100180</v>
      </c>
      <c r="B184" s="12" t="s">
        <v>5164</v>
      </c>
      <c r="C184" s="12" t="s">
        <v>12</v>
      </c>
      <c r="D184" s="12" t="s">
        <v>2191</v>
      </c>
    </row>
    <row r="185" spans="1:4">
      <c r="A185" s="12">
        <v>7040100190</v>
      </c>
      <c r="B185" s="12" t="s">
        <v>5165</v>
      </c>
      <c r="C185" s="12" t="s">
        <v>12</v>
      </c>
      <c r="D185" s="12" t="s">
        <v>2191</v>
      </c>
    </row>
    <row r="186" spans="1:4">
      <c r="A186" s="12">
        <v>7040100200</v>
      </c>
      <c r="B186" s="12" t="s">
        <v>5166</v>
      </c>
      <c r="C186" s="12" t="s">
        <v>12</v>
      </c>
      <c r="D186" s="12" t="s">
        <v>2162</v>
      </c>
    </row>
    <row r="187" spans="1:4">
      <c r="A187" s="12">
        <v>7040100210</v>
      </c>
      <c r="B187" s="12" t="s">
        <v>5167</v>
      </c>
      <c r="C187" s="12" t="s">
        <v>12</v>
      </c>
      <c r="D187" s="12" t="s">
        <v>5144</v>
      </c>
    </row>
    <row r="188" spans="1:4">
      <c r="A188" s="12">
        <v>7040100220</v>
      </c>
      <c r="B188" s="12" t="s">
        <v>5168</v>
      </c>
      <c r="C188" s="12" t="s">
        <v>12</v>
      </c>
      <c r="D188" s="12" t="s">
        <v>2285</v>
      </c>
    </row>
    <row r="189" spans="1:4">
      <c r="A189" s="12">
        <v>7040100230</v>
      </c>
      <c r="B189" s="12" t="s">
        <v>5169</v>
      </c>
      <c r="C189" s="12" t="s">
        <v>12</v>
      </c>
      <c r="D189" s="12" t="s">
        <v>2224</v>
      </c>
    </row>
    <row r="190" spans="1:4">
      <c r="A190" s="12">
        <v>7040100240</v>
      </c>
      <c r="B190" s="12" t="s">
        <v>5170</v>
      </c>
      <c r="C190" s="12" t="s">
        <v>12</v>
      </c>
      <c r="D190" s="12" t="s">
        <v>3799</v>
      </c>
    </row>
    <row r="191" spans="1:4">
      <c r="A191" s="12">
        <v>7040100250</v>
      </c>
      <c r="B191" s="12" t="s">
        <v>5171</v>
      </c>
      <c r="C191" s="12" t="s">
        <v>12</v>
      </c>
      <c r="D191" s="12" t="s">
        <v>5172</v>
      </c>
    </row>
    <row r="192" spans="1:4">
      <c r="A192" s="12">
        <v>7040100260</v>
      </c>
      <c r="B192" s="12" t="s">
        <v>5173</v>
      </c>
      <c r="C192" s="12" t="s">
        <v>12</v>
      </c>
      <c r="D192" s="12" t="s">
        <v>2418</v>
      </c>
    </row>
    <row r="193" spans="1:4">
      <c r="A193" s="12">
        <v>7040100270</v>
      </c>
      <c r="B193" s="12" t="s">
        <v>5174</v>
      </c>
      <c r="C193" s="12" t="s">
        <v>12</v>
      </c>
      <c r="D193" s="12" t="s">
        <v>5175</v>
      </c>
    </row>
    <row r="194" spans="1:4">
      <c r="A194" s="12">
        <v>7040100280</v>
      </c>
      <c r="B194" s="12" t="s">
        <v>5176</v>
      </c>
      <c r="C194" s="12" t="s">
        <v>12</v>
      </c>
      <c r="D194" s="12" t="s">
        <v>5177</v>
      </c>
    </row>
    <row r="195" spans="1:4">
      <c r="A195" s="12">
        <v>7040100290</v>
      </c>
      <c r="B195" s="12" t="s">
        <v>5178</v>
      </c>
      <c r="C195" s="12" t="s">
        <v>12</v>
      </c>
      <c r="D195" s="12" t="s">
        <v>2259</v>
      </c>
    </row>
    <row r="196" spans="1:4">
      <c r="A196" s="12">
        <v>7040100300</v>
      </c>
      <c r="B196" s="12" t="s">
        <v>5179</v>
      </c>
      <c r="C196" s="12" t="s">
        <v>12</v>
      </c>
      <c r="D196" s="12" t="s">
        <v>2799</v>
      </c>
    </row>
    <row r="197" spans="1:4">
      <c r="A197" s="12">
        <v>7040100310</v>
      </c>
      <c r="B197" s="12" t="s">
        <v>5180</v>
      </c>
      <c r="C197" s="12" t="s">
        <v>12</v>
      </c>
      <c r="D197" s="12" t="s">
        <v>2977</v>
      </c>
    </row>
    <row r="198" spans="1:4">
      <c r="A198" s="12">
        <v>7040100320</v>
      </c>
      <c r="B198" s="12" t="s">
        <v>5181</v>
      </c>
      <c r="C198" s="12" t="s">
        <v>12</v>
      </c>
      <c r="D198" s="12" t="s">
        <v>2289</v>
      </c>
    </row>
    <row r="199" spans="1:4">
      <c r="A199" s="12">
        <v>7040100330</v>
      </c>
      <c r="B199" s="12" t="s">
        <v>5182</v>
      </c>
      <c r="C199" s="12" t="s">
        <v>12</v>
      </c>
      <c r="D199" s="12" t="s">
        <v>2181</v>
      </c>
    </row>
    <row r="200" spans="1:4">
      <c r="A200" s="12">
        <v>7040100340</v>
      </c>
      <c r="B200" s="12" t="s">
        <v>5183</v>
      </c>
      <c r="C200" s="12" t="s">
        <v>12</v>
      </c>
      <c r="D200" s="12" t="s">
        <v>5184</v>
      </c>
    </row>
    <row r="201" spans="1:4">
      <c r="A201" s="12">
        <v>7040100350</v>
      </c>
      <c r="B201" s="12" t="s">
        <v>5185</v>
      </c>
      <c r="C201" s="12" t="s">
        <v>12</v>
      </c>
      <c r="D201" s="12" t="s">
        <v>2114</v>
      </c>
    </row>
    <row r="202" spans="1:4">
      <c r="A202" s="12">
        <v>7040100360</v>
      </c>
      <c r="B202" s="12" t="s">
        <v>5186</v>
      </c>
      <c r="C202" s="12" t="s">
        <v>12</v>
      </c>
      <c r="D202" s="12" t="s">
        <v>2834</v>
      </c>
    </row>
    <row r="203" spans="1:4">
      <c r="A203" s="12">
        <v>7040100370</v>
      </c>
      <c r="B203" s="12" t="s">
        <v>5187</v>
      </c>
      <c r="C203" s="12" t="s">
        <v>12</v>
      </c>
      <c r="D203" s="12" t="s">
        <v>3449</v>
      </c>
    </row>
    <row r="204" spans="1:4">
      <c r="A204" s="12">
        <v>7040100380</v>
      </c>
      <c r="B204" s="12" t="s">
        <v>5188</v>
      </c>
      <c r="C204" s="12" t="s">
        <v>5189</v>
      </c>
      <c r="D204" s="12" t="s">
        <v>2142</v>
      </c>
    </row>
    <row r="205" spans="1:4">
      <c r="A205" s="12">
        <v>7040100390</v>
      </c>
      <c r="B205" s="12" t="s">
        <v>5190</v>
      </c>
      <c r="C205" s="12" t="s">
        <v>5189</v>
      </c>
      <c r="D205" s="12" t="s">
        <v>2113</v>
      </c>
    </row>
    <row r="206" spans="1:4">
      <c r="A206" s="12">
        <v>7040100400</v>
      </c>
      <c r="B206" s="12" t="s">
        <v>5191</v>
      </c>
      <c r="C206" s="12" t="s">
        <v>12</v>
      </c>
      <c r="D206" s="12" t="s">
        <v>2112</v>
      </c>
    </row>
    <row r="207" spans="1:4">
      <c r="A207" s="12">
        <v>7040100410</v>
      </c>
      <c r="B207" s="12" t="s">
        <v>5192</v>
      </c>
      <c r="C207" s="12" t="s">
        <v>12</v>
      </c>
      <c r="D207" s="12" t="s">
        <v>2252</v>
      </c>
    </row>
    <row r="212" spans="1:4">
      <c r="A212" s="12">
        <v>7040100420</v>
      </c>
      <c r="B212" s="12" t="s">
        <v>5193</v>
      </c>
      <c r="C212" s="12" t="s">
        <v>12</v>
      </c>
      <c r="D212" s="12" t="s">
        <v>2108</v>
      </c>
    </row>
    <row r="213" spans="1:4">
      <c r="A213" s="12">
        <v>7040100430</v>
      </c>
      <c r="B213" s="12" t="s">
        <v>5194</v>
      </c>
      <c r="C213" s="12" t="s">
        <v>12</v>
      </c>
      <c r="D213" s="12" t="s">
        <v>2758</v>
      </c>
    </row>
    <row r="214" spans="1:4">
      <c r="A214" s="12" t="s">
        <v>5195</v>
      </c>
    </row>
    <row r="215" spans="1:4">
      <c r="A215" s="12">
        <v>7050100010</v>
      </c>
      <c r="B215" s="12" t="s">
        <v>5196</v>
      </c>
      <c r="C215" s="12" t="s">
        <v>9</v>
      </c>
      <c r="D215" s="12" t="s">
        <v>2286</v>
      </c>
    </row>
    <row r="216" spans="1:4">
      <c r="A216" s="12">
        <v>7050100020</v>
      </c>
      <c r="B216" s="12" t="s">
        <v>5197</v>
      </c>
      <c r="C216" s="12" t="s">
        <v>9</v>
      </c>
      <c r="D216" s="12" t="s">
        <v>3751</v>
      </c>
    </row>
    <row r="217" spans="1:4">
      <c r="A217" s="12">
        <v>7050100030</v>
      </c>
      <c r="B217" s="12" t="s">
        <v>5198</v>
      </c>
      <c r="C217" s="12" t="s">
        <v>9</v>
      </c>
      <c r="D217" s="12" t="s">
        <v>5199</v>
      </c>
    </row>
    <row r="218" spans="1:4">
      <c r="A218" s="12">
        <v>7050100040</v>
      </c>
      <c r="B218" s="12" t="s">
        <v>5200</v>
      </c>
      <c r="C218" s="12" t="s">
        <v>12</v>
      </c>
      <c r="D218" s="12" t="s">
        <v>5201</v>
      </c>
    </row>
    <row r="219" spans="1:4">
      <c r="A219" s="12">
        <v>7050100050</v>
      </c>
      <c r="B219" s="12" t="s">
        <v>5202</v>
      </c>
      <c r="C219" s="12" t="s">
        <v>12</v>
      </c>
      <c r="D219" s="12" t="s">
        <v>5203</v>
      </c>
    </row>
    <row r="220" spans="1:4">
      <c r="A220" s="12">
        <v>7050100060</v>
      </c>
      <c r="B220" s="12" t="s">
        <v>5204</v>
      </c>
      <c r="C220" s="12" t="s">
        <v>12</v>
      </c>
      <c r="D220" s="12" t="s">
        <v>4026</v>
      </c>
    </row>
    <row r="221" spans="1:4">
      <c r="A221" s="12">
        <v>7050100070</v>
      </c>
      <c r="B221" s="12" t="s">
        <v>5205</v>
      </c>
      <c r="C221" s="12" t="s">
        <v>9</v>
      </c>
      <c r="D221" s="12" t="s">
        <v>3631</v>
      </c>
    </row>
    <row r="222" spans="1:4">
      <c r="A222" s="12">
        <v>7050100080</v>
      </c>
      <c r="B222" s="12" t="s">
        <v>5206</v>
      </c>
      <c r="C222" s="12" t="s">
        <v>12</v>
      </c>
      <c r="D222" s="12" t="s">
        <v>5207</v>
      </c>
    </row>
    <row r="223" spans="1:4">
      <c r="A223" s="12">
        <v>7050100090</v>
      </c>
      <c r="B223" s="12" t="s">
        <v>5208</v>
      </c>
      <c r="C223" s="12" t="s">
        <v>12</v>
      </c>
      <c r="D223" s="12" t="s">
        <v>5209</v>
      </c>
    </row>
    <row r="224" spans="1:4">
      <c r="A224" s="12">
        <v>7050100100</v>
      </c>
      <c r="B224" s="12" t="s">
        <v>5210</v>
      </c>
      <c r="C224" s="12" t="s">
        <v>6</v>
      </c>
      <c r="D224" s="12" t="s">
        <v>2131</v>
      </c>
    </row>
    <row r="225" spans="1:4">
      <c r="A225" s="12">
        <v>7050100121</v>
      </c>
      <c r="B225" s="12" t="s">
        <v>5211</v>
      </c>
      <c r="C225" s="12" t="s">
        <v>9</v>
      </c>
      <c r="D225" s="12" t="s">
        <v>5212</v>
      </c>
    </row>
    <row r="226" spans="1:4">
      <c r="A226" s="12">
        <v>7050100131</v>
      </c>
      <c r="B226" s="12" t="s">
        <v>5213</v>
      </c>
      <c r="C226" s="12" t="s">
        <v>12</v>
      </c>
      <c r="D226" s="12" t="s">
        <v>5214</v>
      </c>
    </row>
    <row r="227" spans="1:4">
      <c r="A227" s="12">
        <v>7050100140</v>
      </c>
      <c r="B227" s="12" t="s">
        <v>5215</v>
      </c>
      <c r="C227" s="12" t="s">
        <v>9</v>
      </c>
      <c r="D227" s="12" t="s">
        <v>5216</v>
      </c>
    </row>
    <row r="228" spans="1:4">
      <c r="A228" s="12">
        <v>7050100150</v>
      </c>
      <c r="B228" s="12" t="s">
        <v>5217</v>
      </c>
      <c r="C228" s="12" t="s">
        <v>12</v>
      </c>
      <c r="D228" s="12" t="s">
        <v>5218</v>
      </c>
    </row>
    <row r="229" spans="1:4">
      <c r="A229" s="12">
        <v>7050100160</v>
      </c>
      <c r="B229" s="12" t="s">
        <v>5219</v>
      </c>
      <c r="C229" s="12" t="s">
        <v>12</v>
      </c>
      <c r="D229" s="12" t="s">
        <v>5220</v>
      </c>
    </row>
    <row r="230" spans="1:4">
      <c r="A230" s="12" t="s">
        <v>5221</v>
      </c>
    </row>
    <row r="231" spans="1:4">
      <c r="A231" s="12">
        <v>7060100010</v>
      </c>
      <c r="B231" s="12" t="s">
        <v>5222</v>
      </c>
      <c r="C231" s="12" t="s">
        <v>4972</v>
      </c>
      <c r="D231" s="12" t="s">
        <v>3928</v>
      </c>
    </row>
    <row r="232" spans="1:4">
      <c r="A232" s="12">
        <v>7060100020</v>
      </c>
      <c r="B232" s="12" t="s">
        <v>5223</v>
      </c>
      <c r="C232" s="12" t="s">
        <v>4972</v>
      </c>
      <c r="D232" s="12" t="s">
        <v>3308</v>
      </c>
    </row>
    <row r="233" spans="1:4">
      <c r="A233" s="12">
        <v>7060100030</v>
      </c>
      <c r="B233" s="12" t="s">
        <v>5224</v>
      </c>
      <c r="C233" s="12" t="s">
        <v>7</v>
      </c>
      <c r="D233" s="12" t="s">
        <v>5225</v>
      </c>
    </row>
    <row r="234" spans="1:4">
      <c r="A234" s="12">
        <v>7060100040</v>
      </c>
      <c r="B234" s="12" t="s">
        <v>5224</v>
      </c>
      <c r="C234" s="12" t="s">
        <v>6</v>
      </c>
      <c r="D234" s="12" t="s">
        <v>2237</v>
      </c>
    </row>
    <row r="235" spans="1:4">
      <c r="A235" s="12" t="s">
        <v>5226</v>
      </c>
    </row>
    <row r="236" spans="1:4">
      <c r="A236" s="12">
        <v>7070100010</v>
      </c>
      <c r="B236" s="12" t="s">
        <v>5227</v>
      </c>
      <c r="C236" s="12" t="s">
        <v>12</v>
      </c>
      <c r="D236" s="12" t="s">
        <v>5228</v>
      </c>
    </row>
    <row r="237" spans="1:4">
      <c r="A237" s="12">
        <v>7070100020</v>
      </c>
      <c r="B237" s="12" t="s">
        <v>5229</v>
      </c>
      <c r="C237" s="12" t="s">
        <v>12</v>
      </c>
      <c r="D237" s="24" t="s">
        <v>5230</v>
      </c>
    </row>
    <row r="238" spans="1:4">
      <c r="A238" s="12">
        <v>7070100030</v>
      </c>
      <c r="B238" s="12" t="s">
        <v>5231</v>
      </c>
      <c r="C238" s="12" t="s">
        <v>12</v>
      </c>
      <c r="D238" s="24" t="s">
        <v>5232</v>
      </c>
    </row>
    <row r="239" spans="1:4">
      <c r="A239" s="12">
        <v>7070100040</v>
      </c>
      <c r="B239" s="12" t="s">
        <v>5233</v>
      </c>
      <c r="C239" s="12" t="s">
        <v>12</v>
      </c>
      <c r="D239" s="12" t="s">
        <v>5234</v>
      </c>
    </row>
    <row r="240" spans="1:4">
      <c r="A240" s="12">
        <v>7070100050</v>
      </c>
      <c r="B240" s="12" t="s">
        <v>5235</v>
      </c>
      <c r="C240" s="12" t="s">
        <v>12</v>
      </c>
      <c r="D240" s="12" t="s">
        <v>5234</v>
      </c>
    </row>
    <row r="241" spans="1:4">
      <c r="A241" s="12">
        <v>7070100060</v>
      </c>
      <c r="B241" s="12" t="s">
        <v>5236</v>
      </c>
      <c r="C241" s="12" t="s">
        <v>12</v>
      </c>
      <c r="D241" s="12" t="s">
        <v>5237</v>
      </c>
    </row>
    <row r="242" spans="1:4">
      <c r="A242" s="12">
        <v>7070100070</v>
      </c>
      <c r="B242" s="12" t="s">
        <v>5238</v>
      </c>
      <c r="C242" s="12" t="s">
        <v>12</v>
      </c>
      <c r="D242" s="12" t="s">
        <v>5239</v>
      </c>
    </row>
    <row r="243" spans="1:4">
      <c r="A243" s="12">
        <v>7070100080</v>
      </c>
      <c r="B243" s="12" t="s">
        <v>5240</v>
      </c>
      <c r="C243" s="12" t="s">
        <v>9</v>
      </c>
      <c r="D243" s="12" t="s">
        <v>5241</v>
      </c>
    </row>
    <row r="244" spans="1:4">
      <c r="A244" s="12">
        <v>7070100090</v>
      </c>
      <c r="B244" s="12" t="s">
        <v>5242</v>
      </c>
      <c r="C244" s="12" t="s">
        <v>12</v>
      </c>
      <c r="D244" s="12" t="s">
        <v>5243</v>
      </c>
    </row>
    <row r="245" spans="1:4">
      <c r="A245" s="12">
        <v>7070100100</v>
      </c>
      <c r="B245" s="12" t="s">
        <v>5244</v>
      </c>
      <c r="C245" s="12" t="s">
        <v>9</v>
      </c>
      <c r="D245" s="12" t="s">
        <v>5245</v>
      </c>
    </row>
    <row r="246" spans="1:4">
      <c r="A246" s="12">
        <v>7070100110</v>
      </c>
      <c r="B246" s="12" t="s">
        <v>5246</v>
      </c>
      <c r="C246" s="12" t="s">
        <v>9</v>
      </c>
      <c r="D246" s="12" t="s">
        <v>2293</v>
      </c>
    </row>
    <row r="247" spans="1:4">
      <c r="A247" s="12">
        <v>7070100120</v>
      </c>
      <c r="B247" s="12" t="s">
        <v>5247</v>
      </c>
      <c r="C247" s="12" t="s">
        <v>9</v>
      </c>
      <c r="D247" s="12" t="s">
        <v>5248</v>
      </c>
    </row>
    <row r="248" spans="1:4">
      <c r="A248" s="12">
        <v>7070100130</v>
      </c>
      <c r="B248" s="12" t="s">
        <v>5249</v>
      </c>
      <c r="C248" s="12" t="s">
        <v>9</v>
      </c>
      <c r="D248" s="12" t="s">
        <v>5250</v>
      </c>
    </row>
    <row r="249" spans="1:4">
      <c r="A249" s="12">
        <v>7070100140</v>
      </c>
      <c r="B249" s="12" t="s">
        <v>5251</v>
      </c>
      <c r="C249" s="12" t="s">
        <v>9</v>
      </c>
      <c r="D249" s="12" t="s">
        <v>5252</v>
      </c>
    </row>
    <row r="250" spans="1:4">
      <c r="A250" s="12">
        <v>7070100150</v>
      </c>
      <c r="B250" s="12" t="s">
        <v>5253</v>
      </c>
      <c r="C250" s="12" t="s">
        <v>9</v>
      </c>
      <c r="D250" s="12" t="s">
        <v>5254</v>
      </c>
    </row>
    <row r="251" spans="1:4">
      <c r="A251" s="12">
        <v>7070100160</v>
      </c>
      <c r="B251" s="12" t="s">
        <v>5255</v>
      </c>
      <c r="C251" s="12" t="s">
        <v>9</v>
      </c>
      <c r="D251" s="12" t="s">
        <v>5256</v>
      </c>
    </row>
    <row r="252" spans="1:4">
      <c r="A252" s="12">
        <v>7070100170</v>
      </c>
      <c r="B252" s="12" t="s">
        <v>5257</v>
      </c>
      <c r="C252" s="12" t="s">
        <v>12</v>
      </c>
      <c r="D252" s="12" t="s">
        <v>3632</v>
      </c>
    </row>
    <row r="253" spans="1:4">
      <c r="A253" s="12">
        <v>7070100180</v>
      </c>
      <c r="B253" s="12" t="s">
        <v>5258</v>
      </c>
      <c r="C253" s="12" t="s">
        <v>9</v>
      </c>
      <c r="D253" s="12" t="s">
        <v>2161</v>
      </c>
    </row>
    <row r="254" spans="1:4">
      <c r="A254" s="12">
        <v>7070100190</v>
      </c>
      <c r="B254" s="12" t="s">
        <v>5259</v>
      </c>
      <c r="C254" s="12" t="s">
        <v>8</v>
      </c>
      <c r="D254" s="12" t="s">
        <v>3669</v>
      </c>
    </row>
    <row r="255" spans="1:4">
      <c r="A255" s="12">
        <v>7070100200</v>
      </c>
      <c r="B255" s="12" t="s">
        <v>5260</v>
      </c>
      <c r="C255" s="12" t="s">
        <v>8</v>
      </c>
      <c r="D255" s="12" t="s">
        <v>2133</v>
      </c>
    </row>
    <row r="256" spans="1:4">
      <c r="A256" s="12">
        <v>7070100210</v>
      </c>
      <c r="B256" s="12" t="s">
        <v>5261</v>
      </c>
      <c r="C256" s="12" t="s">
        <v>8</v>
      </c>
      <c r="D256" s="12" t="s">
        <v>2184</v>
      </c>
    </row>
    <row r="257" spans="1:4">
      <c r="A257" s="12">
        <v>7070100220</v>
      </c>
      <c r="B257" s="12" t="s">
        <v>5262</v>
      </c>
      <c r="C257" s="12" t="s">
        <v>12</v>
      </c>
      <c r="D257" s="12" t="s">
        <v>5243</v>
      </c>
    </row>
    <row r="258" spans="1:4">
      <c r="A258" s="12">
        <v>7070100230</v>
      </c>
      <c r="B258" s="12" t="s">
        <v>5263</v>
      </c>
      <c r="C258" s="12" t="s">
        <v>12</v>
      </c>
      <c r="D258" s="12" t="s">
        <v>5264</v>
      </c>
    </row>
    <row r="259" spans="1:4">
      <c r="A259" s="12">
        <v>7070100240</v>
      </c>
      <c r="B259" s="12" t="s">
        <v>5265</v>
      </c>
      <c r="C259" s="12" t="s">
        <v>12</v>
      </c>
      <c r="D259" s="12" t="s">
        <v>5266</v>
      </c>
    </row>
    <row r="264" spans="1:4">
      <c r="A264" s="12">
        <v>7070100250</v>
      </c>
      <c r="B264" s="12" t="s">
        <v>5267</v>
      </c>
      <c r="C264" s="12" t="s">
        <v>12</v>
      </c>
      <c r="D264" s="12" t="s">
        <v>5268</v>
      </c>
    </row>
    <row r="265" spans="1:4">
      <c r="A265" s="12">
        <v>7070100260</v>
      </c>
      <c r="B265" s="12" t="s">
        <v>5269</v>
      </c>
      <c r="C265" s="12" t="s">
        <v>12</v>
      </c>
      <c r="D265" s="12" t="s">
        <v>5270</v>
      </c>
    </row>
    <row r="266" spans="1:4">
      <c r="A266" s="12">
        <v>7070100270</v>
      </c>
      <c r="B266" s="12" t="s">
        <v>5271</v>
      </c>
      <c r="C266" s="12" t="s">
        <v>12</v>
      </c>
      <c r="D266" s="12" t="s">
        <v>5272</v>
      </c>
    </row>
    <row r="267" spans="1:4">
      <c r="A267" s="12">
        <v>7070100280</v>
      </c>
      <c r="B267" s="12" t="s">
        <v>5273</v>
      </c>
      <c r="C267" s="12" t="s">
        <v>12</v>
      </c>
      <c r="D267" s="12" t="s">
        <v>5274</v>
      </c>
    </row>
    <row r="268" spans="1:4">
      <c r="A268" s="12">
        <v>7070100290</v>
      </c>
      <c r="B268" s="12" t="s">
        <v>5275</v>
      </c>
      <c r="C268" s="12" t="s">
        <v>12</v>
      </c>
      <c r="D268" s="12" t="s">
        <v>5276</v>
      </c>
    </row>
    <row r="269" spans="1:4">
      <c r="A269" s="12">
        <v>7070100300</v>
      </c>
      <c r="B269" s="12" t="s">
        <v>5277</v>
      </c>
      <c r="C269" s="12" t="s">
        <v>12</v>
      </c>
      <c r="D269" s="12" t="s">
        <v>5278</v>
      </c>
    </row>
    <row r="270" spans="1:4">
      <c r="A270" s="12">
        <v>7070100310</v>
      </c>
      <c r="B270" s="12" t="s">
        <v>5279</v>
      </c>
      <c r="C270" s="12" t="s">
        <v>12</v>
      </c>
      <c r="D270" s="12" t="s">
        <v>5280</v>
      </c>
    </row>
    <row r="271" spans="1:4">
      <c r="A271" s="12">
        <v>7070100320</v>
      </c>
      <c r="B271" s="12" t="s">
        <v>5281</v>
      </c>
      <c r="C271" s="12" t="s">
        <v>12</v>
      </c>
      <c r="D271" s="12" t="s">
        <v>5282</v>
      </c>
    </row>
    <row r="272" spans="1:4">
      <c r="A272" s="12">
        <v>7070100330</v>
      </c>
      <c r="B272" s="12" t="s">
        <v>5283</v>
      </c>
      <c r="C272" s="12" t="s">
        <v>12</v>
      </c>
      <c r="D272" s="12" t="s">
        <v>5284</v>
      </c>
    </row>
    <row r="273" spans="1:4">
      <c r="A273" s="12">
        <v>7070100340</v>
      </c>
      <c r="B273" s="12" t="s">
        <v>5285</v>
      </c>
      <c r="C273" s="12" t="s">
        <v>12</v>
      </c>
      <c r="D273" s="12" t="s">
        <v>5286</v>
      </c>
    </row>
    <row r="274" spans="1:4">
      <c r="A274" s="12">
        <v>7070100350</v>
      </c>
      <c r="B274" s="12" t="s">
        <v>5287</v>
      </c>
      <c r="C274" s="12" t="s">
        <v>12</v>
      </c>
      <c r="D274" s="12" t="s">
        <v>5288</v>
      </c>
    </row>
    <row r="275" spans="1:4">
      <c r="A275" s="12">
        <v>7070100360</v>
      </c>
      <c r="B275" s="12" t="s">
        <v>5289</v>
      </c>
      <c r="C275" s="12" t="s">
        <v>12</v>
      </c>
      <c r="D275" s="12" t="s">
        <v>5290</v>
      </c>
    </row>
    <row r="276" spans="1:4">
      <c r="A276" s="12">
        <v>7070100370</v>
      </c>
      <c r="B276" s="12" t="s">
        <v>5291</v>
      </c>
      <c r="C276" s="12" t="s">
        <v>12</v>
      </c>
      <c r="D276" s="12" t="s">
        <v>5292</v>
      </c>
    </row>
    <row r="277" spans="1:4">
      <c r="A277" s="12">
        <v>7070100380</v>
      </c>
      <c r="B277" s="12" t="s">
        <v>5293</v>
      </c>
      <c r="C277" s="12" t="s">
        <v>9</v>
      </c>
      <c r="D277" s="12" t="s">
        <v>5294</v>
      </c>
    </row>
    <row r="278" spans="1:4">
      <c r="A278" s="12">
        <v>7070100390</v>
      </c>
      <c r="B278" s="12" t="s">
        <v>5295</v>
      </c>
      <c r="C278" s="12" t="s">
        <v>9</v>
      </c>
      <c r="D278" s="12" t="s">
        <v>2249</v>
      </c>
    </row>
    <row r="279" spans="1:4">
      <c r="A279" s="12">
        <v>7070100400</v>
      </c>
      <c r="B279" s="12" t="s">
        <v>5296</v>
      </c>
      <c r="C279" s="12" t="s">
        <v>6</v>
      </c>
      <c r="D279" s="12" t="s">
        <v>5297</v>
      </c>
    </row>
    <row r="280" spans="1:4">
      <c r="A280" s="12">
        <v>7070100410</v>
      </c>
      <c r="B280" s="12" t="s">
        <v>5298</v>
      </c>
      <c r="C280" s="12" t="s">
        <v>6</v>
      </c>
      <c r="D280" s="12" t="s">
        <v>5297</v>
      </c>
    </row>
    <row r="281" spans="1:4">
      <c r="A281" s="12">
        <v>7070100420</v>
      </c>
      <c r="B281" s="12" t="s">
        <v>5299</v>
      </c>
      <c r="C281" s="12" t="s">
        <v>6</v>
      </c>
      <c r="D281" s="12" t="s">
        <v>5300</v>
      </c>
    </row>
    <row r="282" spans="1:4">
      <c r="A282" s="12">
        <v>7070100430</v>
      </c>
      <c r="B282" s="12" t="s">
        <v>5301</v>
      </c>
      <c r="C282" s="12" t="s">
        <v>6</v>
      </c>
      <c r="D282" s="12" t="s">
        <v>5302</v>
      </c>
    </row>
    <row r="283" spans="1:4">
      <c r="A283" s="12">
        <v>7070100440</v>
      </c>
      <c r="B283" s="12" t="s">
        <v>5303</v>
      </c>
      <c r="C283" s="12" t="s">
        <v>6</v>
      </c>
      <c r="D283" s="12" t="s">
        <v>2221</v>
      </c>
    </row>
    <row r="284" spans="1:4">
      <c r="A284" s="12">
        <v>7070100450</v>
      </c>
      <c r="B284" s="12" t="s">
        <v>5304</v>
      </c>
      <c r="C284" s="12" t="s">
        <v>6</v>
      </c>
      <c r="D284" s="12" t="s">
        <v>5305</v>
      </c>
    </row>
    <row r="285" spans="1:4">
      <c r="A285" s="12">
        <v>7070100460</v>
      </c>
      <c r="B285" s="12" t="s">
        <v>5306</v>
      </c>
      <c r="C285" s="12" t="s">
        <v>6</v>
      </c>
      <c r="D285" s="12" t="s">
        <v>5307</v>
      </c>
    </row>
    <row r="286" spans="1:4">
      <c r="A286" s="12">
        <v>7070100470</v>
      </c>
      <c r="B286" s="12" t="s">
        <v>5308</v>
      </c>
      <c r="C286" s="12" t="s">
        <v>6</v>
      </c>
      <c r="D286" s="12" t="s">
        <v>5309</v>
      </c>
    </row>
    <row r="287" spans="1:4">
      <c r="A287" s="12">
        <v>7070100480</v>
      </c>
      <c r="B287" s="12" t="s">
        <v>5310</v>
      </c>
      <c r="C287" s="12" t="s">
        <v>6</v>
      </c>
      <c r="D287" s="12" t="s">
        <v>5311</v>
      </c>
    </row>
    <row r="288" spans="1:4">
      <c r="A288" s="12">
        <v>7070100490</v>
      </c>
      <c r="B288" s="12" t="s">
        <v>5312</v>
      </c>
      <c r="C288" s="12" t="s">
        <v>6</v>
      </c>
      <c r="D288" s="12" t="s">
        <v>5313</v>
      </c>
    </row>
    <row r="289" spans="1:4">
      <c r="A289" s="12">
        <v>7070100500</v>
      </c>
      <c r="B289" s="12" t="s">
        <v>5314</v>
      </c>
      <c r="C289" s="12" t="s">
        <v>6</v>
      </c>
      <c r="D289" s="12" t="s">
        <v>5315</v>
      </c>
    </row>
    <row r="290" spans="1:4">
      <c r="A290" s="12">
        <v>7070100510</v>
      </c>
      <c r="B290" s="12" t="s">
        <v>5316</v>
      </c>
      <c r="C290" s="12" t="s">
        <v>6</v>
      </c>
      <c r="D290" s="12" t="s">
        <v>5317</v>
      </c>
    </row>
    <row r="291" spans="1:4">
      <c r="A291" s="12">
        <v>7070100520</v>
      </c>
      <c r="B291" s="12" t="s">
        <v>5318</v>
      </c>
      <c r="C291" s="12" t="s">
        <v>7</v>
      </c>
      <c r="D291" s="12" t="s">
        <v>5319</v>
      </c>
    </row>
    <row r="292" spans="1:4">
      <c r="A292" s="12">
        <v>7070100530</v>
      </c>
      <c r="B292" s="12" t="s">
        <v>5320</v>
      </c>
      <c r="C292" s="12" t="s">
        <v>7</v>
      </c>
      <c r="D292" s="12" t="s">
        <v>5321</v>
      </c>
    </row>
    <row r="293" spans="1:4">
      <c r="A293" s="12">
        <v>7070100540</v>
      </c>
      <c r="B293" s="12" t="s">
        <v>5322</v>
      </c>
      <c r="C293" s="12" t="s">
        <v>7</v>
      </c>
      <c r="D293" s="12" t="s">
        <v>5323</v>
      </c>
    </row>
    <row r="294" spans="1:4">
      <c r="A294" s="12">
        <v>7070100550</v>
      </c>
      <c r="B294" s="12" t="s">
        <v>5324</v>
      </c>
      <c r="C294" s="12" t="s">
        <v>12</v>
      </c>
      <c r="D294" s="12" t="s">
        <v>5325</v>
      </c>
    </row>
    <row r="295" spans="1:4">
      <c r="A295" s="12" t="s">
        <v>5326</v>
      </c>
      <c r="D295" s="24"/>
    </row>
    <row r="296" spans="1:4">
      <c r="A296" s="12">
        <v>7080100010</v>
      </c>
      <c r="B296" s="12" t="s">
        <v>5327</v>
      </c>
      <c r="C296" s="12" t="s">
        <v>7</v>
      </c>
      <c r="D296" s="24" t="s">
        <v>5328</v>
      </c>
    </row>
    <row r="297" spans="1:4">
      <c r="A297" s="12">
        <v>7080100020</v>
      </c>
      <c r="B297" s="12" t="s">
        <v>5329</v>
      </c>
      <c r="C297" s="12" t="s">
        <v>7</v>
      </c>
      <c r="D297" s="12" t="s">
        <v>5330</v>
      </c>
    </row>
    <row r="298" spans="1:4">
      <c r="A298" s="12">
        <v>7080100030</v>
      </c>
      <c r="B298" s="12" t="s">
        <v>5331</v>
      </c>
      <c r="C298" s="12" t="s">
        <v>7</v>
      </c>
      <c r="D298" s="12" t="s">
        <v>5332</v>
      </c>
    </row>
    <row r="299" spans="1:4">
      <c r="A299" s="12">
        <v>7080100040</v>
      </c>
      <c r="B299" s="12" t="s">
        <v>5333</v>
      </c>
      <c r="C299" s="12" t="s">
        <v>7</v>
      </c>
      <c r="D299" s="12" t="s">
        <v>5334</v>
      </c>
    </row>
    <row r="300" spans="1:4">
      <c r="A300" s="12">
        <v>7080100050</v>
      </c>
      <c r="B300" s="12" t="s">
        <v>5335</v>
      </c>
      <c r="C300" s="12" t="s">
        <v>7</v>
      </c>
      <c r="D300" s="12" t="s">
        <v>5336</v>
      </c>
    </row>
    <row r="301" spans="1:4">
      <c r="A301" s="12">
        <v>7080100060</v>
      </c>
      <c r="B301" s="12" t="s">
        <v>5337</v>
      </c>
      <c r="C301" s="12" t="s">
        <v>7</v>
      </c>
      <c r="D301" s="12" t="s">
        <v>5338</v>
      </c>
    </row>
    <row r="302" spans="1:4">
      <c r="A302" s="12">
        <v>7080100070</v>
      </c>
      <c r="B302" s="12" t="s">
        <v>5339</v>
      </c>
      <c r="C302" s="12" t="s">
        <v>7</v>
      </c>
      <c r="D302" s="12" t="s">
        <v>5340</v>
      </c>
    </row>
    <row r="303" spans="1:4">
      <c r="A303" s="12">
        <v>7080100080</v>
      </c>
      <c r="B303" s="12" t="s">
        <v>5341</v>
      </c>
      <c r="C303" s="12" t="s">
        <v>7</v>
      </c>
      <c r="D303" s="12" t="s">
        <v>5342</v>
      </c>
    </row>
    <row r="304" spans="1:4">
      <c r="A304" s="12">
        <v>7080100090</v>
      </c>
      <c r="B304" s="12" t="s">
        <v>5343</v>
      </c>
      <c r="C304" s="12" t="s">
        <v>7</v>
      </c>
      <c r="D304" s="12" t="s">
        <v>5344</v>
      </c>
    </row>
    <row r="305" spans="1:4">
      <c r="A305" s="12">
        <v>7080100100</v>
      </c>
      <c r="B305" s="12" t="s">
        <v>5345</v>
      </c>
      <c r="C305" s="12" t="s">
        <v>7</v>
      </c>
      <c r="D305" s="12" t="s">
        <v>5346</v>
      </c>
    </row>
    <row r="306" spans="1:4">
      <c r="A306" s="12">
        <v>7080100110</v>
      </c>
      <c r="B306" s="12" t="s">
        <v>5347</v>
      </c>
      <c r="C306" s="12" t="s">
        <v>7</v>
      </c>
      <c r="D306" s="12" t="s">
        <v>5348</v>
      </c>
    </row>
    <row r="307" spans="1:4">
      <c r="A307" s="12">
        <v>7080100120</v>
      </c>
      <c r="B307" s="12" t="s">
        <v>5349</v>
      </c>
      <c r="C307" s="12" t="s">
        <v>7</v>
      </c>
      <c r="D307" s="12" t="s">
        <v>5350</v>
      </c>
    </row>
    <row r="308" spans="1:4">
      <c r="A308" s="12">
        <v>7080100130</v>
      </c>
      <c r="B308" s="12" t="s">
        <v>5351</v>
      </c>
      <c r="C308" s="12" t="s">
        <v>7</v>
      </c>
      <c r="D308" s="12" t="s">
        <v>5352</v>
      </c>
    </row>
    <row r="309" spans="1:4">
      <c r="A309" s="12">
        <v>7080100140</v>
      </c>
      <c r="B309" s="12" t="s">
        <v>5353</v>
      </c>
      <c r="C309" s="12" t="s">
        <v>7</v>
      </c>
      <c r="D309" s="12" t="s">
        <v>5354</v>
      </c>
    </row>
    <row r="310" spans="1:4">
      <c r="A310" s="12">
        <v>7080100145</v>
      </c>
      <c r="B310" s="12" t="s">
        <v>5355</v>
      </c>
      <c r="C310" s="12" t="s">
        <v>7</v>
      </c>
      <c r="D310" s="12" t="s">
        <v>5356</v>
      </c>
    </row>
    <row r="311" spans="1:4">
      <c r="A311" s="12">
        <v>7080100150</v>
      </c>
      <c r="B311" s="12" t="s">
        <v>5357</v>
      </c>
      <c r="C311" s="12" t="s">
        <v>7</v>
      </c>
      <c r="D311" s="12" t="s">
        <v>5358</v>
      </c>
    </row>
    <row r="316" spans="1:4">
      <c r="A316" s="12">
        <v>7080100160</v>
      </c>
      <c r="B316" s="12" t="s">
        <v>5359</v>
      </c>
      <c r="C316" s="12" t="s">
        <v>7</v>
      </c>
      <c r="D316" s="12" t="s">
        <v>5360</v>
      </c>
    </row>
    <row r="317" spans="1:4">
      <c r="A317" s="12">
        <v>7080100170</v>
      </c>
      <c r="B317" s="12" t="s">
        <v>5361</v>
      </c>
      <c r="C317" s="12" t="s">
        <v>7</v>
      </c>
      <c r="D317" s="12" t="s">
        <v>5362</v>
      </c>
    </row>
    <row r="318" spans="1:4">
      <c r="A318" s="12">
        <v>7080100180</v>
      </c>
      <c r="B318" s="12" t="s">
        <v>5363</v>
      </c>
      <c r="C318" s="12" t="s">
        <v>7</v>
      </c>
      <c r="D318" s="12" t="s">
        <v>5364</v>
      </c>
    </row>
    <row r="319" spans="1:4">
      <c r="A319" s="12">
        <v>7080100190</v>
      </c>
      <c r="B319" s="12" t="s">
        <v>5365</v>
      </c>
      <c r="C319" s="12" t="s">
        <v>7</v>
      </c>
      <c r="D319" s="12" t="s">
        <v>5366</v>
      </c>
    </row>
    <row r="320" spans="1:4">
      <c r="A320" s="12">
        <v>7080100200</v>
      </c>
      <c r="B320" s="12" t="s">
        <v>5367</v>
      </c>
      <c r="C320" s="12" t="s">
        <v>7</v>
      </c>
      <c r="D320" s="12" t="s">
        <v>5368</v>
      </c>
    </row>
    <row r="321" spans="1:4">
      <c r="A321" s="12">
        <v>7080100210</v>
      </c>
      <c r="B321" s="12" t="s">
        <v>5369</v>
      </c>
      <c r="C321" s="12" t="s">
        <v>7</v>
      </c>
      <c r="D321" s="12" t="s">
        <v>5370</v>
      </c>
    </row>
    <row r="322" spans="1:4">
      <c r="A322" s="12">
        <v>7080100220</v>
      </c>
      <c r="B322" s="12" t="s">
        <v>5371</v>
      </c>
      <c r="C322" s="12" t="s">
        <v>7</v>
      </c>
      <c r="D322" s="12" t="s">
        <v>5372</v>
      </c>
    </row>
    <row r="323" spans="1:4">
      <c r="A323" s="12">
        <v>7080100230</v>
      </c>
      <c r="B323" s="12" t="s">
        <v>5373</v>
      </c>
      <c r="C323" s="12" t="s">
        <v>7</v>
      </c>
      <c r="D323" s="12" t="s">
        <v>5374</v>
      </c>
    </row>
    <row r="324" spans="1:4">
      <c r="A324" s="12">
        <v>7080100240</v>
      </c>
      <c r="B324" s="12" t="s">
        <v>5375</v>
      </c>
      <c r="C324" s="12" t="s">
        <v>7</v>
      </c>
      <c r="D324" s="12" t="s">
        <v>5376</v>
      </c>
    </row>
    <row r="325" spans="1:4">
      <c r="A325" s="12">
        <v>7080100250</v>
      </c>
      <c r="B325" s="12" t="s">
        <v>5377</v>
      </c>
      <c r="C325" s="12" t="s">
        <v>7</v>
      </c>
      <c r="D325" s="12" t="s">
        <v>5378</v>
      </c>
    </row>
    <row r="326" spans="1:4">
      <c r="A326" s="12">
        <v>7080100260</v>
      </c>
      <c r="B326" s="12" t="s">
        <v>5379</v>
      </c>
      <c r="C326" s="12" t="s">
        <v>7</v>
      </c>
      <c r="D326" s="12" t="s">
        <v>5380</v>
      </c>
    </row>
    <row r="327" spans="1:4">
      <c r="A327" s="12">
        <v>7080100270</v>
      </c>
      <c r="B327" s="12" t="s">
        <v>5381</v>
      </c>
      <c r="C327" s="12" t="s">
        <v>7</v>
      </c>
      <c r="D327" s="12" t="s">
        <v>5382</v>
      </c>
    </row>
    <row r="328" spans="1:4">
      <c r="A328" s="12">
        <v>7080100280</v>
      </c>
      <c r="B328" s="12" t="s">
        <v>5383</v>
      </c>
      <c r="C328" s="12" t="s">
        <v>7</v>
      </c>
      <c r="D328" s="12" t="s">
        <v>5384</v>
      </c>
    </row>
    <row r="329" spans="1:4">
      <c r="A329" s="12">
        <v>7080100290</v>
      </c>
      <c r="B329" s="12" t="s">
        <v>5385</v>
      </c>
      <c r="C329" s="12" t="s">
        <v>7</v>
      </c>
      <c r="D329" s="12" t="s">
        <v>5386</v>
      </c>
    </row>
    <row r="330" spans="1:4">
      <c r="A330" s="12">
        <v>7080100300</v>
      </c>
      <c r="B330" s="12" t="s">
        <v>5387</v>
      </c>
      <c r="C330" s="12" t="s">
        <v>7</v>
      </c>
      <c r="D330" s="12" t="s">
        <v>5388</v>
      </c>
    </row>
    <row r="331" spans="1:4">
      <c r="A331" s="12">
        <v>7080100310</v>
      </c>
      <c r="B331" s="12" t="s">
        <v>5389</v>
      </c>
      <c r="C331" s="12" t="s">
        <v>7</v>
      </c>
      <c r="D331" s="12" t="s">
        <v>5390</v>
      </c>
    </row>
    <row r="332" spans="1:4">
      <c r="A332" s="12">
        <v>7080100320</v>
      </c>
      <c r="B332" s="12" t="s">
        <v>5391</v>
      </c>
      <c r="C332" s="12" t="s">
        <v>7</v>
      </c>
      <c r="D332" s="12" t="s">
        <v>5392</v>
      </c>
    </row>
    <row r="333" spans="1:4">
      <c r="A333" s="12" t="s">
        <v>5393</v>
      </c>
    </row>
    <row r="334" spans="1:4">
      <c r="A334" s="12">
        <v>7090100010</v>
      </c>
      <c r="B334" s="12" t="s">
        <v>5394</v>
      </c>
      <c r="C334" s="12" t="s">
        <v>9</v>
      </c>
      <c r="D334" s="12" t="s">
        <v>5395</v>
      </c>
    </row>
    <row r="335" spans="1:4">
      <c r="A335" s="12">
        <v>7090100020</v>
      </c>
      <c r="B335" s="12" t="s">
        <v>5396</v>
      </c>
      <c r="C335" s="12" t="s">
        <v>9</v>
      </c>
      <c r="D335" s="12" t="s">
        <v>5397</v>
      </c>
    </row>
    <row r="336" spans="1:4">
      <c r="A336" s="12">
        <v>7090100030</v>
      </c>
      <c r="B336" s="12" t="s">
        <v>5398</v>
      </c>
      <c r="C336" s="12" t="s">
        <v>9</v>
      </c>
      <c r="D336" s="12" t="s">
        <v>2263</v>
      </c>
    </row>
    <row r="337" spans="1:4">
      <c r="A337" s="12">
        <v>7090100040</v>
      </c>
      <c r="B337" s="12" t="s">
        <v>5399</v>
      </c>
      <c r="C337" s="12" t="s">
        <v>9</v>
      </c>
      <c r="D337" s="12" t="s">
        <v>5400</v>
      </c>
    </row>
    <row r="338" spans="1:4">
      <c r="A338" s="12">
        <v>7090100050</v>
      </c>
      <c r="B338" s="12" t="s">
        <v>5401</v>
      </c>
      <c r="C338" s="12" t="s">
        <v>9</v>
      </c>
      <c r="D338" s="12" t="s">
        <v>5402</v>
      </c>
    </row>
    <row r="339" spans="1:4">
      <c r="A339" s="12">
        <v>7090100060</v>
      </c>
      <c r="B339" s="12" t="s">
        <v>5403</v>
      </c>
      <c r="C339" s="12" t="s">
        <v>9</v>
      </c>
      <c r="D339" s="12" t="s">
        <v>2160</v>
      </c>
    </row>
    <row r="340" spans="1:4">
      <c r="A340" s="12">
        <v>7090100070</v>
      </c>
      <c r="B340" s="12" t="s">
        <v>5404</v>
      </c>
      <c r="C340" s="12" t="s">
        <v>9</v>
      </c>
      <c r="D340" s="12" t="s">
        <v>2576</v>
      </c>
    </row>
    <row r="341" spans="1:4">
      <c r="A341" s="12">
        <v>7090100080</v>
      </c>
      <c r="B341" s="12" t="s">
        <v>5405</v>
      </c>
      <c r="C341" s="12" t="s">
        <v>9</v>
      </c>
      <c r="D341" s="12" t="s">
        <v>3854</v>
      </c>
    </row>
    <row r="342" spans="1:4">
      <c r="A342" s="12">
        <v>7090100090</v>
      </c>
      <c r="B342" s="12" t="s">
        <v>5406</v>
      </c>
      <c r="C342" s="12" t="s">
        <v>9</v>
      </c>
      <c r="D342" s="12" t="s">
        <v>4229</v>
      </c>
    </row>
    <row r="343" spans="1:4">
      <c r="A343" s="12">
        <v>7090100100</v>
      </c>
      <c r="B343" s="12" t="s">
        <v>5407</v>
      </c>
      <c r="C343" s="12" t="s">
        <v>9</v>
      </c>
      <c r="D343" s="12" t="s">
        <v>4234</v>
      </c>
    </row>
    <row r="344" spans="1:4">
      <c r="A344" s="12">
        <v>7090100110</v>
      </c>
      <c r="B344" s="12" t="s">
        <v>5408</v>
      </c>
      <c r="C344" s="12" t="s">
        <v>9</v>
      </c>
      <c r="D344" s="12" t="s">
        <v>5409</v>
      </c>
    </row>
    <row r="345" spans="1:4">
      <c r="A345" s="12">
        <v>7090100120</v>
      </c>
      <c r="B345" s="12" t="s">
        <v>5410</v>
      </c>
      <c r="C345" s="12" t="s">
        <v>9</v>
      </c>
      <c r="D345" s="12" t="s">
        <v>5411</v>
      </c>
    </row>
    <row r="346" spans="1:4">
      <c r="A346" s="12">
        <v>7090100130</v>
      </c>
      <c r="B346" s="12" t="s">
        <v>5412</v>
      </c>
      <c r="C346" s="12" t="s">
        <v>9</v>
      </c>
      <c r="D346" s="12" t="s">
        <v>5413</v>
      </c>
    </row>
    <row r="347" spans="1:4">
      <c r="A347" s="12">
        <v>7090100140</v>
      </c>
      <c r="B347" s="12" t="s">
        <v>5414</v>
      </c>
      <c r="C347" s="12" t="s">
        <v>9</v>
      </c>
      <c r="D347" s="12" t="s">
        <v>3628</v>
      </c>
    </row>
    <row r="348" spans="1:4">
      <c r="A348" s="12">
        <v>7090100150</v>
      </c>
      <c r="B348" s="12" t="s">
        <v>5415</v>
      </c>
      <c r="C348" s="12" t="s">
        <v>6</v>
      </c>
      <c r="D348" s="12" t="s">
        <v>5416</v>
      </c>
    </row>
    <row r="349" spans="1:4">
      <c r="A349" s="12">
        <v>7090100160</v>
      </c>
      <c r="B349" s="12" t="s">
        <v>5417</v>
      </c>
      <c r="C349" s="12" t="s">
        <v>6</v>
      </c>
      <c r="D349" s="12" t="s">
        <v>5418</v>
      </c>
    </row>
    <row r="350" spans="1:4">
      <c r="A350" s="12">
        <v>7090100170</v>
      </c>
      <c r="B350" s="12" t="s">
        <v>5419</v>
      </c>
      <c r="C350" s="12" t="s">
        <v>9</v>
      </c>
      <c r="D350" s="12" t="s">
        <v>5420</v>
      </c>
    </row>
    <row r="351" spans="1:4">
      <c r="A351" s="12">
        <v>7090100180</v>
      </c>
      <c r="B351" s="12" t="s">
        <v>5421</v>
      </c>
      <c r="C351" s="12" t="s">
        <v>9</v>
      </c>
      <c r="D351" s="12" t="s">
        <v>5422</v>
      </c>
    </row>
    <row r="352" spans="1:4">
      <c r="A352" s="12">
        <v>7090100190</v>
      </c>
      <c r="B352" s="12" t="s">
        <v>5423</v>
      </c>
      <c r="C352" s="12" t="s">
        <v>9</v>
      </c>
      <c r="D352" s="12" t="s">
        <v>5424</v>
      </c>
    </row>
    <row r="353" spans="1:4">
      <c r="A353" s="12">
        <v>7090100200</v>
      </c>
      <c r="B353" s="12" t="s">
        <v>5425</v>
      </c>
      <c r="C353" s="12" t="s">
        <v>6</v>
      </c>
      <c r="D353" s="24" t="s">
        <v>5426</v>
      </c>
    </row>
    <row r="354" spans="1:4">
      <c r="A354" s="12">
        <v>7090100210</v>
      </c>
      <c r="B354" s="12" t="s">
        <v>5427</v>
      </c>
      <c r="C354" s="12" t="s">
        <v>6</v>
      </c>
      <c r="D354" s="24" t="s">
        <v>5428</v>
      </c>
    </row>
    <row r="355" spans="1:4">
      <c r="A355" s="12">
        <v>7090100220</v>
      </c>
      <c r="B355" s="12" t="s">
        <v>5429</v>
      </c>
      <c r="C355" s="12" t="s">
        <v>6</v>
      </c>
      <c r="D355" s="12" t="s">
        <v>5430</v>
      </c>
    </row>
    <row r="356" spans="1:4">
      <c r="A356" s="12">
        <v>7090100230</v>
      </c>
      <c r="B356" s="12" t="s">
        <v>5431</v>
      </c>
      <c r="C356" s="12" t="s">
        <v>6</v>
      </c>
      <c r="D356" s="12" t="s">
        <v>5432</v>
      </c>
    </row>
    <row r="357" spans="1:4">
      <c r="A357" s="12">
        <v>7090100240</v>
      </c>
      <c r="B357" s="12" t="s">
        <v>5433</v>
      </c>
      <c r="C357" s="12" t="s">
        <v>6</v>
      </c>
      <c r="D357" s="12" t="s">
        <v>5434</v>
      </c>
    </row>
    <row r="358" spans="1:4">
      <c r="A358" s="12">
        <v>7090100250</v>
      </c>
      <c r="B358" s="12" t="s">
        <v>5435</v>
      </c>
      <c r="C358" s="12" t="s">
        <v>9</v>
      </c>
      <c r="D358" s="12" t="s">
        <v>2262</v>
      </c>
    </row>
    <row r="359" spans="1:4">
      <c r="A359" s="12">
        <v>7090100260</v>
      </c>
      <c r="B359" s="12" t="s">
        <v>5436</v>
      </c>
      <c r="C359" s="12" t="s">
        <v>9</v>
      </c>
      <c r="D359" s="12" t="s">
        <v>5437</v>
      </c>
    </row>
    <row r="360" spans="1:4">
      <c r="A360" s="12">
        <v>7090100270</v>
      </c>
      <c r="B360" s="12" t="s">
        <v>5438</v>
      </c>
      <c r="C360" s="12" t="s">
        <v>6</v>
      </c>
      <c r="D360" s="12" t="s">
        <v>3942</v>
      </c>
    </row>
    <row r="361" spans="1:4">
      <c r="A361" s="12" t="s">
        <v>5439</v>
      </c>
    </row>
    <row r="362" spans="1:4">
      <c r="A362" s="12">
        <v>7100100010</v>
      </c>
      <c r="B362" s="12" t="s">
        <v>5440</v>
      </c>
      <c r="C362" s="12" t="s">
        <v>9</v>
      </c>
      <c r="D362" s="12" t="s">
        <v>5441</v>
      </c>
    </row>
    <row r="363" spans="1:4">
      <c r="A363" s="12">
        <v>7100100020</v>
      </c>
      <c r="B363" s="12" t="s">
        <v>5442</v>
      </c>
      <c r="C363" s="12" t="s">
        <v>9</v>
      </c>
      <c r="D363" s="12" t="s">
        <v>5443</v>
      </c>
    </row>
    <row r="368" spans="1:4">
      <c r="A368" s="12">
        <v>7100100030</v>
      </c>
      <c r="B368" s="12" t="s">
        <v>5444</v>
      </c>
      <c r="C368" s="12" t="s">
        <v>9</v>
      </c>
      <c r="D368" s="12" t="s">
        <v>5445</v>
      </c>
    </row>
    <row r="369" spans="1:4">
      <c r="A369" s="12">
        <v>7100100040</v>
      </c>
      <c r="B369" s="12" t="s">
        <v>5446</v>
      </c>
      <c r="C369" s="12" t="s">
        <v>7</v>
      </c>
      <c r="D369" s="12" t="s">
        <v>5447</v>
      </c>
    </row>
    <row r="370" spans="1:4">
      <c r="A370" s="12">
        <v>7100100050</v>
      </c>
      <c r="B370" s="12" t="s">
        <v>5448</v>
      </c>
      <c r="C370" s="12" t="s">
        <v>7</v>
      </c>
      <c r="D370" s="12" t="s">
        <v>2299</v>
      </c>
    </row>
    <row r="371" spans="1:4">
      <c r="A371" s="12">
        <v>7100100060</v>
      </c>
      <c r="B371" s="12" t="s">
        <v>5449</v>
      </c>
      <c r="C371" s="12" t="s">
        <v>9</v>
      </c>
      <c r="D371" s="12" t="s">
        <v>5450</v>
      </c>
    </row>
    <row r="372" spans="1:4">
      <c r="A372" s="12">
        <v>7100100070</v>
      </c>
      <c r="B372" s="12" t="s">
        <v>5451</v>
      </c>
      <c r="C372" s="12" t="s">
        <v>9</v>
      </c>
      <c r="D372" s="12" t="s">
        <v>5452</v>
      </c>
    </row>
    <row r="373" spans="1:4">
      <c r="A373" s="12">
        <v>7100100080</v>
      </c>
      <c r="B373" s="12" t="s">
        <v>5453</v>
      </c>
      <c r="C373" s="12" t="s">
        <v>6</v>
      </c>
      <c r="D373" s="12" t="s">
        <v>3489</v>
      </c>
    </row>
    <row r="374" spans="1:4">
      <c r="A374" s="12">
        <v>7100100090</v>
      </c>
      <c r="B374" s="12" t="s">
        <v>5454</v>
      </c>
      <c r="C374" s="12" t="s">
        <v>6</v>
      </c>
      <c r="D374" s="12" t="s">
        <v>5455</v>
      </c>
    </row>
    <row r="375" spans="1:4">
      <c r="A375" s="12">
        <v>7100100100</v>
      </c>
      <c r="B375" s="12" t="s">
        <v>5456</v>
      </c>
      <c r="C375" s="12" t="s">
        <v>9</v>
      </c>
      <c r="D375" s="12" t="s">
        <v>5457</v>
      </c>
    </row>
    <row r="376" spans="1:4">
      <c r="A376" s="12">
        <v>7100100110</v>
      </c>
      <c r="B376" s="12" t="s">
        <v>5458</v>
      </c>
      <c r="C376" s="12" t="s">
        <v>9</v>
      </c>
      <c r="D376" s="12" t="s">
        <v>3633</v>
      </c>
    </row>
    <row r="377" spans="1:4">
      <c r="A377" s="12">
        <v>7100100120</v>
      </c>
      <c r="B377" s="12" t="s">
        <v>5459</v>
      </c>
      <c r="C377" s="12" t="s">
        <v>9</v>
      </c>
      <c r="D377" s="12" t="s">
        <v>5460</v>
      </c>
    </row>
    <row r="378" spans="1:4">
      <c r="A378" s="12">
        <v>7100100125</v>
      </c>
      <c r="B378" s="12" t="s">
        <v>5461</v>
      </c>
      <c r="C378" s="12" t="s">
        <v>9</v>
      </c>
      <c r="D378" s="12" t="s">
        <v>2275</v>
      </c>
    </row>
    <row r="379" spans="1:4">
      <c r="A379" s="12">
        <v>7100100130</v>
      </c>
      <c r="B379" s="12" t="s">
        <v>5462</v>
      </c>
      <c r="C379" s="12" t="s">
        <v>9</v>
      </c>
      <c r="D379" s="12" t="s">
        <v>5463</v>
      </c>
    </row>
    <row r="380" spans="1:4">
      <c r="A380" s="12">
        <v>7100100140</v>
      </c>
      <c r="B380" s="12" t="s">
        <v>5464</v>
      </c>
      <c r="C380" s="12" t="s">
        <v>9</v>
      </c>
      <c r="D380" s="12" t="s">
        <v>2212</v>
      </c>
    </row>
    <row r="381" spans="1:4">
      <c r="A381" s="12">
        <v>7100100150</v>
      </c>
      <c r="B381" s="12" t="s">
        <v>5465</v>
      </c>
      <c r="C381" s="12" t="s">
        <v>9</v>
      </c>
      <c r="D381" s="12" t="s">
        <v>5466</v>
      </c>
    </row>
    <row r="382" spans="1:4">
      <c r="A382" s="12">
        <v>7100100160</v>
      </c>
      <c r="B382" s="12" t="s">
        <v>5467</v>
      </c>
      <c r="C382" s="12" t="s">
        <v>9</v>
      </c>
      <c r="D382" s="12" t="s">
        <v>2272</v>
      </c>
    </row>
    <row r="383" spans="1:4">
      <c r="A383" s="12">
        <v>7100100170</v>
      </c>
      <c r="B383" s="12" t="s">
        <v>5468</v>
      </c>
      <c r="C383" s="12" t="s">
        <v>9</v>
      </c>
      <c r="D383" s="12" t="s">
        <v>3932</v>
      </c>
    </row>
    <row r="384" spans="1:4">
      <c r="A384" s="12">
        <v>7100100180</v>
      </c>
      <c r="B384" s="12" t="s">
        <v>5469</v>
      </c>
      <c r="C384" s="12" t="s">
        <v>9</v>
      </c>
      <c r="D384" s="12" t="s">
        <v>2118</v>
      </c>
    </row>
    <row r="385" spans="1:4">
      <c r="A385" s="12">
        <v>7100100190</v>
      </c>
      <c r="B385" s="12" t="s">
        <v>5470</v>
      </c>
      <c r="C385" s="12" t="s">
        <v>9</v>
      </c>
      <c r="D385" s="12" t="s">
        <v>2121</v>
      </c>
    </row>
    <row r="386" spans="1:4">
      <c r="A386" s="12">
        <v>7100100200</v>
      </c>
      <c r="B386" s="12" t="s">
        <v>5471</v>
      </c>
      <c r="C386" s="12" t="s">
        <v>9</v>
      </c>
      <c r="D386" s="12" t="s">
        <v>2149</v>
      </c>
    </row>
    <row r="387" spans="1:4">
      <c r="A387" s="12">
        <v>7100100210</v>
      </c>
      <c r="B387" s="12" t="s">
        <v>5472</v>
      </c>
      <c r="C387" s="12" t="s">
        <v>9</v>
      </c>
      <c r="D387" s="12" t="s">
        <v>2124</v>
      </c>
    </row>
    <row r="388" spans="1:4">
      <c r="A388" s="12">
        <v>7100100220</v>
      </c>
      <c r="B388" s="12" t="s">
        <v>5473</v>
      </c>
      <c r="C388" s="12" t="s">
        <v>9</v>
      </c>
      <c r="D388" s="12" t="s">
        <v>2273</v>
      </c>
    </row>
    <row r="389" spans="1:4">
      <c r="A389" s="12">
        <v>7100100230</v>
      </c>
      <c r="B389" s="12" t="s">
        <v>5474</v>
      </c>
      <c r="C389" s="12" t="s">
        <v>9</v>
      </c>
      <c r="D389" s="12" t="s">
        <v>2144</v>
      </c>
    </row>
    <row r="390" spans="1:4">
      <c r="A390" s="12">
        <v>7100100240</v>
      </c>
      <c r="B390" s="12" t="s">
        <v>5475</v>
      </c>
      <c r="C390" s="12" t="s">
        <v>9</v>
      </c>
      <c r="D390" s="12" t="s">
        <v>2836</v>
      </c>
    </row>
    <row r="391" spans="1:4">
      <c r="A391" s="12">
        <v>7100100250</v>
      </c>
      <c r="B391" s="12" t="s">
        <v>5476</v>
      </c>
      <c r="C391" s="12" t="s">
        <v>9</v>
      </c>
      <c r="D391" s="12" t="s">
        <v>2189</v>
      </c>
    </row>
    <row r="392" spans="1:4">
      <c r="A392" s="12">
        <v>7100100260</v>
      </c>
      <c r="B392" s="12" t="s">
        <v>5477</v>
      </c>
      <c r="C392" s="12" t="s">
        <v>9</v>
      </c>
      <c r="D392" s="12" t="s">
        <v>5478</v>
      </c>
    </row>
    <row r="393" spans="1:4">
      <c r="A393" s="12">
        <v>7100100270</v>
      </c>
      <c r="B393" s="12" t="s">
        <v>5479</v>
      </c>
      <c r="C393" s="12" t="s">
        <v>9</v>
      </c>
      <c r="D393" s="12" t="s">
        <v>5480</v>
      </c>
    </row>
    <row r="394" spans="1:4">
      <c r="A394" s="12">
        <v>7100100280</v>
      </c>
      <c r="B394" s="12" t="s">
        <v>5481</v>
      </c>
      <c r="C394" s="12" t="s">
        <v>9</v>
      </c>
      <c r="D394" s="12" t="s">
        <v>5482</v>
      </c>
    </row>
    <row r="395" spans="1:4">
      <c r="A395" s="12">
        <v>7100100290</v>
      </c>
      <c r="B395" s="12" t="s">
        <v>5483</v>
      </c>
      <c r="C395" s="12" t="s">
        <v>9</v>
      </c>
      <c r="D395" s="12" t="s">
        <v>5484</v>
      </c>
    </row>
    <row r="396" spans="1:4">
      <c r="A396" s="12">
        <v>7100100300</v>
      </c>
      <c r="B396" s="12" t="s">
        <v>5485</v>
      </c>
      <c r="C396" s="12" t="s">
        <v>9</v>
      </c>
      <c r="D396" s="12" t="s">
        <v>4093</v>
      </c>
    </row>
    <row r="397" spans="1:4">
      <c r="A397" s="12">
        <v>7100100310</v>
      </c>
      <c r="B397" s="12" t="s">
        <v>5486</v>
      </c>
      <c r="C397" s="12" t="s">
        <v>9</v>
      </c>
      <c r="D397" s="12" t="s">
        <v>2261</v>
      </c>
    </row>
    <row r="398" spans="1:4">
      <c r="A398" s="12">
        <v>7100100320</v>
      </c>
      <c r="B398" s="12" t="s">
        <v>5487</v>
      </c>
      <c r="C398" s="12" t="s">
        <v>9</v>
      </c>
      <c r="D398" s="12" t="s">
        <v>3933</v>
      </c>
    </row>
    <row r="399" spans="1:4">
      <c r="A399" s="12">
        <v>7100100330</v>
      </c>
      <c r="B399" s="12" t="s">
        <v>5488</v>
      </c>
      <c r="C399" s="12" t="s">
        <v>9</v>
      </c>
      <c r="D399" s="12" t="s">
        <v>2381</v>
      </c>
    </row>
    <row r="400" spans="1:4">
      <c r="A400" s="12">
        <v>7100100340</v>
      </c>
      <c r="B400" s="12" t="s">
        <v>5489</v>
      </c>
      <c r="C400" s="12" t="s">
        <v>9</v>
      </c>
      <c r="D400" s="12" t="s">
        <v>5490</v>
      </c>
    </row>
    <row r="401" spans="1:4">
      <c r="A401" s="12">
        <v>7100100350</v>
      </c>
      <c r="B401" s="12" t="s">
        <v>5491</v>
      </c>
      <c r="C401" s="12" t="s">
        <v>9</v>
      </c>
      <c r="D401" s="12" t="s">
        <v>2172</v>
      </c>
    </row>
    <row r="402" spans="1:4">
      <c r="A402" s="12">
        <v>7100100360</v>
      </c>
      <c r="B402" s="12" t="s">
        <v>5492</v>
      </c>
      <c r="C402" s="12" t="s">
        <v>9</v>
      </c>
      <c r="D402" s="12" t="s">
        <v>2127</v>
      </c>
    </row>
    <row r="403" spans="1:4">
      <c r="A403" s="12">
        <v>7100100370</v>
      </c>
      <c r="B403" s="12" t="s">
        <v>5493</v>
      </c>
      <c r="C403" s="12" t="s">
        <v>9</v>
      </c>
      <c r="D403" s="12" t="s">
        <v>2176</v>
      </c>
    </row>
    <row r="404" spans="1:4">
      <c r="A404" s="12">
        <v>7100100380</v>
      </c>
      <c r="B404" s="12" t="s">
        <v>5494</v>
      </c>
      <c r="C404" s="12" t="s">
        <v>9</v>
      </c>
      <c r="D404" s="12" t="s">
        <v>3695</v>
      </c>
    </row>
    <row r="405" spans="1:4">
      <c r="A405" s="12">
        <v>7100100390</v>
      </c>
      <c r="B405" s="12" t="s">
        <v>5495</v>
      </c>
      <c r="C405" s="12" t="s">
        <v>9</v>
      </c>
      <c r="D405" s="12" t="s">
        <v>2178</v>
      </c>
    </row>
    <row r="406" spans="1:4">
      <c r="A406" s="12">
        <v>7100100400</v>
      </c>
      <c r="B406" s="12" t="s">
        <v>5496</v>
      </c>
      <c r="C406" s="12" t="s">
        <v>9</v>
      </c>
      <c r="D406" s="12" t="s">
        <v>3935</v>
      </c>
    </row>
    <row r="407" spans="1:4">
      <c r="A407" s="12">
        <v>7100100410</v>
      </c>
      <c r="B407" s="12" t="s">
        <v>5497</v>
      </c>
      <c r="C407" s="12" t="s">
        <v>9</v>
      </c>
      <c r="D407" s="12" t="s">
        <v>2270</v>
      </c>
    </row>
    <row r="408" spans="1:4">
      <c r="A408" s="12">
        <v>7100100420</v>
      </c>
      <c r="B408" s="12" t="s">
        <v>5498</v>
      </c>
      <c r="C408" s="12" t="s">
        <v>9</v>
      </c>
      <c r="D408" s="12" t="s">
        <v>5499</v>
      </c>
    </row>
    <row r="409" spans="1:4">
      <c r="A409" s="12">
        <v>7100100450</v>
      </c>
      <c r="B409" s="12" t="s">
        <v>5500</v>
      </c>
      <c r="C409" s="12" t="s">
        <v>9</v>
      </c>
      <c r="D409" s="12" t="s">
        <v>2236</v>
      </c>
    </row>
    <row r="410" spans="1:4">
      <c r="A410" s="12">
        <v>7100100460</v>
      </c>
      <c r="B410" s="12" t="s">
        <v>5501</v>
      </c>
      <c r="C410" s="12" t="s">
        <v>9</v>
      </c>
      <c r="D410" s="12" t="s">
        <v>5502</v>
      </c>
    </row>
    <row r="411" spans="1:4">
      <c r="A411" s="12">
        <v>7100100470</v>
      </c>
      <c r="B411" s="12" t="s">
        <v>5503</v>
      </c>
      <c r="C411" s="12" t="s">
        <v>9</v>
      </c>
      <c r="D411" s="24" t="s">
        <v>2278</v>
      </c>
    </row>
    <row r="412" spans="1:4">
      <c r="A412" s="12">
        <v>7100100480</v>
      </c>
      <c r="B412" s="12" t="s">
        <v>5504</v>
      </c>
      <c r="C412" s="12" t="s">
        <v>9</v>
      </c>
      <c r="D412" s="24" t="s">
        <v>5505</v>
      </c>
    </row>
    <row r="413" spans="1:4">
      <c r="A413" s="12" t="s">
        <v>5506</v>
      </c>
    </row>
    <row r="414" spans="1:4">
      <c r="A414" s="12">
        <v>7110100010</v>
      </c>
      <c r="B414" s="12" t="s">
        <v>5507</v>
      </c>
      <c r="C414" s="12" t="s">
        <v>8</v>
      </c>
      <c r="D414" s="12" t="s">
        <v>2277</v>
      </c>
    </row>
    <row r="415" spans="1:4">
      <c r="A415" s="12">
        <v>7110100020</v>
      </c>
      <c r="B415" s="12" t="s">
        <v>5508</v>
      </c>
      <c r="C415" s="12" t="s">
        <v>8</v>
      </c>
      <c r="D415" s="12" t="s">
        <v>5509</v>
      </c>
    </row>
    <row r="420" spans="1:4">
      <c r="A420" s="12">
        <v>7110100030</v>
      </c>
      <c r="B420" s="12" t="s">
        <v>5510</v>
      </c>
      <c r="C420" s="12" t="s">
        <v>8</v>
      </c>
      <c r="D420" s="12" t="s">
        <v>2237</v>
      </c>
    </row>
    <row r="421" spans="1:4">
      <c r="A421" s="12">
        <v>7110100040</v>
      </c>
      <c r="B421" s="12" t="s">
        <v>5511</v>
      </c>
      <c r="C421" s="12" t="s">
        <v>12</v>
      </c>
      <c r="D421" s="12" t="s">
        <v>5512</v>
      </c>
    </row>
    <row r="422" spans="1:4">
      <c r="A422" s="12">
        <v>7110100050</v>
      </c>
      <c r="B422" s="12" t="s">
        <v>5513</v>
      </c>
      <c r="C422" s="12" t="s">
        <v>9</v>
      </c>
      <c r="D422" s="12" t="s">
        <v>5514</v>
      </c>
    </row>
    <row r="423" spans="1:4">
      <c r="A423" s="12">
        <v>7110100060</v>
      </c>
      <c r="B423" s="12" t="s">
        <v>5515</v>
      </c>
      <c r="C423" s="12" t="s">
        <v>9</v>
      </c>
      <c r="D423" s="12" t="s">
        <v>2215</v>
      </c>
    </row>
    <row r="424" spans="1:4">
      <c r="A424" s="12">
        <v>7110100070</v>
      </c>
      <c r="B424" s="12" t="s">
        <v>5516</v>
      </c>
      <c r="C424" s="12" t="s">
        <v>9</v>
      </c>
      <c r="D424" s="12" t="s">
        <v>5517</v>
      </c>
    </row>
    <row r="425" spans="1:4">
      <c r="A425" s="12">
        <v>7110100080</v>
      </c>
      <c r="B425" s="12" t="s">
        <v>5518</v>
      </c>
      <c r="C425" s="12" t="s">
        <v>9</v>
      </c>
      <c r="D425" s="12" t="s">
        <v>2159</v>
      </c>
    </row>
    <row r="426" spans="1:4">
      <c r="A426" s="12">
        <v>7110100090</v>
      </c>
      <c r="B426" s="12" t="s">
        <v>5519</v>
      </c>
      <c r="C426" s="12" t="s">
        <v>9</v>
      </c>
      <c r="D426" s="12" t="s">
        <v>5520</v>
      </c>
    </row>
    <row r="427" spans="1:4">
      <c r="A427" s="12">
        <v>7110100100</v>
      </c>
      <c r="B427" s="12" t="s">
        <v>5521</v>
      </c>
      <c r="C427" s="12" t="s">
        <v>9</v>
      </c>
      <c r="D427" s="12" t="s">
        <v>3043</v>
      </c>
    </row>
    <row r="428" spans="1:4">
      <c r="A428" s="12">
        <v>7110100110</v>
      </c>
      <c r="B428" s="12" t="s">
        <v>5522</v>
      </c>
      <c r="C428" s="12" t="s">
        <v>9</v>
      </c>
      <c r="D428" s="12" t="s">
        <v>3049</v>
      </c>
    </row>
    <row r="429" spans="1:4">
      <c r="A429" s="12">
        <v>7110100120</v>
      </c>
      <c r="B429" s="12" t="s">
        <v>5523</v>
      </c>
      <c r="C429" s="12" t="s">
        <v>9</v>
      </c>
      <c r="D429" s="12" t="s">
        <v>2217</v>
      </c>
    </row>
    <row r="430" spans="1:4">
      <c r="A430" s="12">
        <v>7110100130</v>
      </c>
      <c r="B430" s="12" t="s">
        <v>5524</v>
      </c>
      <c r="C430" s="12" t="s">
        <v>9</v>
      </c>
      <c r="D430" s="12" t="s">
        <v>5525</v>
      </c>
    </row>
    <row r="431" spans="1:4">
      <c r="A431" s="12">
        <v>7110100140</v>
      </c>
      <c r="B431" s="12" t="s">
        <v>5526</v>
      </c>
      <c r="C431" s="12" t="s">
        <v>9</v>
      </c>
      <c r="D431" s="12" t="s">
        <v>2119</v>
      </c>
    </row>
    <row r="432" spans="1:4">
      <c r="A432" s="12">
        <v>7110100150</v>
      </c>
      <c r="B432" s="12" t="s">
        <v>5527</v>
      </c>
      <c r="C432" s="12" t="s">
        <v>9</v>
      </c>
      <c r="D432" s="12" t="s">
        <v>5528</v>
      </c>
    </row>
    <row r="433" spans="1:4">
      <c r="A433" s="12">
        <v>7110100160</v>
      </c>
      <c r="B433" s="12" t="s">
        <v>5529</v>
      </c>
      <c r="C433" s="12" t="s">
        <v>9</v>
      </c>
      <c r="D433" s="12" t="s">
        <v>2414</v>
      </c>
    </row>
    <row r="434" spans="1:4">
      <c r="A434" s="12">
        <v>7110100170</v>
      </c>
      <c r="B434" s="12" t="s">
        <v>5530</v>
      </c>
      <c r="C434" s="12" t="s">
        <v>9</v>
      </c>
      <c r="D434" s="12" t="s">
        <v>5531</v>
      </c>
    </row>
    <row r="435" spans="1:4">
      <c r="A435" s="12">
        <v>7110100180</v>
      </c>
      <c r="B435" s="12" t="s">
        <v>5532</v>
      </c>
      <c r="C435" s="12" t="s">
        <v>9</v>
      </c>
      <c r="D435" s="12" t="s">
        <v>5533</v>
      </c>
    </row>
    <row r="436" spans="1:4">
      <c r="A436" s="12">
        <v>7110100190</v>
      </c>
      <c r="B436" s="12" t="s">
        <v>5534</v>
      </c>
      <c r="C436" s="12" t="s">
        <v>6</v>
      </c>
      <c r="D436" s="12" t="s">
        <v>2173</v>
      </c>
    </row>
    <row r="437" spans="1:4">
      <c r="A437" s="12">
        <v>7110100200</v>
      </c>
      <c r="B437" s="12" t="s">
        <v>5535</v>
      </c>
      <c r="C437" s="12" t="s">
        <v>9</v>
      </c>
      <c r="D437" s="12" t="s">
        <v>5536</v>
      </c>
    </row>
    <row r="438" spans="1:4">
      <c r="A438" s="12">
        <v>7110100210</v>
      </c>
      <c r="B438" s="12" t="s">
        <v>5537</v>
      </c>
      <c r="C438" s="12" t="s">
        <v>9</v>
      </c>
      <c r="D438" s="12" t="s">
        <v>3668</v>
      </c>
    </row>
    <row r="439" spans="1:4">
      <c r="A439" s="12">
        <v>7110100220</v>
      </c>
      <c r="B439" s="12" t="s">
        <v>5538</v>
      </c>
      <c r="C439" s="12" t="s">
        <v>9</v>
      </c>
      <c r="D439" s="12" t="s">
        <v>5074</v>
      </c>
    </row>
    <row r="440" spans="1:4">
      <c r="A440" s="12">
        <v>7110100230</v>
      </c>
      <c r="B440" s="12" t="s">
        <v>5539</v>
      </c>
      <c r="C440" s="12" t="s">
        <v>9</v>
      </c>
      <c r="D440" s="12" t="s">
        <v>2201</v>
      </c>
    </row>
    <row r="441" spans="1:4">
      <c r="A441" s="12">
        <v>7110100240</v>
      </c>
      <c r="B441" s="12" t="s">
        <v>5540</v>
      </c>
      <c r="C441" s="12" t="s">
        <v>6</v>
      </c>
      <c r="D441" s="12" t="s">
        <v>5541</v>
      </c>
    </row>
    <row r="442" spans="1:4">
      <c r="A442" s="12">
        <v>7110100250</v>
      </c>
      <c r="B442" s="12" t="s">
        <v>5542</v>
      </c>
      <c r="C442" s="12" t="s">
        <v>9</v>
      </c>
      <c r="D442" s="12" t="s">
        <v>5543</v>
      </c>
    </row>
    <row r="443" spans="1:4">
      <c r="A443" s="12">
        <v>7110100280</v>
      </c>
      <c r="B443" s="12" t="s">
        <v>5544</v>
      </c>
      <c r="C443" s="12" t="s">
        <v>9</v>
      </c>
      <c r="D443" s="12" t="s">
        <v>5545</v>
      </c>
    </row>
    <row r="444" spans="1:4">
      <c r="A444" s="12">
        <v>7110100290</v>
      </c>
      <c r="B444" s="12" t="s">
        <v>5546</v>
      </c>
      <c r="C444" s="12" t="s">
        <v>9</v>
      </c>
      <c r="D444" s="12" t="s">
        <v>2199</v>
      </c>
    </row>
    <row r="445" spans="1:4">
      <c r="A445" s="12" t="s">
        <v>5547</v>
      </c>
    </row>
    <row r="446" spans="1:4">
      <c r="A446" s="12">
        <v>7120100010</v>
      </c>
      <c r="B446" s="12" t="s">
        <v>5548</v>
      </c>
      <c r="C446" s="12" t="s">
        <v>9</v>
      </c>
      <c r="D446" s="12" t="s">
        <v>5549</v>
      </c>
    </row>
    <row r="447" spans="1:4">
      <c r="A447" s="12">
        <v>7120100020</v>
      </c>
      <c r="B447" s="12" t="s">
        <v>5550</v>
      </c>
      <c r="C447" s="12" t="s">
        <v>9</v>
      </c>
      <c r="D447" s="12" t="s">
        <v>5551</v>
      </c>
    </row>
    <row r="448" spans="1:4">
      <c r="A448" s="12">
        <v>7120100030</v>
      </c>
      <c r="B448" s="12" t="s">
        <v>5552</v>
      </c>
      <c r="C448" s="12" t="s">
        <v>9</v>
      </c>
      <c r="D448" s="12" t="s">
        <v>5553</v>
      </c>
    </row>
    <row r="449" spans="1:4">
      <c r="A449" s="12">
        <v>7120100040</v>
      </c>
      <c r="B449" s="12" t="s">
        <v>5554</v>
      </c>
      <c r="C449" s="12" t="s">
        <v>9</v>
      </c>
      <c r="D449" s="12" t="s">
        <v>5555</v>
      </c>
    </row>
    <row r="450" spans="1:4">
      <c r="A450" s="12">
        <v>7120100050</v>
      </c>
      <c r="B450" s="12" t="s">
        <v>5556</v>
      </c>
      <c r="C450" s="12" t="s">
        <v>9</v>
      </c>
      <c r="D450" s="12" t="s">
        <v>5557</v>
      </c>
    </row>
    <row r="451" spans="1:4">
      <c r="A451" s="12">
        <v>7120100060</v>
      </c>
      <c r="B451" s="12" t="s">
        <v>5558</v>
      </c>
      <c r="C451" s="12" t="s">
        <v>9</v>
      </c>
      <c r="D451" s="12" t="s">
        <v>5559</v>
      </c>
    </row>
    <row r="452" spans="1:4">
      <c r="A452" s="12">
        <v>7120100070</v>
      </c>
      <c r="B452" s="12" t="s">
        <v>5560</v>
      </c>
      <c r="C452" s="12" t="s">
        <v>9</v>
      </c>
      <c r="D452" s="12" t="s">
        <v>5561</v>
      </c>
    </row>
    <row r="453" spans="1:4">
      <c r="A453" s="12" t="s">
        <v>5562</v>
      </c>
    </row>
    <row r="454" spans="1:4">
      <c r="A454" s="12">
        <v>7130100010</v>
      </c>
      <c r="B454" s="12" t="s">
        <v>5563</v>
      </c>
      <c r="C454" s="12" t="s">
        <v>9</v>
      </c>
      <c r="D454" s="12" t="s">
        <v>5564</v>
      </c>
    </row>
    <row r="455" spans="1:4">
      <c r="A455" s="12">
        <v>7130100020</v>
      </c>
      <c r="B455" s="12" t="s">
        <v>5565</v>
      </c>
      <c r="C455" s="12" t="s">
        <v>9</v>
      </c>
      <c r="D455" s="12" t="s">
        <v>3750</v>
      </c>
    </row>
    <row r="456" spans="1:4">
      <c r="A456" s="12">
        <v>7130100030</v>
      </c>
      <c r="B456" s="12" t="s">
        <v>5566</v>
      </c>
      <c r="C456" s="12" t="s">
        <v>9</v>
      </c>
      <c r="D456" s="12" t="s">
        <v>5567</v>
      </c>
    </row>
    <row r="457" spans="1:4">
      <c r="A457" s="12">
        <v>7130100040</v>
      </c>
      <c r="B457" s="12" t="s">
        <v>5568</v>
      </c>
      <c r="C457" s="12" t="s">
        <v>9</v>
      </c>
      <c r="D457" s="12" t="s">
        <v>5569</v>
      </c>
    </row>
    <row r="458" spans="1:4">
      <c r="A458" s="12">
        <v>7130100050</v>
      </c>
      <c r="B458" s="12" t="s">
        <v>5570</v>
      </c>
      <c r="C458" s="12" t="s">
        <v>9</v>
      </c>
      <c r="D458" s="12" t="s">
        <v>5571</v>
      </c>
    </row>
    <row r="459" spans="1:4">
      <c r="A459" s="12">
        <v>7130100060</v>
      </c>
      <c r="B459" s="12" t="s">
        <v>5572</v>
      </c>
      <c r="C459" s="12" t="s">
        <v>9</v>
      </c>
      <c r="D459" s="12" t="s">
        <v>4317</v>
      </c>
    </row>
    <row r="460" spans="1:4">
      <c r="A460" s="12">
        <v>7130100070</v>
      </c>
      <c r="B460" s="12" t="s">
        <v>5573</v>
      </c>
      <c r="C460" s="12" t="s">
        <v>9</v>
      </c>
      <c r="D460" s="12" t="s">
        <v>2294</v>
      </c>
    </row>
    <row r="461" spans="1:4">
      <c r="A461" s="12">
        <v>7130100080</v>
      </c>
      <c r="B461" s="12" t="s">
        <v>5574</v>
      </c>
      <c r="C461" s="12" t="s">
        <v>9</v>
      </c>
      <c r="D461" s="12" t="s">
        <v>5575</v>
      </c>
    </row>
    <row r="462" spans="1:4">
      <c r="A462" s="12">
        <v>7130100090</v>
      </c>
      <c r="B462" s="12" t="s">
        <v>5576</v>
      </c>
      <c r="C462" s="12" t="s">
        <v>9</v>
      </c>
      <c r="D462" s="12" t="s">
        <v>3095</v>
      </c>
    </row>
    <row r="463" spans="1:4">
      <c r="A463" s="12">
        <v>7130100100</v>
      </c>
      <c r="B463" s="12" t="s">
        <v>5577</v>
      </c>
      <c r="C463" s="12" t="s">
        <v>9</v>
      </c>
      <c r="D463" s="12" t="s">
        <v>5578</v>
      </c>
    </row>
    <row r="464" spans="1:4">
      <c r="A464" s="12">
        <v>7130100110</v>
      </c>
      <c r="B464" s="12" t="s">
        <v>5579</v>
      </c>
      <c r="C464" s="12" t="s">
        <v>9</v>
      </c>
      <c r="D464" s="12" t="s">
        <v>5580</v>
      </c>
    </row>
    <row r="465" spans="1:4">
      <c r="A465" s="12">
        <v>7130100120</v>
      </c>
      <c r="B465" s="12" t="s">
        <v>5581</v>
      </c>
      <c r="C465" s="12" t="s">
        <v>9</v>
      </c>
      <c r="D465" s="12" t="s">
        <v>5582</v>
      </c>
    </row>
    <row r="466" spans="1:4">
      <c r="A466" s="12">
        <v>7130100130</v>
      </c>
      <c r="B466" s="12" t="s">
        <v>5583</v>
      </c>
      <c r="C466" s="12" t="s">
        <v>9</v>
      </c>
      <c r="D466" s="12" t="s">
        <v>2203</v>
      </c>
    </row>
    <row r="467" spans="1:4">
      <c r="A467" s="12">
        <v>7130100140</v>
      </c>
      <c r="B467" s="12" t="s">
        <v>5584</v>
      </c>
      <c r="C467" s="12" t="s">
        <v>6</v>
      </c>
      <c r="D467" s="12" t="s">
        <v>5585</v>
      </c>
    </row>
    <row r="469" spans="1:4">
      <c r="D469" s="24"/>
    </row>
    <row r="470" spans="1:4">
      <c r="D470" s="24"/>
    </row>
    <row r="472" spans="1:4">
      <c r="A472" s="12">
        <v>7130100150</v>
      </c>
      <c r="B472" s="12" t="s">
        <v>5586</v>
      </c>
      <c r="C472" s="12" t="s">
        <v>6</v>
      </c>
      <c r="D472" s="12" t="s">
        <v>2349</v>
      </c>
    </row>
    <row r="473" spans="1:4">
      <c r="A473" s="12" t="s">
        <v>5587</v>
      </c>
    </row>
    <row r="474" spans="1:4">
      <c r="A474" s="12">
        <v>7140100010</v>
      </c>
      <c r="B474" s="12" t="s">
        <v>5588</v>
      </c>
      <c r="C474" s="12" t="s">
        <v>7</v>
      </c>
      <c r="D474" s="12" t="s">
        <v>5589</v>
      </c>
    </row>
    <row r="475" spans="1:4">
      <c r="A475" s="12">
        <v>7140100020</v>
      </c>
      <c r="B475" s="12" t="s">
        <v>5590</v>
      </c>
      <c r="C475" s="12" t="s">
        <v>7</v>
      </c>
      <c r="D475" s="12" t="s">
        <v>5591</v>
      </c>
    </row>
    <row r="476" spans="1:4">
      <c r="A476" s="12">
        <v>7140100030</v>
      </c>
      <c r="B476" s="12" t="s">
        <v>5592</v>
      </c>
      <c r="C476" s="12" t="s">
        <v>7</v>
      </c>
      <c r="D476" s="12" t="s">
        <v>5593</v>
      </c>
    </row>
    <row r="477" spans="1:4">
      <c r="A477" s="12">
        <v>7140100040</v>
      </c>
      <c r="B477" s="12" t="s">
        <v>5594</v>
      </c>
      <c r="C477" s="12" t="s">
        <v>7</v>
      </c>
      <c r="D477" s="12" t="s">
        <v>5595</v>
      </c>
    </row>
    <row r="478" spans="1:4">
      <c r="A478" s="12">
        <v>7140100050</v>
      </c>
      <c r="B478" s="12" t="s">
        <v>5596</v>
      </c>
      <c r="C478" s="12" t="s">
        <v>7</v>
      </c>
      <c r="D478" s="12" t="s">
        <v>5597</v>
      </c>
    </row>
    <row r="479" spans="1:4">
      <c r="A479" s="12">
        <v>7140100060</v>
      </c>
      <c r="B479" s="12" t="s">
        <v>5598</v>
      </c>
      <c r="C479" s="12" t="s">
        <v>7</v>
      </c>
      <c r="D479" s="12" t="s">
        <v>5599</v>
      </c>
    </row>
    <row r="480" spans="1:4">
      <c r="A480" s="12">
        <v>7140100070</v>
      </c>
      <c r="B480" s="12" t="s">
        <v>5600</v>
      </c>
      <c r="C480" s="12" t="s">
        <v>7</v>
      </c>
      <c r="D480" s="12" t="s">
        <v>5601</v>
      </c>
    </row>
    <row r="481" spans="1:4">
      <c r="A481" s="12">
        <v>7140100080</v>
      </c>
      <c r="B481" s="12" t="s">
        <v>5602</v>
      </c>
      <c r="C481" s="12" t="s">
        <v>7</v>
      </c>
      <c r="D481" s="12" t="s">
        <v>5603</v>
      </c>
    </row>
    <row r="482" spans="1:4">
      <c r="A482" s="12">
        <v>7140100090</v>
      </c>
      <c r="B482" s="12" t="s">
        <v>5604</v>
      </c>
      <c r="C482" s="12" t="s">
        <v>7</v>
      </c>
      <c r="D482" s="12" t="s">
        <v>5605</v>
      </c>
    </row>
    <row r="483" spans="1:4">
      <c r="A483" s="12">
        <v>7140100100</v>
      </c>
      <c r="B483" s="12" t="s">
        <v>5606</v>
      </c>
      <c r="C483" s="12" t="s">
        <v>7</v>
      </c>
      <c r="D483" s="12" t="s">
        <v>5607</v>
      </c>
    </row>
    <row r="484" spans="1:4">
      <c r="A484" s="12">
        <v>7140100110</v>
      </c>
      <c r="B484" s="12" t="s">
        <v>5608</v>
      </c>
      <c r="C484" s="12" t="s">
        <v>7</v>
      </c>
      <c r="D484" s="12" t="s">
        <v>5609</v>
      </c>
    </row>
    <row r="485" spans="1:4">
      <c r="A485" s="12">
        <v>7140100120</v>
      </c>
      <c r="B485" s="12" t="s">
        <v>5610</v>
      </c>
      <c r="C485" s="12" t="s">
        <v>7</v>
      </c>
      <c r="D485" s="12" t="s">
        <v>2170</v>
      </c>
    </row>
    <row r="486" spans="1:4">
      <c r="A486" s="12">
        <v>7140100130</v>
      </c>
      <c r="B486" s="12" t="s">
        <v>5611</v>
      </c>
      <c r="C486" s="12" t="s">
        <v>7</v>
      </c>
      <c r="D486" s="12" t="s">
        <v>5612</v>
      </c>
    </row>
    <row r="487" spans="1:4">
      <c r="A487" s="12">
        <v>7140100140</v>
      </c>
      <c r="B487" s="12" t="s">
        <v>5613</v>
      </c>
      <c r="C487" s="12" t="s">
        <v>7</v>
      </c>
      <c r="D487" s="12" t="s">
        <v>2223</v>
      </c>
    </row>
    <row r="488" spans="1:4">
      <c r="A488" s="12">
        <v>7140100150</v>
      </c>
      <c r="B488" s="12" t="s">
        <v>5614</v>
      </c>
      <c r="C488" s="12" t="s">
        <v>7</v>
      </c>
      <c r="D488" s="12" t="s">
        <v>5615</v>
      </c>
    </row>
    <row r="489" spans="1:4">
      <c r="A489" s="12">
        <v>7140100160</v>
      </c>
      <c r="B489" s="12" t="s">
        <v>5616</v>
      </c>
      <c r="C489" s="12" t="s">
        <v>7</v>
      </c>
      <c r="D489" s="12" t="s">
        <v>5617</v>
      </c>
    </row>
    <row r="490" spans="1:4">
      <c r="A490" s="12">
        <v>7140100170</v>
      </c>
      <c r="B490" s="12" t="s">
        <v>5618</v>
      </c>
      <c r="C490" s="12" t="s">
        <v>7</v>
      </c>
      <c r="D490" s="12" t="s">
        <v>5619</v>
      </c>
    </row>
    <row r="491" spans="1:4">
      <c r="A491" s="12">
        <v>7140100180</v>
      </c>
      <c r="B491" s="12" t="s">
        <v>5620</v>
      </c>
      <c r="C491" s="12" t="s">
        <v>7</v>
      </c>
      <c r="D491" s="12" t="s">
        <v>3930</v>
      </c>
    </row>
    <row r="492" spans="1:4">
      <c r="A492" s="12">
        <v>7140100190</v>
      </c>
      <c r="B492" s="12" t="s">
        <v>5621</v>
      </c>
      <c r="C492" s="12" t="s">
        <v>7</v>
      </c>
      <c r="D492" s="12" t="s">
        <v>5622</v>
      </c>
    </row>
    <row r="493" spans="1:4">
      <c r="A493" s="12">
        <v>7140100200</v>
      </c>
      <c r="B493" s="12" t="s">
        <v>5623</v>
      </c>
      <c r="C493" s="12" t="s">
        <v>7</v>
      </c>
      <c r="D493" s="12" t="s">
        <v>5624</v>
      </c>
    </row>
    <row r="494" spans="1:4">
      <c r="A494" s="12">
        <v>7140100210</v>
      </c>
      <c r="B494" s="12" t="s">
        <v>5625</v>
      </c>
      <c r="C494" s="12" t="s">
        <v>7</v>
      </c>
      <c r="D494" s="12" t="s">
        <v>5624</v>
      </c>
    </row>
    <row r="495" spans="1:4">
      <c r="A495" s="12">
        <v>7140100220</v>
      </c>
      <c r="B495" s="12" t="s">
        <v>5626</v>
      </c>
      <c r="C495" s="12" t="s">
        <v>7</v>
      </c>
      <c r="D495" s="12" t="s">
        <v>5627</v>
      </c>
    </row>
    <row r="496" spans="1:4">
      <c r="A496" s="12">
        <v>7140100230</v>
      </c>
      <c r="B496" s="12" t="s">
        <v>5628</v>
      </c>
      <c r="C496" s="12" t="s">
        <v>7</v>
      </c>
      <c r="D496" s="12" t="s">
        <v>2939</v>
      </c>
    </row>
    <row r="497" spans="1:4">
      <c r="A497" s="12">
        <v>7140100240</v>
      </c>
      <c r="B497" s="12" t="s">
        <v>5629</v>
      </c>
      <c r="C497" s="12" t="s">
        <v>7</v>
      </c>
      <c r="D497" s="12" t="s">
        <v>2205</v>
      </c>
    </row>
    <row r="498" spans="1:4">
      <c r="A498" s="12">
        <v>7140100250</v>
      </c>
      <c r="B498" s="12" t="s">
        <v>5630</v>
      </c>
      <c r="C498" s="12" t="s">
        <v>7</v>
      </c>
      <c r="D498" s="12" t="s">
        <v>5631</v>
      </c>
    </row>
    <row r="499" spans="1:4">
      <c r="A499" s="12">
        <v>7140100260</v>
      </c>
      <c r="B499" s="12" t="s">
        <v>5632</v>
      </c>
      <c r="C499" s="12" t="s">
        <v>7</v>
      </c>
      <c r="D499" s="12" t="s">
        <v>5633</v>
      </c>
    </row>
    <row r="500" spans="1:4">
      <c r="A500" s="12">
        <v>7140100270</v>
      </c>
      <c r="B500" s="12" t="s">
        <v>5634</v>
      </c>
      <c r="C500" s="12" t="s">
        <v>7</v>
      </c>
      <c r="D500" s="12" t="s">
        <v>5635</v>
      </c>
    </row>
    <row r="501" spans="1:4">
      <c r="A501" s="12">
        <v>7140100280</v>
      </c>
      <c r="B501" s="12" t="s">
        <v>5636</v>
      </c>
      <c r="C501" s="12" t="s">
        <v>7</v>
      </c>
      <c r="D501" s="12" t="s">
        <v>5637</v>
      </c>
    </row>
    <row r="502" spans="1:4">
      <c r="A502" s="12">
        <v>7140100290</v>
      </c>
      <c r="B502" s="12" t="s">
        <v>5638</v>
      </c>
      <c r="C502" s="12" t="s">
        <v>7</v>
      </c>
      <c r="D502" s="12" t="s">
        <v>5639</v>
      </c>
    </row>
    <row r="503" spans="1:4">
      <c r="A503" s="12">
        <v>7140100300</v>
      </c>
      <c r="B503" s="12" t="s">
        <v>5640</v>
      </c>
      <c r="C503" s="12" t="s">
        <v>7</v>
      </c>
      <c r="D503" s="12" t="s">
        <v>5641</v>
      </c>
    </row>
    <row r="504" spans="1:4">
      <c r="A504" s="12">
        <v>7140100310</v>
      </c>
      <c r="B504" s="12" t="s">
        <v>5642</v>
      </c>
      <c r="C504" s="12" t="s">
        <v>7</v>
      </c>
      <c r="D504" s="12" t="s">
        <v>5643</v>
      </c>
    </row>
    <row r="505" spans="1:4">
      <c r="A505" s="12">
        <v>7140100320</v>
      </c>
      <c r="B505" s="12" t="s">
        <v>5644</v>
      </c>
      <c r="C505" s="12" t="s">
        <v>7</v>
      </c>
      <c r="D505" s="12" t="s">
        <v>2282</v>
      </c>
    </row>
    <row r="506" spans="1:4">
      <c r="A506" s="12">
        <v>7140100330</v>
      </c>
      <c r="B506" s="12" t="s">
        <v>5645</v>
      </c>
      <c r="C506" s="12" t="s">
        <v>7</v>
      </c>
      <c r="D506" s="12" t="s">
        <v>5646</v>
      </c>
    </row>
    <row r="507" spans="1:4">
      <c r="A507" s="12">
        <v>7140100340</v>
      </c>
      <c r="B507" s="12" t="s">
        <v>5647</v>
      </c>
      <c r="C507" s="12" t="s">
        <v>7</v>
      </c>
      <c r="D507" s="12" t="s">
        <v>4100</v>
      </c>
    </row>
    <row r="508" spans="1:4">
      <c r="A508" s="12">
        <v>7140100350</v>
      </c>
      <c r="B508" s="12" t="s">
        <v>5648</v>
      </c>
      <c r="C508" s="12" t="s">
        <v>7</v>
      </c>
      <c r="D508" s="12" t="s">
        <v>5649</v>
      </c>
    </row>
    <row r="509" spans="1:4">
      <c r="A509" s="12">
        <v>7140100360</v>
      </c>
      <c r="B509" s="12" t="s">
        <v>5650</v>
      </c>
      <c r="C509" s="12" t="s">
        <v>7</v>
      </c>
      <c r="D509" s="12" t="s">
        <v>5651</v>
      </c>
    </row>
    <row r="510" spans="1:4">
      <c r="A510" s="12">
        <v>7140100370</v>
      </c>
      <c r="B510" s="12" t="s">
        <v>5652</v>
      </c>
      <c r="C510" s="12" t="s">
        <v>7</v>
      </c>
      <c r="D510" s="12" t="s">
        <v>5653</v>
      </c>
    </row>
    <row r="511" spans="1:4">
      <c r="A511" s="12">
        <v>7140100380</v>
      </c>
      <c r="B511" s="12" t="s">
        <v>5654</v>
      </c>
      <c r="C511" s="12" t="s">
        <v>7</v>
      </c>
      <c r="D511" s="12" t="s">
        <v>5655</v>
      </c>
    </row>
    <row r="512" spans="1:4">
      <c r="A512" s="12">
        <v>7140100390</v>
      </c>
      <c r="B512" s="12" t="s">
        <v>5656</v>
      </c>
      <c r="C512" s="12" t="s">
        <v>7</v>
      </c>
      <c r="D512" s="12" t="s">
        <v>5657</v>
      </c>
    </row>
    <row r="513" spans="1:4">
      <c r="A513" s="12">
        <v>7140100400</v>
      </c>
      <c r="B513" s="12" t="s">
        <v>5658</v>
      </c>
      <c r="C513" s="12" t="s">
        <v>7</v>
      </c>
      <c r="D513" s="12" t="s">
        <v>5659</v>
      </c>
    </row>
    <row r="514" spans="1:4">
      <c r="A514" s="12">
        <v>7140100410</v>
      </c>
      <c r="B514" s="12" t="s">
        <v>5660</v>
      </c>
      <c r="C514" s="12" t="s">
        <v>7</v>
      </c>
      <c r="D514" s="12" t="s">
        <v>5661</v>
      </c>
    </row>
    <row r="515" spans="1:4">
      <c r="A515" s="12">
        <v>7140100420</v>
      </c>
      <c r="B515" s="12" t="s">
        <v>5662</v>
      </c>
      <c r="C515" s="12" t="s">
        <v>7</v>
      </c>
      <c r="D515" s="12" t="s">
        <v>5663</v>
      </c>
    </row>
    <row r="516" spans="1:4">
      <c r="A516" s="12">
        <v>7140100430</v>
      </c>
      <c r="B516" s="12" t="s">
        <v>5664</v>
      </c>
      <c r="C516" s="12" t="s">
        <v>6</v>
      </c>
      <c r="D516" s="12" t="s">
        <v>2206</v>
      </c>
    </row>
    <row r="517" spans="1:4">
      <c r="A517" s="12">
        <v>7140100440</v>
      </c>
      <c r="B517" s="12" t="s">
        <v>5665</v>
      </c>
      <c r="C517" s="12" t="s">
        <v>6</v>
      </c>
      <c r="D517" s="12" t="s">
        <v>2260</v>
      </c>
    </row>
    <row r="518" spans="1:4">
      <c r="A518" s="12">
        <v>7140100450</v>
      </c>
      <c r="B518" s="12" t="s">
        <v>5666</v>
      </c>
      <c r="C518" s="12" t="s">
        <v>6</v>
      </c>
      <c r="D518" s="12" t="s">
        <v>3745</v>
      </c>
    </row>
    <row r="519" spans="1:4">
      <c r="A519" s="12">
        <v>7140100460</v>
      </c>
      <c r="B519" s="12" t="s">
        <v>5667</v>
      </c>
      <c r="C519" s="12" t="s">
        <v>6</v>
      </c>
      <c r="D519" s="12" t="s">
        <v>5668</v>
      </c>
    </row>
    <row r="524" spans="1:4">
      <c r="A524" s="12">
        <v>7140100470</v>
      </c>
      <c r="B524" s="12" t="s">
        <v>5669</v>
      </c>
      <c r="C524" s="12" t="s">
        <v>6</v>
      </c>
      <c r="D524" s="12" t="s">
        <v>2217</v>
      </c>
    </row>
    <row r="525" spans="1:4">
      <c r="A525" s="12">
        <v>7140100480</v>
      </c>
      <c r="B525" s="12" t="s">
        <v>5670</v>
      </c>
      <c r="C525" s="12" t="s">
        <v>6</v>
      </c>
      <c r="D525" s="12" t="s">
        <v>5671</v>
      </c>
    </row>
    <row r="526" spans="1:4">
      <c r="A526" s="12">
        <v>7140100490</v>
      </c>
      <c r="B526" s="12" t="s">
        <v>5672</v>
      </c>
      <c r="C526" s="12" t="s">
        <v>6</v>
      </c>
      <c r="D526" s="12" t="s">
        <v>5673</v>
      </c>
    </row>
    <row r="527" spans="1:4">
      <c r="A527" s="12">
        <v>7140100500</v>
      </c>
      <c r="B527" s="12" t="s">
        <v>5674</v>
      </c>
      <c r="C527" s="12" t="s">
        <v>6</v>
      </c>
      <c r="D527" s="24" t="s">
        <v>5675</v>
      </c>
    </row>
    <row r="528" spans="1:4">
      <c r="A528" s="12">
        <v>7140100510</v>
      </c>
      <c r="B528" s="12" t="s">
        <v>5676</v>
      </c>
      <c r="C528" s="12" t="s">
        <v>6</v>
      </c>
      <c r="D528" s="24" t="s">
        <v>5677</v>
      </c>
    </row>
    <row r="529" spans="1:4">
      <c r="A529" s="12">
        <v>7140100520</v>
      </c>
      <c r="B529" s="12" t="s">
        <v>5678</v>
      </c>
      <c r="C529" s="12" t="s">
        <v>7</v>
      </c>
      <c r="D529" s="12" t="s">
        <v>5679</v>
      </c>
    </row>
    <row r="530" spans="1:4">
      <c r="A530" s="12" t="s">
        <v>5680</v>
      </c>
    </row>
    <row r="531" spans="1:4">
      <c r="A531" s="12">
        <v>7150100010</v>
      </c>
      <c r="B531" s="12" t="s">
        <v>5681</v>
      </c>
      <c r="C531" s="12" t="s">
        <v>7</v>
      </c>
      <c r="D531" s="12" t="s">
        <v>5682</v>
      </c>
    </row>
    <row r="532" spans="1:4">
      <c r="A532" s="12">
        <v>7150100020</v>
      </c>
      <c r="B532" s="12" t="s">
        <v>5683</v>
      </c>
      <c r="C532" s="12" t="s">
        <v>7</v>
      </c>
      <c r="D532" s="12" t="s">
        <v>5684</v>
      </c>
    </row>
    <row r="533" spans="1:4">
      <c r="A533" s="12">
        <v>7150100030</v>
      </c>
      <c r="B533" s="12" t="s">
        <v>5685</v>
      </c>
      <c r="C533" s="12" t="s">
        <v>7</v>
      </c>
      <c r="D533" s="12" t="s">
        <v>5686</v>
      </c>
    </row>
    <row r="534" spans="1:4">
      <c r="A534" s="12">
        <v>7150100040</v>
      </c>
      <c r="B534" s="12" t="s">
        <v>5687</v>
      </c>
      <c r="C534" s="12" t="s">
        <v>7</v>
      </c>
      <c r="D534" s="12" t="s">
        <v>5688</v>
      </c>
    </row>
    <row r="535" spans="1:4">
      <c r="A535" s="12">
        <v>7150100050</v>
      </c>
      <c r="B535" s="12" t="s">
        <v>5689</v>
      </c>
      <c r="C535" s="12" t="s">
        <v>7</v>
      </c>
      <c r="D535" s="12" t="s">
        <v>5690</v>
      </c>
    </row>
    <row r="536" spans="1:4">
      <c r="A536" s="12">
        <v>7150100060</v>
      </c>
      <c r="B536" s="12" t="s">
        <v>5691</v>
      </c>
      <c r="C536" s="12" t="s">
        <v>7</v>
      </c>
      <c r="D536" s="12" t="s">
        <v>5692</v>
      </c>
    </row>
    <row r="537" spans="1:4">
      <c r="A537" s="12">
        <v>7150100070</v>
      </c>
      <c r="B537" s="12" t="s">
        <v>5693</v>
      </c>
      <c r="C537" s="12" t="s">
        <v>7</v>
      </c>
      <c r="D537" s="12" t="s">
        <v>5694</v>
      </c>
    </row>
    <row r="538" spans="1:4">
      <c r="A538" s="12">
        <v>7150100080</v>
      </c>
      <c r="B538" s="12" t="s">
        <v>5695</v>
      </c>
      <c r="C538" s="12" t="s">
        <v>7</v>
      </c>
      <c r="D538" s="12" t="s">
        <v>5696</v>
      </c>
    </row>
    <row r="539" spans="1:4">
      <c r="A539" s="12">
        <v>7150100090</v>
      </c>
      <c r="B539" s="12" t="s">
        <v>5697</v>
      </c>
      <c r="C539" s="12" t="s">
        <v>7</v>
      </c>
      <c r="D539" s="12" t="s">
        <v>5698</v>
      </c>
    </row>
    <row r="540" spans="1:4">
      <c r="A540" s="12">
        <v>7150100100</v>
      </c>
      <c r="B540" s="12" t="s">
        <v>5699</v>
      </c>
      <c r="C540" s="12" t="s">
        <v>7</v>
      </c>
      <c r="D540" s="12" t="s">
        <v>5700</v>
      </c>
    </row>
    <row r="541" spans="1:4">
      <c r="A541" s="12">
        <v>7150100110</v>
      </c>
      <c r="B541" s="12" t="s">
        <v>5701</v>
      </c>
      <c r="C541" s="12" t="s">
        <v>7</v>
      </c>
      <c r="D541" s="12" t="s">
        <v>5694</v>
      </c>
    </row>
    <row r="542" spans="1:4">
      <c r="A542" s="12">
        <v>7150100120</v>
      </c>
      <c r="B542" s="12" t="s">
        <v>5702</v>
      </c>
      <c r="C542" s="12" t="s">
        <v>7</v>
      </c>
      <c r="D542" s="12" t="s">
        <v>5703</v>
      </c>
    </row>
    <row r="543" spans="1:4">
      <c r="A543" s="12">
        <v>7150100130</v>
      </c>
      <c r="B543" s="12" t="s">
        <v>5704</v>
      </c>
      <c r="C543" s="12" t="s">
        <v>7</v>
      </c>
      <c r="D543" s="12" t="s">
        <v>5705</v>
      </c>
    </row>
    <row r="544" spans="1:4">
      <c r="A544" s="12">
        <v>7150100520</v>
      </c>
      <c r="B544" s="12" t="s">
        <v>5706</v>
      </c>
      <c r="C544" s="12" t="s">
        <v>7</v>
      </c>
      <c r="D544" s="12" t="s">
        <v>5707</v>
      </c>
    </row>
    <row r="545" spans="1:4">
      <c r="A545" s="12">
        <v>7150100530</v>
      </c>
      <c r="B545" s="12" t="s">
        <v>5708</v>
      </c>
      <c r="C545" s="12" t="s">
        <v>7</v>
      </c>
      <c r="D545" s="12" t="s">
        <v>5709</v>
      </c>
    </row>
    <row r="546" spans="1:4">
      <c r="A546" s="12">
        <v>7150100580</v>
      </c>
      <c r="B546" s="12" t="s">
        <v>5710</v>
      </c>
      <c r="C546" s="12" t="s">
        <v>7</v>
      </c>
      <c r="D546" s="12" t="s">
        <v>5711</v>
      </c>
    </row>
    <row r="547" spans="1:4">
      <c r="A547" s="12" t="s">
        <v>5712</v>
      </c>
    </row>
    <row r="548" spans="1:4">
      <c r="A548" s="12">
        <v>7160100010</v>
      </c>
      <c r="B548" s="12" t="s">
        <v>5713</v>
      </c>
      <c r="C548" s="12" t="s">
        <v>7</v>
      </c>
      <c r="D548" s="12" t="s">
        <v>5714</v>
      </c>
    </row>
    <row r="549" spans="1:4">
      <c r="A549" s="12">
        <v>7160100020</v>
      </c>
      <c r="B549" s="12" t="s">
        <v>5715</v>
      </c>
      <c r="C549" s="12" t="s">
        <v>7</v>
      </c>
      <c r="D549" s="12" t="s">
        <v>5716</v>
      </c>
    </row>
    <row r="550" spans="1:4">
      <c r="A550" s="12">
        <v>7160100030</v>
      </c>
      <c r="B550" s="12" t="s">
        <v>5717</v>
      </c>
      <c r="C550" s="12" t="s">
        <v>7</v>
      </c>
      <c r="D550" s="12" t="s">
        <v>5718</v>
      </c>
    </row>
    <row r="551" spans="1:4">
      <c r="A551" s="12">
        <v>7160100040</v>
      </c>
      <c r="B551" s="12" t="s">
        <v>5719</v>
      </c>
      <c r="C551" s="12" t="s">
        <v>7</v>
      </c>
      <c r="D551" s="12" t="s">
        <v>5720</v>
      </c>
    </row>
    <row r="552" spans="1:4">
      <c r="A552" s="12">
        <v>7160100050</v>
      </c>
      <c r="B552" s="12" t="s">
        <v>5721</v>
      </c>
      <c r="C552" s="12" t="s">
        <v>7</v>
      </c>
      <c r="D552" s="12" t="s">
        <v>5722</v>
      </c>
    </row>
    <row r="553" spans="1:4">
      <c r="A553" s="12">
        <v>7160100060</v>
      </c>
      <c r="B553" s="12" t="s">
        <v>5723</v>
      </c>
      <c r="C553" s="12" t="s">
        <v>7</v>
      </c>
      <c r="D553" s="12" t="s">
        <v>5724</v>
      </c>
    </row>
    <row r="554" spans="1:4">
      <c r="A554" s="12">
        <v>7160100070</v>
      </c>
      <c r="B554" s="12" t="s">
        <v>5725</v>
      </c>
      <c r="C554" s="12" t="s">
        <v>7</v>
      </c>
      <c r="D554" s="12" t="s">
        <v>5726</v>
      </c>
    </row>
    <row r="555" spans="1:4">
      <c r="A555" s="12">
        <v>7160100080</v>
      </c>
      <c r="B555" s="12" t="s">
        <v>5727</v>
      </c>
      <c r="C555" s="12" t="s">
        <v>7</v>
      </c>
      <c r="D555" s="12" t="s">
        <v>5728</v>
      </c>
    </row>
    <row r="556" spans="1:4">
      <c r="A556" s="12">
        <v>7160100090</v>
      </c>
      <c r="B556" s="12" t="s">
        <v>5729</v>
      </c>
      <c r="C556" s="12" t="s">
        <v>7</v>
      </c>
      <c r="D556" s="12" t="s">
        <v>5730</v>
      </c>
    </row>
    <row r="557" spans="1:4">
      <c r="A557" s="12">
        <v>7160100100</v>
      </c>
      <c r="B557" s="12" t="s">
        <v>5731</v>
      </c>
      <c r="C557" s="12" t="s">
        <v>7</v>
      </c>
      <c r="D557" s="12" t="s">
        <v>5732</v>
      </c>
    </row>
    <row r="558" spans="1:4">
      <c r="A558" s="12">
        <v>7160100110</v>
      </c>
      <c r="B558" s="12" t="s">
        <v>5733</v>
      </c>
      <c r="C558" s="12" t="s">
        <v>7</v>
      </c>
      <c r="D558" s="12" t="s">
        <v>5734</v>
      </c>
    </row>
    <row r="559" spans="1:4">
      <c r="A559" s="12">
        <v>7160100120</v>
      </c>
      <c r="B559" s="12" t="s">
        <v>5735</v>
      </c>
      <c r="C559" s="12" t="s">
        <v>7</v>
      </c>
      <c r="D559" s="12" t="s">
        <v>5736</v>
      </c>
    </row>
    <row r="560" spans="1:4">
      <c r="A560" s="12">
        <v>7160100130</v>
      </c>
      <c r="B560" s="12" t="s">
        <v>5737</v>
      </c>
      <c r="C560" s="12" t="s">
        <v>7</v>
      </c>
      <c r="D560" s="12" t="s">
        <v>5738</v>
      </c>
    </row>
    <row r="561" spans="1:4">
      <c r="A561" s="12">
        <v>7160100140</v>
      </c>
      <c r="B561" s="12" t="s">
        <v>5739</v>
      </c>
      <c r="C561" s="12" t="s">
        <v>7</v>
      </c>
      <c r="D561" s="12" t="s">
        <v>5740</v>
      </c>
    </row>
    <row r="562" spans="1:4">
      <c r="A562" s="12">
        <v>7160100150</v>
      </c>
      <c r="B562" s="12" t="s">
        <v>5741</v>
      </c>
      <c r="C562" s="12" t="s">
        <v>7</v>
      </c>
      <c r="D562" s="12" t="s">
        <v>5742</v>
      </c>
    </row>
    <row r="563" spans="1:4">
      <c r="A563" s="12">
        <v>7160100160</v>
      </c>
      <c r="B563" s="12" t="s">
        <v>5743</v>
      </c>
      <c r="C563" s="12" t="s">
        <v>7</v>
      </c>
      <c r="D563" s="12" t="s">
        <v>5744</v>
      </c>
    </row>
    <row r="564" spans="1:4">
      <c r="A564" s="12">
        <v>7160100180</v>
      </c>
      <c r="B564" s="12" t="s">
        <v>5745</v>
      </c>
      <c r="C564" s="12" t="s">
        <v>12</v>
      </c>
      <c r="D564" s="12" t="s">
        <v>5746</v>
      </c>
    </row>
    <row r="565" spans="1:4">
      <c r="A565" s="12">
        <v>7160100190</v>
      </c>
      <c r="B565" s="12" t="s">
        <v>5747</v>
      </c>
      <c r="C565" s="12" t="s">
        <v>9</v>
      </c>
      <c r="D565" s="12" t="s">
        <v>5748</v>
      </c>
    </row>
    <row r="566" spans="1:4">
      <c r="A566" s="12">
        <v>7160100200</v>
      </c>
      <c r="B566" s="12" t="s">
        <v>5749</v>
      </c>
      <c r="C566" s="12" t="s">
        <v>9</v>
      </c>
      <c r="D566" s="12" t="s">
        <v>5750</v>
      </c>
    </row>
    <row r="567" spans="1:4">
      <c r="A567" s="12">
        <v>7160100210</v>
      </c>
      <c r="B567" s="12" t="s">
        <v>5751</v>
      </c>
      <c r="C567" s="12" t="s">
        <v>9</v>
      </c>
      <c r="D567" s="12" t="s">
        <v>5752</v>
      </c>
    </row>
    <row r="568" spans="1:4">
      <c r="A568" s="12">
        <v>7160100220</v>
      </c>
      <c r="B568" s="12" t="s">
        <v>5753</v>
      </c>
      <c r="C568" s="12" t="s">
        <v>9</v>
      </c>
      <c r="D568" s="12" t="s">
        <v>5754</v>
      </c>
    </row>
    <row r="569" spans="1:4">
      <c r="A569" s="12">
        <v>7160100230</v>
      </c>
      <c r="B569" s="12" t="s">
        <v>5755</v>
      </c>
      <c r="C569" s="12" t="s">
        <v>9</v>
      </c>
      <c r="D569" s="12" t="s">
        <v>5756</v>
      </c>
    </row>
    <row r="570" spans="1:4">
      <c r="A570" s="12">
        <v>7160100240</v>
      </c>
      <c r="B570" s="12" t="s">
        <v>5757</v>
      </c>
      <c r="C570" s="12" t="s">
        <v>9</v>
      </c>
      <c r="D570" s="12" t="s">
        <v>5758</v>
      </c>
    </row>
    <row r="571" spans="1:4">
      <c r="A571" s="12">
        <v>7160100250</v>
      </c>
      <c r="B571" s="12" t="s">
        <v>5759</v>
      </c>
      <c r="C571" s="12" t="s">
        <v>9</v>
      </c>
      <c r="D571" s="12" t="s">
        <v>5760</v>
      </c>
    </row>
    <row r="576" spans="1:4">
      <c r="A576" s="12">
        <v>7160100260</v>
      </c>
      <c r="B576" s="12" t="s">
        <v>5761</v>
      </c>
      <c r="C576" s="12" t="s">
        <v>9</v>
      </c>
      <c r="D576" s="12" t="s">
        <v>5762</v>
      </c>
    </row>
    <row r="577" spans="1:4">
      <c r="A577" s="12">
        <v>7160100270</v>
      </c>
      <c r="B577" s="12" t="s">
        <v>5763</v>
      </c>
      <c r="C577" s="12" t="s">
        <v>9</v>
      </c>
      <c r="D577" s="12" t="s">
        <v>5764</v>
      </c>
    </row>
    <row r="578" spans="1:4">
      <c r="A578" s="12">
        <v>7160100280</v>
      </c>
      <c r="B578" s="12" t="s">
        <v>5765</v>
      </c>
      <c r="C578" s="12" t="s">
        <v>9</v>
      </c>
      <c r="D578" s="12" t="s">
        <v>5766</v>
      </c>
    </row>
    <row r="579" spans="1:4">
      <c r="A579" s="12">
        <v>7160100290</v>
      </c>
      <c r="B579" s="12" t="s">
        <v>5767</v>
      </c>
      <c r="C579" s="12" t="s">
        <v>9</v>
      </c>
      <c r="D579" s="12" t="s">
        <v>5768</v>
      </c>
    </row>
    <row r="580" spans="1:4">
      <c r="A580" s="12">
        <v>7160100300</v>
      </c>
      <c r="B580" s="12" t="s">
        <v>5769</v>
      </c>
      <c r="C580" s="12" t="s">
        <v>9</v>
      </c>
      <c r="D580" s="12" t="s">
        <v>5770</v>
      </c>
    </row>
    <row r="581" spans="1:4">
      <c r="A581" s="12">
        <v>7160100310</v>
      </c>
      <c r="B581" s="12" t="s">
        <v>5771</v>
      </c>
      <c r="C581" s="12" t="s">
        <v>9</v>
      </c>
      <c r="D581" s="12" t="s">
        <v>5772</v>
      </c>
    </row>
    <row r="582" spans="1:4">
      <c r="A582" s="12">
        <v>7160100320</v>
      </c>
      <c r="B582" s="12" t="s">
        <v>5773</v>
      </c>
      <c r="C582" s="12" t="s">
        <v>9</v>
      </c>
      <c r="D582" s="12" t="s">
        <v>5774</v>
      </c>
    </row>
    <row r="583" spans="1:4">
      <c r="A583" s="12">
        <v>7160100330</v>
      </c>
      <c r="B583" s="12" t="s">
        <v>5775</v>
      </c>
      <c r="C583" s="12" t="s">
        <v>7</v>
      </c>
      <c r="D583" s="12" t="s">
        <v>5776</v>
      </c>
    </row>
    <row r="584" spans="1:4">
      <c r="A584" s="12">
        <v>7160100340</v>
      </c>
      <c r="B584" s="12" t="s">
        <v>5777</v>
      </c>
      <c r="C584" s="12" t="s">
        <v>7</v>
      </c>
      <c r="D584" s="12" t="s">
        <v>5778</v>
      </c>
    </row>
    <row r="585" spans="1:4">
      <c r="A585" s="12">
        <v>7160100350</v>
      </c>
      <c r="B585" s="12" t="s">
        <v>5779</v>
      </c>
      <c r="C585" s="12" t="s">
        <v>7</v>
      </c>
      <c r="D585" s="24" t="s">
        <v>5780</v>
      </c>
    </row>
    <row r="586" spans="1:4">
      <c r="A586" s="12">
        <v>7160100360</v>
      </c>
      <c r="B586" s="12" t="s">
        <v>5781</v>
      </c>
      <c r="C586" s="12" t="s">
        <v>7</v>
      </c>
      <c r="D586" s="24" t="s">
        <v>5782</v>
      </c>
    </row>
    <row r="587" spans="1:4">
      <c r="A587" s="12">
        <v>7160100370</v>
      </c>
      <c r="B587" s="12" t="s">
        <v>5783</v>
      </c>
      <c r="C587" s="12" t="s">
        <v>7</v>
      </c>
      <c r="D587" s="12" t="s">
        <v>5784</v>
      </c>
    </row>
    <row r="588" spans="1:4">
      <c r="A588" s="12">
        <v>7160100380</v>
      </c>
      <c r="B588" s="12" t="s">
        <v>5785</v>
      </c>
      <c r="C588" s="12" t="s">
        <v>7</v>
      </c>
      <c r="D588" s="12" t="s">
        <v>5786</v>
      </c>
    </row>
    <row r="589" spans="1:4">
      <c r="A589" s="12">
        <v>7160100390</v>
      </c>
      <c r="B589" s="12" t="s">
        <v>5787</v>
      </c>
      <c r="C589" s="12" t="s">
        <v>9</v>
      </c>
      <c r="D589" s="12" t="s">
        <v>5788</v>
      </c>
    </row>
    <row r="590" spans="1:4">
      <c r="A590" s="12" t="s">
        <v>5789</v>
      </c>
    </row>
    <row r="591" spans="1:4">
      <c r="A591" s="12">
        <v>7170100010</v>
      </c>
      <c r="B591" s="12" t="s">
        <v>5790</v>
      </c>
      <c r="C591" s="12" t="s">
        <v>6</v>
      </c>
      <c r="D591" s="12" t="s">
        <v>5791</v>
      </c>
    </row>
    <row r="592" spans="1:4">
      <c r="A592" s="12">
        <v>7170100020</v>
      </c>
      <c r="B592" s="12" t="s">
        <v>5792</v>
      </c>
      <c r="C592" s="12" t="s">
        <v>6</v>
      </c>
      <c r="D592" s="12" t="s">
        <v>2193</v>
      </c>
    </row>
    <row r="593" spans="1:4">
      <c r="A593" s="12">
        <v>7170100030</v>
      </c>
      <c r="B593" s="12" t="s">
        <v>5793</v>
      </c>
      <c r="C593" s="12" t="s">
        <v>6</v>
      </c>
      <c r="D593" s="12" t="s">
        <v>5794</v>
      </c>
    </row>
    <row r="594" spans="1:4">
      <c r="A594" s="12">
        <v>7170100040</v>
      </c>
      <c r="B594" s="12" t="s">
        <v>5795</v>
      </c>
      <c r="C594" s="12" t="s">
        <v>6</v>
      </c>
      <c r="D594" s="12" t="s">
        <v>2302</v>
      </c>
    </row>
    <row r="595" spans="1:4">
      <c r="A595" s="12">
        <v>7170100050</v>
      </c>
      <c r="B595" s="12" t="s">
        <v>5796</v>
      </c>
      <c r="C595" s="12" t="s">
        <v>6</v>
      </c>
      <c r="D595" s="12" t="s">
        <v>2284</v>
      </c>
    </row>
    <row r="596" spans="1:4">
      <c r="A596" s="12">
        <v>7170100060</v>
      </c>
      <c r="B596" s="12" t="s">
        <v>5797</v>
      </c>
      <c r="C596" s="12" t="s">
        <v>6</v>
      </c>
      <c r="D596" s="12" t="s">
        <v>3942</v>
      </c>
    </row>
    <row r="597" spans="1:4">
      <c r="A597" s="12">
        <v>7170100070</v>
      </c>
      <c r="B597" s="12" t="s">
        <v>5798</v>
      </c>
      <c r="C597" s="12" t="s">
        <v>6</v>
      </c>
      <c r="D597" s="12" t="s">
        <v>2200</v>
      </c>
    </row>
    <row r="598" spans="1:4">
      <c r="A598" s="12">
        <v>7170100080</v>
      </c>
      <c r="B598" s="12" t="s">
        <v>5799</v>
      </c>
      <c r="C598" s="12" t="s">
        <v>6</v>
      </c>
      <c r="D598" s="12" t="s">
        <v>2267</v>
      </c>
    </row>
    <row r="599" spans="1:4">
      <c r="A599" s="12">
        <v>7170100090</v>
      </c>
      <c r="B599" s="12" t="s">
        <v>5800</v>
      </c>
      <c r="C599" s="12" t="s">
        <v>6</v>
      </c>
      <c r="D599" s="12" t="s">
        <v>3937</v>
      </c>
    </row>
    <row r="600" spans="1:4">
      <c r="A600" s="12">
        <v>7170100100</v>
      </c>
      <c r="B600" s="12" t="s">
        <v>5801</v>
      </c>
      <c r="C600" s="12" t="s">
        <v>6</v>
      </c>
      <c r="D600" s="12" t="s">
        <v>4320</v>
      </c>
    </row>
    <row r="601" spans="1:4">
      <c r="A601" s="12">
        <v>7170100110</v>
      </c>
      <c r="B601" s="12" t="s">
        <v>5802</v>
      </c>
      <c r="C601" s="12" t="s">
        <v>6</v>
      </c>
      <c r="D601" s="12" t="s">
        <v>2239</v>
      </c>
    </row>
    <row r="602" spans="1:4">
      <c r="A602" s="12">
        <v>7170100120</v>
      </c>
      <c r="B602" s="12" t="s">
        <v>5803</v>
      </c>
      <c r="C602" s="12" t="s">
        <v>6</v>
      </c>
      <c r="D602" s="12" t="s">
        <v>5804</v>
      </c>
    </row>
    <row r="603" spans="1:4">
      <c r="A603" s="12">
        <v>7170100130</v>
      </c>
      <c r="B603" s="12" t="s">
        <v>5805</v>
      </c>
      <c r="C603" s="12" t="s">
        <v>6</v>
      </c>
      <c r="D603" s="12" t="s">
        <v>5806</v>
      </c>
    </row>
    <row r="604" spans="1:4">
      <c r="A604" s="12">
        <v>7170100140</v>
      </c>
      <c r="B604" s="12" t="s">
        <v>5807</v>
      </c>
      <c r="C604" s="12" t="s">
        <v>6</v>
      </c>
      <c r="D604" s="12" t="s">
        <v>5808</v>
      </c>
    </row>
    <row r="605" spans="1:4">
      <c r="A605" s="12">
        <v>7170100141</v>
      </c>
      <c r="B605" s="12" t="s">
        <v>5809</v>
      </c>
      <c r="C605" s="12" t="s">
        <v>6</v>
      </c>
      <c r="D605" s="12" t="s">
        <v>5810</v>
      </c>
    </row>
    <row r="606" spans="1:4">
      <c r="A606" s="12">
        <v>7170100142</v>
      </c>
      <c r="B606" s="12" t="s">
        <v>5811</v>
      </c>
      <c r="C606" s="12" t="s">
        <v>6</v>
      </c>
      <c r="D606" s="12" t="s">
        <v>5812</v>
      </c>
    </row>
    <row r="607" spans="1:4">
      <c r="A607" s="12">
        <v>7170100143</v>
      </c>
      <c r="B607" s="12" t="s">
        <v>5813</v>
      </c>
      <c r="C607" s="12" t="s">
        <v>6</v>
      </c>
      <c r="D607" s="12" t="s">
        <v>5814</v>
      </c>
    </row>
    <row r="608" spans="1:4">
      <c r="A608" s="12">
        <v>7170100150</v>
      </c>
      <c r="B608" s="12" t="s">
        <v>5815</v>
      </c>
      <c r="C608" s="12" t="s">
        <v>6</v>
      </c>
      <c r="D608" s="12" t="s">
        <v>2166</v>
      </c>
    </row>
    <row r="609" spans="1:4">
      <c r="A609" s="12">
        <v>7170100160</v>
      </c>
      <c r="B609" s="12" t="s">
        <v>5816</v>
      </c>
      <c r="C609" s="12" t="s">
        <v>6</v>
      </c>
      <c r="D609" s="12" t="s">
        <v>4227</v>
      </c>
    </row>
    <row r="610" spans="1:4">
      <c r="A610" s="12">
        <v>7170100170</v>
      </c>
      <c r="B610" s="12" t="s">
        <v>5817</v>
      </c>
      <c r="C610" s="12" t="s">
        <v>6</v>
      </c>
      <c r="D610" s="12" t="s">
        <v>3926</v>
      </c>
    </row>
    <row r="611" spans="1:4">
      <c r="A611" s="12">
        <v>7170100180</v>
      </c>
      <c r="B611" s="12" t="s">
        <v>5818</v>
      </c>
      <c r="C611" s="12" t="s">
        <v>6</v>
      </c>
      <c r="D611" s="12" t="s">
        <v>3926</v>
      </c>
    </row>
    <row r="612" spans="1:4">
      <c r="A612" s="12">
        <v>7170100190</v>
      </c>
      <c r="B612" s="12" t="s">
        <v>5819</v>
      </c>
      <c r="C612" s="12" t="s">
        <v>6</v>
      </c>
      <c r="D612" s="12" t="s">
        <v>2233</v>
      </c>
    </row>
    <row r="613" spans="1:4">
      <c r="A613" s="12">
        <v>7170100200</v>
      </c>
      <c r="B613" s="12" t="s">
        <v>5820</v>
      </c>
      <c r="C613" s="12" t="s">
        <v>6</v>
      </c>
      <c r="D613" s="12" t="s">
        <v>3667</v>
      </c>
    </row>
    <row r="614" spans="1:4">
      <c r="A614" s="12">
        <v>7170100210</v>
      </c>
      <c r="B614" s="12" t="s">
        <v>5821</v>
      </c>
      <c r="C614" s="12" t="s">
        <v>6</v>
      </c>
      <c r="D614" s="12" t="s">
        <v>2305</v>
      </c>
    </row>
    <row r="615" spans="1:4">
      <c r="A615" s="12">
        <v>7170100220</v>
      </c>
      <c r="B615" s="12" t="s">
        <v>5822</v>
      </c>
      <c r="C615" s="12" t="s">
        <v>6</v>
      </c>
      <c r="D615" s="12" t="s">
        <v>3657</v>
      </c>
    </row>
    <row r="616" spans="1:4">
      <c r="A616" s="12">
        <v>7170100230</v>
      </c>
      <c r="B616" s="12" t="s">
        <v>5823</v>
      </c>
      <c r="C616" s="12" t="s">
        <v>6</v>
      </c>
      <c r="D616" s="12" t="s">
        <v>3707</v>
      </c>
    </row>
    <row r="617" spans="1:4">
      <c r="A617" s="12">
        <v>7170100240</v>
      </c>
      <c r="B617" s="12" t="s">
        <v>5824</v>
      </c>
      <c r="C617" s="12" t="s">
        <v>6</v>
      </c>
      <c r="D617" s="12" t="s">
        <v>3943</v>
      </c>
    </row>
    <row r="618" spans="1:4">
      <c r="A618" s="12">
        <v>7170100250</v>
      </c>
      <c r="B618" s="12" t="s">
        <v>5825</v>
      </c>
      <c r="C618" s="12" t="s">
        <v>6</v>
      </c>
      <c r="D618" s="12" t="s">
        <v>5826</v>
      </c>
    </row>
    <row r="619" spans="1:4">
      <c r="A619" s="12">
        <v>7170100260</v>
      </c>
      <c r="B619" s="12" t="s">
        <v>5827</v>
      </c>
      <c r="C619" s="12" t="s">
        <v>6</v>
      </c>
      <c r="D619" s="12" t="s">
        <v>2154</v>
      </c>
    </row>
    <row r="620" spans="1:4">
      <c r="A620" s="12">
        <v>7170100270</v>
      </c>
      <c r="B620" s="12" t="s">
        <v>5828</v>
      </c>
      <c r="C620" s="12" t="s">
        <v>6</v>
      </c>
      <c r="D620" s="12" t="s">
        <v>2291</v>
      </c>
    </row>
    <row r="621" spans="1:4">
      <c r="A621" s="12">
        <v>7170100280</v>
      </c>
      <c r="B621" s="12" t="s">
        <v>5829</v>
      </c>
      <c r="C621" s="12" t="s">
        <v>6</v>
      </c>
      <c r="D621" s="12" t="s">
        <v>2251</v>
      </c>
    </row>
    <row r="622" spans="1:4">
      <c r="A622" s="12">
        <v>7170100290</v>
      </c>
      <c r="B622" s="12" t="s">
        <v>5830</v>
      </c>
      <c r="C622" s="12" t="s">
        <v>6</v>
      </c>
      <c r="D622" s="12" t="s">
        <v>2185</v>
      </c>
    </row>
    <row r="623" spans="1:4">
      <c r="A623" s="12">
        <v>7170100300</v>
      </c>
      <c r="B623" s="12" t="s">
        <v>5831</v>
      </c>
      <c r="C623" s="12" t="s">
        <v>6</v>
      </c>
      <c r="D623" s="12" t="s">
        <v>4086</v>
      </c>
    </row>
    <row r="628" spans="1:4">
      <c r="A628" s="12">
        <v>7170100310</v>
      </c>
      <c r="B628" s="12" t="s">
        <v>5832</v>
      </c>
      <c r="C628" s="12" t="s">
        <v>6</v>
      </c>
      <c r="D628" s="12" t="s">
        <v>2225</v>
      </c>
    </row>
    <row r="629" spans="1:4">
      <c r="A629" s="12">
        <v>7170100320</v>
      </c>
      <c r="B629" s="12" t="s">
        <v>5833</v>
      </c>
      <c r="C629" s="12" t="s">
        <v>6</v>
      </c>
      <c r="D629" s="12" t="s">
        <v>2183</v>
      </c>
    </row>
    <row r="630" spans="1:4">
      <c r="A630" s="12">
        <v>7170100330</v>
      </c>
      <c r="B630" s="12" t="s">
        <v>5834</v>
      </c>
      <c r="C630" s="12" t="s">
        <v>6</v>
      </c>
      <c r="D630" s="12" t="s">
        <v>2130</v>
      </c>
    </row>
    <row r="631" spans="1:4">
      <c r="A631" s="12">
        <v>7170100340</v>
      </c>
      <c r="B631" s="12" t="s">
        <v>5835</v>
      </c>
      <c r="C631" s="12" t="s">
        <v>6</v>
      </c>
      <c r="D631" s="12" t="s">
        <v>2166</v>
      </c>
    </row>
    <row r="632" spans="1:4">
      <c r="A632" s="12">
        <v>7170100350</v>
      </c>
      <c r="B632" s="12" t="s">
        <v>5836</v>
      </c>
      <c r="C632" s="12" t="s">
        <v>6</v>
      </c>
      <c r="D632" s="12" t="s">
        <v>2300</v>
      </c>
    </row>
    <row r="633" spans="1:4">
      <c r="A633" s="12">
        <v>7170100360</v>
      </c>
      <c r="B633" s="12" t="s">
        <v>5837</v>
      </c>
      <c r="C633" s="12" t="s">
        <v>6</v>
      </c>
      <c r="D633" s="12" t="s">
        <v>3926</v>
      </c>
    </row>
    <row r="634" spans="1:4">
      <c r="A634" s="12">
        <v>7170100370</v>
      </c>
      <c r="B634" s="12" t="s">
        <v>5838</v>
      </c>
      <c r="C634" s="12" t="s">
        <v>6</v>
      </c>
      <c r="D634" s="12" t="s">
        <v>2164</v>
      </c>
    </row>
    <row r="635" spans="1:4">
      <c r="A635" s="12">
        <v>7170100380</v>
      </c>
      <c r="B635" s="12" t="s">
        <v>5839</v>
      </c>
      <c r="C635" s="12" t="s">
        <v>6</v>
      </c>
      <c r="D635" s="12" t="s">
        <v>2213</v>
      </c>
    </row>
    <row r="636" spans="1:4">
      <c r="A636" s="12">
        <v>7170100390</v>
      </c>
      <c r="B636" s="12" t="s">
        <v>5840</v>
      </c>
      <c r="C636" s="12" t="s">
        <v>6</v>
      </c>
      <c r="D636" s="12" t="s">
        <v>2152</v>
      </c>
    </row>
    <row r="637" spans="1:4">
      <c r="A637" s="12">
        <v>7170100400</v>
      </c>
      <c r="B637" s="12" t="s">
        <v>5841</v>
      </c>
      <c r="C637" s="12" t="s">
        <v>6</v>
      </c>
      <c r="D637" s="12" t="s">
        <v>2300</v>
      </c>
    </row>
    <row r="638" spans="1:4">
      <c r="A638" s="12">
        <v>7170100410</v>
      </c>
      <c r="B638" s="12" t="s">
        <v>5842</v>
      </c>
      <c r="C638" s="12" t="s">
        <v>6</v>
      </c>
      <c r="D638" s="12" t="s">
        <v>3926</v>
      </c>
    </row>
    <row r="639" spans="1:4">
      <c r="A639" s="12">
        <v>7170100420</v>
      </c>
      <c r="B639" s="12" t="s">
        <v>5843</v>
      </c>
      <c r="C639" s="12" t="s">
        <v>6</v>
      </c>
      <c r="D639" s="12" t="s">
        <v>2179</v>
      </c>
    </row>
    <row r="640" spans="1:4">
      <c r="A640" s="12">
        <v>7170100430</v>
      </c>
      <c r="B640" s="12" t="s">
        <v>5844</v>
      </c>
      <c r="C640" s="12" t="s">
        <v>6</v>
      </c>
      <c r="D640" s="12" t="s">
        <v>2214</v>
      </c>
    </row>
    <row r="641" spans="1:4">
      <c r="A641" s="12">
        <v>7170100440</v>
      </c>
      <c r="B641" s="12" t="s">
        <v>5845</v>
      </c>
      <c r="C641" s="12" t="s">
        <v>6</v>
      </c>
      <c r="D641" s="12" t="s">
        <v>5846</v>
      </c>
    </row>
    <row r="642" spans="1:4">
      <c r="A642" s="12">
        <v>7170100450</v>
      </c>
      <c r="B642" s="12" t="s">
        <v>5847</v>
      </c>
      <c r="C642" s="12" t="s">
        <v>6</v>
      </c>
      <c r="D642" s="12" t="s">
        <v>5848</v>
      </c>
    </row>
    <row r="643" spans="1:4">
      <c r="A643" s="12">
        <v>7170100460</v>
      </c>
      <c r="B643" s="12" t="s">
        <v>5849</v>
      </c>
      <c r="C643" s="12" t="s">
        <v>6</v>
      </c>
      <c r="D643" s="24" t="s">
        <v>2359</v>
      </c>
    </row>
    <row r="644" spans="1:4">
      <c r="A644" s="12">
        <v>7170100470</v>
      </c>
      <c r="B644" s="12" t="s">
        <v>5850</v>
      </c>
      <c r="C644" s="12" t="s">
        <v>6</v>
      </c>
      <c r="D644" s="24" t="s">
        <v>2250</v>
      </c>
    </row>
    <row r="645" spans="1:4">
      <c r="A645" s="12">
        <v>7170100480</v>
      </c>
      <c r="B645" s="12" t="s">
        <v>5851</v>
      </c>
      <c r="C645" s="12" t="s">
        <v>6</v>
      </c>
      <c r="D645" s="12" t="s">
        <v>2163</v>
      </c>
    </row>
    <row r="646" spans="1:4">
      <c r="A646" s="12">
        <v>7170100490</v>
      </c>
      <c r="B646" s="12" t="s">
        <v>5852</v>
      </c>
      <c r="C646" s="12" t="s">
        <v>6</v>
      </c>
      <c r="D646" s="12" t="s">
        <v>2166</v>
      </c>
    </row>
    <row r="647" spans="1:4">
      <c r="A647" s="12">
        <v>7170100500</v>
      </c>
      <c r="B647" s="12" t="s">
        <v>5853</v>
      </c>
      <c r="C647" s="12" t="s">
        <v>6</v>
      </c>
      <c r="D647" s="12" t="s">
        <v>4227</v>
      </c>
    </row>
    <row r="648" spans="1:4">
      <c r="A648" s="12">
        <v>7170100510</v>
      </c>
      <c r="B648" s="12" t="s">
        <v>5854</v>
      </c>
      <c r="C648" s="12" t="s">
        <v>6</v>
      </c>
      <c r="D648" s="12" t="s">
        <v>2188</v>
      </c>
    </row>
    <row r="649" spans="1:4">
      <c r="A649" s="12">
        <v>7170100520</v>
      </c>
      <c r="B649" s="12" t="s">
        <v>5855</v>
      </c>
      <c r="C649" s="12" t="s">
        <v>6</v>
      </c>
      <c r="D649" s="12" t="s">
        <v>3926</v>
      </c>
    </row>
    <row r="650" spans="1:4">
      <c r="A650" s="12">
        <v>7170100530</v>
      </c>
      <c r="B650" s="12" t="s">
        <v>5856</v>
      </c>
      <c r="C650" s="12" t="s">
        <v>6</v>
      </c>
      <c r="D650" s="12" t="s">
        <v>2300</v>
      </c>
    </row>
    <row r="651" spans="1:4">
      <c r="A651" s="12">
        <v>7170100540</v>
      </c>
      <c r="B651" s="12" t="s">
        <v>5857</v>
      </c>
      <c r="C651" s="12" t="s">
        <v>6</v>
      </c>
      <c r="D651" s="12" t="s">
        <v>3926</v>
      </c>
    </row>
    <row r="652" spans="1:4">
      <c r="A652" s="12">
        <v>7170100550</v>
      </c>
      <c r="B652" s="12" t="s">
        <v>5858</v>
      </c>
      <c r="C652" s="12" t="s">
        <v>6</v>
      </c>
      <c r="D652" s="12" t="s">
        <v>2543</v>
      </c>
    </row>
    <row r="653" spans="1:4">
      <c r="A653" s="12">
        <v>7170100560</v>
      </c>
      <c r="B653" s="12" t="s">
        <v>5859</v>
      </c>
      <c r="C653" s="12" t="s">
        <v>6</v>
      </c>
      <c r="D653" s="12" t="s">
        <v>2181</v>
      </c>
    </row>
    <row r="654" spans="1:4">
      <c r="A654" s="12">
        <v>7170100570</v>
      </c>
      <c r="B654" s="12" t="s">
        <v>5860</v>
      </c>
      <c r="C654" s="12" t="s">
        <v>6</v>
      </c>
      <c r="D654" s="12" t="s">
        <v>2230</v>
      </c>
    </row>
    <row r="655" spans="1:4">
      <c r="A655" s="12">
        <v>7170100580</v>
      </c>
      <c r="B655" s="12" t="s">
        <v>5861</v>
      </c>
      <c r="C655" s="12" t="s">
        <v>6</v>
      </c>
      <c r="D655" s="12" t="s">
        <v>3740</v>
      </c>
    </row>
    <row r="656" spans="1:4">
      <c r="A656" s="12">
        <v>7170100590</v>
      </c>
      <c r="B656" s="12" t="s">
        <v>5862</v>
      </c>
      <c r="C656" s="12" t="s">
        <v>6</v>
      </c>
      <c r="D656" s="12" t="s">
        <v>3941</v>
      </c>
    </row>
    <row r="657" spans="1:4">
      <c r="A657" s="12">
        <v>7170100600</v>
      </c>
      <c r="B657" s="12" t="s">
        <v>5863</v>
      </c>
      <c r="C657" s="12" t="s">
        <v>6</v>
      </c>
      <c r="D657" s="12" t="s">
        <v>5864</v>
      </c>
    </row>
    <row r="658" spans="1:4">
      <c r="A658" s="12">
        <v>7170100610</v>
      </c>
      <c r="B658" s="12" t="s">
        <v>5865</v>
      </c>
      <c r="C658" s="12" t="s">
        <v>6</v>
      </c>
      <c r="D658" s="12" t="s">
        <v>5866</v>
      </c>
    </row>
    <row r="659" spans="1:4">
      <c r="A659" s="12">
        <v>7170100620</v>
      </c>
      <c r="B659" s="12" t="s">
        <v>5867</v>
      </c>
      <c r="C659" s="12" t="s">
        <v>6</v>
      </c>
      <c r="D659" s="12" t="s">
        <v>5868</v>
      </c>
    </row>
    <row r="660" spans="1:4">
      <c r="A660" s="12">
        <v>7170100630</v>
      </c>
      <c r="B660" s="12" t="s">
        <v>5869</v>
      </c>
      <c r="C660" s="12" t="s">
        <v>6</v>
      </c>
      <c r="D660" s="12" t="s">
        <v>2288</v>
      </c>
    </row>
    <row r="661" spans="1:4">
      <c r="A661" s="12">
        <v>7170100640</v>
      </c>
      <c r="B661" s="12" t="s">
        <v>5870</v>
      </c>
      <c r="C661" s="12" t="s">
        <v>6</v>
      </c>
      <c r="D661" s="12" t="s">
        <v>2137</v>
      </c>
    </row>
    <row r="662" spans="1:4">
      <c r="A662" s="12">
        <v>7170100650</v>
      </c>
      <c r="B662" s="12" t="s">
        <v>5871</v>
      </c>
      <c r="C662" s="12" t="s">
        <v>6</v>
      </c>
      <c r="D662" s="12" t="s">
        <v>5872</v>
      </c>
    </row>
    <row r="663" spans="1:4">
      <c r="A663" s="12">
        <v>7170100660</v>
      </c>
      <c r="B663" s="12" t="s">
        <v>5873</v>
      </c>
      <c r="C663" s="12" t="s">
        <v>6</v>
      </c>
      <c r="D663" s="12" t="s">
        <v>5874</v>
      </c>
    </row>
    <row r="664" spans="1:4">
      <c r="A664" s="12">
        <v>7170100670</v>
      </c>
      <c r="B664" s="12" t="s">
        <v>5875</v>
      </c>
      <c r="C664" s="12" t="s">
        <v>6</v>
      </c>
      <c r="D664" s="12" t="s">
        <v>5876</v>
      </c>
    </row>
    <row r="665" spans="1:4">
      <c r="A665" s="12">
        <v>7170100680</v>
      </c>
      <c r="B665" s="12" t="s">
        <v>5877</v>
      </c>
      <c r="C665" s="12" t="s">
        <v>6</v>
      </c>
      <c r="D665" s="12" t="s">
        <v>5878</v>
      </c>
    </row>
    <row r="666" spans="1:4">
      <c r="A666" s="12">
        <v>7170100690</v>
      </c>
      <c r="B666" s="12" t="s">
        <v>5879</v>
      </c>
      <c r="C666" s="12" t="s">
        <v>6</v>
      </c>
      <c r="D666" s="12" t="s">
        <v>5880</v>
      </c>
    </row>
    <row r="667" spans="1:4">
      <c r="A667" s="12">
        <v>7170100700</v>
      </c>
      <c r="B667" s="12" t="s">
        <v>5881</v>
      </c>
      <c r="C667" s="12" t="s">
        <v>6</v>
      </c>
      <c r="D667" s="12" t="s">
        <v>5882</v>
      </c>
    </row>
    <row r="668" spans="1:4">
      <c r="A668" s="12">
        <v>7170100710</v>
      </c>
      <c r="B668" s="12" t="s">
        <v>5883</v>
      </c>
      <c r="C668" s="12" t="s">
        <v>6</v>
      </c>
      <c r="D668" s="12" t="s">
        <v>2266</v>
      </c>
    </row>
    <row r="669" spans="1:4">
      <c r="A669" s="12">
        <v>7170100720</v>
      </c>
      <c r="B669" s="12" t="s">
        <v>5884</v>
      </c>
      <c r="C669" s="12" t="s">
        <v>6</v>
      </c>
      <c r="D669" s="12" t="s">
        <v>5885</v>
      </c>
    </row>
    <row r="670" spans="1:4">
      <c r="A670" s="12">
        <v>7170100730</v>
      </c>
      <c r="B670" s="12" t="s">
        <v>5886</v>
      </c>
      <c r="C670" s="12" t="s">
        <v>6</v>
      </c>
      <c r="D670" s="12" t="s">
        <v>2238</v>
      </c>
    </row>
    <row r="671" spans="1:4">
      <c r="A671" s="12">
        <v>7170100740</v>
      </c>
      <c r="B671" s="12" t="s">
        <v>5887</v>
      </c>
      <c r="C671" s="12" t="s">
        <v>6</v>
      </c>
      <c r="D671" s="12" t="s">
        <v>2297</v>
      </c>
    </row>
    <row r="672" spans="1:4">
      <c r="A672" s="12">
        <v>7170100750</v>
      </c>
      <c r="B672" s="12" t="s">
        <v>5888</v>
      </c>
      <c r="C672" s="12" t="s">
        <v>6</v>
      </c>
      <c r="D672" s="12" t="s">
        <v>3997</v>
      </c>
    </row>
    <row r="673" spans="1:4">
      <c r="A673" s="12">
        <v>7170100760</v>
      </c>
      <c r="B673" s="12" t="s">
        <v>5889</v>
      </c>
      <c r="C673" s="12" t="s">
        <v>6</v>
      </c>
      <c r="D673" s="12" t="s">
        <v>5890</v>
      </c>
    </row>
    <row r="674" spans="1:4">
      <c r="A674" s="12">
        <v>7170100770</v>
      </c>
      <c r="B674" s="12" t="s">
        <v>5891</v>
      </c>
      <c r="C674" s="12" t="s">
        <v>6</v>
      </c>
      <c r="D674" s="12" t="s">
        <v>2204</v>
      </c>
    </row>
    <row r="675" spans="1:4">
      <c r="A675" s="12">
        <v>7170100780</v>
      </c>
      <c r="B675" s="12" t="s">
        <v>5892</v>
      </c>
      <c r="C675" s="12" t="s">
        <v>6</v>
      </c>
      <c r="D675" s="12" t="s">
        <v>2283</v>
      </c>
    </row>
    <row r="680" spans="1:4">
      <c r="A680" s="12" t="s">
        <v>5893</v>
      </c>
    </row>
    <row r="681" spans="1:4">
      <c r="A681" s="12">
        <v>7180100010</v>
      </c>
      <c r="B681" s="12" t="s">
        <v>5894</v>
      </c>
      <c r="C681" s="12" t="s">
        <v>8</v>
      </c>
      <c r="D681" s="12" t="s">
        <v>4760</v>
      </c>
    </row>
    <row r="682" spans="1:4">
      <c r="A682" s="12">
        <v>7180100020</v>
      </c>
      <c r="B682" s="12" t="s">
        <v>5895</v>
      </c>
      <c r="C682" s="12" t="s">
        <v>8</v>
      </c>
      <c r="D682" s="12" t="s">
        <v>3749</v>
      </c>
    </row>
    <row r="683" spans="1:4">
      <c r="A683" s="12">
        <v>7180100030</v>
      </c>
      <c r="B683" s="12" t="s">
        <v>5896</v>
      </c>
      <c r="C683" s="12" t="s">
        <v>8</v>
      </c>
      <c r="D683" s="12" t="s">
        <v>5897</v>
      </c>
    </row>
    <row r="684" spans="1:4">
      <c r="A684" s="12">
        <v>7180100040</v>
      </c>
      <c r="B684" s="12" t="s">
        <v>5898</v>
      </c>
      <c r="C684" s="12" t="s">
        <v>8</v>
      </c>
      <c r="D684" s="12" t="s">
        <v>5899</v>
      </c>
    </row>
    <row r="685" spans="1:4">
      <c r="A685" s="12">
        <v>7180100050</v>
      </c>
      <c r="B685" s="12" t="s">
        <v>5900</v>
      </c>
      <c r="C685" s="12" t="s">
        <v>8</v>
      </c>
      <c r="D685" s="12" t="s">
        <v>5901</v>
      </c>
    </row>
    <row r="686" spans="1:4">
      <c r="A686" s="12">
        <v>7180100060</v>
      </c>
      <c r="B686" s="12" t="s">
        <v>5902</v>
      </c>
      <c r="C686" s="12" t="s">
        <v>8</v>
      </c>
      <c r="D686" s="12" t="s">
        <v>2256</v>
      </c>
    </row>
    <row r="687" spans="1:4">
      <c r="A687" s="12">
        <v>7180100070</v>
      </c>
      <c r="B687" s="12" t="s">
        <v>5903</v>
      </c>
      <c r="C687" s="12" t="s">
        <v>7</v>
      </c>
      <c r="D687" s="12" t="s">
        <v>4228</v>
      </c>
    </row>
    <row r="688" spans="1:4">
      <c r="A688" s="12">
        <v>7180100080</v>
      </c>
      <c r="B688" s="12" t="s">
        <v>5904</v>
      </c>
      <c r="C688" s="12" t="s">
        <v>7</v>
      </c>
      <c r="D688" s="12" t="s">
        <v>5905</v>
      </c>
    </row>
    <row r="689" spans="1:4">
      <c r="A689" s="12">
        <v>7180100090</v>
      </c>
      <c r="B689" s="12" t="s">
        <v>5906</v>
      </c>
      <c r="C689" s="12" t="s">
        <v>7</v>
      </c>
      <c r="D689" s="12" t="s">
        <v>5907</v>
      </c>
    </row>
    <row r="690" spans="1:4">
      <c r="A690" s="12">
        <v>7180100100</v>
      </c>
      <c r="B690" s="12" t="s">
        <v>5908</v>
      </c>
      <c r="C690" s="12" t="s">
        <v>7</v>
      </c>
      <c r="D690" s="12" t="s">
        <v>5909</v>
      </c>
    </row>
    <row r="691" spans="1:4">
      <c r="A691" s="12">
        <v>7180100110</v>
      </c>
      <c r="B691" s="12" t="s">
        <v>5910</v>
      </c>
      <c r="C691" s="12" t="s">
        <v>7</v>
      </c>
      <c r="D691" s="12" t="s">
        <v>5911</v>
      </c>
    </row>
    <row r="692" spans="1:4">
      <c r="A692" s="12">
        <v>7180100120</v>
      </c>
      <c r="B692" s="12" t="s">
        <v>5912</v>
      </c>
      <c r="C692" s="12" t="s">
        <v>7</v>
      </c>
      <c r="D692" s="12" t="s">
        <v>5913</v>
      </c>
    </row>
    <row r="693" spans="1:4">
      <c r="A693" s="12">
        <v>7180100130</v>
      </c>
      <c r="B693" s="12" t="s">
        <v>5914</v>
      </c>
      <c r="C693" s="12" t="s">
        <v>7</v>
      </c>
      <c r="D693" s="12" t="s">
        <v>5915</v>
      </c>
    </row>
    <row r="694" spans="1:4">
      <c r="A694" s="12">
        <v>7180100140</v>
      </c>
      <c r="B694" s="12" t="s">
        <v>5916</v>
      </c>
      <c r="C694" s="12" t="s">
        <v>7</v>
      </c>
      <c r="D694" s="12" t="s">
        <v>5917</v>
      </c>
    </row>
    <row r="695" spans="1:4">
      <c r="A695" s="12" t="s">
        <v>5918</v>
      </c>
    </row>
    <row r="696" spans="1:4">
      <c r="A696" s="12">
        <v>7190100010</v>
      </c>
      <c r="B696" s="12" t="s">
        <v>5919</v>
      </c>
      <c r="C696" s="12" t="s">
        <v>7</v>
      </c>
      <c r="D696" s="12" t="s">
        <v>5920</v>
      </c>
    </row>
    <row r="697" spans="1:4">
      <c r="A697" s="12">
        <v>7190100020</v>
      </c>
      <c r="B697" s="12" t="s">
        <v>5921</v>
      </c>
      <c r="C697" s="12" t="s">
        <v>7</v>
      </c>
      <c r="D697" s="12" t="s">
        <v>5922</v>
      </c>
    </row>
    <row r="698" spans="1:4">
      <c r="A698" s="12">
        <v>7190100030</v>
      </c>
      <c r="B698" s="12" t="s">
        <v>5923</v>
      </c>
      <c r="C698" s="12" t="s">
        <v>7</v>
      </c>
      <c r="D698" s="12" t="s">
        <v>5924</v>
      </c>
    </row>
    <row r="699" spans="1:4">
      <c r="A699" s="12">
        <v>7190100040</v>
      </c>
      <c r="B699" s="12" t="s">
        <v>5925</v>
      </c>
      <c r="C699" s="12" t="s">
        <v>7</v>
      </c>
      <c r="D699" s="12" t="s">
        <v>5926</v>
      </c>
    </row>
    <row r="700" spans="1:4">
      <c r="A700" s="12">
        <v>7190100050</v>
      </c>
      <c r="B700" s="12" t="s">
        <v>5927</v>
      </c>
      <c r="C700" s="12" t="s">
        <v>7</v>
      </c>
      <c r="D700" s="12" t="s">
        <v>5928</v>
      </c>
    </row>
    <row r="701" spans="1:4">
      <c r="A701" s="12">
        <v>7190100060</v>
      </c>
      <c r="B701" s="12" t="s">
        <v>5929</v>
      </c>
      <c r="C701" s="12" t="s">
        <v>7</v>
      </c>
      <c r="D701" s="24" t="s">
        <v>5930</v>
      </c>
    </row>
    <row r="702" spans="1:4">
      <c r="A702" s="12">
        <v>7190100070</v>
      </c>
      <c r="B702" s="12" t="s">
        <v>5931</v>
      </c>
      <c r="C702" s="12" t="s">
        <v>7</v>
      </c>
      <c r="D702" s="24" t="s">
        <v>5932</v>
      </c>
    </row>
    <row r="703" spans="1:4">
      <c r="A703" s="12">
        <v>7190100080</v>
      </c>
      <c r="B703" s="12" t="s">
        <v>5933</v>
      </c>
      <c r="C703" s="12" t="s">
        <v>7</v>
      </c>
      <c r="D703" s="12" t="s">
        <v>5934</v>
      </c>
    </row>
    <row r="704" spans="1:4">
      <c r="A704" s="12">
        <v>7190100090</v>
      </c>
      <c r="B704" s="12" t="s">
        <v>5935</v>
      </c>
      <c r="C704" s="12" t="s">
        <v>7</v>
      </c>
      <c r="D704" s="12" t="s">
        <v>5936</v>
      </c>
    </row>
    <row r="705" spans="1:4">
      <c r="A705" s="12">
        <v>7190100100</v>
      </c>
      <c r="B705" s="12" t="s">
        <v>5937</v>
      </c>
      <c r="C705" s="12" t="s">
        <v>7</v>
      </c>
      <c r="D705" s="12" t="s">
        <v>5938</v>
      </c>
    </row>
    <row r="706" spans="1:4">
      <c r="A706" s="12">
        <v>7190100110</v>
      </c>
      <c r="B706" s="12" t="s">
        <v>5939</v>
      </c>
      <c r="C706" s="12" t="s">
        <v>7</v>
      </c>
      <c r="D706" s="12" t="s">
        <v>5940</v>
      </c>
    </row>
    <row r="707" spans="1:4">
      <c r="A707" s="12">
        <v>7190100120</v>
      </c>
      <c r="B707" s="12" t="s">
        <v>5941</v>
      </c>
      <c r="C707" s="12" t="s">
        <v>7</v>
      </c>
      <c r="D707" s="12" t="s">
        <v>5942</v>
      </c>
    </row>
    <row r="708" spans="1:4">
      <c r="A708" s="12">
        <v>7190100130</v>
      </c>
      <c r="B708" s="12" t="s">
        <v>5943</v>
      </c>
      <c r="C708" s="12" t="s">
        <v>7</v>
      </c>
      <c r="D708" s="12" t="s">
        <v>5944</v>
      </c>
    </row>
    <row r="709" spans="1:4">
      <c r="A709" s="12">
        <v>7190100140</v>
      </c>
      <c r="B709" s="12" t="s">
        <v>5945</v>
      </c>
      <c r="C709" s="12" t="s">
        <v>7</v>
      </c>
      <c r="D709" s="12" t="s">
        <v>5946</v>
      </c>
    </row>
    <row r="710" spans="1:4">
      <c r="A710" s="12">
        <v>7190100150</v>
      </c>
      <c r="B710" s="12" t="s">
        <v>5947</v>
      </c>
      <c r="C710" s="12" t="s">
        <v>7</v>
      </c>
      <c r="D710" s="12" t="s">
        <v>5948</v>
      </c>
    </row>
    <row r="711" spans="1:4">
      <c r="A711" s="12" t="s">
        <v>5949</v>
      </c>
    </row>
    <row r="712" spans="1:4">
      <c r="A712" s="12">
        <v>7200100010</v>
      </c>
      <c r="B712" s="12" t="s">
        <v>5950</v>
      </c>
      <c r="C712" s="12" t="s">
        <v>7</v>
      </c>
      <c r="D712" s="12" t="s">
        <v>5951</v>
      </c>
    </row>
    <row r="713" spans="1:4">
      <c r="A713" s="12">
        <v>7200100020</v>
      </c>
      <c r="B713" s="12" t="s">
        <v>5952</v>
      </c>
      <c r="C713" s="12" t="s">
        <v>7</v>
      </c>
      <c r="D713" s="12" t="s">
        <v>5953</v>
      </c>
    </row>
    <row r="714" spans="1:4">
      <c r="A714" s="12">
        <v>7200100030</v>
      </c>
      <c r="B714" s="12" t="s">
        <v>5954</v>
      </c>
      <c r="C714" s="12" t="s">
        <v>7</v>
      </c>
      <c r="D714" s="12" t="s">
        <v>5955</v>
      </c>
    </row>
    <row r="715" spans="1:4">
      <c r="A715" s="12">
        <v>7200100040</v>
      </c>
      <c r="B715" s="12" t="s">
        <v>5956</v>
      </c>
      <c r="C715" s="12" t="s">
        <v>7</v>
      </c>
      <c r="D715" s="12" t="s">
        <v>5957</v>
      </c>
    </row>
    <row r="716" spans="1:4">
      <c r="A716" s="12">
        <v>7200100050</v>
      </c>
      <c r="B716" s="12" t="s">
        <v>5958</v>
      </c>
      <c r="C716" s="12" t="s">
        <v>7</v>
      </c>
      <c r="D716" s="12" t="s">
        <v>5959</v>
      </c>
    </row>
    <row r="717" spans="1:4">
      <c r="A717" s="12">
        <v>7200100060</v>
      </c>
      <c r="B717" s="12" t="s">
        <v>5960</v>
      </c>
      <c r="C717" s="12" t="s">
        <v>7</v>
      </c>
      <c r="D717" s="12" t="s">
        <v>5961</v>
      </c>
    </row>
    <row r="718" spans="1:4">
      <c r="A718" s="12">
        <v>7200100070</v>
      </c>
      <c r="B718" s="12" t="s">
        <v>5962</v>
      </c>
      <c r="C718" s="12" t="s">
        <v>7</v>
      </c>
      <c r="D718" s="12" t="s">
        <v>5963</v>
      </c>
    </row>
    <row r="719" spans="1:4">
      <c r="A719" s="12">
        <v>7200100080</v>
      </c>
      <c r="B719" s="12" t="s">
        <v>5964</v>
      </c>
      <c r="C719" s="12" t="s">
        <v>7</v>
      </c>
      <c r="D719" s="12" t="s">
        <v>5965</v>
      </c>
    </row>
    <row r="720" spans="1:4">
      <c r="A720" s="12">
        <v>7200100090</v>
      </c>
      <c r="B720" s="12" t="s">
        <v>5966</v>
      </c>
      <c r="C720" s="12" t="s">
        <v>7</v>
      </c>
      <c r="D720" s="12" t="s">
        <v>5967</v>
      </c>
    </row>
    <row r="721" spans="1:4">
      <c r="A721" s="12">
        <v>7200100100</v>
      </c>
      <c r="B721" s="12" t="s">
        <v>5968</v>
      </c>
      <c r="C721" s="12" t="s">
        <v>7</v>
      </c>
      <c r="D721" s="12" t="s">
        <v>5969</v>
      </c>
    </row>
    <row r="722" spans="1:4">
      <c r="A722" s="12">
        <v>7200100110</v>
      </c>
      <c r="B722" s="12" t="s">
        <v>5970</v>
      </c>
      <c r="C722" s="12" t="s">
        <v>7</v>
      </c>
      <c r="D722" s="12" t="s">
        <v>5971</v>
      </c>
    </row>
    <row r="723" spans="1:4">
      <c r="A723" s="12">
        <v>7200100120</v>
      </c>
      <c r="B723" s="12" t="s">
        <v>5972</v>
      </c>
      <c r="C723" s="12" t="s">
        <v>7</v>
      </c>
      <c r="D723" s="12" t="s">
        <v>5973</v>
      </c>
    </row>
    <row r="724" spans="1:4">
      <c r="A724" s="12">
        <v>7200100130</v>
      </c>
      <c r="B724" s="12" t="s">
        <v>5974</v>
      </c>
      <c r="C724" s="12" t="s">
        <v>7</v>
      </c>
      <c r="D724" s="12" t="s">
        <v>5975</v>
      </c>
    </row>
    <row r="725" spans="1:4">
      <c r="A725" s="12">
        <v>7200100140</v>
      </c>
      <c r="B725" s="12" t="s">
        <v>5976</v>
      </c>
      <c r="C725" s="12" t="s">
        <v>7</v>
      </c>
      <c r="D725" s="12" t="s">
        <v>5977</v>
      </c>
    </row>
    <row r="726" spans="1:4">
      <c r="A726" s="12">
        <v>7200100150</v>
      </c>
      <c r="B726" s="12" t="s">
        <v>5978</v>
      </c>
      <c r="C726" s="12" t="s">
        <v>7</v>
      </c>
      <c r="D726" s="12" t="s">
        <v>5979</v>
      </c>
    </row>
    <row r="727" spans="1:4">
      <c r="A727" s="12">
        <v>7200100160</v>
      </c>
      <c r="B727" s="12" t="s">
        <v>5980</v>
      </c>
      <c r="C727" s="12" t="s">
        <v>7</v>
      </c>
      <c r="D727" s="12" t="s">
        <v>5981</v>
      </c>
    </row>
    <row r="732" spans="1:4">
      <c r="A732" s="12">
        <v>7200100170</v>
      </c>
      <c r="B732" s="12" t="s">
        <v>5982</v>
      </c>
      <c r="C732" s="12" t="s">
        <v>7</v>
      </c>
      <c r="D732" s="12" t="s">
        <v>5983</v>
      </c>
    </row>
    <row r="733" spans="1:4">
      <c r="A733" s="12">
        <v>7200100180</v>
      </c>
      <c r="B733" s="12" t="s">
        <v>5984</v>
      </c>
      <c r="C733" s="12" t="s">
        <v>7</v>
      </c>
      <c r="D733" s="12" t="s">
        <v>4438</v>
      </c>
    </row>
    <row r="734" spans="1:4">
      <c r="A734" s="12">
        <v>7200100190</v>
      </c>
      <c r="B734" s="12" t="s">
        <v>5985</v>
      </c>
      <c r="C734" s="12" t="s">
        <v>7</v>
      </c>
      <c r="D734" s="12" t="s">
        <v>5986</v>
      </c>
    </row>
    <row r="735" spans="1:4">
      <c r="A735" s="12">
        <v>7200100200</v>
      </c>
      <c r="B735" s="12" t="s">
        <v>5987</v>
      </c>
      <c r="C735" s="12" t="s">
        <v>7</v>
      </c>
      <c r="D735" s="12" t="s">
        <v>5988</v>
      </c>
    </row>
    <row r="736" spans="1:4">
      <c r="A736" s="12">
        <v>7200100210</v>
      </c>
      <c r="B736" s="12" t="s">
        <v>5989</v>
      </c>
      <c r="C736" s="12" t="s">
        <v>7</v>
      </c>
      <c r="D736" s="12" t="s">
        <v>5990</v>
      </c>
    </row>
    <row r="737" spans="1:4">
      <c r="A737" s="12">
        <v>7200100220</v>
      </c>
      <c r="B737" s="12" t="s">
        <v>5991</v>
      </c>
      <c r="C737" s="12" t="s">
        <v>7</v>
      </c>
      <c r="D737" s="12" t="s">
        <v>5992</v>
      </c>
    </row>
    <row r="738" spans="1:4">
      <c r="A738" s="12">
        <v>7200100230</v>
      </c>
      <c r="B738" s="12" t="s">
        <v>5993</v>
      </c>
      <c r="C738" s="12" t="s">
        <v>7</v>
      </c>
      <c r="D738" s="12" t="s">
        <v>5994</v>
      </c>
    </row>
    <row r="739" spans="1:4">
      <c r="A739" s="12">
        <v>7200100240</v>
      </c>
      <c r="B739" s="12" t="s">
        <v>5995</v>
      </c>
      <c r="C739" s="12" t="s">
        <v>7</v>
      </c>
      <c r="D739" s="12" t="s">
        <v>5996</v>
      </c>
    </row>
    <row r="740" spans="1:4">
      <c r="A740" s="12">
        <v>7200100250</v>
      </c>
      <c r="B740" s="12" t="s">
        <v>5997</v>
      </c>
      <c r="C740" s="12" t="s">
        <v>7</v>
      </c>
      <c r="D740" s="12" t="s">
        <v>5998</v>
      </c>
    </row>
    <row r="741" spans="1:4">
      <c r="A741" s="12">
        <v>7200100260</v>
      </c>
      <c r="B741" s="12" t="s">
        <v>5999</v>
      </c>
      <c r="C741" s="12" t="s">
        <v>7</v>
      </c>
      <c r="D741" s="12" t="s">
        <v>6000</v>
      </c>
    </row>
    <row r="742" spans="1:4">
      <c r="A742" s="12">
        <v>7200100270</v>
      </c>
      <c r="B742" s="12" t="s">
        <v>6001</v>
      </c>
      <c r="C742" s="12" t="s">
        <v>7</v>
      </c>
      <c r="D742" s="12" t="s">
        <v>6002</v>
      </c>
    </row>
    <row r="743" spans="1:4">
      <c r="A743" s="12">
        <v>7200100280</v>
      </c>
      <c r="B743" s="12" t="s">
        <v>6003</v>
      </c>
      <c r="C743" s="12" t="s">
        <v>7</v>
      </c>
      <c r="D743" s="12" t="s">
        <v>6004</v>
      </c>
    </row>
    <row r="744" spans="1:4">
      <c r="A744" s="12">
        <v>7200100290</v>
      </c>
      <c r="B744" s="12" t="s">
        <v>6005</v>
      </c>
      <c r="C744" s="12" t="s">
        <v>7</v>
      </c>
      <c r="D744" s="12" t="s">
        <v>6006</v>
      </c>
    </row>
    <row r="745" spans="1:4">
      <c r="A745" s="12">
        <v>7200100300</v>
      </c>
      <c r="B745" s="12" t="s">
        <v>6007</v>
      </c>
      <c r="C745" s="12" t="s">
        <v>7</v>
      </c>
      <c r="D745" s="12" t="s">
        <v>3330</v>
      </c>
    </row>
    <row r="746" spans="1:4">
      <c r="A746" s="12">
        <v>7200100310</v>
      </c>
      <c r="B746" s="12" t="s">
        <v>6008</v>
      </c>
      <c r="C746" s="12" t="s">
        <v>7</v>
      </c>
      <c r="D746" s="12" t="s">
        <v>6009</v>
      </c>
    </row>
    <row r="747" spans="1:4">
      <c r="A747" s="12">
        <v>7200100320</v>
      </c>
      <c r="B747" s="12" t="s">
        <v>6010</v>
      </c>
      <c r="C747" s="12" t="s">
        <v>7</v>
      </c>
      <c r="D747" s="12" t="s">
        <v>6011</v>
      </c>
    </row>
    <row r="748" spans="1:4">
      <c r="A748" s="12">
        <v>7200100330</v>
      </c>
      <c r="B748" s="12" t="s">
        <v>6012</v>
      </c>
      <c r="C748" s="12" t="s">
        <v>7</v>
      </c>
      <c r="D748" s="12" t="s">
        <v>6013</v>
      </c>
    </row>
    <row r="749" spans="1:4">
      <c r="A749" s="12">
        <v>7200100340</v>
      </c>
      <c r="B749" s="12" t="s">
        <v>6014</v>
      </c>
      <c r="C749" s="12" t="s">
        <v>7</v>
      </c>
      <c r="D749" s="12" t="s">
        <v>6015</v>
      </c>
    </row>
    <row r="750" spans="1:4">
      <c r="A750" s="12">
        <v>7200100350</v>
      </c>
      <c r="B750" s="12" t="s">
        <v>6016</v>
      </c>
      <c r="C750" s="12" t="s">
        <v>7</v>
      </c>
      <c r="D750" s="12" t="s">
        <v>6017</v>
      </c>
    </row>
    <row r="751" spans="1:4">
      <c r="A751" s="12">
        <v>7200100360</v>
      </c>
      <c r="B751" s="12" t="s">
        <v>6018</v>
      </c>
      <c r="C751" s="12" t="s">
        <v>7</v>
      </c>
      <c r="D751" s="12" t="s">
        <v>6019</v>
      </c>
    </row>
    <row r="752" spans="1:4">
      <c r="A752" s="12">
        <v>7200100370</v>
      </c>
      <c r="B752" s="12" t="s">
        <v>6020</v>
      </c>
      <c r="C752" s="12" t="s">
        <v>6</v>
      </c>
      <c r="D752" s="12" t="s">
        <v>6021</v>
      </c>
    </row>
    <row r="753" spans="1:4">
      <c r="A753" s="12">
        <v>7200100375</v>
      </c>
      <c r="B753" s="12" t="s">
        <v>6022</v>
      </c>
      <c r="C753" s="12" t="s">
        <v>6</v>
      </c>
      <c r="D753" s="12" t="s">
        <v>6023</v>
      </c>
    </row>
    <row r="754" spans="1:4">
      <c r="A754" s="12">
        <v>7200100380</v>
      </c>
      <c r="B754" s="12" t="s">
        <v>6024</v>
      </c>
      <c r="C754" s="12" t="s">
        <v>7</v>
      </c>
      <c r="D754" s="12" t="s">
        <v>6025</v>
      </c>
    </row>
    <row r="755" spans="1:4">
      <c r="A755" s="12">
        <v>7200100390</v>
      </c>
      <c r="B755" s="12" t="s">
        <v>6026</v>
      </c>
      <c r="C755" s="12" t="s">
        <v>7</v>
      </c>
      <c r="D755" s="12" t="s">
        <v>6027</v>
      </c>
    </row>
    <row r="756" spans="1:4">
      <c r="A756" s="12">
        <v>7200100400</v>
      </c>
      <c r="B756" s="12" t="s">
        <v>6028</v>
      </c>
      <c r="C756" s="12" t="s">
        <v>7</v>
      </c>
      <c r="D756" s="12" t="s">
        <v>6029</v>
      </c>
    </row>
    <row r="757" spans="1:4">
      <c r="A757" s="12">
        <v>7200100410</v>
      </c>
      <c r="B757" s="12" t="s">
        <v>6030</v>
      </c>
      <c r="C757" s="12" t="s">
        <v>7</v>
      </c>
      <c r="D757" s="12" t="s">
        <v>6031</v>
      </c>
    </row>
    <row r="758" spans="1:4">
      <c r="A758" s="12">
        <v>7200100420</v>
      </c>
      <c r="B758" s="12" t="s">
        <v>6032</v>
      </c>
      <c r="C758" s="12" t="s">
        <v>7</v>
      </c>
      <c r="D758" s="12" t="s">
        <v>6033</v>
      </c>
    </row>
    <row r="759" spans="1:4">
      <c r="A759" s="12">
        <v>7200100430</v>
      </c>
      <c r="B759" s="12" t="s">
        <v>6034</v>
      </c>
      <c r="C759" s="12" t="s">
        <v>7</v>
      </c>
      <c r="D759" s="24" t="s">
        <v>6035</v>
      </c>
    </row>
    <row r="760" spans="1:4">
      <c r="A760" s="12">
        <v>7200100440</v>
      </c>
      <c r="B760" s="12" t="s">
        <v>6036</v>
      </c>
      <c r="C760" s="12" t="s">
        <v>7</v>
      </c>
      <c r="D760" s="24" t="s">
        <v>6037</v>
      </c>
    </row>
    <row r="761" spans="1:4">
      <c r="A761" s="12">
        <v>7200100450</v>
      </c>
      <c r="B761" s="12" t="s">
        <v>6038</v>
      </c>
      <c r="C761" s="12" t="s">
        <v>7</v>
      </c>
      <c r="D761" s="12" t="s">
        <v>6039</v>
      </c>
    </row>
    <row r="762" spans="1:4">
      <c r="A762" s="12">
        <v>7200100460</v>
      </c>
      <c r="B762" s="12" t="s">
        <v>6040</v>
      </c>
      <c r="C762" s="12" t="s">
        <v>7</v>
      </c>
      <c r="D762" s="12" t="s">
        <v>6041</v>
      </c>
    </row>
    <row r="763" spans="1:4">
      <c r="A763" s="12">
        <v>7200100470</v>
      </c>
      <c r="B763" s="12" t="s">
        <v>6042</v>
      </c>
      <c r="C763" s="12" t="s">
        <v>7</v>
      </c>
      <c r="D763" s="12" t="s">
        <v>6043</v>
      </c>
    </row>
    <row r="764" spans="1:4">
      <c r="A764" s="12">
        <v>7200100480</v>
      </c>
      <c r="B764" s="12" t="s">
        <v>6044</v>
      </c>
      <c r="C764" s="12" t="s">
        <v>7</v>
      </c>
      <c r="D764" s="12" t="s">
        <v>6045</v>
      </c>
    </row>
    <row r="765" spans="1:4">
      <c r="A765" s="12">
        <v>7200100490</v>
      </c>
      <c r="B765" s="12" t="s">
        <v>6046</v>
      </c>
      <c r="C765" s="12" t="s">
        <v>7</v>
      </c>
      <c r="D765" s="12" t="s">
        <v>6047</v>
      </c>
    </row>
    <row r="766" spans="1:4">
      <c r="A766" s="12" t="s">
        <v>6048</v>
      </c>
    </row>
    <row r="767" spans="1:4">
      <c r="A767" s="12">
        <v>7210100010</v>
      </c>
      <c r="B767" s="12" t="s">
        <v>6049</v>
      </c>
      <c r="C767" s="12" t="s">
        <v>9</v>
      </c>
      <c r="D767" s="12" t="s">
        <v>2171</v>
      </c>
    </row>
    <row r="768" spans="1:4">
      <c r="A768" s="12">
        <v>7210100020</v>
      </c>
      <c r="B768" s="12" t="s">
        <v>6050</v>
      </c>
      <c r="C768" s="12" t="s">
        <v>9</v>
      </c>
      <c r="D768" s="12" t="s">
        <v>4298</v>
      </c>
    </row>
    <row r="769" spans="1:4">
      <c r="A769" s="12">
        <v>7210100030</v>
      </c>
      <c r="B769" s="12" t="s">
        <v>6051</v>
      </c>
      <c r="C769" s="12" t="s">
        <v>9</v>
      </c>
      <c r="D769" s="12" t="s">
        <v>2165</v>
      </c>
    </row>
    <row r="770" spans="1:4">
      <c r="A770" s="12">
        <v>7210100040</v>
      </c>
      <c r="B770" s="12" t="s">
        <v>6052</v>
      </c>
      <c r="C770" s="12" t="s">
        <v>9</v>
      </c>
      <c r="D770" s="12" t="s">
        <v>2240</v>
      </c>
    </row>
    <row r="771" spans="1:4">
      <c r="A771" s="12">
        <v>7210100050</v>
      </c>
      <c r="B771" s="12" t="s">
        <v>6053</v>
      </c>
      <c r="C771" s="12" t="s">
        <v>9</v>
      </c>
      <c r="D771" s="12" t="s">
        <v>2210</v>
      </c>
    </row>
    <row r="772" spans="1:4">
      <c r="A772" s="12">
        <v>7210100060</v>
      </c>
      <c r="B772" s="12" t="s">
        <v>6054</v>
      </c>
      <c r="C772" s="12" t="s">
        <v>9</v>
      </c>
      <c r="D772" s="12" t="s">
        <v>3090</v>
      </c>
    </row>
    <row r="773" spans="1:4">
      <c r="A773" s="12">
        <v>7210100070</v>
      </c>
      <c r="B773" s="12" t="s">
        <v>6055</v>
      </c>
      <c r="C773" s="12" t="s">
        <v>9</v>
      </c>
      <c r="D773" s="12" t="s">
        <v>3090</v>
      </c>
    </row>
    <row r="774" spans="1:4">
      <c r="A774" s="12">
        <v>7210100080</v>
      </c>
      <c r="B774" s="12" t="s">
        <v>6056</v>
      </c>
      <c r="C774" s="12" t="s">
        <v>9</v>
      </c>
      <c r="D774" s="12" t="s">
        <v>2298</v>
      </c>
    </row>
    <row r="775" spans="1:4">
      <c r="A775" s="12">
        <v>7210100090</v>
      </c>
      <c r="B775" s="12" t="s">
        <v>6057</v>
      </c>
      <c r="C775" s="12" t="s">
        <v>9</v>
      </c>
      <c r="D775" s="12" t="s">
        <v>4907</v>
      </c>
    </row>
    <row r="776" spans="1:4">
      <c r="A776" s="12">
        <v>7210100100</v>
      </c>
      <c r="B776" s="12" t="s">
        <v>6058</v>
      </c>
      <c r="C776" s="12" t="s">
        <v>9</v>
      </c>
      <c r="D776" s="12" t="s">
        <v>2280</v>
      </c>
    </row>
    <row r="777" spans="1:4">
      <c r="A777" s="12">
        <v>7210100110</v>
      </c>
      <c r="B777" s="12" t="s">
        <v>6059</v>
      </c>
      <c r="C777" s="12" t="s">
        <v>6</v>
      </c>
      <c r="D777" s="12" t="s">
        <v>2168</v>
      </c>
    </row>
    <row r="778" spans="1:4">
      <c r="A778" s="12">
        <v>7210100120</v>
      </c>
      <c r="B778" s="12" t="s">
        <v>6060</v>
      </c>
      <c r="C778" s="12" t="s">
        <v>6</v>
      </c>
      <c r="D778" s="12" t="s">
        <v>2248</v>
      </c>
    </row>
    <row r="779" spans="1:4">
      <c r="A779" s="12">
        <v>7210100130</v>
      </c>
      <c r="B779" s="12" t="s">
        <v>6061</v>
      </c>
      <c r="C779" s="12" t="s">
        <v>9</v>
      </c>
      <c r="D779" s="12" t="s">
        <v>2295</v>
      </c>
    </row>
    <row r="784" spans="1:4">
      <c r="A784" s="12">
        <v>7210100140</v>
      </c>
      <c r="B784" s="12" t="s">
        <v>6062</v>
      </c>
      <c r="C784" s="12" t="s">
        <v>9</v>
      </c>
      <c r="D784" s="12" t="s">
        <v>4750</v>
      </c>
    </row>
    <row r="785" spans="1:4">
      <c r="A785" s="12">
        <v>7210100150</v>
      </c>
      <c r="B785" s="12" t="s">
        <v>6063</v>
      </c>
      <c r="C785" s="12" t="s">
        <v>9</v>
      </c>
      <c r="D785" s="12" t="s">
        <v>2360</v>
      </c>
    </row>
    <row r="786" spans="1:4">
      <c r="A786" s="12">
        <v>7210100160</v>
      </c>
      <c r="B786" s="12" t="s">
        <v>6064</v>
      </c>
      <c r="C786" s="12" t="s">
        <v>9</v>
      </c>
      <c r="D786" s="12" t="s">
        <v>6065</v>
      </c>
    </row>
    <row r="787" spans="1:4">
      <c r="A787" s="12">
        <v>7210100170</v>
      </c>
      <c r="B787" s="12" t="s">
        <v>6066</v>
      </c>
      <c r="C787" s="12" t="s">
        <v>9</v>
      </c>
      <c r="D787" s="12" t="s">
        <v>2190</v>
      </c>
    </row>
    <row r="788" spans="1:4">
      <c r="A788" s="12">
        <v>7210100180</v>
      </c>
      <c r="B788" s="12" t="s">
        <v>6067</v>
      </c>
      <c r="C788" s="12" t="s">
        <v>9</v>
      </c>
      <c r="D788" s="12" t="s">
        <v>6068</v>
      </c>
    </row>
    <row r="789" spans="1:4">
      <c r="A789" s="12">
        <v>7210100190</v>
      </c>
      <c r="B789" s="12" t="s">
        <v>6069</v>
      </c>
      <c r="C789" s="12" t="s">
        <v>9</v>
      </c>
      <c r="D789" s="12" t="s">
        <v>6070</v>
      </c>
    </row>
    <row r="790" spans="1:4">
      <c r="A790" s="12">
        <v>7210100200</v>
      </c>
      <c r="B790" s="12" t="s">
        <v>6071</v>
      </c>
      <c r="C790" s="12" t="s">
        <v>6</v>
      </c>
      <c r="D790" s="12" t="s">
        <v>3940</v>
      </c>
    </row>
    <row r="791" spans="1:4">
      <c r="A791" s="12">
        <v>7210100210</v>
      </c>
      <c r="B791" s="12" t="s">
        <v>6072</v>
      </c>
      <c r="C791" s="12" t="s">
        <v>6</v>
      </c>
      <c r="D791" s="12" t="s">
        <v>3854</v>
      </c>
    </row>
    <row r="792" spans="1:4">
      <c r="A792" s="12">
        <v>7210100220</v>
      </c>
      <c r="B792" s="12" t="s">
        <v>6073</v>
      </c>
      <c r="C792" s="12" t="s">
        <v>12</v>
      </c>
      <c r="D792" s="12" t="s">
        <v>6074</v>
      </c>
    </row>
    <row r="793" spans="1:4">
      <c r="A793" s="12">
        <v>7210100230</v>
      </c>
      <c r="B793" s="12" t="s">
        <v>6075</v>
      </c>
      <c r="C793" s="12" t="s">
        <v>9</v>
      </c>
      <c r="D793" s="12" t="s">
        <v>2130</v>
      </c>
    </row>
    <row r="794" spans="1:4">
      <c r="A794" s="12">
        <v>7210100240</v>
      </c>
      <c r="B794" s="12" t="s">
        <v>6076</v>
      </c>
      <c r="C794" s="12" t="s">
        <v>12</v>
      </c>
      <c r="D794" s="12" t="s">
        <v>6077</v>
      </c>
    </row>
    <row r="795" spans="1:4">
      <c r="A795" s="12">
        <v>7210100250</v>
      </c>
      <c r="B795" s="12" t="s">
        <v>6078</v>
      </c>
      <c r="C795" s="12" t="s">
        <v>12</v>
      </c>
      <c r="D795" s="12" t="s">
        <v>6079</v>
      </c>
    </row>
    <row r="796" spans="1:4">
      <c r="A796" s="12">
        <v>7210100260</v>
      </c>
      <c r="B796" s="12" t="s">
        <v>6080</v>
      </c>
      <c r="C796" s="12" t="s">
        <v>5189</v>
      </c>
      <c r="D796" s="12" t="s">
        <v>2264</v>
      </c>
    </row>
    <row r="797" spans="1:4">
      <c r="A797" s="12">
        <v>7210100270</v>
      </c>
      <c r="B797" s="12" t="s">
        <v>6081</v>
      </c>
      <c r="C797" s="12" t="s">
        <v>9</v>
      </c>
      <c r="D797" s="12" t="s">
        <v>3748</v>
      </c>
    </row>
    <row r="798" spans="1:4">
      <c r="A798" s="12">
        <v>7210100280</v>
      </c>
      <c r="B798" s="12" t="s">
        <v>6082</v>
      </c>
      <c r="C798" s="12" t="s">
        <v>9</v>
      </c>
      <c r="D798" s="12" t="s">
        <v>2148</v>
      </c>
    </row>
    <row r="799" spans="1:4">
      <c r="A799" s="12">
        <v>7210100290</v>
      </c>
      <c r="B799" s="12" t="s">
        <v>6083</v>
      </c>
      <c r="C799" s="12" t="s">
        <v>9</v>
      </c>
      <c r="D799" s="12" t="s">
        <v>6084</v>
      </c>
    </row>
    <row r="800" spans="1:4">
      <c r="A800" s="12">
        <v>7210100300</v>
      </c>
      <c r="B800" s="12" t="s">
        <v>6085</v>
      </c>
      <c r="C800" s="12" t="s">
        <v>9</v>
      </c>
      <c r="D800" s="12" t="s">
        <v>6086</v>
      </c>
    </row>
    <row r="801" spans="1:4">
      <c r="A801" s="12">
        <v>7210100310</v>
      </c>
      <c r="B801" s="12" t="s">
        <v>6087</v>
      </c>
      <c r="C801" s="12" t="s">
        <v>9</v>
      </c>
      <c r="D801" s="12" t="s">
        <v>4650</v>
      </c>
    </row>
    <row r="802" spans="1:4">
      <c r="A802" s="12">
        <v>7210100320</v>
      </c>
      <c r="B802" s="12" t="s">
        <v>6088</v>
      </c>
      <c r="C802" s="12" t="s">
        <v>6</v>
      </c>
      <c r="D802" s="12" t="s">
        <v>2805</v>
      </c>
    </row>
    <row r="803" spans="1:4">
      <c r="A803" s="12">
        <v>7210100330</v>
      </c>
      <c r="B803" s="12" t="s">
        <v>6089</v>
      </c>
      <c r="C803" s="12" t="s">
        <v>9</v>
      </c>
      <c r="D803" s="12" t="s">
        <v>2271</v>
      </c>
    </row>
    <row r="804" spans="1:4">
      <c r="A804" s="12">
        <v>7210100340</v>
      </c>
      <c r="B804" s="12" t="s">
        <v>6090</v>
      </c>
      <c r="C804" s="12" t="s">
        <v>9</v>
      </c>
      <c r="D804" s="12" t="s">
        <v>2175</v>
      </c>
    </row>
    <row r="805" spans="1:4">
      <c r="A805" s="12">
        <v>7210100350</v>
      </c>
      <c r="B805" s="12" t="s">
        <v>6091</v>
      </c>
      <c r="C805" s="12" t="s">
        <v>6</v>
      </c>
      <c r="D805" s="12" t="s">
        <v>6092</v>
      </c>
    </row>
    <row r="806" spans="1:4">
      <c r="A806" s="12">
        <v>7210100360</v>
      </c>
      <c r="B806" s="12" t="s">
        <v>6093</v>
      </c>
      <c r="C806" s="12" t="s">
        <v>6</v>
      </c>
      <c r="D806" s="12" t="s">
        <v>6094</v>
      </c>
    </row>
    <row r="807" spans="1:4">
      <c r="A807" s="12">
        <v>7210100370</v>
      </c>
      <c r="B807" s="12" t="s">
        <v>6095</v>
      </c>
      <c r="C807" s="12" t="s">
        <v>6</v>
      </c>
      <c r="D807" s="12" t="s">
        <v>6096</v>
      </c>
    </row>
    <row r="808" spans="1:4">
      <c r="A808" s="12">
        <v>7210100380</v>
      </c>
      <c r="B808" s="12" t="s">
        <v>6097</v>
      </c>
      <c r="C808" s="12" t="s">
        <v>6</v>
      </c>
      <c r="D808" s="12" t="s">
        <v>6098</v>
      </c>
    </row>
    <row r="809" spans="1:4">
      <c r="A809" s="12">
        <v>7210100390</v>
      </c>
      <c r="B809" s="12" t="s">
        <v>6099</v>
      </c>
      <c r="C809" s="12" t="s">
        <v>6</v>
      </c>
      <c r="D809" s="12" t="s">
        <v>6100</v>
      </c>
    </row>
    <row r="810" spans="1:4">
      <c r="A810" s="12">
        <v>7210100400</v>
      </c>
      <c r="B810" s="12" t="s">
        <v>6101</v>
      </c>
      <c r="C810" s="12" t="s">
        <v>6</v>
      </c>
      <c r="D810" s="12" t="s">
        <v>5090</v>
      </c>
    </row>
    <row r="811" spans="1:4">
      <c r="A811" s="12">
        <v>7210100410</v>
      </c>
      <c r="B811" s="12" t="s">
        <v>6102</v>
      </c>
      <c r="C811" s="12" t="s">
        <v>6</v>
      </c>
      <c r="D811" s="12" t="s">
        <v>2158</v>
      </c>
    </row>
    <row r="812" spans="1:4">
      <c r="A812" s="12">
        <v>7210100420</v>
      </c>
      <c r="B812" s="12" t="s">
        <v>6103</v>
      </c>
      <c r="C812" s="12" t="s">
        <v>7</v>
      </c>
      <c r="D812" s="12" t="s">
        <v>6104</v>
      </c>
    </row>
    <row r="813" spans="1:4">
      <c r="A813" s="12">
        <v>7210100430</v>
      </c>
      <c r="B813" s="12" t="s">
        <v>6105</v>
      </c>
      <c r="C813" s="12" t="s">
        <v>7</v>
      </c>
      <c r="D813" s="12" t="s">
        <v>6106</v>
      </c>
    </row>
    <row r="814" spans="1:4">
      <c r="A814" s="12">
        <v>7210100440</v>
      </c>
      <c r="B814" s="12" t="s">
        <v>6107</v>
      </c>
      <c r="C814" s="12" t="s">
        <v>7</v>
      </c>
      <c r="D814" s="12" t="s">
        <v>6108</v>
      </c>
    </row>
    <row r="815" spans="1:4">
      <c r="A815" s="12">
        <v>7210100450</v>
      </c>
      <c r="B815" s="12" t="s">
        <v>6109</v>
      </c>
      <c r="C815" s="12" t="s">
        <v>9</v>
      </c>
      <c r="D815" s="12" t="s">
        <v>6110</v>
      </c>
    </row>
    <row r="816" spans="1:4">
      <c r="A816" s="12">
        <v>7210100460</v>
      </c>
      <c r="B816" s="12" t="s">
        <v>6111</v>
      </c>
      <c r="C816" s="12" t="s">
        <v>9</v>
      </c>
      <c r="D816" s="12" t="s">
        <v>2287</v>
      </c>
    </row>
    <row r="817" spans="1:4">
      <c r="A817" s="12">
        <v>7210100470</v>
      </c>
      <c r="B817" s="12" t="s">
        <v>6112</v>
      </c>
      <c r="C817" s="12" t="s">
        <v>7</v>
      </c>
      <c r="D817" s="24" t="s">
        <v>2125</v>
      </c>
    </row>
    <row r="818" spans="1:4">
      <c r="A818" s="12">
        <v>7210100480</v>
      </c>
      <c r="B818" s="12" t="s">
        <v>6113</v>
      </c>
      <c r="C818" s="12" t="s">
        <v>7</v>
      </c>
      <c r="D818" s="24" t="s">
        <v>6114</v>
      </c>
    </row>
    <row r="819" spans="1:4">
      <c r="A819" s="12">
        <v>7210100490</v>
      </c>
      <c r="B819" s="12" t="s">
        <v>6115</v>
      </c>
      <c r="C819" s="12" t="s">
        <v>7</v>
      </c>
      <c r="D819" s="12" t="s">
        <v>6116</v>
      </c>
    </row>
    <row r="820" spans="1:4">
      <c r="A820" s="12">
        <v>7210100500</v>
      </c>
      <c r="B820" s="12" t="s">
        <v>6117</v>
      </c>
      <c r="C820" s="12" t="s">
        <v>6</v>
      </c>
      <c r="D820" s="12" t="s">
        <v>4094</v>
      </c>
    </row>
    <row r="821" spans="1:4">
      <c r="A821" s="12">
        <v>7210100510</v>
      </c>
      <c r="B821" s="12" t="s">
        <v>6118</v>
      </c>
      <c r="C821" s="12" t="s">
        <v>6</v>
      </c>
      <c r="D821" s="12" t="s">
        <v>6119</v>
      </c>
    </row>
    <row r="822" spans="1:4">
      <c r="A822" s="12">
        <v>7210100520</v>
      </c>
      <c r="B822" s="12" t="s">
        <v>6120</v>
      </c>
      <c r="C822" s="12" t="s">
        <v>6</v>
      </c>
      <c r="D822" s="12" t="s">
        <v>6121</v>
      </c>
    </row>
    <row r="823" spans="1:4">
      <c r="A823" s="12">
        <v>7210100530</v>
      </c>
      <c r="B823" s="12" t="s">
        <v>6122</v>
      </c>
      <c r="C823" s="12" t="s">
        <v>6</v>
      </c>
      <c r="D823" s="12" t="s">
        <v>6123</v>
      </c>
    </row>
    <row r="824" spans="1:4">
      <c r="A824" s="12">
        <v>7210100540</v>
      </c>
      <c r="B824" s="12" t="s">
        <v>6124</v>
      </c>
      <c r="C824" s="12" t="s">
        <v>6</v>
      </c>
      <c r="D824" s="12" t="s">
        <v>6125</v>
      </c>
    </row>
    <row r="825" spans="1:4">
      <c r="A825" s="12">
        <v>7210100550</v>
      </c>
      <c r="B825" s="12" t="s">
        <v>6126</v>
      </c>
      <c r="C825" s="12" t="s">
        <v>6</v>
      </c>
      <c r="D825" s="12" t="s">
        <v>6127</v>
      </c>
    </row>
    <row r="826" spans="1:4">
      <c r="A826" s="12">
        <v>7210100580</v>
      </c>
      <c r="B826" s="12" t="s">
        <v>6128</v>
      </c>
      <c r="C826" s="12" t="s">
        <v>6</v>
      </c>
      <c r="D826" s="12" t="s">
        <v>6129</v>
      </c>
    </row>
    <row r="827" spans="1:4">
      <c r="A827" s="12">
        <v>7210100640</v>
      </c>
      <c r="B827" s="12" t="s">
        <v>6130</v>
      </c>
      <c r="C827" s="12" t="s">
        <v>6</v>
      </c>
      <c r="D827" s="12" t="s">
        <v>6131</v>
      </c>
    </row>
    <row r="828" spans="1:4">
      <c r="A828" s="12">
        <v>7210100650</v>
      </c>
      <c r="B828" s="12" t="s">
        <v>6132</v>
      </c>
      <c r="C828" s="12" t="s">
        <v>6</v>
      </c>
      <c r="D828" s="12" t="s">
        <v>6133</v>
      </c>
    </row>
    <row r="829" spans="1:4">
      <c r="A829" s="12">
        <v>7210100720</v>
      </c>
      <c r="B829" s="12" t="s">
        <v>6134</v>
      </c>
      <c r="C829" s="12" t="s">
        <v>7</v>
      </c>
      <c r="D829" s="12" t="s">
        <v>6135</v>
      </c>
    </row>
    <row r="830" spans="1:4">
      <c r="A830" s="12">
        <v>7210100725</v>
      </c>
      <c r="B830" s="12" t="s">
        <v>6136</v>
      </c>
      <c r="C830" s="12" t="s">
        <v>7</v>
      </c>
      <c r="D830" s="12" t="s">
        <v>6137</v>
      </c>
    </row>
    <row r="831" spans="1:4">
      <c r="A831" s="12">
        <v>7210100740</v>
      </c>
      <c r="B831" s="12" t="s">
        <v>6138</v>
      </c>
      <c r="C831" s="12" t="s">
        <v>6</v>
      </c>
      <c r="D831" s="12" t="s">
        <v>6139</v>
      </c>
    </row>
    <row r="836" spans="1:4">
      <c r="A836" s="12">
        <v>7210100750</v>
      </c>
      <c r="B836" s="12" t="s">
        <v>6140</v>
      </c>
      <c r="C836" s="12" t="s">
        <v>9</v>
      </c>
      <c r="D836" s="12" t="s">
        <v>6141</v>
      </c>
    </row>
    <row r="837" spans="1:4">
      <c r="A837" s="12">
        <v>7210100760</v>
      </c>
      <c r="B837" s="12" t="s">
        <v>6142</v>
      </c>
      <c r="C837" s="12" t="s">
        <v>8</v>
      </c>
      <c r="D837" s="12" t="s">
        <v>2883</v>
      </c>
    </row>
    <row r="838" spans="1:4">
      <c r="A838" s="12">
        <v>7210100770</v>
      </c>
      <c r="B838" s="12" t="s">
        <v>6143</v>
      </c>
      <c r="C838" s="12" t="s">
        <v>9</v>
      </c>
      <c r="D838" s="12" t="s">
        <v>2108</v>
      </c>
    </row>
    <row r="839" spans="1:4">
      <c r="A839" s="12">
        <v>7210100780</v>
      </c>
      <c r="B839" s="12" t="s">
        <v>6144</v>
      </c>
      <c r="C839" s="12" t="s">
        <v>9</v>
      </c>
      <c r="D839" s="12" t="s">
        <v>2392</v>
      </c>
    </row>
    <row r="840" spans="1:4">
      <c r="A840" s="12">
        <v>7210100790</v>
      </c>
      <c r="B840" s="12" t="s">
        <v>6145</v>
      </c>
      <c r="C840" s="12" t="s">
        <v>12</v>
      </c>
      <c r="D840" s="12" t="s">
        <v>6146</v>
      </c>
    </row>
    <row r="841" spans="1:4">
      <c r="A841" s="12">
        <v>7210100800</v>
      </c>
      <c r="B841" s="12" t="s">
        <v>6147</v>
      </c>
      <c r="C841" s="12" t="s">
        <v>9</v>
      </c>
      <c r="D841" s="12" t="s">
        <v>6148</v>
      </c>
    </row>
    <row r="842" spans="1:4">
      <c r="A842" s="12" t="s">
        <v>6149</v>
      </c>
    </row>
    <row r="843" spans="1:4">
      <c r="A843" s="12">
        <v>7230100010</v>
      </c>
      <c r="B843" s="12" t="s">
        <v>6150</v>
      </c>
      <c r="C843" s="12" t="s">
        <v>12</v>
      </c>
      <c r="D843" s="12" t="s">
        <v>6151</v>
      </c>
    </row>
    <row r="844" spans="1:4">
      <c r="A844" s="12">
        <v>7230100020</v>
      </c>
      <c r="B844" s="12" t="s">
        <v>6152</v>
      </c>
      <c r="C844" s="12" t="s">
        <v>12</v>
      </c>
      <c r="D844" s="12" t="s">
        <v>6153</v>
      </c>
    </row>
    <row r="845" spans="1:4">
      <c r="A845" s="12">
        <v>7230100030</v>
      </c>
      <c r="B845" s="12" t="s">
        <v>6154</v>
      </c>
      <c r="C845" s="12" t="s">
        <v>12</v>
      </c>
      <c r="D845" s="12" t="s">
        <v>6153</v>
      </c>
    </row>
    <row r="846" spans="1:4">
      <c r="A846" s="12">
        <v>7230100040</v>
      </c>
      <c r="B846" s="12" t="s">
        <v>6155</v>
      </c>
      <c r="C846" s="12" t="s">
        <v>12</v>
      </c>
      <c r="D846" s="12" t="s">
        <v>6156</v>
      </c>
    </row>
    <row r="847" spans="1:4">
      <c r="A847" s="12">
        <v>7230100050</v>
      </c>
      <c r="B847" s="12" t="s">
        <v>6157</v>
      </c>
      <c r="C847" s="12" t="s">
        <v>9</v>
      </c>
      <c r="D847" s="12" t="s">
        <v>6158</v>
      </c>
    </row>
    <row r="848" spans="1:4">
      <c r="A848" s="12">
        <v>7230100060</v>
      </c>
      <c r="B848" s="12" t="s">
        <v>6159</v>
      </c>
      <c r="C848" s="12" t="s">
        <v>12</v>
      </c>
      <c r="D848" s="12" t="s">
        <v>3938</v>
      </c>
    </row>
    <row r="849" spans="1:4">
      <c r="A849" s="12">
        <v>7230100070</v>
      </c>
      <c r="B849" s="12" t="s">
        <v>6160</v>
      </c>
      <c r="C849" s="12" t="s">
        <v>12</v>
      </c>
      <c r="D849" s="12" t="s">
        <v>6161</v>
      </c>
    </row>
    <row r="850" spans="1:4">
      <c r="A850" s="12">
        <v>7230100080</v>
      </c>
      <c r="B850" s="12" t="s">
        <v>6162</v>
      </c>
      <c r="C850" s="12" t="s">
        <v>7</v>
      </c>
      <c r="D850" s="12" t="s">
        <v>6163</v>
      </c>
    </row>
    <row r="851" spans="1:4">
      <c r="A851" s="12">
        <v>7230100090</v>
      </c>
      <c r="B851" s="12" t="s">
        <v>6164</v>
      </c>
      <c r="C851" s="12" t="s">
        <v>6</v>
      </c>
      <c r="D851" s="12" t="s">
        <v>6165</v>
      </c>
    </row>
    <row r="852" spans="1:4">
      <c r="A852" s="12">
        <v>7230100100</v>
      </c>
      <c r="B852" s="12" t="s">
        <v>6166</v>
      </c>
      <c r="C852" s="12" t="s">
        <v>12</v>
      </c>
      <c r="D852" s="12" t="s">
        <v>6167</v>
      </c>
    </row>
    <row r="853" spans="1:4">
      <c r="A853" s="12">
        <v>7230100110</v>
      </c>
      <c r="B853" s="12" t="s">
        <v>6168</v>
      </c>
      <c r="C853" s="12" t="s">
        <v>12</v>
      </c>
      <c r="D853" s="12" t="s">
        <v>6169</v>
      </c>
    </row>
    <row r="854" spans="1:4">
      <c r="A854" s="12">
        <v>7230100120</v>
      </c>
      <c r="B854" s="12" t="s">
        <v>6170</v>
      </c>
      <c r="C854" s="12" t="s">
        <v>12</v>
      </c>
      <c r="D854" s="12" t="s">
        <v>6171</v>
      </c>
    </row>
    <row r="855" spans="1:4">
      <c r="A855" s="12">
        <v>7230100130</v>
      </c>
      <c r="B855" s="12" t="s">
        <v>6172</v>
      </c>
      <c r="C855" s="12" t="s">
        <v>12</v>
      </c>
      <c r="D855" s="12" t="s">
        <v>6171</v>
      </c>
    </row>
    <row r="856" spans="1:4">
      <c r="A856" s="12">
        <v>7230100140</v>
      </c>
      <c r="B856" s="12" t="s">
        <v>6173</v>
      </c>
      <c r="C856" s="12" t="s">
        <v>12</v>
      </c>
      <c r="D856" s="12" t="s">
        <v>6171</v>
      </c>
    </row>
    <row r="857" spans="1:4">
      <c r="A857" s="12">
        <v>7230100150</v>
      </c>
      <c r="B857" s="12" t="s">
        <v>6174</v>
      </c>
      <c r="C857" s="12" t="s">
        <v>12</v>
      </c>
      <c r="D857" s="12" t="s">
        <v>6171</v>
      </c>
    </row>
    <row r="858" spans="1:4">
      <c r="A858" s="12">
        <v>7230100160</v>
      </c>
      <c r="B858" s="12" t="s">
        <v>6175</v>
      </c>
      <c r="C858" s="12" t="s">
        <v>12</v>
      </c>
      <c r="D858" s="12" t="s">
        <v>6176</v>
      </c>
    </row>
    <row r="859" spans="1:4">
      <c r="A859" s="12" t="s">
        <v>6177</v>
      </c>
    </row>
    <row r="860" spans="1:4">
      <c r="A860" s="12">
        <v>7250100010</v>
      </c>
      <c r="B860" s="12" t="s">
        <v>6178</v>
      </c>
      <c r="C860" s="12" t="s">
        <v>6</v>
      </c>
      <c r="D860" s="12" t="s">
        <v>6179</v>
      </c>
    </row>
    <row r="861" spans="1:4">
      <c r="A861" s="12">
        <v>7250100020</v>
      </c>
      <c r="B861" s="12" t="s">
        <v>6180</v>
      </c>
      <c r="C861" s="12" t="s">
        <v>6</v>
      </c>
      <c r="D861" s="12" t="s">
        <v>6181</v>
      </c>
    </row>
    <row r="862" spans="1:4">
      <c r="A862" s="12">
        <v>7250100030</v>
      </c>
      <c r="B862" s="12" t="s">
        <v>6182</v>
      </c>
      <c r="C862" s="12" t="s">
        <v>6</v>
      </c>
      <c r="D862" s="12" t="s">
        <v>4225</v>
      </c>
    </row>
    <row r="863" spans="1:4">
      <c r="A863" s="12">
        <v>7250100040</v>
      </c>
      <c r="B863" s="12" t="s">
        <v>6183</v>
      </c>
      <c r="C863" s="12" t="s">
        <v>6</v>
      </c>
      <c r="D863" s="12" t="s">
        <v>6184</v>
      </c>
    </row>
    <row r="864" spans="1:4">
      <c r="A864" s="12">
        <v>7250100050</v>
      </c>
      <c r="B864" s="12" t="s">
        <v>6185</v>
      </c>
      <c r="C864" s="12" t="s">
        <v>6</v>
      </c>
      <c r="D864" s="12" t="s">
        <v>6186</v>
      </c>
    </row>
    <row r="865" spans="1:4">
      <c r="A865" s="12">
        <v>7250100060</v>
      </c>
      <c r="B865" s="12" t="s">
        <v>6187</v>
      </c>
      <c r="C865" s="12" t="s">
        <v>6</v>
      </c>
      <c r="D865" s="12" t="s">
        <v>2126</v>
      </c>
    </row>
    <row r="866" spans="1:4">
      <c r="A866" s="12">
        <v>7250100070</v>
      </c>
      <c r="B866" s="12" t="s">
        <v>6188</v>
      </c>
      <c r="C866" s="12" t="s">
        <v>6</v>
      </c>
      <c r="D866" s="12" t="s">
        <v>3939</v>
      </c>
    </row>
    <row r="867" spans="1:4">
      <c r="A867" s="12">
        <v>7250100080</v>
      </c>
      <c r="B867" s="12" t="s">
        <v>6189</v>
      </c>
      <c r="C867" s="12" t="s">
        <v>6</v>
      </c>
      <c r="D867" s="12" t="s">
        <v>6190</v>
      </c>
    </row>
    <row r="868" spans="1:4">
      <c r="A868" s="12">
        <v>7250100090</v>
      </c>
      <c r="B868" s="12" t="s">
        <v>6191</v>
      </c>
      <c r="C868" s="12" t="s">
        <v>6</v>
      </c>
      <c r="D868" s="12" t="s">
        <v>6192</v>
      </c>
    </row>
    <row r="869" spans="1:4">
      <c r="A869" s="12">
        <v>7250100100</v>
      </c>
      <c r="B869" s="12" t="s">
        <v>6193</v>
      </c>
      <c r="C869" s="12" t="s">
        <v>6</v>
      </c>
      <c r="D869" s="12" t="s">
        <v>6194</v>
      </c>
    </row>
    <row r="870" spans="1:4">
      <c r="A870" s="12">
        <v>7250100110</v>
      </c>
      <c r="B870" s="12" t="s">
        <v>6195</v>
      </c>
      <c r="C870" s="12" t="s">
        <v>6</v>
      </c>
      <c r="D870" s="12" t="s">
        <v>6196</v>
      </c>
    </row>
    <row r="871" spans="1:4">
      <c r="A871" s="12">
        <v>7250100120</v>
      </c>
      <c r="B871" s="12" t="s">
        <v>6197</v>
      </c>
      <c r="C871" s="12" t="s">
        <v>6</v>
      </c>
      <c r="D871" s="12" t="s">
        <v>6198</v>
      </c>
    </row>
    <row r="872" spans="1:4">
      <c r="A872" s="12">
        <v>7250100130</v>
      </c>
      <c r="B872" s="12" t="s">
        <v>6199</v>
      </c>
      <c r="C872" s="12" t="s">
        <v>6</v>
      </c>
      <c r="D872" s="12" t="s">
        <v>6200</v>
      </c>
    </row>
    <row r="873" spans="1:4">
      <c r="A873" s="12">
        <v>7250100140</v>
      </c>
      <c r="B873" s="12" t="s">
        <v>6201</v>
      </c>
      <c r="C873" s="12" t="s">
        <v>6</v>
      </c>
      <c r="D873" s="12" t="s">
        <v>6202</v>
      </c>
    </row>
    <row r="874" spans="1:4">
      <c r="A874" s="12">
        <v>7250100150</v>
      </c>
      <c r="B874" s="12" t="s">
        <v>6203</v>
      </c>
      <c r="C874" s="12" t="s">
        <v>6</v>
      </c>
      <c r="D874" s="12" t="s">
        <v>6204</v>
      </c>
    </row>
    <row r="875" spans="1:4">
      <c r="A875" s="12">
        <v>7250100160</v>
      </c>
      <c r="B875" s="12" t="s">
        <v>6205</v>
      </c>
      <c r="C875" s="12" t="s">
        <v>6</v>
      </c>
      <c r="D875" s="24" t="s">
        <v>5411</v>
      </c>
    </row>
    <row r="876" spans="1:4">
      <c r="A876" s="12">
        <v>7250100170</v>
      </c>
      <c r="B876" s="12" t="s">
        <v>6206</v>
      </c>
      <c r="C876" s="12" t="s">
        <v>6</v>
      </c>
      <c r="D876" s="24" t="s">
        <v>6207</v>
      </c>
    </row>
    <row r="877" spans="1:4">
      <c r="A877" s="12">
        <v>7250100180</v>
      </c>
      <c r="B877" s="12" t="s">
        <v>6208</v>
      </c>
      <c r="C877" s="12" t="s">
        <v>6</v>
      </c>
      <c r="D877" s="12" t="s">
        <v>6209</v>
      </c>
    </row>
    <row r="878" spans="1:4">
      <c r="A878" s="12">
        <v>7250100190</v>
      </c>
      <c r="B878" s="12" t="s">
        <v>6210</v>
      </c>
      <c r="C878" s="12" t="s">
        <v>6</v>
      </c>
      <c r="D878" s="12" t="s">
        <v>6211</v>
      </c>
    </row>
    <row r="879" spans="1:4">
      <c r="A879" s="12">
        <v>7250100200</v>
      </c>
      <c r="B879" s="12" t="s">
        <v>6212</v>
      </c>
      <c r="C879" s="12" t="s">
        <v>6</v>
      </c>
      <c r="D879" s="12" t="s">
        <v>6213</v>
      </c>
    </row>
    <row r="880" spans="1:4">
      <c r="A880" s="12">
        <v>7250100210</v>
      </c>
      <c r="B880" s="12" t="s">
        <v>6214</v>
      </c>
      <c r="C880" s="12" t="s">
        <v>6</v>
      </c>
      <c r="D880" s="12" t="s">
        <v>6215</v>
      </c>
    </row>
    <row r="881" spans="1:4">
      <c r="A881" s="12">
        <v>7250100220</v>
      </c>
      <c r="B881" s="12" t="s">
        <v>6216</v>
      </c>
      <c r="C881" s="12" t="s">
        <v>6</v>
      </c>
      <c r="D881" s="12" t="s">
        <v>6217</v>
      </c>
    </row>
    <row r="882" spans="1:4">
      <c r="A882" s="12">
        <v>7250100230</v>
      </c>
      <c r="B882" s="12" t="s">
        <v>6218</v>
      </c>
      <c r="C882" s="12" t="s">
        <v>6</v>
      </c>
      <c r="D882" s="12" t="s">
        <v>6219</v>
      </c>
    </row>
    <row r="883" spans="1:4">
      <c r="A883" s="12">
        <v>7250100240</v>
      </c>
      <c r="B883" s="12" t="s">
        <v>6220</v>
      </c>
      <c r="C883" s="12" t="s">
        <v>6</v>
      </c>
      <c r="D883" s="12" t="s">
        <v>6221</v>
      </c>
    </row>
    <row r="888" spans="1:4">
      <c r="A888" s="12">
        <v>7250200010</v>
      </c>
      <c r="B888" s="12" t="s">
        <v>6222</v>
      </c>
      <c r="C888" s="12" t="s">
        <v>6</v>
      </c>
      <c r="D888" s="12" t="s">
        <v>2198</v>
      </c>
    </row>
    <row r="889" spans="1:4">
      <c r="A889" s="12">
        <v>7250200020</v>
      </c>
      <c r="B889" s="12" t="s">
        <v>6223</v>
      </c>
      <c r="C889" s="12" t="s">
        <v>6</v>
      </c>
      <c r="D889" s="12" t="s">
        <v>6224</v>
      </c>
    </row>
    <row r="890" spans="1:4">
      <c r="A890" s="12">
        <v>7250200030</v>
      </c>
      <c r="B890" s="12" t="s">
        <v>6225</v>
      </c>
      <c r="C890" s="12" t="s">
        <v>6</v>
      </c>
      <c r="D890" s="12" t="s">
        <v>6226</v>
      </c>
    </row>
    <row r="891" spans="1:4">
      <c r="A891" s="12">
        <v>7250200040</v>
      </c>
      <c r="B891" s="12" t="s">
        <v>6227</v>
      </c>
      <c r="C891" s="12" t="s">
        <v>6</v>
      </c>
      <c r="D891" s="12" t="s">
        <v>6228</v>
      </c>
    </row>
    <row r="892" spans="1:4">
      <c r="A892" s="12">
        <v>7250200050</v>
      </c>
      <c r="B892" s="12" t="s">
        <v>6229</v>
      </c>
      <c r="C892" s="12" t="s">
        <v>6</v>
      </c>
      <c r="D892" s="12" t="s">
        <v>6230</v>
      </c>
    </row>
    <row r="893" spans="1:4">
      <c r="A893" s="12">
        <v>7250200060</v>
      </c>
      <c r="B893" s="12" t="s">
        <v>6231</v>
      </c>
      <c r="C893" s="12" t="s">
        <v>6</v>
      </c>
      <c r="D893" s="12" t="s">
        <v>6232</v>
      </c>
    </row>
    <row r="894" spans="1:4">
      <c r="A894" s="12">
        <v>7250200070</v>
      </c>
      <c r="B894" s="12" t="s">
        <v>6233</v>
      </c>
      <c r="C894" s="12" t="s">
        <v>6</v>
      </c>
      <c r="D894" s="12" t="s">
        <v>6234</v>
      </c>
    </row>
    <row r="895" spans="1:4">
      <c r="A895" s="12">
        <v>7250200080</v>
      </c>
      <c r="B895" s="12" t="s">
        <v>6235</v>
      </c>
      <c r="C895" s="12" t="s">
        <v>6</v>
      </c>
      <c r="D895" s="12" t="s">
        <v>6236</v>
      </c>
    </row>
    <row r="896" spans="1:4">
      <c r="A896" s="12">
        <v>7250200090</v>
      </c>
      <c r="B896" s="12" t="s">
        <v>6237</v>
      </c>
      <c r="C896" s="12" t="s">
        <v>6</v>
      </c>
      <c r="D896" s="12" t="s">
        <v>6238</v>
      </c>
    </row>
    <row r="897" spans="1:4">
      <c r="A897" s="12">
        <v>7250200100</v>
      </c>
      <c r="B897" s="12" t="s">
        <v>6239</v>
      </c>
      <c r="C897" s="12" t="s">
        <v>6</v>
      </c>
      <c r="D897" s="12" t="s">
        <v>6240</v>
      </c>
    </row>
    <row r="898" spans="1:4">
      <c r="A898" s="12">
        <v>7250200110</v>
      </c>
      <c r="B898" s="12" t="s">
        <v>6241</v>
      </c>
      <c r="C898" s="12" t="s">
        <v>6</v>
      </c>
      <c r="D898" s="12" t="s">
        <v>6242</v>
      </c>
    </row>
    <row r="899" spans="1:4">
      <c r="A899" s="12">
        <v>7250200120</v>
      </c>
      <c r="B899" s="12" t="s">
        <v>6243</v>
      </c>
      <c r="C899" s="12" t="s">
        <v>6</v>
      </c>
      <c r="D899" s="12" t="s">
        <v>6244</v>
      </c>
    </row>
    <row r="900" spans="1:4">
      <c r="A900" s="12">
        <v>7250200130</v>
      </c>
      <c r="B900" s="12" t="s">
        <v>6245</v>
      </c>
      <c r="C900" s="12" t="s">
        <v>6</v>
      </c>
      <c r="D900" s="12" t="s">
        <v>6246</v>
      </c>
    </row>
    <row r="901" spans="1:4">
      <c r="A901" s="12">
        <v>7250200140</v>
      </c>
      <c r="B901" s="12" t="s">
        <v>6247</v>
      </c>
      <c r="C901" s="12" t="s">
        <v>6</v>
      </c>
      <c r="D901" s="12" t="s">
        <v>6248</v>
      </c>
    </row>
    <row r="902" spans="1:4">
      <c r="A902" s="12">
        <v>7250200150</v>
      </c>
      <c r="B902" s="12" t="s">
        <v>6249</v>
      </c>
      <c r="C902" s="12" t="s">
        <v>6</v>
      </c>
      <c r="D902" s="12" t="s">
        <v>4399</v>
      </c>
    </row>
    <row r="903" spans="1:4">
      <c r="A903" s="12">
        <v>7250200160</v>
      </c>
      <c r="B903" s="12" t="s">
        <v>6250</v>
      </c>
      <c r="C903" s="12" t="s">
        <v>6</v>
      </c>
      <c r="D903" s="12" t="s">
        <v>6251</v>
      </c>
    </row>
    <row r="904" spans="1:4">
      <c r="A904" s="12">
        <v>7250200170</v>
      </c>
      <c r="B904" s="12" t="s">
        <v>6252</v>
      </c>
      <c r="C904" s="12" t="s">
        <v>6</v>
      </c>
      <c r="D904" s="12" t="s">
        <v>6253</v>
      </c>
    </row>
    <row r="905" spans="1:4">
      <c r="A905" s="12">
        <v>7250200180</v>
      </c>
      <c r="B905" s="12" t="s">
        <v>6254</v>
      </c>
      <c r="C905" s="12" t="s">
        <v>6</v>
      </c>
      <c r="D905" s="12" t="s">
        <v>6255</v>
      </c>
    </row>
    <row r="906" spans="1:4">
      <c r="A906" s="12">
        <v>7250200190</v>
      </c>
      <c r="B906" s="12" t="s">
        <v>6256</v>
      </c>
      <c r="C906" s="12" t="s">
        <v>6</v>
      </c>
      <c r="D906" s="12" t="s">
        <v>6257</v>
      </c>
    </row>
    <row r="907" spans="1:4">
      <c r="A907" s="12">
        <v>7250200200</v>
      </c>
      <c r="B907" s="12" t="s">
        <v>6258</v>
      </c>
      <c r="C907" s="12" t="s">
        <v>6</v>
      </c>
      <c r="D907" s="12" t="s">
        <v>6259</v>
      </c>
    </row>
    <row r="908" spans="1:4">
      <c r="A908" s="12">
        <v>7250200210</v>
      </c>
      <c r="B908" s="12" t="s">
        <v>6260</v>
      </c>
      <c r="C908" s="12" t="s">
        <v>6</v>
      </c>
      <c r="D908" s="12" t="s">
        <v>6261</v>
      </c>
    </row>
    <row r="909" spans="1:4">
      <c r="A909" s="12">
        <v>7250200220</v>
      </c>
      <c r="B909" s="12" t="s">
        <v>6262</v>
      </c>
      <c r="C909" s="12" t="s">
        <v>6</v>
      </c>
      <c r="D909" s="12" t="s">
        <v>2279</v>
      </c>
    </row>
    <row r="910" spans="1:4">
      <c r="A910" s="12">
        <v>7250200230</v>
      </c>
      <c r="B910" s="12" t="s">
        <v>6263</v>
      </c>
      <c r="C910" s="12" t="s">
        <v>6</v>
      </c>
      <c r="D910" s="12" t="s">
        <v>6264</v>
      </c>
    </row>
    <row r="911" spans="1:4">
      <c r="A911" s="12">
        <v>7250200240</v>
      </c>
      <c r="B911" s="12" t="s">
        <v>6265</v>
      </c>
      <c r="C911" s="12" t="s">
        <v>6</v>
      </c>
      <c r="D911" s="12" t="s">
        <v>6266</v>
      </c>
    </row>
    <row r="912" spans="1:4">
      <c r="A912" s="12">
        <v>7250200250</v>
      </c>
      <c r="B912" s="12" t="s">
        <v>6267</v>
      </c>
      <c r="C912" s="12" t="s">
        <v>6</v>
      </c>
      <c r="D912" s="12" t="s">
        <v>6268</v>
      </c>
    </row>
    <row r="913" spans="1:4">
      <c r="A913" s="12">
        <v>7250200260</v>
      </c>
      <c r="B913" s="12" t="s">
        <v>6269</v>
      </c>
      <c r="C913" s="12" t="s">
        <v>6</v>
      </c>
      <c r="D913" s="12" t="s">
        <v>6270</v>
      </c>
    </row>
    <row r="914" spans="1:4">
      <c r="A914" s="12">
        <v>7250200270</v>
      </c>
      <c r="B914" s="12" t="s">
        <v>6271</v>
      </c>
      <c r="C914" s="12" t="s">
        <v>6</v>
      </c>
      <c r="D914" s="12" t="s">
        <v>6272</v>
      </c>
    </row>
    <row r="915" spans="1:4">
      <c r="A915" s="12">
        <v>7250200280</v>
      </c>
      <c r="B915" s="12" t="s">
        <v>6273</v>
      </c>
      <c r="C915" s="12" t="s">
        <v>6</v>
      </c>
      <c r="D915" s="12" t="s">
        <v>6274</v>
      </c>
    </row>
    <row r="916" spans="1:4">
      <c r="A916" s="12">
        <v>7250300010</v>
      </c>
      <c r="B916" s="12" t="s">
        <v>6275</v>
      </c>
      <c r="C916" s="12" t="s">
        <v>6</v>
      </c>
      <c r="D916" s="12" t="s">
        <v>6276</v>
      </c>
    </row>
    <row r="917" spans="1:4">
      <c r="A917" s="12">
        <v>7250300020</v>
      </c>
      <c r="B917" s="12" t="s">
        <v>6277</v>
      </c>
      <c r="C917" s="12" t="s">
        <v>6</v>
      </c>
      <c r="D917" s="12" t="s">
        <v>6278</v>
      </c>
    </row>
    <row r="918" spans="1:4">
      <c r="A918" s="12">
        <v>7250300030</v>
      </c>
      <c r="B918" s="12" t="s">
        <v>6279</v>
      </c>
      <c r="C918" s="12" t="s">
        <v>6</v>
      </c>
      <c r="D918" s="12" t="s">
        <v>6280</v>
      </c>
    </row>
    <row r="919" spans="1:4">
      <c r="A919" s="12">
        <v>7250300040</v>
      </c>
      <c r="B919" s="12" t="s">
        <v>6281</v>
      </c>
      <c r="C919" s="12" t="s">
        <v>6</v>
      </c>
      <c r="D919" s="12" t="s">
        <v>6282</v>
      </c>
    </row>
    <row r="920" spans="1:4">
      <c r="A920" s="12">
        <v>7250300050</v>
      </c>
      <c r="B920" s="12" t="s">
        <v>6283</v>
      </c>
      <c r="C920" s="12" t="s">
        <v>6</v>
      </c>
      <c r="D920" s="12" t="s">
        <v>6284</v>
      </c>
    </row>
    <row r="921" spans="1:4">
      <c r="A921" s="12">
        <v>7250300060</v>
      </c>
      <c r="B921" s="12" t="s">
        <v>6285</v>
      </c>
      <c r="C921" s="12" t="s">
        <v>6</v>
      </c>
      <c r="D921" s="12" t="s">
        <v>6286</v>
      </c>
    </row>
    <row r="922" spans="1:4">
      <c r="A922" s="12">
        <v>7250300070</v>
      </c>
      <c r="B922" s="12" t="s">
        <v>6287</v>
      </c>
      <c r="C922" s="12" t="s">
        <v>6</v>
      </c>
      <c r="D922" s="12" t="s">
        <v>6288</v>
      </c>
    </row>
    <row r="923" spans="1:4">
      <c r="A923" s="12">
        <v>7250300080</v>
      </c>
      <c r="B923" s="12" t="s">
        <v>6289</v>
      </c>
      <c r="C923" s="12" t="s">
        <v>6</v>
      </c>
      <c r="D923" s="12" t="s">
        <v>6290</v>
      </c>
    </row>
    <row r="924" spans="1:4">
      <c r="A924" s="12">
        <v>7250300090</v>
      </c>
      <c r="B924" s="12" t="s">
        <v>6291</v>
      </c>
      <c r="C924" s="12" t="s">
        <v>6</v>
      </c>
      <c r="D924" s="12" t="s">
        <v>6292</v>
      </c>
    </row>
    <row r="925" spans="1:4">
      <c r="A925" s="12">
        <v>7250300100</v>
      </c>
      <c r="B925" s="12" t="s">
        <v>6293</v>
      </c>
      <c r="C925" s="12" t="s">
        <v>6</v>
      </c>
      <c r="D925" s="12" t="s">
        <v>6294</v>
      </c>
    </row>
    <row r="926" spans="1:4">
      <c r="A926" s="12">
        <v>7250300110</v>
      </c>
      <c r="B926" s="12" t="s">
        <v>6295</v>
      </c>
      <c r="C926" s="12" t="s">
        <v>6</v>
      </c>
      <c r="D926" s="12" t="s">
        <v>6296</v>
      </c>
    </row>
    <row r="927" spans="1:4">
      <c r="A927" s="12">
        <v>7250300120</v>
      </c>
      <c r="B927" s="12" t="s">
        <v>6297</v>
      </c>
      <c r="C927" s="12" t="s">
        <v>6</v>
      </c>
      <c r="D927" s="12" t="s">
        <v>6298</v>
      </c>
    </row>
    <row r="928" spans="1:4">
      <c r="A928" s="12">
        <v>7250300130</v>
      </c>
      <c r="B928" s="12" t="s">
        <v>6299</v>
      </c>
      <c r="C928" s="12" t="s">
        <v>6</v>
      </c>
      <c r="D928" s="12" t="s">
        <v>2254</v>
      </c>
    </row>
    <row r="929" spans="1:4">
      <c r="A929" s="12">
        <v>7250300140</v>
      </c>
      <c r="B929" s="12" t="s">
        <v>6300</v>
      </c>
      <c r="C929" s="12" t="s">
        <v>6</v>
      </c>
      <c r="D929" s="12" t="s">
        <v>6301</v>
      </c>
    </row>
    <row r="930" spans="1:4">
      <c r="A930" s="12">
        <v>7250300150</v>
      </c>
      <c r="B930" s="12" t="s">
        <v>6302</v>
      </c>
      <c r="C930" s="12" t="s">
        <v>6</v>
      </c>
      <c r="D930" s="12" t="s">
        <v>6303</v>
      </c>
    </row>
    <row r="931" spans="1:4">
      <c r="A931" s="12">
        <v>7250300160</v>
      </c>
      <c r="B931" s="12" t="s">
        <v>6304</v>
      </c>
      <c r="C931" s="12" t="s">
        <v>6</v>
      </c>
      <c r="D931" s="12" t="s">
        <v>6305</v>
      </c>
    </row>
    <row r="932" spans="1:4">
      <c r="A932" s="12">
        <v>7250300170</v>
      </c>
      <c r="B932" s="12" t="s">
        <v>6306</v>
      </c>
      <c r="C932" s="12" t="s">
        <v>6</v>
      </c>
      <c r="D932" s="12" t="s">
        <v>6307</v>
      </c>
    </row>
    <row r="933" spans="1:4">
      <c r="A933" s="12">
        <v>7250300180</v>
      </c>
      <c r="B933" s="12" t="s">
        <v>6308</v>
      </c>
      <c r="C933" s="12" t="s">
        <v>6</v>
      </c>
      <c r="D933" s="24" t="s">
        <v>6309</v>
      </c>
    </row>
    <row r="934" spans="1:4">
      <c r="A934" s="12">
        <v>7250300190</v>
      </c>
      <c r="B934" s="12" t="s">
        <v>6310</v>
      </c>
      <c r="C934" s="12" t="s">
        <v>6</v>
      </c>
      <c r="D934" s="24" t="s">
        <v>6311</v>
      </c>
    </row>
    <row r="935" spans="1:4">
      <c r="A935" s="12">
        <v>7250300200</v>
      </c>
      <c r="B935" s="12" t="s">
        <v>6312</v>
      </c>
      <c r="C935" s="12" t="s">
        <v>6</v>
      </c>
      <c r="D935" s="12" t="s">
        <v>6313</v>
      </c>
    </row>
    <row r="940" spans="1:4">
      <c r="A940" s="12">
        <v>7250300210</v>
      </c>
      <c r="B940" s="12" t="s">
        <v>6314</v>
      </c>
      <c r="C940" s="12" t="s">
        <v>6</v>
      </c>
      <c r="D940" s="12" t="s">
        <v>6315</v>
      </c>
    </row>
    <row r="941" spans="1:4">
      <c r="A941" s="12">
        <v>7250300220</v>
      </c>
      <c r="B941" s="12" t="s">
        <v>6316</v>
      </c>
      <c r="C941" s="12" t="s">
        <v>6</v>
      </c>
      <c r="D941" s="12" t="s">
        <v>6317</v>
      </c>
    </row>
    <row r="942" spans="1:4">
      <c r="A942" s="12">
        <v>7250300230</v>
      </c>
      <c r="B942" s="12" t="s">
        <v>6318</v>
      </c>
      <c r="C942" s="12" t="s">
        <v>6</v>
      </c>
      <c r="D942" s="12" t="s">
        <v>6319</v>
      </c>
    </row>
    <row r="943" spans="1:4">
      <c r="A943" s="12">
        <v>7250300240</v>
      </c>
      <c r="B943" s="12" t="s">
        <v>6320</v>
      </c>
      <c r="C943" s="12" t="s">
        <v>6</v>
      </c>
      <c r="D943" s="12" t="s">
        <v>6321</v>
      </c>
    </row>
    <row r="944" spans="1:4">
      <c r="A944" s="12">
        <v>7250300250</v>
      </c>
      <c r="B944" s="12" t="s">
        <v>6322</v>
      </c>
      <c r="C944" s="12" t="s">
        <v>6</v>
      </c>
      <c r="D944" s="12" t="s">
        <v>6323</v>
      </c>
    </row>
    <row r="945" spans="1:4">
      <c r="A945" s="12">
        <v>7250300260</v>
      </c>
      <c r="B945" s="12" t="s">
        <v>6324</v>
      </c>
      <c r="C945" s="12" t="s">
        <v>6</v>
      </c>
      <c r="D945" s="12" t="s">
        <v>6325</v>
      </c>
    </row>
    <row r="946" spans="1:4">
      <c r="A946" s="12">
        <v>7250300270</v>
      </c>
      <c r="B946" s="12" t="s">
        <v>6326</v>
      </c>
      <c r="C946" s="12" t="s">
        <v>6</v>
      </c>
      <c r="D946" s="12" t="s">
        <v>6327</v>
      </c>
    </row>
    <row r="947" spans="1:4">
      <c r="A947" s="12">
        <v>7250300280</v>
      </c>
      <c r="B947" s="12" t="s">
        <v>6328</v>
      </c>
      <c r="C947" s="12" t="s">
        <v>6</v>
      </c>
      <c r="D947" s="12" t="s">
        <v>6329</v>
      </c>
    </row>
    <row r="948" spans="1:4">
      <c r="A948" s="12">
        <v>7250300290</v>
      </c>
      <c r="B948" s="12" t="s">
        <v>6330</v>
      </c>
      <c r="C948" s="12" t="s">
        <v>6</v>
      </c>
      <c r="D948" s="12" t="s">
        <v>6331</v>
      </c>
    </row>
    <row r="949" spans="1:4">
      <c r="A949" s="12">
        <v>7250300300</v>
      </c>
      <c r="B949" s="12" t="s">
        <v>6332</v>
      </c>
      <c r="C949" s="12" t="s">
        <v>6</v>
      </c>
      <c r="D949" s="12" t="s">
        <v>6333</v>
      </c>
    </row>
    <row r="950" spans="1:4">
      <c r="A950" s="12">
        <v>7250300310</v>
      </c>
      <c r="B950" s="12" t="s">
        <v>6334</v>
      </c>
      <c r="C950" s="12" t="s">
        <v>6</v>
      </c>
      <c r="D950" s="12" t="s">
        <v>6335</v>
      </c>
    </row>
    <row r="951" spans="1:4">
      <c r="A951" s="12">
        <v>7250300320</v>
      </c>
      <c r="B951" s="12" t="s">
        <v>6336</v>
      </c>
      <c r="C951" s="12" t="s">
        <v>6</v>
      </c>
      <c r="D951" s="12" t="s">
        <v>6337</v>
      </c>
    </row>
    <row r="952" spans="1:4">
      <c r="A952" s="12">
        <v>7250350010</v>
      </c>
      <c r="B952" s="12" t="s">
        <v>6338</v>
      </c>
      <c r="C952" s="12" t="s">
        <v>6</v>
      </c>
      <c r="D952" s="12" t="s">
        <v>4062</v>
      </c>
    </row>
    <row r="953" spans="1:4">
      <c r="A953" s="12">
        <v>7250350020</v>
      </c>
      <c r="B953" s="12" t="s">
        <v>6339</v>
      </c>
      <c r="C953" s="12" t="s">
        <v>6</v>
      </c>
      <c r="D953" s="12" t="s">
        <v>6340</v>
      </c>
    </row>
    <row r="954" spans="1:4">
      <c r="A954" s="12">
        <v>7250350030</v>
      </c>
      <c r="B954" s="12" t="s">
        <v>6341</v>
      </c>
      <c r="C954" s="12" t="s">
        <v>6</v>
      </c>
      <c r="D954" s="12" t="s">
        <v>6342</v>
      </c>
    </row>
    <row r="955" spans="1:4">
      <c r="A955" s="12">
        <v>7250350040</v>
      </c>
      <c r="B955" s="12" t="s">
        <v>6343</v>
      </c>
      <c r="C955" s="12" t="s">
        <v>6</v>
      </c>
      <c r="D955" s="12" t="s">
        <v>6344</v>
      </c>
    </row>
    <row r="956" spans="1:4">
      <c r="A956" s="12">
        <v>7250350050</v>
      </c>
      <c r="B956" s="12" t="s">
        <v>6345</v>
      </c>
      <c r="C956" s="12" t="s">
        <v>6</v>
      </c>
      <c r="D956" s="12" t="s">
        <v>4313</v>
      </c>
    </row>
    <row r="957" spans="1:4">
      <c r="A957" s="12">
        <v>7250350060</v>
      </c>
      <c r="B957" s="12" t="s">
        <v>6346</v>
      </c>
      <c r="C957" s="12" t="s">
        <v>6</v>
      </c>
      <c r="D957" s="12" t="s">
        <v>6347</v>
      </c>
    </row>
    <row r="958" spans="1:4">
      <c r="A958" s="12">
        <v>7250350070</v>
      </c>
      <c r="B958" s="12" t="s">
        <v>6348</v>
      </c>
      <c r="C958" s="12" t="s">
        <v>6</v>
      </c>
      <c r="D958" s="12" t="s">
        <v>6349</v>
      </c>
    </row>
    <row r="959" spans="1:4">
      <c r="A959" s="12">
        <v>7250350080</v>
      </c>
      <c r="B959" s="12" t="s">
        <v>6350</v>
      </c>
      <c r="C959" s="12" t="s">
        <v>6</v>
      </c>
      <c r="D959" s="12" t="s">
        <v>6125</v>
      </c>
    </row>
    <row r="960" spans="1:4">
      <c r="A960" s="12">
        <v>7250350090</v>
      </c>
      <c r="B960" s="12" t="s">
        <v>6351</v>
      </c>
      <c r="C960" s="12" t="s">
        <v>6</v>
      </c>
      <c r="D960" s="12" t="s">
        <v>6352</v>
      </c>
    </row>
    <row r="961" spans="1:4">
      <c r="A961" s="12">
        <v>7250350100</v>
      </c>
      <c r="B961" s="12" t="s">
        <v>6353</v>
      </c>
      <c r="C961" s="12" t="s">
        <v>6</v>
      </c>
      <c r="D961" s="12" t="s">
        <v>5070</v>
      </c>
    </row>
    <row r="962" spans="1:4">
      <c r="A962" s="12">
        <v>7250350110</v>
      </c>
      <c r="B962" s="12" t="s">
        <v>6354</v>
      </c>
      <c r="C962" s="12" t="s">
        <v>6</v>
      </c>
      <c r="D962" s="12" t="s">
        <v>2138</v>
      </c>
    </row>
    <row r="963" spans="1:4">
      <c r="A963" s="12">
        <v>7250350120</v>
      </c>
      <c r="B963" s="12" t="s">
        <v>6355</v>
      </c>
      <c r="C963" s="12" t="s">
        <v>6</v>
      </c>
      <c r="D963" s="12" t="s">
        <v>6356</v>
      </c>
    </row>
    <row r="964" spans="1:4">
      <c r="A964" s="12">
        <v>7250350130</v>
      </c>
      <c r="B964" s="12" t="s">
        <v>6357</v>
      </c>
      <c r="C964" s="12" t="s">
        <v>6</v>
      </c>
      <c r="D964" s="12" t="s">
        <v>6358</v>
      </c>
    </row>
    <row r="965" spans="1:4">
      <c r="A965" s="12">
        <v>7250350140</v>
      </c>
      <c r="B965" s="12" t="s">
        <v>6359</v>
      </c>
      <c r="C965" s="12" t="s">
        <v>6</v>
      </c>
      <c r="D965" s="12" t="s">
        <v>6360</v>
      </c>
    </row>
    <row r="966" spans="1:4">
      <c r="A966" s="12">
        <v>7250350150</v>
      </c>
      <c r="B966" s="12" t="s">
        <v>6361</v>
      </c>
      <c r="C966" s="12" t="s">
        <v>6</v>
      </c>
      <c r="D966" s="12" t="s">
        <v>6362</v>
      </c>
    </row>
    <row r="967" spans="1:4">
      <c r="A967" s="12">
        <v>7250350160</v>
      </c>
      <c r="B967" s="12" t="s">
        <v>6363</v>
      </c>
      <c r="C967" s="12" t="s">
        <v>6</v>
      </c>
      <c r="D967" s="12" t="s">
        <v>6364</v>
      </c>
    </row>
    <row r="968" spans="1:4">
      <c r="A968" s="12">
        <v>7250350170</v>
      </c>
      <c r="B968" s="12" t="s">
        <v>6365</v>
      </c>
      <c r="C968" s="12" t="s">
        <v>6</v>
      </c>
      <c r="D968" s="12" t="s">
        <v>4348</v>
      </c>
    </row>
    <row r="969" spans="1:4">
      <c r="A969" s="12">
        <v>7250350180</v>
      </c>
      <c r="B969" s="12" t="s">
        <v>6366</v>
      </c>
      <c r="C969" s="12" t="s">
        <v>6</v>
      </c>
      <c r="D969" s="12" t="s">
        <v>3925</v>
      </c>
    </row>
    <row r="970" spans="1:4">
      <c r="A970" s="12">
        <v>7250350190</v>
      </c>
      <c r="B970" s="12" t="s">
        <v>6367</v>
      </c>
      <c r="C970" s="12" t="s">
        <v>6</v>
      </c>
      <c r="D970" s="12" t="s">
        <v>6368</v>
      </c>
    </row>
    <row r="971" spans="1:4">
      <c r="A971" s="12">
        <v>7250350200</v>
      </c>
      <c r="B971" s="12" t="s">
        <v>6369</v>
      </c>
      <c r="C971" s="12" t="s">
        <v>6</v>
      </c>
      <c r="D971" s="12" t="s">
        <v>6370</v>
      </c>
    </row>
    <row r="972" spans="1:4">
      <c r="A972" s="12">
        <v>7250350210</v>
      </c>
      <c r="B972" s="12" t="s">
        <v>6371</v>
      </c>
      <c r="C972" s="12" t="s">
        <v>6</v>
      </c>
      <c r="D972" s="12" t="s">
        <v>4235</v>
      </c>
    </row>
    <row r="973" spans="1:4">
      <c r="A973" s="12">
        <v>7250350220</v>
      </c>
      <c r="B973" s="12" t="s">
        <v>6372</v>
      </c>
      <c r="C973" s="12" t="s">
        <v>6</v>
      </c>
      <c r="D973" s="12" t="s">
        <v>6373</v>
      </c>
    </row>
    <row r="974" spans="1:4">
      <c r="A974" s="12">
        <v>7250350230</v>
      </c>
      <c r="B974" s="12" t="s">
        <v>6374</v>
      </c>
      <c r="C974" s="12" t="s">
        <v>6</v>
      </c>
      <c r="D974" s="12" t="s">
        <v>6375</v>
      </c>
    </row>
    <row r="975" spans="1:4">
      <c r="A975" s="12">
        <v>7250350240</v>
      </c>
      <c r="B975" s="12" t="s">
        <v>6376</v>
      </c>
      <c r="C975" s="12" t="s">
        <v>6</v>
      </c>
      <c r="D975" s="12" t="s">
        <v>2607</v>
      </c>
    </row>
    <row r="976" spans="1:4">
      <c r="A976" s="12">
        <v>7250350250</v>
      </c>
      <c r="B976" s="12" t="s">
        <v>6377</v>
      </c>
      <c r="C976" s="12" t="s">
        <v>6</v>
      </c>
      <c r="D976" s="12" t="s">
        <v>6378</v>
      </c>
    </row>
    <row r="977" spans="1:4">
      <c r="A977" s="12">
        <v>7250350260</v>
      </c>
      <c r="B977" s="12" t="s">
        <v>6379</v>
      </c>
      <c r="C977" s="12" t="s">
        <v>6</v>
      </c>
      <c r="D977" s="12" t="s">
        <v>6380</v>
      </c>
    </row>
    <row r="978" spans="1:4">
      <c r="A978" s="12">
        <v>7250350270</v>
      </c>
      <c r="B978" s="12" t="s">
        <v>6381</v>
      </c>
      <c r="C978" s="12" t="s">
        <v>6</v>
      </c>
      <c r="D978" s="12" t="s">
        <v>6382</v>
      </c>
    </row>
    <row r="979" spans="1:4">
      <c r="A979" s="12">
        <v>7250350280</v>
      </c>
      <c r="B979" s="12" t="s">
        <v>6383</v>
      </c>
      <c r="C979" s="12" t="s">
        <v>6</v>
      </c>
      <c r="D979" s="12" t="s">
        <v>6384</v>
      </c>
    </row>
    <row r="980" spans="1:4">
      <c r="A980" s="12">
        <v>7250350290</v>
      </c>
      <c r="B980" s="12" t="s">
        <v>6385</v>
      </c>
      <c r="C980" s="12" t="s">
        <v>6</v>
      </c>
      <c r="D980" s="12" t="s">
        <v>6386</v>
      </c>
    </row>
    <row r="981" spans="1:4">
      <c r="A981" s="12">
        <v>7250350300</v>
      </c>
      <c r="B981" s="12" t="s">
        <v>6387</v>
      </c>
      <c r="C981" s="12" t="s">
        <v>6</v>
      </c>
      <c r="D981" s="12" t="s">
        <v>6388</v>
      </c>
    </row>
    <row r="982" spans="1:4">
      <c r="A982" s="12">
        <v>7250350310</v>
      </c>
      <c r="B982" s="12" t="s">
        <v>6389</v>
      </c>
      <c r="C982" s="12" t="s">
        <v>6</v>
      </c>
      <c r="D982" s="12" t="s">
        <v>6390</v>
      </c>
    </row>
    <row r="983" spans="1:4">
      <c r="A983" s="12">
        <v>7250350320</v>
      </c>
      <c r="B983" s="12" t="s">
        <v>6391</v>
      </c>
      <c r="C983" s="12" t="s">
        <v>6</v>
      </c>
      <c r="D983" s="12" t="s">
        <v>6392</v>
      </c>
    </row>
    <row r="984" spans="1:4">
      <c r="A984" s="12">
        <v>7250400010</v>
      </c>
      <c r="B984" s="12" t="s">
        <v>6393</v>
      </c>
      <c r="C984" s="12" t="s">
        <v>6</v>
      </c>
      <c r="D984" s="12" t="s">
        <v>3842</v>
      </c>
    </row>
    <row r="985" spans="1:4">
      <c r="A985" s="12">
        <v>7250400020</v>
      </c>
      <c r="B985" s="12" t="s">
        <v>6394</v>
      </c>
      <c r="C985" s="12" t="s">
        <v>6</v>
      </c>
      <c r="D985" s="12" t="s">
        <v>6395</v>
      </c>
    </row>
    <row r="986" spans="1:4">
      <c r="A986" s="12">
        <v>7250400030</v>
      </c>
      <c r="B986" s="12" t="s">
        <v>6396</v>
      </c>
      <c r="C986" s="12" t="s">
        <v>6</v>
      </c>
      <c r="D986" s="12" t="s">
        <v>6397</v>
      </c>
    </row>
    <row r="987" spans="1:4">
      <c r="A987" s="12">
        <v>7250400040</v>
      </c>
      <c r="B987" s="12" t="s">
        <v>6398</v>
      </c>
      <c r="C987" s="12" t="s">
        <v>6</v>
      </c>
      <c r="D987" s="12" t="s">
        <v>6399</v>
      </c>
    </row>
    <row r="991" spans="1:4">
      <c r="D991" s="24"/>
    </row>
    <row r="992" spans="1:4">
      <c r="A992" s="12">
        <v>7250400050</v>
      </c>
      <c r="B992" s="12" t="s">
        <v>6400</v>
      </c>
      <c r="C992" s="12" t="s">
        <v>6</v>
      </c>
      <c r="D992" s="24" t="s">
        <v>6401</v>
      </c>
    </row>
    <row r="993" spans="1:4">
      <c r="A993" s="12">
        <v>7250400060</v>
      </c>
      <c r="B993" s="12" t="s">
        <v>6402</v>
      </c>
      <c r="C993" s="12" t="s">
        <v>6</v>
      </c>
      <c r="D993" s="12" t="s">
        <v>6403</v>
      </c>
    </row>
    <row r="994" spans="1:4">
      <c r="A994" s="12">
        <v>7250450010</v>
      </c>
      <c r="B994" s="12" t="s">
        <v>6404</v>
      </c>
      <c r="C994" s="12" t="s">
        <v>6</v>
      </c>
      <c r="D994" s="12" t="s">
        <v>6405</v>
      </c>
    </row>
    <row r="995" spans="1:4">
      <c r="A995" s="12">
        <v>7250450020</v>
      </c>
      <c r="B995" s="12" t="s">
        <v>6406</v>
      </c>
      <c r="C995" s="12" t="s">
        <v>6</v>
      </c>
      <c r="D995" s="12" t="s">
        <v>2358</v>
      </c>
    </row>
    <row r="996" spans="1:4">
      <c r="A996" s="12">
        <v>7250450030</v>
      </c>
      <c r="B996" s="12" t="s">
        <v>6407</v>
      </c>
      <c r="C996" s="12" t="s">
        <v>6</v>
      </c>
      <c r="D996" s="12" t="s">
        <v>6408</v>
      </c>
    </row>
    <row r="997" spans="1:4">
      <c r="A997" s="12">
        <v>7250450040</v>
      </c>
      <c r="B997" s="12" t="s">
        <v>6409</v>
      </c>
      <c r="C997" s="12" t="s">
        <v>6</v>
      </c>
      <c r="D997" s="12" t="s">
        <v>6410</v>
      </c>
    </row>
    <row r="998" spans="1:4">
      <c r="A998" s="12">
        <v>7250450050</v>
      </c>
      <c r="B998" s="12" t="s">
        <v>6411</v>
      </c>
      <c r="C998" s="12" t="s">
        <v>6</v>
      </c>
      <c r="D998" s="12" t="s">
        <v>2760</v>
      </c>
    </row>
    <row r="999" spans="1:4">
      <c r="A999" s="12">
        <v>7250450060</v>
      </c>
      <c r="B999" s="12" t="s">
        <v>6412</v>
      </c>
      <c r="C999" s="12" t="s">
        <v>6</v>
      </c>
      <c r="D999" s="12" t="s">
        <v>6413</v>
      </c>
    </row>
    <row r="1000" spans="1:4">
      <c r="A1000" s="12" t="s">
        <v>6414</v>
      </c>
    </row>
    <row r="1001" spans="1:4">
      <c r="A1001" s="12">
        <v>7260100010</v>
      </c>
      <c r="B1001" s="12" t="s">
        <v>6415</v>
      </c>
      <c r="C1001" s="12" t="s">
        <v>6</v>
      </c>
      <c r="D1001" s="12" t="s">
        <v>2197</v>
      </c>
    </row>
    <row r="1002" spans="1:4">
      <c r="A1002" s="12">
        <v>7260100020</v>
      </c>
      <c r="B1002" s="12" t="s">
        <v>6416</v>
      </c>
      <c r="C1002" s="12" t="s">
        <v>6</v>
      </c>
      <c r="D1002" s="12" t="s">
        <v>6417</v>
      </c>
    </row>
    <row r="1003" spans="1:4">
      <c r="A1003" s="12">
        <v>7260100030</v>
      </c>
      <c r="B1003" s="12" t="s">
        <v>6418</v>
      </c>
      <c r="C1003" s="12" t="s">
        <v>6</v>
      </c>
      <c r="D1003" s="12" t="s">
        <v>6419</v>
      </c>
    </row>
    <row r="1004" spans="1:4">
      <c r="A1004" s="12">
        <v>7260100040</v>
      </c>
      <c r="B1004" s="12" t="s">
        <v>6420</v>
      </c>
      <c r="C1004" s="12" t="s">
        <v>6</v>
      </c>
      <c r="D1004" s="12" t="s">
        <v>6421</v>
      </c>
    </row>
    <row r="1005" spans="1:4">
      <c r="A1005" s="12">
        <v>7260100050</v>
      </c>
      <c r="B1005" s="12" t="s">
        <v>6422</v>
      </c>
      <c r="C1005" s="12" t="s">
        <v>6</v>
      </c>
      <c r="D1005" s="12" t="s">
        <v>6423</v>
      </c>
    </row>
    <row r="1006" spans="1:4">
      <c r="A1006" s="12">
        <v>7260100060</v>
      </c>
      <c r="B1006" s="12" t="s">
        <v>6424</v>
      </c>
      <c r="C1006" s="12" t="s">
        <v>6</v>
      </c>
      <c r="D1006" s="12" t="s">
        <v>6425</v>
      </c>
    </row>
    <row r="1007" spans="1:4">
      <c r="A1007" s="12">
        <v>7260100070</v>
      </c>
      <c r="B1007" s="12" t="s">
        <v>6426</v>
      </c>
      <c r="C1007" s="12" t="s">
        <v>6</v>
      </c>
      <c r="D1007" s="12" t="s">
        <v>6427</v>
      </c>
    </row>
    <row r="1008" spans="1:4">
      <c r="A1008" s="12">
        <v>7260100080</v>
      </c>
      <c r="B1008" s="12" t="s">
        <v>6428</v>
      </c>
      <c r="C1008" s="12" t="s">
        <v>6</v>
      </c>
      <c r="D1008" s="12" t="s">
        <v>6429</v>
      </c>
    </row>
    <row r="1009" spans="1:4">
      <c r="A1009" s="12">
        <v>7260100090</v>
      </c>
      <c r="B1009" s="12" t="s">
        <v>6430</v>
      </c>
      <c r="C1009" s="12" t="s">
        <v>6</v>
      </c>
      <c r="D1009" s="12" t="s">
        <v>6431</v>
      </c>
    </row>
    <row r="1010" spans="1:4">
      <c r="A1010" s="12">
        <v>7260100100</v>
      </c>
      <c r="B1010" s="12" t="s">
        <v>6432</v>
      </c>
      <c r="C1010" s="12" t="s">
        <v>6</v>
      </c>
      <c r="D1010" s="12" t="s">
        <v>6433</v>
      </c>
    </row>
    <row r="1011" spans="1:4">
      <c r="A1011" s="12">
        <v>7260100110</v>
      </c>
      <c r="B1011" s="12" t="s">
        <v>6434</v>
      </c>
      <c r="C1011" s="12" t="s">
        <v>6</v>
      </c>
      <c r="D1011" s="12" t="s">
        <v>6435</v>
      </c>
    </row>
    <row r="1012" spans="1:4">
      <c r="A1012" s="12">
        <v>7260100120</v>
      </c>
      <c r="B1012" s="12" t="s">
        <v>6436</v>
      </c>
      <c r="C1012" s="12" t="s">
        <v>6</v>
      </c>
      <c r="D1012" s="12" t="s">
        <v>6437</v>
      </c>
    </row>
    <row r="1013" spans="1:4">
      <c r="A1013" s="12">
        <v>7260100130</v>
      </c>
      <c r="B1013" s="12" t="s">
        <v>6438</v>
      </c>
      <c r="C1013" s="12" t="s">
        <v>6</v>
      </c>
      <c r="D1013" s="12" t="s">
        <v>6439</v>
      </c>
    </row>
    <row r="1014" spans="1:4">
      <c r="A1014" s="12">
        <v>7260100140</v>
      </c>
      <c r="B1014" s="12" t="s">
        <v>6440</v>
      </c>
      <c r="C1014" s="12" t="s">
        <v>6</v>
      </c>
      <c r="D1014" s="12" t="s">
        <v>6441</v>
      </c>
    </row>
    <row r="1015" spans="1:4">
      <c r="A1015" s="12">
        <v>7260100150</v>
      </c>
      <c r="B1015" s="12" t="s">
        <v>6442</v>
      </c>
      <c r="C1015" s="12" t="s">
        <v>6</v>
      </c>
      <c r="D1015" s="12" t="s">
        <v>6443</v>
      </c>
    </row>
    <row r="1016" spans="1:4">
      <c r="A1016" s="12">
        <v>7260100160</v>
      </c>
      <c r="B1016" s="12" t="s">
        <v>6444</v>
      </c>
      <c r="C1016" s="12" t="s">
        <v>6</v>
      </c>
      <c r="D1016" s="12" t="s">
        <v>6445</v>
      </c>
    </row>
    <row r="1017" spans="1:4">
      <c r="A1017" s="12">
        <v>7260100170</v>
      </c>
      <c r="B1017" s="12" t="s">
        <v>6446</v>
      </c>
      <c r="C1017" s="12" t="s">
        <v>6</v>
      </c>
      <c r="D1017" s="12" t="s">
        <v>6447</v>
      </c>
    </row>
    <row r="1018" spans="1:4">
      <c r="A1018" s="12">
        <v>7260100180</v>
      </c>
      <c r="B1018" s="12" t="s">
        <v>6448</v>
      </c>
      <c r="C1018" s="12" t="s">
        <v>6</v>
      </c>
      <c r="D1018" s="12" t="s">
        <v>6449</v>
      </c>
    </row>
    <row r="1019" spans="1:4">
      <c r="A1019" s="12">
        <v>7260100190</v>
      </c>
      <c r="B1019" s="12" t="s">
        <v>6450</v>
      </c>
      <c r="C1019" s="12" t="s">
        <v>6</v>
      </c>
      <c r="D1019" s="12" t="s">
        <v>3454</v>
      </c>
    </row>
    <row r="1020" spans="1:4">
      <c r="A1020" s="12">
        <v>7260100200</v>
      </c>
      <c r="B1020" s="12" t="s">
        <v>6451</v>
      </c>
      <c r="C1020" s="12" t="s">
        <v>6</v>
      </c>
      <c r="D1020" s="12" t="s">
        <v>6452</v>
      </c>
    </row>
    <row r="1021" spans="1:4">
      <c r="A1021" s="12">
        <v>7260100210</v>
      </c>
      <c r="B1021" s="12" t="s">
        <v>6453</v>
      </c>
      <c r="C1021" s="12" t="s">
        <v>6</v>
      </c>
      <c r="D1021" s="12" t="s">
        <v>6454</v>
      </c>
    </row>
    <row r="1022" spans="1:4">
      <c r="A1022" s="12">
        <v>7260100220</v>
      </c>
      <c r="B1022" s="12" t="s">
        <v>6455</v>
      </c>
      <c r="C1022" s="12" t="s">
        <v>6</v>
      </c>
      <c r="D1022" s="12" t="s">
        <v>6456</v>
      </c>
    </row>
    <row r="1023" spans="1:4">
      <c r="A1023" s="12">
        <v>7260100230</v>
      </c>
      <c r="B1023" s="12" t="s">
        <v>6457</v>
      </c>
      <c r="C1023" s="12" t="s">
        <v>6</v>
      </c>
      <c r="D1023" s="12" t="s">
        <v>6458</v>
      </c>
    </row>
    <row r="1024" spans="1:4">
      <c r="A1024" s="12">
        <v>7260100240</v>
      </c>
      <c r="B1024" s="12" t="s">
        <v>6459</v>
      </c>
      <c r="C1024" s="12" t="s">
        <v>6</v>
      </c>
      <c r="D1024" s="12" t="s">
        <v>6460</v>
      </c>
    </row>
    <row r="1025" spans="1:4">
      <c r="A1025" s="12">
        <v>7260100250</v>
      </c>
      <c r="B1025" s="12" t="s">
        <v>6461</v>
      </c>
      <c r="C1025" s="12" t="s">
        <v>6</v>
      </c>
      <c r="D1025" s="12" t="s">
        <v>6462</v>
      </c>
    </row>
    <row r="1026" spans="1:4">
      <c r="A1026" s="12">
        <v>7260100260</v>
      </c>
      <c r="B1026" s="12" t="s">
        <v>6463</v>
      </c>
      <c r="C1026" s="12" t="s">
        <v>6</v>
      </c>
      <c r="D1026" s="12" t="s">
        <v>6464</v>
      </c>
    </row>
    <row r="1027" spans="1:4">
      <c r="A1027" s="12">
        <v>7260100270</v>
      </c>
      <c r="B1027" s="12" t="s">
        <v>6465</v>
      </c>
      <c r="C1027" s="12" t="s">
        <v>6</v>
      </c>
      <c r="D1027" s="12" t="s">
        <v>6466</v>
      </c>
    </row>
    <row r="1028" spans="1:4">
      <c r="A1028" s="12">
        <v>7260100280</v>
      </c>
      <c r="B1028" s="12" t="s">
        <v>6467</v>
      </c>
      <c r="C1028" s="12" t="s">
        <v>6</v>
      </c>
      <c r="D1028" s="12" t="s">
        <v>6468</v>
      </c>
    </row>
    <row r="1029" spans="1:4">
      <c r="A1029" s="12">
        <v>7260100290</v>
      </c>
      <c r="B1029" s="12" t="s">
        <v>6469</v>
      </c>
      <c r="C1029" s="12" t="s">
        <v>6</v>
      </c>
      <c r="D1029" s="12" t="s">
        <v>6470</v>
      </c>
    </row>
    <row r="1030" spans="1:4">
      <c r="A1030" s="12">
        <v>7260100300</v>
      </c>
      <c r="B1030" s="12" t="s">
        <v>6471</v>
      </c>
      <c r="C1030" s="12" t="s">
        <v>6</v>
      </c>
      <c r="D1030" s="12" t="s">
        <v>6472</v>
      </c>
    </row>
    <row r="1031" spans="1:4">
      <c r="A1031" s="12">
        <v>7260100310</v>
      </c>
      <c r="B1031" s="12" t="s">
        <v>6473</v>
      </c>
      <c r="C1031" s="12" t="s">
        <v>6</v>
      </c>
      <c r="D1031" s="12" t="s">
        <v>6474</v>
      </c>
    </row>
    <row r="1032" spans="1:4">
      <c r="A1032" s="12">
        <v>7260100320</v>
      </c>
      <c r="B1032" s="12" t="s">
        <v>6475</v>
      </c>
      <c r="C1032" s="12" t="s">
        <v>6</v>
      </c>
      <c r="D1032" s="12" t="s">
        <v>6476</v>
      </c>
    </row>
    <row r="1033" spans="1:4">
      <c r="A1033" s="12">
        <v>7260100330</v>
      </c>
      <c r="B1033" s="12" t="s">
        <v>6477</v>
      </c>
      <c r="C1033" s="12" t="s">
        <v>6</v>
      </c>
      <c r="D1033" s="12" t="s">
        <v>6478</v>
      </c>
    </row>
    <row r="1034" spans="1:4">
      <c r="A1034" s="12">
        <v>7260100340</v>
      </c>
      <c r="B1034" s="12" t="s">
        <v>6479</v>
      </c>
      <c r="C1034" s="12" t="s">
        <v>6</v>
      </c>
      <c r="D1034" s="12" t="s">
        <v>6480</v>
      </c>
    </row>
    <row r="1035" spans="1:4">
      <c r="A1035" s="12">
        <v>7260100350</v>
      </c>
      <c r="B1035" s="12" t="s">
        <v>6481</v>
      </c>
      <c r="C1035" s="12" t="s">
        <v>6</v>
      </c>
      <c r="D1035" s="12" t="s">
        <v>6482</v>
      </c>
    </row>
    <row r="1036" spans="1:4">
      <c r="A1036" s="12">
        <v>7260100360</v>
      </c>
      <c r="B1036" s="12" t="s">
        <v>6483</v>
      </c>
      <c r="C1036" s="12" t="s">
        <v>6</v>
      </c>
      <c r="D1036" s="12" t="s">
        <v>6484</v>
      </c>
    </row>
    <row r="1037" spans="1:4">
      <c r="A1037" s="12">
        <v>7260100370</v>
      </c>
      <c r="B1037" s="12" t="s">
        <v>6485</v>
      </c>
      <c r="C1037" s="12" t="s">
        <v>6</v>
      </c>
      <c r="D1037" s="12" t="s">
        <v>6486</v>
      </c>
    </row>
    <row r="1038" spans="1:4">
      <c r="A1038" s="12">
        <v>7260100380</v>
      </c>
      <c r="B1038" s="12" t="s">
        <v>6487</v>
      </c>
      <c r="C1038" s="12" t="s">
        <v>6</v>
      </c>
      <c r="D1038" s="12" t="s">
        <v>6488</v>
      </c>
    </row>
    <row r="1039" spans="1:4">
      <c r="A1039" s="12">
        <v>7260100390</v>
      </c>
      <c r="B1039" s="12" t="s">
        <v>6489</v>
      </c>
      <c r="C1039" s="12" t="s">
        <v>6</v>
      </c>
      <c r="D1039" s="12" t="s">
        <v>6490</v>
      </c>
    </row>
    <row r="1044" spans="1:4">
      <c r="A1044" s="12">
        <v>7260100400</v>
      </c>
      <c r="B1044" s="12" t="s">
        <v>6491</v>
      </c>
      <c r="C1044" s="12" t="s">
        <v>6</v>
      </c>
      <c r="D1044" s="12" t="s">
        <v>6492</v>
      </c>
    </row>
    <row r="1045" spans="1:4">
      <c r="A1045" s="12">
        <v>7260100410</v>
      </c>
      <c r="B1045" s="12" t="s">
        <v>6493</v>
      </c>
      <c r="C1045" s="12" t="s">
        <v>6</v>
      </c>
      <c r="D1045" s="12" t="s">
        <v>6494</v>
      </c>
    </row>
    <row r="1046" spans="1:4">
      <c r="A1046" s="12">
        <v>7260100420</v>
      </c>
      <c r="B1046" s="12" t="s">
        <v>6495</v>
      </c>
      <c r="C1046" s="12" t="s">
        <v>6</v>
      </c>
      <c r="D1046" s="12" t="s">
        <v>6496</v>
      </c>
    </row>
    <row r="1047" spans="1:4">
      <c r="A1047" s="12">
        <v>7260100430</v>
      </c>
      <c r="B1047" s="12" t="s">
        <v>6497</v>
      </c>
      <c r="C1047" s="12" t="s">
        <v>6</v>
      </c>
      <c r="D1047" s="12" t="s">
        <v>6498</v>
      </c>
    </row>
    <row r="1048" spans="1:4">
      <c r="A1048" s="12">
        <v>7260100440</v>
      </c>
      <c r="B1048" s="12" t="s">
        <v>6499</v>
      </c>
      <c r="C1048" s="12" t="s">
        <v>6</v>
      </c>
      <c r="D1048" s="12" t="s">
        <v>6500</v>
      </c>
    </row>
    <row r="1049" spans="1:4">
      <c r="A1049" s="12">
        <v>7260100450</v>
      </c>
      <c r="B1049" s="12" t="s">
        <v>6501</v>
      </c>
      <c r="C1049" s="12" t="s">
        <v>6</v>
      </c>
      <c r="D1049" s="24" t="s">
        <v>6502</v>
      </c>
    </row>
    <row r="1050" spans="1:4">
      <c r="A1050" s="12">
        <v>7260100460</v>
      </c>
      <c r="B1050" s="12" t="s">
        <v>6503</v>
      </c>
      <c r="C1050" s="12" t="s">
        <v>6</v>
      </c>
      <c r="D1050" s="24" t="s">
        <v>6504</v>
      </c>
    </row>
    <row r="1051" spans="1:4">
      <c r="A1051" s="12">
        <v>7260100470</v>
      </c>
      <c r="B1051" s="12" t="s">
        <v>6505</v>
      </c>
      <c r="C1051" s="12" t="s">
        <v>6</v>
      </c>
      <c r="D1051" s="12" t="s">
        <v>6506</v>
      </c>
    </row>
    <row r="1052" spans="1:4">
      <c r="A1052" s="12">
        <v>7260100480</v>
      </c>
      <c r="B1052" s="12" t="s">
        <v>6507</v>
      </c>
      <c r="C1052" s="12" t="s">
        <v>6</v>
      </c>
      <c r="D1052" s="12" t="s">
        <v>6508</v>
      </c>
    </row>
    <row r="1053" spans="1:4">
      <c r="A1053" s="12">
        <v>7260100490</v>
      </c>
      <c r="B1053" s="12" t="s">
        <v>6509</v>
      </c>
      <c r="C1053" s="12" t="s">
        <v>6</v>
      </c>
      <c r="D1053" s="12" t="s">
        <v>6510</v>
      </c>
    </row>
    <row r="1054" spans="1:4">
      <c r="A1054" s="12">
        <v>7260100500</v>
      </c>
      <c r="B1054" s="12" t="s">
        <v>6511</v>
      </c>
      <c r="C1054" s="12" t="s">
        <v>6</v>
      </c>
      <c r="D1054" s="12" t="s">
        <v>6512</v>
      </c>
    </row>
    <row r="1055" spans="1:4">
      <c r="A1055" s="12">
        <v>7260100510</v>
      </c>
      <c r="B1055" s="12" t="s">
        <v>6513</v>
      </c>
      <c r="C1055" s="12" t="s">
        <v>6</v>
      </c>
      <c r="D1055" s="12" t="s">
        <v>6514</v>
      </c>
    </row>
    <row r="1056" spans="1:4">
      <c r="A1056" s="12">
        <v>7260100520</v>
      </c>
      <c r="B1056" s="12" t="s">
        <v>6515</v>
      </c>
      <c r="C1056" s="12" t="s">
        <v>6</v>
      </c>
      <c r="D1056" s="12" t="s">
        <v>6516</v>
      </c>
    </row>
    <row r="1057" spans="1:4">
      <c r="A1057" s="12">
        <v>7260100530</v>
      </c>
      <c r="B1057" s="12" t="s">
        <v>6517</v>
      </c>
      <c r="C1057" s="12" t="s">
        <v>6</v>
      </c>
      <c r="D1057" s="12" t="s">
        <v>6518</v>
      </c>
    </row>
    <row r="1058" spans="1:4">
      <c r="A1058" s="12">
        <v>7260100540</v>
      </c>
      <c r="B1058" s="12" t="s">
        <v>6519</v>
      </c>
      <c r="C1058" s="12" t="s">
        <v>6</v>
      </c>
      <c r="D1058" s="12" t="s">
        <v>6520</v>
      </c>
    </row>
    <row r="1059" spans="1:4">
      <c r="A1059" s="12">
        <v>7260100550</v>
      </c>
      <c r="B1059" s="12" t="s">
        <v>6521</v>
      </c>
      <c r="C1059" s="12" t="s">
        <v>6</v>
      </c>
      <c r="D1059" s="12" t="s">
        <v>6522</v>
      </c>
    </row>
    <row r="1060" spans="1:4">
      <c r="A1060" s="12">
        <v>7260100560</v>
      </c>
      <c r="B1060" s="12" t="s">
        <v>6523</v>
      </c>
      <c r="C1060" s="12" t="s">
        <v>6</v>
      </c>
      <c r="D1060" s="12" t="s">
        <v>6524</v>
      </c>
    </row>
    <row r="1061" spans="1:4">
      <c r="A1061" s="12">
        <v>7260100570</v>
      </c>
      <c r="B1061" s="12" t="s">
        <v>6525</v>
      </c>
      <c r="C1061" s="12" t="s">
        <v>6</v>
      </c>
      <c r="D1061" s="12" t="s">
        <v>6526</v>
      </c>
    </row>
    <row r="1062" spans="1:4">
      <c r="A1062" s="12">
        <v>7260100580</v>
      </c>
      <c r="B1062" s="12" t="s">
        <v>6527</v>
      </c>
      <c r="C1062" s="12" t="s">
        <v>6</v>
      </c>
      <c r="D1062" s="12" t="s">
        <v>6528</v>
      </c>
    </row>
    <row r="1063" spans="1:4">
      <c r="A1063" s="12">
        <v>7260100590</v>
      </c>
      <c r="B1063" s="12" t="s">
        <v>6529</v>
      </c>
      <c r="C1063" s="12" t="s">
        <v>6</v>
      </c>
      <c r="D1063" s="12" t="s">
        <v>6530</v>
      </c>
    </row>
    <row r="1064" spans="1:4">
      <c r="A1064" s="12">
        <v>7260100600</v>
      </c>
      <c r="B1064" s="12" t="s">
        <v>6531</v>
      </c>
      <c r="C1064" s="12" t="s">
        <v>6</v>
      </c>
      <c r="D1064" s="12" t="s">
        <v>6532</v>
      </c>
    </row>
    <row r="1065" spans="1:4">
      <c r="A1065" s="12">
        <v>7260100610</v>
      </c>
      <c r="B1065" s="12" t="s">
        <v>6533</v>
      </c>
      <c r="C1065" s="12" t="s">
        <v>6</v>
      </c>
      <c r="D1065" s="12" t="s">
        <v>6534</v>
      </c>
    </row>
    <row r="1066" spans="1:4">
      <c r="A1066" s="12">
        <v>7260100620</v>
      </c>
      <c r="B1066" s="12" t="s">
        <v>6535</v>
      </c>
      <c r="C1066" s="12" t="s">
        <v>6</v>
      </c>
      <c r="D1066" s="12" t="s">
        <v>6536</v>
      </c>
    </row>
    <row r="1067" spans="1:4">
      <c r="A1067" s="12">
        <v>7260100630</v>
      </c>
      <c r="B1067" s="12" t="s">
        <v>6537</v>
      </c>
      <c r="C1067" s="12" t="s">
        <v>6</v>
      </c>
      <c r="D1067" s="12" t="s">
        <v>6538</v>
      </c>
    </row>
    <row r="1068" spans="1:4">
      <c r="A1068" s="12">
        <v>7260100640</v>
      </c>
      <c r="B1068" s="12" t="s">
        <v>6539</v>
      </c>
      <c r="C1068" s="12" t="s">
        <v>6</v>
      </c>
      <c r="D1068" s="12" t="s">
        <v>6540</v>
      </c>
    </row>
    <row r="1069" spans="1:4">
      <c r="A1069" s="12">
        <v>7260100650</v>
      </c>
      <c r="B1069" s="12" t="s">
        <v>6541</v>
      </c>
      <c r="C1069" s="12" t="s">
        <v>6</v>
      </c>
      <c r="D1069" s="12" t="s">
        <v>6542</v>
      </c>
    </row>
    <row r="1070" spans="1:4">
      <c r="A1070" s="12">
        <v>7260100660</v>
      </c>
      <c r="B1070" s="12" t="s">
        <v>6543</v>
      </c>
      <c r="C1070" s="12" t="s">
        <v>6</v>
      </c>
      <c r="D1070" s="12" t="s">
        <v>4383</v>
      </c>
    </row>
    <row r="1071" spans="1:4">
      <c r="A1071" s="12">
        <v>7260100670</v>
      </c>
      <c r="B1071" s="12" t="s">
        <v>6544</v>
      </c>
      <c r="C1071" s="12" t="s">
        <v>6</v>
      </c>
      <c r="D1071" s="12" t="s">
        <v>6545</v>
      </c>
    </row>
    <row r="1072" spans="1:4">
      <c r="A1072" s="12">
        <v>7260100680</v>
      </c>
      <c r="B1072" s="12" t="s">
        <v>6546</v>
      </c>
      <c r="C1072" s="12" t="s">
        <v>6</v>
      </c>
      <c r="D1072" s="12" t="s">
        <v>6547</v>
      </c>
    </row>
    <row r="1073" spans="1:4">
      <c r="A1073" s="12">
        <v>7260100690</v>
      </c>
      <c r="B1073" s="12" t="s">
        <v>6548</v>
      </c>
      <c r="C1073" s="12" t="s">
        <v>6</v>
      </c>
      <c r="D1073" s="12" t="s">
        <v>6549</v>
      </c>
    </row>
    <row r="1074" spans="1:4">
      <c r="A1074" s="12">
        <v>7260100700</v>
      </c>
      <c r="B1074" s="12" t="s">
        <v>6550</v>
      </c>
      <c r="C1074" s="12" t="s">
        <v>6</v>
      </c>
      <c r="D1074" s="12" t="s">
        <v>6551</v>
      </c>
    </row>
    <row r="1075" spans="1:4">
      <c r="A1075" s="12">
        <v>7260100710</v>
      </c>
      <c r="B1075" s="12" t="s">
        <v>6552</v>
      </c>
      <c r="C1075" s="12" t="s">
        <v>6</v>
      </c>
      <c r="D1075" s="12" t="s">
        <v>6553</v>
      </c>
    </row>
    <row r="1076" spans="1:4">
      <c r="A1076" s="12">
        <v>7260100720</v>
      </c>
      <c r="B1076" s="12" t="s">
        <v>6554</v>
      </c>
      <c r="C1076" s="12" t="s">
        <v>6</v>
      </c>
      <c r="D1076" s="12" t="s">
        <v>6555</v>
      </c>
    </row>
    <row r="1077" spans="1:4">
      <c r="A1077" s="12">
        <v>7260100730</v>
      </c>
      <c r="B1077" s="12" t="s">
        <v>6556</v>
      </c>
      <c r="C1077" s="12" t="s">
        <v>6</v>
      </c>
      <c r="D1077" s="12" t="s">
        <v>6557</v>
      </c>
    </row>
    <row r="1078" spans="1:4">
      <c r="A1078" s="12">
        <v>7260100740</v>
      </c>
      <c r="B1078" s="12" t="s">
        <v>6558</v>
      </c>
      <c r="C1078" s="12" t="s">
        <v>6</v>
      </c>
      <c r="D1078" s="12" t="s">
        <v>6559</v>
      </c>
    </row>
    <row r="1079" spans="1:4">
      <c r="A1079" s="12">
        <v>7260100750</v>
      </c>
      <c r="B1079" s="12" t="s">
        <v>6560</v>
      </c>
      <c r="C1079" s="12" t="s">
        <v>6</v>
      </c>
      <c r="D1079" s="12" t="s">
        <v>6561</v>
      </c>
    </row>
    <row r="1080" spans="1:4">
      <c r="A1080" s="12">
        <v>7260100760</v>
      </c>
      <c r="B1080" s="12" t="s">
        <v>6562</v>
      </c>
      <c r="C1080" s="12" t="s">
        <v>6</v>
      </c>
      <c r="D1080" s="12" t="s">
        <v>6563</v>
      </c>
    </row>
    <row r="1081" spans="1:4">
      <c r="A1081" s="12">
        <v>7260100770</v>
      </c>
      <c r="B1081" s="12" t="s">
        <v>6564</v>
      </c>
      <c r="C1081" s="12" t="s">
        <v>6</v>
      </c>
      <c r="D1081" s="12" t="s">
        <v>6565</v>
      </c>
    </row>
    <row r="1082" spans="1:4">
      <c r="A1082" s="12">
        <v>7260100780</v>
      </c>
      <c r="B1082" s="12" t="s">
        <v>6566</v>
      </c>
      <c r="C1082" s="12" t="s">
        <v>6</v>
      </c>
      <c r="D1082" s="12" t="s">
        <v>6567</v>
      </c>
    </row>
    <row r="1083" spans="1:4">
      <c r="A1083" s="12">
        <v>7260100790</v>
      </c>
      <c r="B1083" s="12" t="s">
        <v>6568</v>
      </c>
      <c r="C1083" s="12" t="s">
        <v>6</v>
      </c>
      <c r="D1083" s="12" t="s">
        <v>6569</v>
      </c>
    </row>
    <row r="1084" spans="1:4">
      <c r="A1084" s="12">
        <v>7260100800</v>
      </c>
      <c r="B1084" s="12" t="s">
        <v>6570</v>
      </c>
      <c r="C1084" s="12" t="s">
        <v>6</v>
      </c>
      <c r="D1084" s="12" t="s">
        <v>6571</v>
      </c>
    </row>
    <row r="1085" spans="1:4">
      <c r="A1085" s="12">
        <v>7260100810</v>
      </c>
      <c r="B1085" s="12" t="s">
        <v>6572</v>
      </c>
      <c r="C1085" s="12" t="s">
        <v>6</v>
      </c>
      <c r="D1085" s="12" t="s">
        <v>6573</v>
      </c>
    </row>
    <row r="1086" spans="1:4">
      <c r="A1086" s="12">
        <v>7260100820</v>
      </c>
      <c r="B1086" s="12" t="s">
        <v>6574</v>
      </c>
      <c r="C1086" s="12" t="s">
        <v>6</v>
      </c>
      <c r="D1086" s="12" t="s">
        <v>6575</v>
      </c>
    </row>
    <row r="1087" spans="1:4">
      <c r="A1087" s="12">
        <v>7260100830</v>
      </c>
      <c r="B1087" s="12" t="s">
        <v>6576</v>
      </c>
      <c r="C1087" s="12" t="s">
        <v>6</v>
      </c>
      <c r="D1087" s="12" t="s">
        <v>6577</v>
      </c>
    </row>
    <row r="1088" spans="1:4">
      <c r="A1088" s="12">
        <v>7260100840</v>
      </c>
      <c r="B1088" s="12" t="s">
        <v>6578</v>
      </c>
      <c r="C1088" s="12" t="s">
        <v>6</v>
      </c>
      <c r="D1088" s="12" t="s">
        <v>6579</v>
      </c>
    </row>
    <row r="1089" spans="1:4">
      <c r="A1089" s="12">
        <v>7260100850</v>
      </c>
      <c r="B1089" s="12" t="s">
        <v>6580</v>
      </c>
      <c r="C1089" s="12" t="s">
        <v>6</v>
      </c>
      <c r="D1089" s="12" t="s">
        <v>2265</v>
      </c>
    </row>
    <row r="1090" spans="1:4">
      <c r="A1090" s="12">
        <v>7260100860</v>
      </c>
      <c r="B1090" s="12" t="s">
        <v>6581</v>
      </c>
      <c r="C1090" s="12" t="s">
        <v>6</v>
      </c>
      <c r="D1090" s="12" t="s">
        <v>6582</v>
      </c>
    </row>
    <row r="1091" spans="1:4">
      <c r="A1091" s="12">
        <v>7260100870</v>
      </c>
      <c r="B1091" s="12" t="s">
        <v>6583</v>
      </c>
      <c r="C1091" s="12" t="s">
        <v>6</v>
      </c>
      <c r="D1091" s="12" t="s">
        <v>6584</v>
      </c>
    </row>
    <row r="1096" spans="1:4">
      <c r="A1096" s="12">
        <v>7260100880</v>
      </c>
      <c r="B1096" s="12" t="s">
        <v>6585</v>
      </c>
      <c r="C1096" s="12" t="s">
        <v>6</v>
      </c>
      <c r="D1096" s="12" t="s">
        <v>6586</v>
      </c>
    </row>
    <row r="1097" spans="1:4">
      <c r="A1097" s="12">
        <v>7260100890</v>
      </c>
      <c r="B1097" s="12" t="s">
        <v>6587</v>
      </c>
      <c r="C1097" s="12" t="s">
        <v>6</v>
      </c>
      <c r="D1097" s="12" t="s">
        <v>6588</v>
      </c>
    </row>
    <row r="1098" spans="1:4">
      <c r="A1098" s="12">
        <v>7260100900</v>
      </c>
      <c r="B1098" s="12" t="s">
        <v>6589</v>
      </c>
      <c r="C1098" s="12" t="s">
        <v>6</v>
      </c>
      <c r="D1098" s="12" t="s">
        <v>6590</v>
      </c>
    </row>
    <row r="1099" spans="1:4">
      <c r="A1099" s="12">
        <v>7260100910</v>
      </c>
      <c r="B1099" s="12" t="s">
        <v>6591</v>
      </c>
      <c r="C1099" s="12" t="s">
        <v>6</v>
      </c>
      <c r="D1099" s="12" t="s">
        <v>6592</v>
      </c>
    </row>
    <row r="1100" spans="1:4">
      <c r="A1100" s="12">
        <v>7260100920</v>
      </c>
      <c r="B1100" s="12" t="s">
        <v>6593</v>
      </c>
      <c r="C1100" s="12" t="s">
        <v>6</v>
      </c>
      <c r="D1100" s="12" t="s">
        <v>6594</v>
      </c>
    </row>
    <row r="1101" spans="1:4">
      <c r="A1101" s="12">
        <v>7260100930</v>
      </c>
      <c r="B1101" s="12" t="s">
        <v>6595</v>
      </c>
      <c r="C1101" s="12" t="s">
        <v>6</v>
      </c>
      <c r="D1101" s="12" t="s">
        <v>6596</v>
      </c>
    </row>
    <row r="1102" spans="1:4">
      <c r="A1102" s="12">
        <v>7260100940</v>
      </c>
      <c r="B1102" s="12" t="s">
        <v>6597</v>
      </c>
      <c r="C1102" s="12" t="s">
        <v>6</v>
      </c>
      <c r="D1102" s="12" t="s">
        <v>6598</v>
      </c>
    </row>
    <row r="1103" spans="1:4">
      <c r="A1103" s="12">
        <v>7260100950</v>
      </c>
      <c r="B1103" s="12" t="s">
        <v>6599</v>
      </c>
      <c r="C1103" s="12" t="s">
        <v>6</v>
      </c>
      <c r="D1103" s="12" t="s">
        <v>6600</v>
      </c>
    </row>
    <row r="1104" spans="1:4">
      <c r="A1104" s="12">
        <v>7260100960</v>
      </c>
      <c r="B1104" s="12" t="s">
        <v>6601</v>
      </c>
      <c r="C1104" s="12" t="s">
        <v>6</v>
      </c>
      <c r="D1104" s="12" t="s">
        <v>4458</v>
      </c>
    </row>
    <row r="1105" spans="1:4">
      <c r="A1105" s="12">
        <v>7260100970</v>
      </c>
      <c r="B1105" s="12" t="s">
        <v>6602</v>
      </c>
      <c r="C1105" s="12" t="s">
        <v>6</v>
      </c>
      <c r="D1105" s="12" t="s">
        <v>6603</v>
      </c>
    </row>
    <row r="1106" spans="1:4">
      <c r="A1106" s="12">
        <v>7260100980</v>
      </c>
      <c r="B1106" s="12" t="s">
        <v>6604</v>
      </c>
      <c r="C1106" s="12" t="s">
        <v>6</v>
      </c>
      <c r="D1106" s="12" t="s">
        <v>6605</v>
      </c>
    </row>
    <row r="1107" spans="1:4">
      <c r="A1107" s="12">
        <v>7260100990</v>
      </c>
      <c r="B1107" s="12" t="s">
        <v>6606</v>
      </c>
      <c r="C1107" s="12" t="s">
        <v>6</v>
      </c>
      <c r="D1107" s="24" t="s">
        <v>6607</v>
      </c>
    </row>
    <row r="1108" spans="1:4">
      <c r="A1108" s="12">
        <v>7260101000</v>
      </c>
      <c r="B1108" s="12" t="s">
        <v>6608</v>
      </c>
      <c r="C1108" s="12" t="s">
        <v>6</v>
      </c>
      <c r="D1108" s="24" t="s">
        <v>6609</v>
      </c>
    </row>
    <row r="1109" spans="1:4">
      <c r="A1109" s="12">
        <v>7260101010</v>
      </c>
      <c r="B1109" s="12" t="s">
        <v>6610</v>
      </c>
      <c r="C1109" s="12" t="s">
        <v>6</v>
      </c>
      <c r="D1109" s="12" t="s">
        <v>6611</v>
      </c>
    </row>
    <row r="1110" spans="1:4">
      <c r="A1110" s="12">
        <v>7260101020</v>
      </c>
      <c r="B1110" s="12" t="s">
        <v>6612</v>
      </c>
      <c r="C1110" s="12" t="s">
        <v>6</v>
      </c>
      <c r="D1110" s="12" t="s">
        <v>6613</v>
      </c>
    </row>
    <row r="1111" spans="1:4">
      <c r="A1111" s="12">
        <v>7260101030</v>
      </c>
      <c r="B1111" s="12" t="s">
        <v>6614</v>
      </c>
      <c r="C1111" s="12" t="s">
        <v>6</v>
      </c>
      <c r="D1111" s="12" t="s">
        <v>6615</v>
      </c>
    </row>
    <row r="1112" spans="1:4">
      <c r="A1112" s="12">
        <v>7260101040</v>
      </c>
      <c r="B1112" s="12" t="s">
        <v>6616</v>
      </c>
      <c r="C1112" s="12" t="s">
        <v>6</v>
      </c>
      <c r="D1112" s="12" t="s">
        <v>6617</v>
      </c>
    </row>
    <row r="1113" spans="1:4">
      <c r="A1113" s="12">
        <v>7260101050</v>
      </c>
      <c r="B1113" s="12" t="s">
        <v>6618</v>
      </c>
      <c r="C1113" s="12" t="s">
        <v>6</v>
      </c>
      <c r="D1113" s="12" t="s">
        <v>6619</v>
      </c>
    </row>
    <row r="1114" spans="1:4">
      <c r="A1114" s="12">
        <v>7260101060</v>
      </c>
      <c r="B1114" s="12" t="s">
        <v>6620</v>
      </c>
      <c r="C1114" s="12" t="s">
        <v>6</v>
      </c>
      <c r="D1114" s="12" t="s">
        <v>6621</v>
      </c>
    </row>
    <row r="1115" spans="1:4">
      <c r="A1115" s="12">
        <v>7260101070</v>
      </c>
      <c r="B1115" s="12" t="s">
        <v>6622</v>
      </c>
      <c r="C1115" s="12" t="s">
        <v>6</v>
      </c>
      <c r="D1115" s="12" t="s">
        <v>6623</v>
      </c>
    </row>
    <row r="1116" spans="1:4">
      <c r="A1116" s="12">
        <v>7260101080</v>
      </c>
      <c r="B1116" s="12" t="s">
        <v>6624</v>
      </c>
      <c r="C1116" s="12" t="s">
        <v>6</v>
      </c>
      <c r="D1116" s="12" t="s">
        <v>6625</v>
      </c>
    </row>
    <row r="1117" spans="1:4">
      <c r="A1117" s="12">
        <v>7260101090</v>
      </c>
      <c r="B1117" s="12" t="s">
        <v>6626</v>
      </c>
      <c r="C1117" s="12" t="s">
        <v>6</v>
      </c>
      <c r="D1117" s="12" t="s">
        <v>6627</v>
      </c>
    </row>
    <row r="1118" spans="1:4">
      <c r="A1118" s="12">
        <v>7260101100</v>
      </c>
      <c r="B1118" s="12" t="s">
        <v>6628</v>
      </c>
      <c r="C1118" s="12" t="s">
        <v>6</v>
      </c>
      <c r="D1118" s="12" t="s">
        <v>6629</v>
      </c>
    </row>
    <row r="1119" spans="1:4">
      <c r="A1119" s="12">
        <v>7260101110</v>
      </c>
      <c r="B1119" s="12" t="s">
        <v>6630</v>
      </c>
      <c r="C1119" s="12" t="s">
        <v>6</v>
      </c>
      <c r="D1119" s="12" t="s">
        <v>6631</v>
      </c>
    </row>
    <row r="1120" spans="1:4">
      <c r="A1120" s="12">
        <v>7260101120</v>
      </c>
      <c r="B1120" s="12" t="s">
        <v>6632</v>
      </c>
      <c r="C1120" s="12" t="s">
        <v>6</v>
      </c>
      <c r="D1120" s="12" t="s">
        <v>6633</v>
      </c>
    </row>
    <row r="1121" spans="1:4">
      <c r="A1121" s="12">
        <v>7260101130</v>
      </c>
      <c r="B1121" s="12" t="s">
        <v>6634</v>
      </c>
      <c r="C1121" s="12" t="s">
        <v>6</v>
      </c>
      <c r="D1121" s="12" t="s">
        <v>6635</v>
      </c>
    </row>
    <row r="1122" spans="1:4">
      <c r="A1122" s="12">
        <v>7260101140</v>
      </c>
      <c r="B1122" s="12" t="s">
        <v>6636</v>
      </c>
      <c r="C1122" s="12" t="s">
        <v>6</v>
      </c>
      <c r="D1122" s="12" t="s">
        <v>6637</v>
      </c>
    </row>
    <row r="1123" spans="1:4">
      <c r="A1123" s="12">
        <v>7260101150</v>
      </c>
      <c r="B1123" s="12" t="s">
        <v>6638</v>
      </c>
      <c r="C1123" s="12" t="s">
        <v>6</v>
      </c>
      <c r="D1123" s="12" t="s">
        <v>6639</v>
      </c>
    </row>
    <row r="1124" spans="1:4">
      <c r="A1124" s="12">
        <v>7260101160</v>
      </c>
      <c r="B1124" s="12" t="s">
        <v>6640</v>
      </c>
      <c r="C1124" s="12" t="s">
        <v>6</v>
      </c>
      <c r="D1124" s="12" t="s">
        <v>6641</v>
      </c>
    </row>
    <row r="1125" spans="1:4">
      <c r="A1125" s="12">
        <v>7260101170</v>
      </c>
      <c r="B1125" s="12" t="s">
        <v>6642</v>
      </c>
      <c r="C1125" s="12" t="s">
        <v>6</v>
      </c>
      <c r="D1125" s="12" t="s">
        <v>6643</v>
      </c>
    </row>
    <row r="1126" spans="1:4">
      <c r="A1126" s="12">
        <v>7260101180</v>
      </c>
      <c r="B1126" s="12" t="s">
        <v>6644</v>
      </c>
      <c r="C1126" s="12" t="s">
        <v>6</v>
      </c>
      <c r="D1126" s="12" t="s">
        <v>6645</v>
      </c>
    </row>
    <row r="1127" spans="1:4">
      <c r="A1127" s="12">
        <v>7260101190</v>
      </c>
      <c r="B1127" s="12" t="s">
        <v>6646</v>
      </c>
      <c r="C1127" s="12" t="s">
        <v>6</v>
      </c>
      <c r="D1127" s="12" t="s">
        <v>6647</v>
      </c>
    </row>
    <row r="1128" spans="1:4">
      <c r="A1128" s="12">
        <v>7260101200</v>
      </c>
      <c r="B1128" s="12" t="s">
        <v>6648</v>
      </c>
      <c r="C1128" s="12" t="s">
        <v>6</v>
      </c>
      <c r="D1128" s="12" t="s">
        <v>6649</v>
      </c>
    </row>
    <row r="1129" spans="1:4">
      <c r="A1129" s="12">
        <v>7260101210</v>
      </c>
      <c r="B1129" s="12" t="s">
        <v>6650</v>
      </c>
      <c r="C1129" s="12" t="s">
        <v>6</v>
      </c>
      <c r="D1129" s="12" t="s">
        <v>6651</v>
      </c>
    </row>
    <row r="1130" spans="1:4">
      <c r="A1130" s="12">
        <v>7260101220</v>
      </c>
      <c r="B1130" s="12" t="s">
        <v>6652</v>
      </c>
      <c r="C1130" s="12" t="s">
        <v>6</v>
      </c>
      <c r="D1130" s="12" t="s">
        <v>6653</v>
      </c>
    </row>
    <row r="1131" spans="1:4">
      <c r="A1131" s="12">
        <v>7260101230</v>
      </c>
      <c r="B1131" s="12" t="s">
        <v>6654</v>
      </c>
      <c r="C1131" s="12" t="s">
        <v>6</v>
      </c>
      <c r="D1131" s="12" t="s">
        <v>6655</v>
      </c>
    </row>
    <row r="1132" spans="1:4">
      <c r="A1132" s="12">
        <v>7260101240</v>
      </c>
      <c r="B1132" s="12" t="s">
        <v>6656</v>
      </c>
      <c r="C1132" s="12" t="s">
        <v>6</v>
      </c>
      <c r="D1132" s="12" t="s">
        <v>6657</v>
      </c>
    </row>
    <row r="1133" spans="1:4">
      <c r="A1133" s="12">
        <v>7260101250</v>
      </c>
      <c r="B1133" s="12" t="s">
        <v>6658</v>
      </c>
      <c r="C1133" s="12" t="s">
        <v>6</v>
      </c>
      <c r="D1133" s="12" t="s">
        <v>6659</v>
      </c>
    </row>
    <row r="1134" spans="1:4">
      <c r="A1134" s="12">
        <v>7260101260</v>
      </c>
      <c r="B1134" s="12" t="s">
        <v>6660</v>
      </c>
      <c r="C1134" s="12" t="s">
        <v>6</v>
      </c>
      <c r="D1134" s="12" t="s">
        <v>6661</v>
      </c>
    </row>
    <row r="1135" spans="1:4">
      <c r="A1135" s="12">
        <v>7260101270</v>
      </c>
      <c r="B1135" s="12" t="s">
        <v>6662</v>
      </c>
      <c r="C1135" s="12" t="s">
        <v>6</v>
      </c>
      <c r="D1135" s="12" t="s">
        <v>6663</v>
      </c>
    </row>
    <row r="1136" spans="1:4">
      <c r="A1136" s="12">
        <v>7260101280</v>
      </c>
      <c r="B1136" s="12" t="s">
        <v>6664</v>
      </c>
      <c r="C1136" s="12" t="s">
        <v>6</v>
      </c>
      <c r="D1136" s="12" t="s">
        <v>6665</v>
      </c>
    </row>
    <row r="1137" spans="1:4">
      <c r="A1137" s="12">
        <v>7260101290</v>
      </c>
      <c r="B1137" s="12" t="s">
        <v>6666</v>
      </c>
      <c r="C1137" s="12" t="s">
        <v>6</v>
      </c>
      <c r="D1137" s="12" t="s">
        <v>6667</v>
      </c>
    </row>
    <row r="1138" spans="1:4">
      <c r="A1138" s="12">
        <v>7260101300</v>
      </c>
      <c r="B1138" s="12" t="s">
        <v>6668</v>
      </c>
      <c r="C1138" s="12" t="s">
        <v>6</v>
      </c>
      <c r="D1138" s="12" t="s">
        <v>6669</v>
      </c>
    </row>
    <row r="1139" spans="1:4">
      <c r="A1139" s="12">
        <v>7260101310</v>
      </c>
      <c r="B1139" s="12" t="s">
        <v>6670</v>
      </c>
      <c r="C1139" s="12" t="s">
        <v>6</v>
      </c>
      <c r="D1139" s="12" t="s">
        <v>6671</v>
      </c>
    </row>
    <row r="1140" spans="1:4">
      <c r="A1140" s="12">
        <v>7260101320</v>
      </c>
      <c r="B1140" s="12" t="s">
        <v>6672</v>
      </c>
      <c r="C1140" s="12" t="s">
        <v>6</v>
      </c>
      <c r="D1140" s="12" t="s">
        <v>6673</v>
      </c>
    </row>
    <row r="1141" spans="1:4">
      <c r="A1141" s="12">
        <v>7260101330</v>
      </c>
      <c r="B1141" s="12" t="s">
        <v>6674</v>
      </c>
      <c r="C1141" s="12" t="s">
        <v>6</v>
      </c>
      <c r="D1141" s="12" t="s">
        <v>6675</v>
      </c>
    </row>
    <row r="1142" spans="1:4">
      <c r="A1142" s="12">
        <v>7260101340</v>
      </c>
      <c r="B1142" s="12" t="s">
        <v>6676</v>
      </c>
      <c r="C1142" s="12" t="s">
        <v>6</v>
      </c>
      <c r="D1142" s="12" t="s">
        <v>6677</v>
      </c>
    </row>
    <row r="1143" spans="1:4">
      <c r="A1143" s="12">
        <v>7260101350</v>
      </c>
      <c r="B1143" s="12" t="s">
        <v>6678</v>
      </c>
      <c r="C1143" s="12" t="s">
        <v>6</v>
      </c>
      <c r="D1143" s="12" t="s">
        <v>6679</v>
      </c>
    </row>
    <row r="1148" spans="1:4">
      <c r="A1148" s="12">
        <v>7260101360</v>
      </c>
      <c r="B1148" s="12" t="s">
        <v>6680</v>
      </c>
      <c r="C1148" s="12" t="s">
        <v>6</v>
      </c>
      <c r="D1148" s="12" t="s">
        <v>6681</v>
      </c>
    </row>
    <row r="1149" spans="1:4">
      <c r="A1149" s="12">
        <v>7260101370</v>
      </c>
      <c r="B1149" s="12" t="s">
        <v>6682</v>
      </c>
      <c r="C1149" s="12" t="s">
        <v>6</v>
      </c>
      <c r="D1149" s="12" t="s">
        <v>6683</v>
      </c>
    </row>
    <row r="1150" spans="1:4">
      <c r="A1150" s="12">
        <v>7260101380</v>
      </c>
      <c r="B1150" s="12" t="s">
        <v>6684</v>
      </c>
      <c r="C1150" s="12" t="s">
        <v>6</v>
      </c>
      <c r="D1150" s="12" t="s">
        <v>6685</v>
      </c>
    </row>
    <row r="1151" spans="1:4">
      <c r="A1151" s="12">
        <v>7260101390</v>
      </c>
      <c r="B1151" s="12" t="s">
        <v>6686</v>
      </c>
      <c r="C1151" s="12" t="s">
        <v>6</v>
      </c>
      <c r="D1151" s="12" t="s">
        <v>6687</v>
      </c>
    </row>
    <row r="1152" spans="1:4">
      <c r="A1152" s="12">
        <v>7260101400</v>
      </c>
      <c r="B1152" s="12" t="s">
        <v>6688</v>
      </c>
      <c r="C1152" s="12" t="s">
        <v>6</v>
      </c>
      <c r="D1152" s="12" t="s">
        <v>6689</v>
      </c>
    </row>
    <row r="1153" spans="1:4">
      <c r="A1153" s="12">
        <v>7260101410</v>
      </c>
      <c r="B1153" s="12" t="s">
        <v>6690</v>
      </c>
      <c r="C1153" s="12" t="s">
        <v>6</v>
      </c>
      <c r="D1153" s="12" t="s">
        <v>6691</v>
      </c>
    </row>
    <row r="1154" spans="1:4">
      <c r="A1154" s="12">
        <v>7260101420</v>
      </c>
      <c r="B1154" s="12" t="s">
        <v>6692</v>
      </c>
      <c r="C1154" s="12" t="s">
        <v>6</v>
      </c>
      <c r="D1154" s="12" t="s">
        <v>6693</v>
      </c>
    </row>
    <row r="1155" spans="1:4">
      <c r="A1155" s="12">
        <v>7260101430</v>
      </c>
      <c r="B1155" s="12" t="s">
        <v>6694</v>
      </c>
      <c r="C1155" s="12" t="s">
        <v>6</v>
      </c>
      <c r="D1155" s="12" t="s">
        <v>6695</v>
      </c>
    </row>
    <row r="1156" spans="1:4">
      <c r="A1156" s="12">
        <v>7260101440</v>
      </c>
      <c r="B1156" s="12" t="s">
        <v>6696</v>
      </c>
      <c r="C1156" s="12" t="s">
        <v>6</v>
      </c>
      <c r="D1156" s="12" t="s">
        <v>6697</v>
      </c>
    </row>
    <row r="1157" spans="1:4">
      <c r="A1157" s="12">
        <v>7260101450</v>
      </c>
      <c r="B1157" s="12" t="s">
        <v>6698</v>
      </c>
      <c r="C1157" s="12" t="s">
        <v>6</v>
      </c>
      <c r="D1157" s="12" t="s">
        <v>6699</v>
      </c>
    </row>
    <row r="1158" spans="1:4">
      <c r="A1158" s="12">
        <v>7260101460</v>
      </c>
      <c r="B1158" s="12" t="s">
        <v>6700</v>
      </c>
      <c r="C1158" s="12" t="s">
        <v>6</v>
      </c>
      <c r="D1158" s="12" t="s">
        <v>6701</v>
      </c>
    </row>
    <row r="1159" spans="1:4">
      <c r="A1159" s="12">
        <v>7260101470</v>
      </c>
      <c r="B1159" s="12" t="s">
        <v>6702</v>
      </c>
      <c r="C1159" s="12" t="s">
        <v>6</v>
      </c>
      <c r="D1159" s="12" t="s">
        <v>6703</v>
      </c>
    </row>
    <row r="1160" spans="1:4">
      <c r="A1160" s="12">
        <v>7260101480</v>
      </c>
      <c r="B1160" s="12" t="s">
        <v>6704</v>
      </c>
      <c r="C1160" s="12" t="s">
        <v>6</v>
      </c>
      <c r="D1160" s="12" t="s">
        <v>6705</v>
      </c>
    </row>
    <row r="1161" spans="1:4">
      <c r="A1161" s="12">
        <v>7260101490</v>
      </c>
      <c r="B1161" s="12" t="s">
        <v>6706</v>
      </c>
      <c r="C1161" s="12" t="s">
        <v>6</v>
      </c>
      <c r="D1161" s="12" t="s">
        <v>6707</v>
      </c>
    </row>
    <row r="1162" spans="1:4">
      <c r="A1162" s="12">
        <v>7260101500</v>
      </c>
      <c r="B1162" s="12" t="s">
        <v>6708</v>
      </c>
      <c r="C1162" s="12" t="s">
        <v>6</v>
      </c>
      <c r="D1162" s="12" t="s">
        <v>6709</v>
      </c>
    </row>
    <row r="1163" spans="1:4">
      <c r="A1163" s="12">
        <v>7260101510</v>
      </c>
      <c r="B1163" s="12" t="s">
        <v>6710</v>
      </c>
      <c r="C1163" s="12" t="s">
        <v>6</v>
      </c>
      <c r="D1163" s="12" t="s">
        <v>6711</v>
      </c>
    </row>
    <row r="1164" spans="1:4">
      <c r="A1164" s="12">
        <v>7260101520</v>
      </c>
      <c r="B1164" s="12" t="s">
        <v>6712</v>
      </c>
      <c r="C1164" s="12" t="s">
        <v>6</v>
      </c>
      <c r="D1164" s="12" t="s">
        <v>2255</v>
      </c>
    </row>
    <row r="1165" spans="1:4">
      <c r="A1165" s="12">
        <v>7260101530</v>
      </c>
      <c r="B1165" s="12" t="s">
        <v>6713</v>
      </c>
      <c r="C1165" s="12" t="s">
        <v>6</v>
      </c>
      <c r="D1165" s="24" t="s">
        <v>6714</v>
      </c>
    </row>
    <row r="1166" spans="1:4">
      <c r="A1166" s="12">
        <v>7260101540</v>
      </c>
      <c r="B1166" s="12" t="s">
        <v>6715</v>
      </c>
      <c r="C1166" s="12" t="s">
        <v>6</v>
      </c>
      <c r="D1166" s="24" t="s">
        <v>6716</v>
      </c>
    </row>
    <row r="1167" spans="1:4">
      <c r="A1167" s="12">
        <v>7260101550</v>
      </c>
      <c r="B1167" s="12" t="s">
        <v>6717</v>
      </c>
      <c r="C1167" s="12" t="s">
        <v>6</v>
      </c>
      <c r="D1167" s="12" t="s">
        <v>6718</v>
      </c>
    </row>
    <row r="1168" spans="1:4">
      <c r="A1168" s="12">
        <v>7260101560</v>
      </c>
      <c r="B1168" s="12" t="s">
        <v>6719</v>
      </c>
      <c r="C1168" s="12" t="s">
        <v>6</v>
      </c>
      <c r="D1168" s="12" t="s">
        <v>6720</v>
      </c>
    </row>
    <row r="1169" spans="1:4">
      <c r="A1169" s="12">
        <v>7260101570</v>
      </c>
      <c r="B1169" s="12" t="s">
        <v>6721</v>
      </c>
      <c r="C1169" s="12" t="s">
        <v>6</v>
      </c>
      <c r="D1169" s="12" t="s">
        <v>6722</v>
      </c>
    </row>
    <row r="1170" spans="1:4">
      <c r="A1170" s="12">
        <v>7260101580</v>
      </c>
      <c r="B1170" s="12" t="s">
        <v>6723</v>
      </c>
      <c r="C1170" s="12" t="s">
        <v>6</v>
      </c>
      <c r="D1170" s="12" t="s">
        <v>2229</v>
      </c>
    </row>
    <row r="1171" spans="1:4">
      <c r="A1171" s="12">
        <v>7260101590</v>
      </c>
      <c r="B1171" s="12" t="s">
        <v>6724</v>
      </c>
      <c r="C1171" s="12" t="s">
        <v>6</v>
      </c>
      <c r="D1171" s="12" t="s">
        <v>6725</v>
      </c>
    </row>
    <row r="1172" spans="1:4">
      <c r="A1172" s="12">
        <v>7260101600</v>
      </c>
      <c r="B1172" s="12" t="s">
        <v>6726</v>
      </c>
      <c r="C1172" s="12" t="s">
        <v>6</v>
      </c>
      <c r="D1172" s="12" t="s">
        <v>6727</v>
      </c>
    </row>
    <row r="1173" spans="1:4">
      <c r="A1173" s="12">
        <v>7260101610</v>
      </c>
      <c r="B1173" s="12" t="s">
        <v>6728</v>
      </c>
      <c r="C1173" s="12" t="s">
        <v>6</v>
      </c>
      <c r="D1173" s="12" t="s">
        <v>6729</v>
      </c>
    </row>
    <row r="1174" spans="1:4">
      <c r="A1174" s="12">
        <v>7260101620</v>
      </c>
      <c r="B1174" s="12" t="s">
        <v>6730</v>
      </c>
      <c r="C1174" s="12" t="s">
        <v>6</v>
      </c>
      <c r="D1174" s="12" t="s">
        <v>6731</v>
      </c>
    </row>
    <row r="1175" spans="1:4">
      <c r="A1175" s="12">
        <v>7260101630</v>
      </c>
      <c r="B1175" s="12" t="s">
        <v>6732</v>
      </c>
      <c r="C1175" s="12" t="s">
        <v>6</v>
      </c>
      <c r="D1175" s="12" t="s">
        <v>6733</v>
      </c>
    </row>
    <row r="1176" spans="1:4">
      <c r="A1176" s="12">
        <v>7260101640</v>
      </c>
      <c r="B1176" s="12" t="s">
        <v>6734</v>
      </c>
      <c r="C1176" s="12" t="s">
        <v>6</v>
      </c>
      <c r="D1176" s="12" t="s">
        <v>6735</v>
      </c>
    </row>
    <row r="1177" spans="1:4">
      <c r="A1177" s="12">
        <v>7260101650</v>
      </c>
      <c r="B1177" s="12" t="s">
        <v>6736</v>
      </c>
      <c r="C1177" s="12" t="s">
        <v>6</v>
      </c>
      <c r="D1177" s="12" t="s">
        <v>6737</v>
      </c>
    </row>
    <row r="1178" spans="1:4">
      <c r="A1178" s="12">
        <v>7260101660</v>
      </c>
      <c r="B1178" s="12" t="s">
        <v>6738</v>
      </c>
      <c r="C1178" s="12" t="s">
        <v>6</v>
      </c>
      <c r="D1178" s="12" t="s">
        <v>6739</v>
      </c>
    </row>
    <row r="1179" spans="1:4">
      <c r="A1179" s="12">
        <v>7260101670</v>
      </c>
      <c r="B1179" s="12" t="s">
        <v>6740</v>
      </c>
      <c r="C1179" s="12" t="s">
        <v>6</v>
      </c>
      <c r="D1179" s="12" t="s">
        <v>6741</v>
      </c>
    </row>
    <row r="1180" spans="1:4">
      <c r="A1180" s="12">
        <v>7260101680</v>
      </c>
      <c r="B1180" s="12" t="s">
        <v>6742</v>
      </c>
      <c r="C1180" s="12" t="s">
        <v>6</v>
      </c>
      <c r="D1180" s="12" t="s">
        <v>6743</v>
      </c>
    </row>
    <row r="1181" spans="1:4">
      <c r="A1181" s="12">
        <v>7260200040</v>
      </c>
      <c r="B1181" s="12" t="s">
        <v>6744</v>
      </c>
      <c r="C1181" s="12" t="s">
        <v>6</v>
      </c>
      <c r="D1181" s="12" t="s">
        <v>6745</v>
      </c>
    </row>
    <row r="1182" spans="1:4">
      <c r="A1182" s="12">
        <v>7260200320</v>
      </c>
      <c r="B1182" s="12" t="s">
        <v>6746</v>
      </c>
      <c r="C1182" s="12" t="s">
        <v>6</v>
      </c>
      <c r="D1182" s="12" t="s">
        <v>6747</v>
      </c>
    </row>
    <row r="1183" spans="1:4">
      <c r="A1183" s="12">
        <v>7260250010</v>
      </c>
      <c r="B1183" s="12" t="s">
        <v>6748</v>
      </c>
      <c r="C1183" s="12" t="s">
        <v>6</v>
      </c>
      <c r="D1183" s="12" t="s">
        <v>6749</v>
      </c>
    </row>
    <row r="1184" spans="1:4">
      <c r="A1184" s="12">
        <v>7260250040</v>
      </c>
      <c r="B1184" s="12" t="s">
        <v>6750</v>
      </c>
      <c r="C1184" s="12" t="s">
        <v>6</v>
      </c>
      <c r="D1184" s="12" t="s">
        <v>6751</v>
      </c>
    </row>
    <row r="1185" spans="1:4">
      <c r="A1185" s="12">
        <v>7260250080</v>
      </c>
      <c r="B1185" s="12" t="s">
        <v>6752</v>
      </c>
      <c r="C1185" s="12" t="s">
        <v>6</v>
      </c>
      <c r="D1185" s="12" t="s">
        <v>6131</v>
      </c>
    </row>
    <row r="1186" spans="1:4">
      <c r="A1186" s="12">
        <v>7260250320</v>
      </c>
      <c r="B1186" s="12" t="s">
        <v>6753</v>
      </c>
      <c r="C1186" s="12" t="s">
        <v>6</v>
      </c>
      <c r="D1186" s="12" t="s">
        <v>4316</v>
      </c>
    </row>
    <row r="1187" spans="1:4">
      <c r="A1187" s="12">
        <v>7260250360</v>
      </c>
      <c r="B1187" s="12" t="s">
        <v>6754</v>
      </c>
      <c r="C1187" s="12" t="s">
        <v>6</v>
      </c>
      <c r="D1187" s="12" t="s">
        <v>6755</v>
      </c>
    </row>
    <row r="1188" spans="1:4">
      <c r="A1188" s="12">
        <v>7260300010</v>
      </c>
      <c r="B1188" s="12" t="s">
        <v>6756</v>
      </c>
      <c r="C1188" s="12" t="s">
        <v>6</v>
      </c>
      <c r="D1188" s="12" t="s">
        <v>6757</v>
      </c>
    </row>
    <row r="1189" spans="1:4">
      <c r="A1189" s="12">
        <v>7260300020</v>
      </c>
      <c r="B1189" s="12" t="s">
        <v>6758</v>
      </c>
      <c r="C1189" s="12" t="s">
        <v>6</v>
      </c>
      <c r="D1189" s="12" t="s">
        <v>6759</v>
      </c>
    </row>
    <row r="1190" spans="1:4">
      <c r="A1190" s="12">
        <v>7260300030</v>
      </c>
      <c r="B1190" s="12" t="s">
        <v>6760</v>
      </c>
      <c r="C1190" s="12" t="s">
        <v>6</v>
      </c>
      <c r="D1190" s="12" t="s">
        <v>6761</v>
      </c>
    </row>
    <row r="1191" spans="1:4">
      <c r="A1191" s="12">
        <v>7260300040</v>
      </c>
      <c r="B1191" s="12" t="s">
        <v>6762</v>
      </c>
      <c r="C1191" s="12" t="s">
        <v>6</v>
      </c>
      <c r="D1191" s="12" t="s">
        <v>6763</v>
      </c>
    </row>
    <row r="1192" spans="1:4">
      <c r="A1192" s="12">
        <v>7260300050</v>
      </c>
      <c r="B1192" s="12" t="s">
        <v>6764</v>
      </c>
      <c r="C1192" s="12" t="s">
        <v>6</v>
      </c>
      <c r="D1192" s="12" t="s">
        <v>6765</v>
      </c>
    </row>
    <row r="1193" spans="1:4">
      <c r="A1193" s="12">
        <v>7260300060</v>
      </c>
      <c r="B1193" s="12" t="s">
        <v>6766</v>
      </c>
      <c r="C1193" s="12" t="s">
        <v>6</v>
      </c>
      <c r="D1193" s="12" t="s">
        <v>6767</v>
      </c>
    </row>
    <row r="1194" spans="1:4">
      <c r="A1194" s="12">
        <v>7260300070</v>
      </c>
      <c r="B1194" s="12" t="s">
        <v>6768</v>
      </c>
      <c r="C1194" s="12" t="s">
        <v>6</v>
      </c>
      <c r="D1194" s="12" t="s">
        <v>6769</v>
      </c>
    </row>
    <row r="1195" spans="1:4">
      <c r="A1195" s="12">
        <v>7260300080</v>
      </c>
      <c r="B1195" s="12" t="s">
        <v>6770</v>
      </c>
      <c r="C1195" s="12" t="s">
        <v>6</v>
      </c>
      <c r="D1195" s="12" t="s">
        <v>6771</v>
      </c>
    </row>
    <row r="1200" spans="1:4">
      <c r="A1200" s="12">
        <v>7260300090</v>
      </c>
      <c r="B1200" s="12" t="s">
        <v>6772</v>
      </c>
      <c r="C1200" s="12" t="s">
        <v>6</v>
      </c>
      <c r="D1200" s="12" t="s">
        <v>6773</v>
      </c>
    </row>
    <row r="1201" spans="1:4">
      <c r="A1201" s="12">
        <v>7260300100</v>
      </c>
      <c r="B1201" s="12" t="s">
        <v>6774</v>
      </c>
      <c r="C1201" s="12" t="s">
        <v>6</v>
      </c>
      <c r="D1201" s="12" t="s">
        <v>6775</v>
      </c>
    </row>
    <row r="1202" spans="1:4">
      <c r="A1202" s="12">
        <v>7260300110</v>
      </c>
      <c r="B1202" s="12" t="s">
        <v>6776</v>
      </c>
      <c r="C1202" s="12" t="s">
        <v>6</v>
      </c>
      <c r="D1202" s="12" t="s">
        <v>6777</v>
      </c>
    </row>
    <row r="1203" spans="1:4">
      <c r="A1203" s="12">
        <v>7260300120</v>
      </c>
      <c r="B1203" s="12" t="s">
        <v>6778</v>
      </c>
      <c r="C1203" s="12" t="s">
        <v>6</v>
      </c>
      <c r="D1203" s="12" t="s">
        <v>6779</v>
      </c>
    </row>
    <row r="1204" spans="1:4">
      <c r="A1204" s="12">
        <v>7260300130</v>
      </c>
      <c r="B1204" s="12" t="s">
        <v>6780</v>
      </c>
      <c r="C1204" s="12" t="s">
        <v>6</v>
      </c>
      <c r="D1204" s="12" t="s">
        <v>6781</v>
      </c>
    </row>
    <row r="1205" spans="1:4">
      <c r="A1205" s="12">
        <v>7260300140</v>
      </c>
      <c r="B1205" s="12" t="s">
        <v>6782</v>
      </c>
      <c r="C1205" s="12" t="s">
        <v>6</v>
      </c>
      <c r="D1205" s="12" t="s">
        <v>6783</v>
      </c>
    </row>
    <row r="1206" spans="1:4">
      <c r="A1206" s="12">
        <v>7260300150</v>
      </c>
      <c r="B1206" s="12" t="s">
        <v>6784</v>
      </c>
      <c r="C1206" s="12" t="s">
        <v>6</v>
      </c>
      <c r="D1206" s="12" t="s">
        <v>6785</v>
      </c>
    </row>
    <row r="1207" spans="1:4">
      <c r="A1207" s="12">
        <v>7260300160</v>
      </c>
      <c r="B1207" s="12" t="s">
        <v>6786</v>
      </c>
      <c r="C1207" s="12" t="s">
        <v>6</v>
      </c>
      <c r="D1207" s="12" t="s">
        <v>6787</v>
      </c>
    </row>
    <row r="1208" spans="1:4">
      <c r="A1208" s="12">
        <v>7260300170</v>
      </c>
      <c r="B1208" s="12" t="s">
        <v>6788</v>
      </c>
      <c r="C1208" s="12" t="s">
        <v>6</v>
      </c>
      <c r="D1208" s="12" t="s">
        <v>6789</v>
      </c>
    </row>
    <row r="1209" spans="1:4">
      <c r="A1209" s="12">
        <v>7260300180</v>
      </c>
      <c r="B1209" s="12" t="s">
        <v>6790</v>
      </c>
      <c r="C1209" s="12" t="s">
        <v>6</v>
      </c>
      <c r="D1209" s="12" t="s">
        <v>6791</v>
      </c>
    </row>
    <row r="1210" spans="1:4">
      <c r="A1210" s="12">
        <v>7260300190</v>
      </c>
      <c r="B1210" s="12" t="s">
        <v>6792</v>
      </c>
      <c r="C1210" s="12" t="s">
        <v>6</v>
      </c>
      <c r="D1210" s="12" t="s">
        <v>6793</v>
      </c>
    </row>
    <row r="1211" spans="1:4">
      <c r="A1211" s="12">
        <v>7260300200</v>
      </c>
      <c r="B1211" s="12" t="s">
        <v>6794</v>
      </c>
      <c r="C1211" s="12" t="s">
        <v>6</v>
      </c>
      <c r="D1211" s="12" t="s">
        <v>6795</v>
      </c>
    </row>
    <row r="1212" spans="1:4">
      <c r="A1212" s="12">
        <v>7260300210</v>
      </c>
      <c r="B1212" s="12" t="s">
        <v>6796</v>
      </c>
      <c r="C1212" s="12" t="s">
        <v>6</v>
      </c>
      <c r="D1212" s="12" t="s">
        <v>6797</v>
      </c>
    </row>
    <row r="1213" spans="1:4">
      <c r="A1213" s="12">
        <v>7260300220</v>
      </c>
      <c r="B1213" s="12" t="s">
        <v>6798</v>
      </c>
      <c r="C1213" s="12" t="s">
        <v>6</v>
      </c>
      <c r="D1213" s="12" t="s">
        <v>6799</v>
      </c>
    </row>
    <row r="1214" spans="1:4">
      <c r="A1214" s="12">
        <v>7260300230</v>
      </c>
      <c r="B1214" s="12" t="s">
        <v>6800</v>
      </c>
      <c r="C1214" s="12" t="s">
        <v>6</v>
      </c>
      <c r="D1214" s="12" t="s">
        <v>6801</v>
      </c>
    </row>
    <row r="1215" spans="1:4">
      <c r="A1215" s="12">
        <v>7260300240</v>
      </c>
      <c r="B1215" s="12" t="s">
        <v>6802</v>
      </c>
      <c r="C1215" s="12" t="s">
        <v>6</v>
      </c>
      <c r="D1215" s="12" t="s">
        <v>6803</v>
      </c>
    </row>
    <row r="1216" spans="1:4">
      <c r="A1216" s="12">
        <v>7260300250</v>
      </c>
      <c r="B1216" s="12" t="s">
        <v>6804</v>
      </c>
      <c r="C1216" s="12" t="s">
        <v>6</v>
      </c>
      <c r="D1216" s="12" t="s">
        <v>6805</v>
      </c>
    </row>
    <row r="1217" spans="1:4">
      <c r="A1217" s="12">
        <v>7260300260</v>
      </c>
      <c r="B1217" s="12" t="s">
        <v>6806</v>
      </c>
      <c r="C1217" s="12" t="s">
        <v>6</v>
      </c>
      <c r="D1217" s="12" t="s">
        <v>6807</v>
      </c>
    </row>
    <row r="1218" spans="1:4">
      <c r="A1218" s="12">
        <v>7260300270</v>
      </c>
      <c r="B1218" s="12" t="s">
        <v>6808</v>
      </c>
      <c r="C1218" s="12" t="s">
        <v>6</v>
      </c>
      <c r="D1218" s="12" t="s">
        <v>6809</v>
      </c>
    </row>
    <row r="1219" spans="1:4">
      <c r="A1219" s="12">
        <v>7260300280</v>
      </c>
      <c r="B1219" s="12" t="s">
        <v>6810</v>
      </c>
      <c r="C1219" s="12" t="s">
        <v>6</v>
      </c>
      <c r="D1219" s="12" t="s">
        <v>6811</v>
      </c>
    </row>
    <row r="1220" spans="1:4">
      <c r="A1220" s="12">
        <v>7260300290</v>
      </c>
      <c r="B1220" s="12" t="s">
        <v>6812</v>
      </c>
      <c r="C1220" s="12" t="s">
        <v>6</v>
      </c>
      <c r="D1220" s="12" t="s">
        <v>6813</v>
      </c>
    </row>
    <row r="1221" spans="1:4">
      <c r="A1221" s="12">
        <v>7260300300</v>
      </c>
      <c r="B1221" s="12" t="s">
        <v>6814</v>
      </c>
      <c r="C1221" s="12" t="s">
        <v>6</v>
      </c>
      <c r="D1221" s="12" t="s">
        <v>6815</v>
      </c>
    </row>
    <row r="1222" spans="1:4">
      <c r="A1222" s="12">
        <v>7260300310</v>
      </c>
      <c r="B1222" s="12" t="s">
        <v>6816</v>
      </c>
      <c r="C1222" s="12" t="s">
        <v>6</v>
      </c>
      <c r="D1222" s="12" t="s">
        <v>6817</v>
      </c>
    </row>
    <row r="1223" spans="1:4">
      <c r="A1223" s="12">
        <v>7260300320</v>
      </c>
      <c r="B1223" s="12" t="s">
        <v>6818</v>
      </c>
      <c r="C1223" s="12" t="s">
        <v>6</v>
      </c>
      <c r="D1223" s="24" t="s">
        <v>6819</v>
      </c>
    </row>
    <row r="1224" spans="1:4">
      <c r="A1224" s="12">
        <v>7260300330</v>
      </c>
      <c r="B1224" s="12" t="s">
        <v>6820</v>
      </c>
      <c r="C1224" s="12" t="s">
        <v>6</v>
      </c>
      <c r="D1224" s="24" t="s">
        <v>6821</v>
      </c>
    </row>
    <row r="1225" spans="1:4">
      <c r="A1225" s="12">
        <v>7260300340</v>
      </c>
      <c r="B1225" s="12" t="s">
        <v>6822</v>
      </c>
      <c r="C1225" s="12" t="s">
        <v>6</v>
      </c>
      <c r="D1225" s="12" t="s">
        <v>6823</v>
      </c>
    </row>
    <row r="1226" spans="1:4">
      <c r="A1226" s="12">
        <v>7260300350</v>
      </c>
      <c r="B1226" s="12" t="s">
        <v>6824</v>
      </c>
      <c r="C1226" s="12" t="s">
        <v>6</v>
      </c>
      <c r="D1226" s="12" t="s">
        <v>6825</v>
      </c>
    </row>
    <row r="1227" spans="1:4">
      <c r="A1227" s="12">
        <v>7260300360</v>
      </c>
      <c r="B1227" s="12" t="s">
        <v>6826</v>
      </c>
      <c r="C1227" s="12" t="s">
        <v>6</v>
      </c>
      <c r="D1227" s="12" t="s">
        <v>6827</v>
      </c>
    </row>
    <row r="1228" spans="1:4">
      <c r="A1228" s="12">
        <v>7260300370</v>
      </c>
      <c r="B1228" s="12" t="s">
        <v>6828</v>
      </c>
      <c r="C1228" s="12" t="s">
        <v>6</v>
      </c>
      <c r="D1228" s="12" t="s">
        <v>6829</v>
      </c>
    </row>
    <row r="1229" spans="1:4">
      <c r="A1229" s="12">
        <v>7260300380</v>
      </c>
      <c r="B1229" s="12" t="s">
        <v>6830</v>
      </c>
      <c r="C1229" s="12" t="s">
        <v>6</v>
      </c>
      <c r="D1229" s="12" t="s">
        <v>6831</v>
      </c>
    </row>
    <row r="1230" spans="1:4">
      <c r="A1230" s="12">
        <v>7260300390</v>
      </c>
      <c r="B1230" s="12" t="s">
        <v>6832</v>
      </c>
      <c r="C1230" s="12" t="s">
        <v>6</v>
      </c>
      <c r="D1230" s="12" t="s">
        <v>6833</v>
      </c>
    </row>
    <row r="1231" spans="1:4">
      <c r="A1231" s="12">
        <v>7260300400</v>
      </c>
      <c r="B1231" s="12" t="s">
        <v>6834</v>
      </c>
      <c r="C1231" s="12" t="s">
        <v>6</v>
      </c>
      <c r="D1231" s="12" t="s">
        <v>6835</v>
      </c>
    </row>
    <row r="1232" spans="1:4">
      <c r="A1232" s="12">
        <v>7260300410</v>
      </c>
      <c r="B1232" s="12" t="s">
        <v>6836</v>
      </c>
      <c r="C1232" s="12" t="s">
        <v>6</v>
      </c>
      <c r="D1232" s="12" t="s">
        <v>6837</v>
      </c>
    </row>
    <row r="1233" spans="1:4">
      <c r="A1233" s="12">
        <v>7260300420</v>
      </c>
      <c r="B1233" s="12" t="s">
        <v>6838</v>
      </c>
      <c r="C1233" s="12" t="s">
        <v>6</v>
      </c>
      <c r="D1233" s="12" t="s">
        <v>6839</v>
      </c>
    </row>
    <row r="1234" spans="1:4">
      <c r="A1234" s="12">
        <v>7260300430</v>
      </c>
      <c r="B1234" s="12" t="s">
        <v>6840</v>
      </c>
      <c r="C1234" s="12" t="s">
        <v>6</v>
      </c>
      <c r="D1234" s="12" t="s">
        <v>6841</v>
      </c>
    </row>
    <row r="1235" spans="1:4">
      <c r="A1235" s="12">
        <v>7260300440</v>
      </c>
      <c r="B1235" s="12" t="s">
        <v>6842</v>
      </c>
      <c r="C1235" s="12" t="s">
        <v>6</v>
      </c>
      <c r="D1235" s="12" t="s">
        <v>6843</v>
      </c>
    </row>
    <row r="1236" spans="1:4">
      <c r="A1236" s="12">
        <v>7260300450</v>
      </c>
      <c r="B1236" s="12" t="s">
        <v>6844</v>
      </c>
      <c r="C1236" s="12" t="s">
        <v>6</v>
      </c>
      <c r="D1236" s="12" t="s">
        <v>6845</v>
      </c>
    </row>
    <row r="1237" spans="1:4">
      <c r="A1237" s="12">
        <v>7260300460</v>
      </c>
      <c r="B1237" s="12" t="s">
        <v>6846</v>
      </c>
      <c r="C1237" s="12" t="s">
        <v>6</v>
      </c>
      <c r="D1237" s="12" t="s">
        <v>6847</v>
      </c>
    </row>
    <row r="1238" spans="1:4">
      <c r="A1238" s="12">
        <v>7260300470</v>
      </c>
      <c r="B1238" s="12" t="s">
        <v>6848</v>
      </c>
      <c r="C1238" s="12" t="s">
        <v>6</v>
      </c>
      <c r="D1238" s="12" t="s">
        <v>6849</v>
      </c>
    </row>
    <row r="1239" spans="1:4">
      <c r="A1239" s="12">
        <v>7260300480</v>
      </c>
      <c r="B1239" s="12" t="s">
        <v>6850</v>
      </c>
      <c r="C1239" s="12" t="s">
        <v>6</v>
      </c>
      <c r="D1239" s="12" t="s">
        <v>6851</v>
      </c>
    </row>
    <row r="1240" spans="1:4">
      <c r="A1240" s="12">
        <v>7260300490</v>
      </c>
      <c r="B1240" s="12" t="s">
        <v>6852</v>
      </c>
      <c r="C1240" s="12" t="s">
        <v>6</v>
      </c>
      <c r="D1240" s="12" t="s">
        <v>6853</v>
      </c>
    </row>
    <row r="1241" spans="1:4">
      <c r="A1241" s="12">
        <v>7260300500</v>
      </c>
      <c r="B1241" s="12" t="s">
        <v>6854</v>
      </c>
      <c r="C1241" s="12" t="s">
        <v>6</v>
      </c>
      <c r="D1241" s="12" t="s">
        <v>6855</v>
      </c>
    </row>
    <row r="1242" spans="1:4">
      <c r="A1242" s="12">
        <v>7260300510</v>
      </c>
      <c r="B1242" s="12" t="s">
        <v>6856</v>
      </c>
      <c r="C1242" s="12" t="s">
        <v>6</v>
      </c>
      <c r="D1242" s="12" t="s">
        <v>6857</v>
      </c>
    </row>
    <row r="1243" spans="1:4">
      <c r="A1243" s="12">
        <v>7260300520</v>
      </c>
      <c r="B1243" s="12" t="s">
        <v>6858</v>
      </c>
      <c r="C1243" s="12" t="s">
        <v>6</v>
      </c>
      <c r="D1243" s="12" t="s">
        <v>6859</v>
      </c>
    </row>
    <row r="1244" spans="1:4">
      <c r="A1244" s="12">
        <v>7260300530</v>
      </c>
      <c r="B1244" s="12" t="s">
        <v>6860</v>
      </c>
      <c r="C1244" s="12" t="s">
        <v>6</v>
      </c>
      <c r="D1244" s="12" t="s">
        <v>6861</v>
      </c>
    </row>
    <row r="1245" spans="1:4">
      <c r="A1245" s="12">
        <v>7260300540</v>
      </c>
      <c r="B1245" s="12" t="s">
        <v>6862</v>
      </c>
      <c r="C1245" s="12" t="s">
        <v>6</v>
      </c>
      <c r="D1245" s="12" t="s">
        <v>6863</v>
      </c>
    </row>
    <row r="1246" spans="1:4">
      <c r="A1246" s="12">
        <v>7260300550</v>
      </c>
      <c r="B1246" s="12" t="s">
        <v>6864</v>
      </c>
      <c r="C1246" s="12" t="s">
        <v>6</v>
      </c>
      <c r="D1246" s="12" t="s">
        <v>6865</v>
      </c>
    </row>
    <row r="1247" spans="1:4">
      <c r="A1247" s="12">
        <v>7260300560</v>
      </c>
      <c r="B1247" s="12" t="s">
        <v>6866</v>
      </c>
      <c r="C1247" s="12" t="s">
        <v>6</v>
      </c>
      <c r="D1247" s="12" t="s">
        <v>6867</v>
      </c>
    </row>
    <row r="1252" spans="1:4">
      <c r="A1252" s="12">
        <v>7260300570</v>
      </c>
      <c r="B1252" s="12" t="s">
        <v>6868</v>
      </c>
      <c r="C1252" s="12" t="s">
        <v>6</v>
      </c>
      <c r="D1252" s="12" t="s">
        <v>6869</v>
      </c>
    </row>
    <row r="1253" spans="1:4">
      <c r="A1253" s="12">
        <v>7260300580</v>
      </c>
      <c r="B1253" s="12" t="s">
        <v>6870</v>
      </c>
      <c r="C1253" s="12" t="s">
        <v>6</v>
      </c>
      <c r="D1253" s="12" t="s">
        <v>6871</v>
      </c>
    </row>
    <row r="1254" spans="1:4">
      <c r="A1254" s="12">
        <v>7260300590</v>
      </c>
      <c r="B1254" s="12" t="s">
        <v>6872</v>
      </c>
      <c r="C1254" s="12" t="s">
        <v>6</v>
      </c>
      <c r="D1254" s="12" t="s">
        <v>6873</v>
      </c>
    </row>
    <row r="1255" spans="1:4">
      <c r="A1255" s="12">
        <v>7260300600</v>
      </c>
      <c r="B1255" s="12" t="s">
        <v>6874</v>
      </c>
      <c r="C1255" s="12" t="s">
        <v>6</v>
      </c>
      <c r="D1255" s="12" t="s">
        <v>6875</v>
      </c>
    </row>
    <row r="1256" spans="1:4">
      <c r="A1256" s="12">
        <v>7260300610</v>
      </c>
      <c r="B1256" s="12" t="s">
        <v>6876</v>
      </c>
      <c r="C1256" s="12" t="s">
        <v>6</v>
      </c>
      <c r="D1256" s="12" t="s">
        <v>6877</v>
      </c>
    </row>
    <row r="1257" spans="1:4">
      <c r="A1257" s="12">
        <v>7260300620</v>
      </c>
      <c r="B1257" s="12" t="s">
        <v>6878</v>
      </c>
      <c r="C1257" s="12" t="s">
        <v>6</v>
      </c>
      <c r="D1257" s="12" t="s">
        <v>6879</v>
      </c>
    </row>
    <row r="1258" spans="1:4">
      <c r="A1258" s="12">
        <v>7260300630</v>
      </c>
      <c r="B1258" s="12" t="s">
        <v>6880</v>
      </c>
      <c r="C1258" s="12" t="s">
        <v>6</v>
      </c>
      <c r="D1258" s="12" t="s">
        <v>6881</v>
      </c>
    </row>
    <row r="1259" spans="1:4">
      <c r="A1259" s="12">
        <v>7260300640</v>
      </c>
      <c r="B1259" s="12" t="s">
        <v>6882</v>
      </c>
      <c r="C1259" s="12" t="s">
        <v>6</v>
      </c>
      <c r="D1259" s="12" t="s">
        <v>6883</v>
      </c>
    </row>
    <row r="1260" spans="1:4">
      <c r="A1260" s="12">
        <v>7260300650</v>
      </c>
      <c r="B1260" s="12" t="s">
        <v>6884</v>
      </c>
      <c r="C1260" s="12" t="s">
        <v>6</v>
      </c>
      <c r="D1260" s="12" t="s">
        <v>6885</v>
      </c>
    </row>
    <row r="1261" spans="1:4">
      <c r="A1261" s="12">
        <v>7260300660</v>
      </c>
      <c r="B1261" s="12" t="s">
        <v>6886</v>
      </c>
      <c r="C1261" s="12" t="s">
        <v>6</v>
      </c>
      <c r="D1261" s="12" t="s">
        <v>6887</v>
      </c>
    </row>
    <row r="1262" spans="1:4">
      <c r="A1262" s="12">
        <v>7260300670</v>
      </c>
      <c r="B1262" s="12" t="s">
        <v>6888</v>
      </c>
      <c r="C1262" s="12" t="s">
        <v>6</v>
      </c>
      <c r="D1262" s="12" t="s">
        <v>6889</v>
      </c>
    </row>
    <row r="1263" spans="1:4">
      <c r="A1263" s="12">
        <v>7260300680</v>
      </c>
      <c r="B1263" s="12" t="s">
        <v>6890</v>
      </c>
      <c r="C1263" s="12" t="s">
        <v>6</v>
      </c>
      <c r="D1263" s="12" t="s">
        <v>6891</v>
      </c>
    </row>
    <row r="1264" spans="1:4">
      <c r="A1264" s="12">
        <v>7260300690</v>
      </c>
      <c r="B1264" s="12" t="s">
        <v>6892</v>
      </c>
      <c r="C1264" s="12" t="s">
        <v>6</v>
      </c>
      <c r="D1264" s="12" t="s">
        <v>6893</v>
      </c>
    </row>
    <row r="1265" spans="1:4">
      <c r="A1265" s="12">
        <v>7260300700</v>
      </c>
      <c r="B1265" s="12" t="s">
        <v>6894</v>
      </c>
      <c r="C1265" s="12" t="s">
        <v>6</v>
      </c>
      <c r="D1265" s="12" t="s">
        <v>6895</v>
      </c>
    </row>
    <row r="1266" spans="1:4">
      <c r="A1266" s="12">
        <v>7260300710</v>
      </c>
      <c r="B1266" s="12" t="s">
        <v>6896</v>
      </c>
      <c r="C1266" s="12" t="s">
        <v>6</v>
      </c>
      <c r="D1266" s="12" t="s">
        <v>6897</v>
      </c>
    </row>
    <row r="1267" spans="1:4">
      <c r="A1267" s="12">
        <v>7260300720</v>
      </c>
      <c r="B1267" s="12" t="s">
        <v>6898</v>
      </c>
      <c r="C1267" s="12" t="s">
        <v>6</v>
      </c>
      <c r="D1267" s="12" t="s">
        <v>6899</v>
      </c>
    </row>
    <row r="1268" spans="1:4">
      <c r="A1268" s="12">
        <v>7260300730</v>
      </c>
      <c r="B1268" s="12" t="s">
        <v>6900</v>
      </c>
      <c r="C1268" s="12" t="s">
        <v>6</v>
      </c>
      <c r="D1268" s="12" t="s">
        <v>6901</v>
      </c>
    </row>
    <row r="1269" spans="1:4">
      <c r="A1269" s="12">
        <v>7260300740</v>
      </c>
      <c r="B1269" s="12" t="s">
        <v>6902</v>
      </c>
      <c r="C1269" s="12" t="s">
        <v>6</v>
      </c>
      <c r="D1269" s="12" t="s">
        <v>6903</v>
      </c>
    </row>
    <row r="1270" spans="1:4">
      <c r="A1270" s="12">
        <v>7260300750</v>
      </c>
      <c r="B1270" s="12" t="s">
        <v>6904</v>
      </c>
      <c r="C1270" s="12" t="s">
        <v>6</v>
      </c>
      <c r="D1270" s="12" t="s">
        <v>6905</v>
      </c>
    </row>
    <row r="1271" spans="1:4">
      <c r="A1271" s="12">
        <v>7260300760</v>
      </c>
      <c r="B1271" s="12" t="s">
        <v>6906</v>
      </c>
      <c r="C1271" s="12" t="s">
        <v>6</v>
      </c>
      <c r="D1271" s="12" t="s">
        <v>6907</v>
      </c>
    </row>
    <row r="1272" spans="1:4">
      <c r="A1272" s="12">
        <v>7260300770</v>
      </c>
      <c r="B1272" s="12" t="s">
        <v>6908</v>
      </c>
      <c r="C1272" s="12" t="s">
        <v>6</v>
      </c>
      <c r="D1272" s="12" t="s">
        <v>3560</v>
      </c>
    </row>
    <row r="1273" spans="1:4">
      <c r="A1273" s="12">
        <v>7260300780</v>
      </c>
      <c r="B1273" s="12" t="s">
        <v>6909</v>
      </c>
      <c r="C1273" s="12" t="s">
        <v>6</v>
      </c>
      <c r="D1273" s="12" t="s">
        <v>6910</v>
      </c>
    </row>
    <row r="1274" spans="1:4">
      <c r="A1274" s="12">
        <v>7260300790</v>
      </c>
      <c r="B1274" s="12" t="s">
        <v>6911</v>
      </c>
      <c r="C1274" s="12" t="s">
        <v>6</v>
      </c>
      <c r="D1274" s="12" t="s">
        <v>6912</v>
      </c>
    </row>
    <row r="1275" spans="1:4">
      <c r="A1275" s="12">
        <v>7260300800</v>
      </c>
      <c r="B1275" s="12" t="s">
        <v>6913</v>
      </c>
      <c r="C1275" s="12" t="s">
        <v>6</v>
      </c>
      <c r="D1275" s="12" t="s">
        <v>6914</v>
      </c>
    </row>
    <row r="1276" spans="1:4">
      <c r="A1276" s="12">
        <v>7260300810</v>
      </c>
      <c r="B1276" s="12" t="s">
        <v>6915</v>
      </c>
      <c r="C1276" s="12" t="s">
        <v>6</v>
      </c>
      <c r="D1276" s="12" t="s">
        <v>6916</v>
      </c>
    </row>
    <row r="1277" spans="1:4">
      <c r="A1277" s="12">
        <v>7260300820</v>
      </c>
      <c r="B1277" s="12" t="s">
        <v>6917</v>
      </c>
      <c r="C1277" s="12" t="s">
        <v>6</v>
      </c>
      <c r="D1277" s="12" t="s">
        <v>6918</v>
      </c>
    </row>
    <row r="1278" spans="1:4">
      <c r="A1278" s="12">
        <v>7260300830</v>
      </c>
      <c r="B1278" s="12" t="s">
        <v>6919</v>
      </c>
      <c r="C1278" s="12" t="s">
        <v>6</v>
      </c>
      <c r="D1278" s="12" t="s">
        <v>6920</v>
      </c>
    </row>
    <row r="1279" spans="1:4">
      <c r="A1279" s="12">
        <v>7260300840</v>
      </c>
      <c r="B1279" s="12" t="s">
        <v>6921</v>
      </c>
      <c r="C1279" s="12" t="s">
        <v>6</v>
      </c>
      <c r="D1279" s="12" t="s">
        <v>6922</v>
      </c>
    </row>
    <row r="1280" spans="1:4">
      <c r="A1280" s="12">
        <v>7260300850</v>
      </c>
      <c r="B1280" s="12" t="s">
        <v>6923</v>
      </c>
      <c r="C1280" s="12" t="s">
        <v>6</v>
      </c>
      <c r="D1280" s="12" t="s">
        <v>6924</v>
      </c>
    </row>
    <row r="1281" spans="1:4">
      <c r="A1281" s="12">
        <v>7260300860</v>
      </c>
      <c r="B1281" s="12" t="s">
        <v>6925</v>
      </c>
      <c r="C1281" s="12" t="s">
        <v>6</v>
      </c>
      <c r="D1281" s="24" t="s">
        <v>6926</v>
      </c>
    </row>
    <row r="1282" spans="1:4">
      <c r="A1282" s="12">
        <v>7260300870</v>
      </c>
      <c r="B1282" s="12" t="s">
        <v>6927</v>
      </c>
      <c r="C1282" s="12" t="s">
        <v>6</v>
      </c>
      <c r="D1282" s="24" t="s">
        <v>6928</v>
      </c>
    </row>
    <row r="1283" spans="1:4">
      <c r="A1283" s="12">
        <v>7260300880</v>
      </c>
      <c r="B1283" s="12" t="s">
        <v>6929</v>
      </c>
      <c r="C1283" s="12" t="s">
        <v>6</v>
      </c>
      <c r="D1283" s="12" t="s">
        <v>6930</v>
      </c>
    </row>
    <row r="1284" spans="1:4">
      <c r="A1284" s="12">
        <v>7260300890</v>
      </c>
      <c r="B1284" s="12" t="s">
        <v>6931</v>
      </c>
      <c r="C1284" s="12" t="s">
        <v>6</v>
      </c>
      <c r="D1284" s="12" t="s">
        <v>6932</v>
      </c>
    </row>
    <row r="1285" spans="1:4">
      <c r="A1285" s="12">
        <v>7260300900</v>
      </c>
      <c r="B1285" s="12" t="s">
        <v>6933</v>
      </c>
      <c r="C1285" s="12" t="s">
        <v>6</v>
      </c>
      <c r="D1285" s="12" t="s">
        <v>6934</v>
      </c>
    </row>
    <row r="1286" spans="1:4">
      <c r="A1286" s="12">
        <v>7260300910</v>
      </c>
      <c r="B1286" s="12" t="s">
        <v>6935</v>
      </c>
      <c r="C1286" s="12" t="s">
        <v>6</v>
      </c>
      <c r="D1286" s="12" t="s">
        <v>6936</v>
      </c>
    </row>
    <row r="1287" spans="1:4">
      <c r="A1287" s="12">
        <v>7260300920</v>
      </c>
      <c r="B1287" s="12" t="s">
        <v>6937</v>
      </c>
      <c r="C1287" s="12" t="s">
        <v>6</v>
      </c>
      <c r="D1287" s="12" t="s">
        <v>6938</v>
      </c>
    </row>
    <row r="1288" spans="1:4">
      <c r="A1288" s="12">
        <v>7260300930</v>
      </c>
      <c r="B1288" s="12" t="s">
        <v>6939</v>
      </c>
      <c r="C1288" s="12" t="s">
        <v>6</v>
      </c>
      <c r="D1288" s="12" t="s">
        <v>6940</v>
      </c>
    </row>
    <row r="1289" spans="1:4">
      <c r="A1289" s="12">
        <v>7260300940</v>
      </c>
      <c r="B1289" s="12" t="s">
        <v>6941</v>
      </c>
      <c r="C1289" s="12" t="s">
        <v>6</v>
      </c>
      <c r="D1289" s="12" t="s">
        <v>6942</v>
      </c>
    </row>
    <row r="1290" spans="1:4">
      <c r="A1290" s="12">
        <v>7260300950</v>
      </c>
      <c r="B1290" s="12" t="s">
        <v>6943</v>
      </c>
      <c r="C1290" s="12" t="s">
        <v>6</v>
      </c>
      <c r="D1290" s="12" t="s">
        <v>6944</v>
      </c>
    </row>
    <row r="1291" spans="1:4">
      <c r="A1291" s="12">
        <v>7260300960</v>
      </c>
      <c r="B1291" s="12" t="s">
        <v>6945</v>
      </c>
      <c r="C1291" s="12" t="s">
        <v>6</v>
      </c>
      <c r="D1291" s="12" t="s">
        <v>6946</v>
      </c>
    </row>
    <row r="1292" spans="1:4">
      <c r="A1292" s="12">
        <v>7260300970</v>
      </c>
      <c r="B1292" s="12" t="s">
        <v>6947</v>
      </c>
      <c r="C1292" s="12" t="s">
        <v>6</v>
      </c>
      <c r="D1292" s="12" t="s">
        <v>6948</v>
      </c>
    </row>
    <row r="1293" spans="1:4">
      <c r="A1293" s="12">
        <v>7260300980</v>
      </c>
      <c r="B1293" s="12" t="s">
        <v>6949</v>
      </c>
      <c r="C1293" s="12" t="s">
        <v>6</v>
      </c>
      <c r="D1293" s="12" t="s">
        <v>6950</v>
      </c>
    </row>
    <row r="1294" spans="1:4">
      <c r="A1294" s="12">
        <v>7260300990</v>
      </c>
      <c r="B1294" s="12" t="s">
        <v>6951</v>
      </c>
      <c r="C1294" s="12" t="s">
        <v>6</v>
      </c>
      <c r="D1294" s="12" t="s">
        <v>6952</v>
      </c>
    </row>
    <row r="1295" spans="1:4">
      <c r="A1295" s="12">
        <v>7260301000</v>
      </c>
      <c r="B1295" s="12" t="s">
        <v>6953</v>
      </c>
      <c r="C1295" s="12" t="s">
        <v>6</v>
      </c>
      <c r="D1295" s="12" t="s">
        <v>6954</v>
      </c>
    </row>
    <row r="1296" spans="1:4">
      <c r="A1296" s="12">
        <v>7260301010</v>
      </c>
      <c r="B1296" s="12" t="s">
        <v>6955</v>
      </c>
      <c r="C1296" s="12" t="s">
        <v>6</v>
      </c>
      <c r="D1296" s="12" t="s">
        <v>6327</v>
      </c>
    </row>
    <row r="1297" spans="1:4">
      <c r="A1297" s="12">
        <v>7260301020</v>
      </c>
      <c r="B1297" s="12" t="s">
        <v>6956</v>
      </c>
      <c r="C1297" s="12" t="s">
        <v>6</v>
      </c>
      <c r="D1297" s="12" t="s">
        <v>6957</v>
      </c>
    </row>
    <row r="1298" spans="1:4">
      <c r="A1298" s="12">
        <v>7260301030</v>
      </c>
      <c r="B1298" s="12" t="s">
        <v>6958</v>
      </c>
      <c r="C1298" s="12" t="s">
        <v>6</v>
      </c>
      <c r="D1298" s="12" t="s">
        <v>6959</v>
      </c>
    </row>
    <row r="1299" spans="1:4">
      <c r="A1299" s="12">
        <v>7260301040</v>
      </c>
      <c r="B1299" s="12" t="s">
        <v>6960</v>
      </c>
      <c r="C1299" s="12" t="s">
        <v>6</v>
      </c>
      <c r="D1299" s="12" t="s">
        <v>6961</v>
      </c>
    </row>
    <row r="1304" spans="1:4">
      <c r="A1304" s="12">
        <v>7260301050</v>
      </c>
      <c r="B1304" s="12" t="s">
        <v>6962</v>
      </c>
      <c r="C1304" s="12" t="s">
        <v>6</v>
      </c>
      <c r="D1304" s="12" t="s">
        <v>6963</v>
      </c>
    </row>
    <row r="1305" spans="1:4">
      <c r="A1305" s="12">
        <v>7260301060</v>
      </c>
      <c r="B1305" s="12" t="s">
        <v>6964</v>
      </c>
      <c r="C1305" s="12" t="s">
        <v>6</v>
      </c>
      <c r="D1305" s="12" t="s">
        <v>6965</v>
      </c>
    </row>
    <row r="1306" spans="1:4">
      <c r="A1306" s="12">
        <v>7260301070</v>
      </c>
      <c r="B1306" s="12" t="s">
        <v>6966</v>
      </c>
      <c r="C1306" s="12" t="s">
        <v>6</v>
      </c>
      <c r="D1306" s="12" t="s">
        <v>6967</v>
      </c>
    </row>
    <row r="1307" spans="1:4">
      <c r="A1307" s="12">
        <v>7260301080</v>
      </c>
      <c r="B1307" s="12" t="s">
        <v>6968</v>
      </c>
      <c r="C1307" s="12" t="s">
        <v>6</v>
      </c>
      <c r="D1307" s="12" t="s">
        <v>6969</v>
      </c>
    </row>
    <row r="1308" spans="1:4">
      <c r="A1308" s="12">
        <v>7260301090</v>
      </c>
      <c r="B1308" s="12" t="s">
        <v>6970</v>
      </c>
      <c r="C1308" s="12" t="s">
        <v>6</v>
      </c>
      <c r="D1308" s="12" t="s">
        <v>6971</v>
      </c>
    </row>
    <row r="1309" spans="1:4">
      <c r="A1309" s="12">
        <v>7260301100</v>
      </c>
      <c r="B1309" s="12" t="s">
        <v>6972</v>
      </c>
      <c r="C1309" s="12" t="s">
        <v>6</v>
      </c>
      <c r="D1309" s="12" t="s">
        <v>6973</v>
      </c>
    </row>
    <row r="1310" spans="1:4">
      <c r="A1310" s="12">
        <v>7260301110</v>
      </c>
      <c r="B1310" s="12" t="s">
        <v>6974</v>
      </c>
      <c r="C1310" s="12" t="s">
        <v>6</v>
      </c>
      <c r="D1310" s="12" t="s">
        <v>6975</v>
      </c>
    </row>
    <row r="1311" spans="1:4">
      <c r="A1311" s="12">
        <v>7260301120</v>
      </c>
      <c r="B1311" s="12" t="s">
        <v>6976</v>
      </c>
      <c r="C1311" s="12" t="s">
        <v>6</v>
      </c>
      <c r="D1311" s="12" t="s">
        <v>6977</v>
      </c>
    </row>
    <row r="1312" spans="1:4">
      <c r="A1312" s="12">
        <v>7260301130</v>
      </c>
      <c r="B1312" s="12" t="s">
        <v>6978</v>
      </c>
      <c r="C1312" s="12" t="s">
        <v>6</v>
      </c>
      <c r="D1312" s="12" t="s">
        <v>6979</v>
      </c>
    </row>
    <row r="1313" spans="1:4">
      <c r="A1313" s="12">
        <v>7260301140</v>
      </c>
      <c r="B1313" s="12" t="s">
        <v>6980</v>
      </c>
      <c r="C1313" s="12" t="s">
        <v>6</v>
      </c>
      <c r="D1313" s="12" t="s">
        <v>6981</v>
      </c>
    </row>
    <row r="1314" spans="1:4">
      <c r="A1314" s="12">
        <v>7260301150</v>
      </c>
      <c r="B1314" s="12" t="s">
        <v>6982</v>
      </c>
      <c r="C1314" s="12" t="s">
        <v>6</v>
      </c>
      <c r="D1314" s="12" t="s">
        <v>6983</v>
      </c>
    </row>
    <row r="1315" spans="1:4">
      <c r="A1315" s="12">
        <v>7260301160</v>
      </c>
      <c r="B1315" s="12" t="s">
        <v>6984</v>
      </c>
      <c r="C1315" s="12" t="s">
        <v>6</v>
      </c>
      <c r="D1315" s="12" t="s">
        <v>6985</v>
      </c>
    </row>
    <row r="1316" spans="1:4">
      <c r="A1316" s="12">
        <v>7260301170</v>
      </c>
      <c r="B1316" s="12" t="s">
        <v>6986</v>
      </c>
      <c r="C1316" s="12" t="s">
        <v>6</v>
      </c>
      <c r="D1316" s="12" t="s">
        <v>6987</v>
      </c>
    </row>
    <row r="1317" spans="1:4">
      <c r="A1317" s="12">
        <v>7260301180</v>
      </c>
      <c r="B1317" s="12" t="s">
        <v>6988</v>
      </c>
      <c r="C1317" s="12" t="s">
        <v>6</v>
      </c>
      <c r="D1317" s="12" t="s">
        <v>6989</v>
      </c>
    </row>
    <row r="1318" spans="1:4">
      <c r="A1318" s="12">
        <v>7260301190</v>
      </c>
      <c r="B1318" s="12" t="s">
        <v>6990</v>
      </c>
      <c r="C1318" s="12" t="s">
        <v>6</v>
      </c>
      <c r="D1318" s="12" t="s">
        <v>6991</v>
      </c>
    </row>
    <row r="1319" spans="1:4">
      <c r="A1319" s="12">
        <v>7260301200</v>
      </c>
      <c r="B1319" s="12" t="s">
        <v>6992</v>
      </c>
      <c r="C1319" s="12" t="s">
        <v>6</v>
      </c>
      <c r="D1319" s="12" t="s">
        <v>6993</v>
      </c>
    </row>
    <row r="1320" spans="1:4">
      <c r="A1320" s="12">
        <v>7260301210</v>
      </c>
      <c r="B1320" s="12" t="s">
        <v>6994</v>
      </c>
      <c r="C1320" s="12" t="s">
        <v>6</v>
      </c>
      <c r="D1320" s="12" t="s">
        <v>6995</v>
      </c>
    </row>
    <row r="1321" spans="1:4">
      <c r="A1321" s="12">
        <v>7260301220</v>
      </c>
      <c r="B1321" s="12" t="s">
        <v>6996</v>
      </c>
      <c r="C1321" s="12" t="s">
        <v>6</v>
      </c>
      <c r="D1321" s="12" t="s">
        <v>6997</v>
      </c>
    </row>
    <row r="1322" spans="1:4">
      <c r="A1322" s="12">
        <v>7260301230</v>
      </c>
      <c r="B1322" s="12" t="s">
        <v>6998</v>
      </c>
      <c r="C1322" s="12" t="s">
        <v>6</v>
      </c>
      <c r="D1322" s="12" t="s">
        <v>6999</v>
      </c>
    </row>
    <row r="1323" spans="1:4">
      <c r="A1323" s="12">
        <v>7260301240</v>
      </c>
      <c r="B1323" s="12" t="s">
        <v>7000</v>
      </c>
      <c r="C1323" s="12" t="s">
        <v>6</v>
      </c>
      <c r="D1323" s="12" t="s">
        <v>7001</v>
      </c>
    </row>
    <row r="1324" spans="1:4">
      <c r="A1324" s="12">
        <v>7260301250</v>
      </c>
      <c r="B1324" s="12" t="s">
        <v>7002</v>
      </c>
      <c r="C1324" s="12" t="s">
        <v>6</v>
      </c>
      <c r="D1324" s="12" t="s">
        <v>7003</v>
      </c>
    </row>
    <row r="1325" spans="1:4">
      <c r="A1325" s="12">
        <v>7260301260</v>
      </c>
      <c r="B1325" s="12" t="s">
        <v>7004</v>
      </c>
      <c r="C1325" s="12" t="s">
        <v>6</v>
      </c>
      <c r="D1325" s="12" t="s">
        <v>7005</v>
      </c>
    </row>
    <row r="1326" spans="1:4">
      <c r="A1326" s="12">
        <v>7260301270</v>
      </c>
      <c r="B1326" s="12" t="s">
        <v>7006</v>
      </c>
      <c r="C1326" s="12" t="s">
        <v>6</v>
      </c>
      <c r="D1326" s="12" t="s">
        <v>7007</v>
      </c>
    </row>
    <row r="1327" spans="1:4">
      <c r="A1327" s="12">
        <v>7260301280</v>
      </c>
      <c r="B1327" s="12" t="s">
        <v>7008</v>
      </c>
      <c r="C1327" s="12" t="s">
        <v>6</v>
      </c>
      <c r="D1327" s="12" t="s">
        <v>7009</v>
      </c>
    </row>
    <row r="1328" spans="1:4">
      <c r="A1328" s="12">
        <v>7260301290</v>
      </c>
      <c r="B1328" s="12" t="s">
        <v>7010</v>
      </c>
      <c r="C1328" s="12" t="s">
        <v>6</v>
      </c>
      <c r="D1328" s="12" t="s">
        <v>7011</v>
      </c>
    </row>
    <row r="1329" spans="1:4">
      <c r="A1329" s="12">
        <v>7260301300</v>
      </c>
      <c r="B1329" s="12" t="s">
        <v>7012</v>
      </c>
      <c r="C1329" s="12" t="s">
        <v>6</v>
      </c>
      <c r="D1329" s="12" t="s">
        <v>7013</v>
      </c>
    </row>
    <row r="1330" spans="1:4">
      <c r="A1330" s="12">
        <v>7260301310</v>
      </c>
      <c r="B1330" s="12" t="s">
        <v>7014</v>
      </c>
      <c r="C1330" s="12" t="s">
        <v>6</v>
      </c>
      <c r="D1330" s="12" t="s">
        <v>7015</v>
      </c>
    </row>
    <row r="1331" spans="1:4">
      <c r="A1331" s="12">
        <v>7260301320</v>
      </c>
      <c r="B1331" s="12" t="s">
        <v>7016</v>
      </c>
      <c r="C1331" s="12" t="s">
        <v>6</v>
      </c>
      <c r="D1331" s="12" t="s">
        <v>7017</v>
      </c>
    </row>
    <row r="1332" spans="1:4">
      <c r="A1332" s="12">
        <v>7260301330</v>
      </c>
      <c r="B1332" s="12" t="s">
        <v>7018</v>
      </c>
      <c r="C1332" s="12" t="s">
        <v>6</v>
      </c>
      <c r="D1332" s="12" t="s">
        <v>7019</v>
      </c>
    </row>
    <row r="1333" spans="1:4">
      <c r="A1333" s="12">
        <v>7260301340</v>
      </c>
      <c r="B1333" s="12" t="s">
        <v>7020</v>
      </c>
      <c r="C1333" s="12" t="s">
        <v>6</v>
      </c>
      <c r="D1333" s="12" t="s">
        <v>7021</v>
      </c>
    </row>
    <row r="1334" spans="1:4">
      <c r="A1334" s="12">
        <v>7260301350</v>
      </c>
      <c r="B1334" s="12" t="s">
        <v>7022</v>
      </c>
      <c r="C1334" s="12" t="s">
        <v>6</v>
      </c>
      <c r="D1334" s="12" t="s">
        <v>7023</v>
      </c>
    </row>
    <row r="1335" spans="1:4">
      <c r="A1335" s="12">
        <v>7260301360</v>
      </c>
      <c r="B1335" s="12" t="s">
        <v>7024</v>
      </c>
      <c r="C1335" s="12" t="s">
        <v>6</v>
      </c>
      <c r="D1335" s="12" t="s">
        <v>7025</v>
      </c>
    </row>
    <row r="1336" spans="1:4">
      <c r="A1336" s="12">
        <v>7260301370</v>
      </c>
      <c r="B1336" s="12" t="s">
        <v>7026</v>
      </c>
      <c r="C1336" s="12" t="s">
        <v>6</v>
      </c>
      <c r="D1336" s="12" t="s">
        <v>7027</v>
      </c>
    </row>
    <row r="1337" spans="1:4">
      <c r="A1337" s="12">
        <v>7260301380</v>
      </c>
      <c r="B1337" s="12" t="s">
        <v>7028</v>
      </c>
      <c r="C1337" s="12" t="s">
        <v>6</v>
      </c>
      <c r="D1337" s="12" t="s">
        <v>7029</v>
      </c>
    </row>
    <row r="1338" spans="1:4">
      <c r="A1338" s="12">
        <v>7260301390</v>
      </c>
      <c r="B1338" s="12" t="s">
        <v>7030</v>
      </c>
      <c r="C1338" s="12" t="s">
        <v>6</v>
      </c>
      <c r="D1338" s="12" t="s">
        <v>7031</v>
      </c>
    </row>
    <row r="1339" spans="1:4">
      <c r="A1339" s="12">
        <v>7260301400</v>
      </c>
      <c r="B1339" s="12" t="s">
        <v>7032</v>
      </c>
      <c r="C1339" s="12" t="s">
        <v>6</v>
      </c>
      <c r="D1339" s="24" t="s">
        <v>7033</v>
      </c>
    </row>
    <row r="1340" spans="1:4">
      <c r="A1340" s="12">
        <v>7260301410</v>
      </c>
      <c r="B1340" s="12" t="s">
        <v>7034</v>
      </c>
      <c r="C1340" s="12" t="s">
        <v>6</v>
      </c>
      <c r="D1340" s="24" t="s">
        <v>7035</v>
      </c>
    </row>
    <row r="1341" spans="1:4">
      <c r="A1341" s="12">
        <v>7260301420</v>
      </c>
      <c r="B1341" s="12" t="s">
        <v>7036</v>
      </c>
      <c r="C1341" s="12" t="s">
        <v>6</v>
      </c>
      <c r="D1341" s="12" t="s">
        <v>7037</v>
      </c>
    </row>
    <row r="1342" spans="1:4">
      <c r="A1342" s="12">
        <v>7260301430</v>
      </c>
      <c r="B1342" s="12" t="s">
        <v>7038</v>
      </c>
      <c r="C1342" s="12" t="s">
        <v>6</v>
      </c>
      <c r="D1342" s="12" t="s">
        <v>7039</v>
      </c>
    </row>
    <row r="1343" spans="1:4">
      <c r="A1343" s="12">
        <v>7260301440</v>
      </c>
      <c r="B1343" s="12" t="s">
        <v>7040</v>
      </c>
      <c r="C1343" s="12" t="s">
        <v>6</v>
      </c>
      <c r="D1343" s="12" t="s">
        <v>7041</v>
      </c>
    </row>
    <row r="1344" spans="1:4">
      <c r="A1344" s="12">
        <v>7260301450</v>
      </c>
      <c r="B1344" s="12" t="s">
        <v>7042</v>
      </c>
      <c r="C1344" s="12" t="s">
        <v>6</v>
      </c>
      <c r="D1344" s="12" t="s">
        <v>7043</v>
      </c>
    </row>
    <row r="1345" spans="1:4">
      <c r="A1345" s="12">
        <v>7260301460</v>
      </c>
      <c r="B1345" s="12" t="s">
        <v>7044</v>
      </c>
      <c r="C1345" s="12" t="s">
        <v>6</v>
      </c>
      <c r="D1345" s="12" t="s">
        <v>7045</v>
      </c>
    </row>
    <row r="1346" spans="1:4">
      <c r="A1346" s="12">
        <v>7260301470</v>
      </c>
      <c r="B1346" s="12" t="s">
        <v>7046</v>
      </c>
      <c r="C1346" s="12" t="s">
        <v>6</v>
      </c>
      <c r="D1346" s="12" t="s">
        <v>7047</v>
      </c>
    </row>
    <row r="1347" spans="1:4">
      <c r="A1347" s="12">
        <v>7260301480</v>
      </c>
      <c r="B1347" s="12" t="s">
        <v>7048</v>
      </c>
      <c r="C1347" s="12" t="s">
        <v>6</v>
      </c>
      <c r="D1347" s="12" t="s">
        <v>7049</v>
      </c>
    </row>
    <row r="1348" spans="1:4">
      <c r="A1348" s="12">
        <v>7260301490</v>
      </c>
      <c r="B1348" s="12" t="s">
        <v>7050</v>
      </c>
      <c r="C1348" s="12" t="s">
        <v>6</v>
      </c>
      <c r="D1348" s="12" t="s">
        <v>7051</v>
      </c>
    </row>
    <row r="1349" spans="1:4">
      <c r="A1349" s="12">
        <v>7260301500</v>
      </c>
      <c r="B1349" s="12" t="s">
        <v>7052</v>
      </c>
      <c r="C1349" s="12" t="s">
        <v>6</v>
      </c>
      <c r="D1349" s="12" t="s">
        <v>7053</v>
      </c>
    </row>
    <row r="1350" spans="1:4">
      <c r="A1350" s="12">
        <v>7260301510</v>
      </c>
      <c r="B1350" s="12" t="s">
        <v>7054</v>
      </c>
      <c r="C1350" s="12" t="s">
        <v>6</v>
      </c>
      <c r="D1350" s="12" t="s">
        <v>7055</v>
      </c>
    </row>
    <row r="1351" spans="1:4">
      <c r="A1351" s="12">
        <v>7260301520</v>
      </c>
      <c r="B1351" s="12" t="s">
        <v>7056</v>
      </c>
      <c r="C1351" s="12" t="s">
        <v>6</v>
      </c>
      <c r="D1351" s="12" t="s">
        <v>7057</v>
      </c>
    </row>
    <row r="1356" spans="1:4">
      <c r="A1356" s="12">
        <v>7260301530</v>
      </c>
      <c r="B1356" s="12" t="s">
        <v>7058</v>
      </c>
      <c r="C1356" s="12" t="s">
        <v>6</v>
      </c>
      <c r="D1356" s="12" t="s">
        <v>7059</v>
      </c>
    </row>
    <row r="1357" spans="1:4">
      <c r="A1357" s="12">
        <v>7260301540</v>
      </c>
      <c r="B1357" s="12" t="s">
        <v>7060</v>
      </c>
      <c r="C1357" s="12" t="s">
        <v>6</v>
      </c>
      <c r="D1357" s="12" t="s">
        <v>7061</v>
      </c>
    </row>
    <row r="1358" spans="1:4">
      <c r="A1358" s="12">
        <v>7260301550</v>
      </c>
      <c r="B1358" s="12" t="s">
        <v>7062</v>
      </c>
      <c r="C1358" s="12" t="s">
        <v>6</v>
      </c>
      <c r="D1358" s="12" t="s">
        <v>7063</v>
      </c>
    </row>
    <row r="1359" spans="1:4">
      <c r="A1359" s="12">
        <v>7260301560</v>
      </c>
      <c r="B1359" s="12" t="s">
        <v>7064</v>
      </c>
      <c r="C1359" s="12" t="s">
        <v>6</v>
      </c>
      <c r="D1359" s="12" t="s">
        <v>7065</v>
      </c>
    </row>
    <row r="1360" spans="1:4">
      <c r="A1360" s="12">
        <v>7260301570</v>
      </c>
      <c r="B1360" s="12" t="s">
        <v>7066</v>
      </c>
      <c r="C1360" s="12" t="s">
        <v>6</v>
      </c>
      <c r="D1360" s="12" t="s">
        <v>7067</v>
      </c>
    </row>
    <row r="1361" spans="1:4">
      <c r="A1361" s="12">
        <v>7260301580</v>
      </c>
      <c r="B1361" s="12" t="s">
        <v>7068</v>
      </c>
      <c r="C1361" s="12" t="s">
        <v>6</v>
      </c>
      <c r="D1361" s="12" t="s">
        <v>7069</v>
      </c>
    </row>
    <row r="1362" spans="1:4">
      <c r="A1362" s="12">
        <v>7260301590</v>
      </c>
      <c r="B1362" s="12" t="s">
        <v>7070</v>
      </c>
      <c r="C1362" s="12" t="s">
        <v>6</v>
      </c>
      <c r="D1362" s="12" t="s">
        <v>7071</v>
      </c>
    </row>
    <row r="1363" spans="1:4">
      <c r="A1363" s="12">
        <v>7260301600</v>
      </c>
      <c r="B1363" s="12" t="s">
        <v>7072</v>
      </c>
      <c r="C1363" s="12" t="s">
        <v>6</v>
      </c>
      <c r="D1363" s="12" t="s">
        <v>7073</v>
      </c>
    </row>
    <row r="1364" spans="1:4">
      <c r="A1364" s="12">
        <v>7260301610</v>
      </c>
      <c r="B1364" s="12" t="s">
        <v>7074</v>
      </c>
      <c r="C1364" s="12" t="s">
        <v>6</v>
      </c>
      <c r="D1364" s="12" t="s">
        <v>7075</v>
      </c>
    </row>
    <row r="1365" spans="1:4">
      <c r="A1365" s="12">
        <v>7260301620</v>
      </c>
      <c r="B1365" s="12" t="s">
        <v>7076</v>
      </c>
      <c r="C1365" s="12" t="s">
        <v>6</v>
      </c>
      <c r="D1365" s="12" t="s">
        <v>7077</v>
      </c>
    </row>
    <row r="1366" spans="1:4">
      <c r="A1366" s="12">
        <v>7260301630</v>
      </c>
      <c r="B1366" s="12" t="s">
        <v>7078</v>
      </c>
      <c r="C1366" s="12" t="s">
        <v>6</v>
      </c>
      <c r="D1366" s="12" t="s">
        <v>7079</v>
      </c>
    </row>
    <row r="1367" spans="1:4">
      <c r="A1367" s="12">
        <v>7260301640</v>
      </c>
      <c r="B1367" s="12" t="s">
        <v>7080</v>
      </c>
      <c r="C1367" s="12" t="s">
        <v>6</v>
      </c>
      <c r="D1367" s="12" t="s">
        <v>7081</v>
      </c>
    </row>
    <row r="1368" spans="1:4">
      <c r="A1368" s="12">
        <v>7260301650</v>
      </c>
      <c r="B1368" s="12" t="s">
        <v>7082</v>
      </c>
      <c r="C1368" s="12" t="s">
        <v>6</v>
      </c>
      <c r="D1368" s="12" t="s">
        <v>7083</v>
      </c>
    </row>
    <row r="1369" spans="1:4">
      <c r="A1369" s="12">
        <v>7260301660</v>
      </c>
      <c r="B1369" s="12" t="s">
        <v>7084</v>
      </c>
      <c r="C1369" s="12" t="s">
        <v>6</v>
      </c>
      <c r="D1369" s="12" t="s">
        <v>7085</v>
      </c>
    </row>
    <row r="1370" spans="1:4">
      <c r="A1370" s="12">
        <v>7260301670</v>
      </c>
      <c r="B1370" s="12" t="s">
        <v>7086</v>
      </c>
      <c r="C1370" s="12" t="s">
        <v>6</v>
      </c>
      <c r="D1370" s="12" t="s">
        <v>7087</v>
      </c>
    </row>
    <row r="1371" spans="1:4">
      <c r="A1371" s="12">
        <v>7260301680</v>
      </c>
      <c r="B1371" s="12" t="s">
        <v>7088</v>
      </c>
      <c r="C1371" s="12" t="s">
        <v>6</v>
      </c>
      <c r="D1371" s="12" t="s">
        <v>7089</v>
      </c>
    </row>
    <row r="1372" spans="1:4">
      <c r="A1372" s="12">
        <v>7260350010</v>
      </c>
      <c r="B1372" s="12" t="s">
        <v>7090</v>
      </c>
      <c r="C1372" s="12" t="s">
        <v>6</v>
      </c>
      <c r="D1372" s="12" t="s">
        <v>3629</v>
      </c>
    </row>
    <row r="1373" spans="1:4">
      <c r="A1373" s="12">
        <v>7260350020</v>
      </c>
      <c r="B1373" s="12" t="s">
        <v>7091</v>
      </c>
      <c r="C1373" s="12" t="s">
        <v>6</v>
      </c>
      <c r="D1373" s="12" t="s">
        <v>7092</v>
      </c>
    </row>
    <row r="1374" spans="1:4">
      <c r="A1374" s="12">
        <v>7260350030</v>
      </c>
      <c r="B1374" s="12" t="s">
        <v>7093</v>
      </c>
      <c r="C1374" s="12" t="s">
        <v>6</v>
      </c>
      <c r="D1374" s="12" t="s">
        <v>7094</v>
      </c>
    </row>
    <row r="1375" spans="1:4">
      <c r="A1375" s="12">
        <v>7260350040</v>
      </c>
      <c r="B1375" s="12" t="s">
        <v>7095</v>
      </c>
      <c r="C1375" s="12" t="s">
        <v>6</v>
      </c>
      <c r="D1375" s="12" t="s">
        <v>7094</v>
      </c>
    </row>
    <row r="1376" spans="1:4">
      <c r="A1376" s="12">
        <v>7260350050</v>
      </c>
      <c r="B1376" s="12" t="s">
        <v>7096</v>
      </c>
      <c r="C1376" s="12" t="s">
        <v>6</v>
      </c>
      <c r="D1376" s="12" t="s">
        <v>7097</v>
      </c>
    </row>
    <row r="1377" spans="1:4">
      <c r="A1377" s="12">
        <v>7260350060</v>
      </c>
      <c r="B1377" s="12" t="s">
        <v>7098</v>
      </c>
      <c r="C1377" s="12" t="s">
        <v>6</v>
      </c>
      <c r="D1377" s="12" t="s">
        <v>7099</v>
      </c>
    </row>
    <row r="1378" spans="1:4">
      <c r="A1378" s="12">
        <v>7260350070</v>
      </c>
      <c r="B1378" s="12" t="s">
        <v>7100</v>
      </c>
      <c r="C1378" s="12" t="s">
        <v>6</v>
      </c>
      <c r="D1378" s="12" t="s">
        <v>7101</v>
      </c>
    </row>
    <row r="1379" spans="1:4">
      <c r="A1379" s="12">
        <v>7260350080</v>
      </c>
      <c r="B1379" s="12" t="s">
        <v>7102</v>
      </c>
      <c r="C1379" s="12" t="s">
        <v>6</v>
      </c>
      <c r="D1379" s="12" t="s">
        <v>7099</v>
      </c>
    </row>
    <row r="1380" spans="1:4">
      <c r="A1380" s="12">
        <v>7260350090</v>
      </c>
      <c r="B1380" s="12" t="s">
        <v>7103</v>
      </c>
      <c r="C1380" s="12" t="s">
        <v>6</v>
      </c>
      <c r="D1380" s="12" t="s">
        <v>7104</v>
      </c>
    </row>
    <row r="1381" spans="1:4">
      <c r="A1381" s="12">
        <v>7260350100</v>
      </c>
      <c r="B1381" s="12" t="s">
        <v>7105</v>
      </c>
      <c r="C1381" s="12" t="s">
        <v>6</v>
      </c>
      <c r="D1381" s="12" t="s">
        <v>7106</v>
      </c>
    </row>
    <row r="1382" spans="1:4">
      <c r="A1382" s="12">
        <v>7260350110</v>
      </c>
      <c r="B1382" s="12" t="s">
        <v>7107</v>
      </c>
      <c r="C1382" s="12" t="s">
        <v>6</v>
      </c>
      <c r="D1382" s="12" t="s">
        <v>7108</v>
      </c>
    </row>
    <row r="1383" spans="1:4">
      <c r="A1383" s="12">
        <v>7260350120</v>
      </c>
      <c r="B1383" s="12" t="s">
        <v>7109</v>
      </c>
      <c r="C1383" s="12" t="s">
        <v>6</v>
      </c>
      <c r="D1383" s="12" t="s">
        <v>7110</v>
      </c>
    </row>
    <row r="1384" spans="1:4">
      <c r="A1384" s="12">
        <v>7260350130</v>
      </c>
      <c r="B1384" s="12" t="s">
        <v>7111</v>
      </c>
      <c r="C1384" s="12" t="s">
        <v>6</v>
      </c>
      <c r="D1384" s="12" t="s">
        <v>7112</v>
      </c>
    </row>
    <row r="1385" spans="1:4">
      <c r="A1385" s="12">
        <v>7260350140</v>
      </c>
      <c r="B1385" s="12" t="s">
        <v>7113</v>
      </c>
      <c r="C1385" s="12" t="s">
        <v>6</v>
      </c>
      <c r="D1385" s="12" t="s">
        <v>7114</v>
      </c>
    </row>
    <row r="1386" spans="1:4">
      <c r="A1386" s="12">
        <v>7260350150</v>
      </c>
      <c r="B1386" s="12" t="s">
        <v>7115</v>
      </c>
      <c r="C1386" s="12" t="s">
        <v>6</v>
      </c>
      <c r="D1386" s="12" t="s">
        <v>7116</v>
      </c>
    </row>
    <row r="1387" spans="1:4">
      <c r="A1387" s="12">
        <v>7260350160</v>
      </c>
      <c r="B1387" s="12" t="s">
        <v>7117</v>
      </c>
      <c r="C1387" s="12" t="s">
        <v>6</v>
      </c>
      <c r="D1387" s="12" t="s">
        <v>7118</v>
      </c>
    </row>
    <row r="1388" spans="1:4">
      <c r="A1388" s="12">
        <v>7260350170</v>
      </c>
      <c r="B1388" s="12" t="s">
        <v>7119</v>
      </c>
      <c r="C1388" s="12" t="s">
        <v>6</v>
      </c>
      <c r="D1388" s="12" t="s">
        <v>7120</v>
      </c>
    </row>
    <row r="1389" spans="1:4">
      <c r="A1389" s="12">
        <v>7260350180</v>
      </c>
      <c r="B1389" s="12" t="s">
        <v>7121</v>
      </c>
      <c r="C1389" s="12" t="s">
        <v>6</v>
      </c>
      <c r="D1389" s="12" t="s">
        <v>7122</v>
      </c>
    </row>
    <row r="1390" spans="1:4">
      <c r="A1390" s="12">
        <v>7260350190</v>
      </c>
      <c r="B1390" s="12" t="s">
        <v>7123</v>
      </c>
      <c r="C1390" s="12" t="s">
        <v>6</v>
      </c>
      <c r="D1390" s="12" t="s">
        <v>7124</v>
      </c>
    </row>
    <row r="1391" spans="1:4">
      <c r="A1391" s="12">
        <v>7260350200</v>
      </c>
      <c r="B1391" s="12" t="s">
        <v>7125</v>
      </c>
      <c r="C1391" s="12" t="s">
        <v>6</v>
      </c>
      <c r="D1391" s="12" t="s">
        <v>7126</v>
      </c>
    </row>
    <row r="1392" spans="1:4">
      <c r="A1392" s="12">
        <v>7260350210</v>
      </c>
      <c r="B1392" s="12" t="s">
        <v>7127</v>
      </c>
      <c r="C1392" s="12" t="s">
        <v>6</v>
      </c>
      <c r="D1392" s="12" t="s">
        <v>7128</v>
      </c>
    </row>
    <row r="1393" spans="1:4">
      <c r="A1393" s="12">
        <v>7260350220</v>
      </c>
      <c r="B1393" s="12" t="s">
        <v>7129</v>
      </c>
      <c r="C1393" s="12" t="s">
        <v>6</v>
      </c>
      <c r="D1393" s="12" t="s">
        <v>7130</v>
      </c>
    </row>
    <row r="1394" spans="1:4">
      <c r="A1394" s="12">
        <v>7260350230</v>
      </c>
      <c r="B1394" s="12" t="s">
        <v>7131</v>
      </c>
      <c r="C1394" s="12" t="s">
        <v>6</v>
      </c>
      <c r="D1394" s="12" t="s">
        <v>7132</v>
      </c>
    </row>
    <row r="1395" spans="1:4">
      <c r="A1395" s="12">
        <v>7260350290</v>
      </c>
      <c r="B1395" s="12" t="s">
        <v>7133</v>
      </c>
      <c r="C1395" s="12" t="s">
        <v>6</v>
      </c>
      <c r="D1395" s="12" t="s">
        <v>2296</v>
      </c>
    </row>
    <row r="1396" spans="1:4">
      <c r="A1396" s="12">
        <v>7260350320</v>
      </c>
      <c r="B1396" s="12" t="s">
        <v>7134</v>
      </c>
      <c r="C1396" s="12" t="s">
        <v>6</v>
      </c>
      <c r="D1396" s="12" t="s">
        <v>7135</v>
      </c>
    </row>
    <row r="1397" spans="1:4">
      <c r="A1397" s="12">
        <v>7260350360</v>
      </c>
      <c r="B1397" s="12" t="s">
        <v>7136</v>
      </c>
      <c r="C1397" s="12" t="s">
        <v>6</v>
      </c>
      <c r="D1397" s="24" t="s">
        <v>7137</v>
      </c>
    </row>
    <row r="1398" spans="1:4">
      <c r="A1398" s="12">
        <v>7260350580</v>
      </c>
      <c r="B1398" s="12" t="s">
        <v>7138</v>
      </c>
      <c r="C1398" s="12" t="s">
        <v>6</v>
      </c>
      <c r="D1398" s="24" t="s">
        <v>4673</v>
      </c>
    </row>
    <row r="1399" spans="1:4">
      <c r="A1399" s="12">
        <v>7260350620</v>
      </c>
      <c r="B1399" s="12" t="s">
        <v>7139</v>
      </c>
      <c r="C1399" s="12" t="s">
        <v>6</v>
      </c>
      <c r="D1399" s="12" t="s">
        <v>7140</v>
      </c>
    </row>
    <row r="1400" spans="1:4">
      <c r="A1400" s="12">
        <v>7260350860</v>
      </c>
      <c r="B1400" s="12" t="s">
        <v>7141</v>
      </c>
      <c r="C1400" s="12" t="s">
        <v>6</v>
      </c>
      <c r="D1400" s="12" t="s">
        <v>7142</v>
      </c>
    </row>
    <row r="1401" spans="1:4">
      <c r="A1401" s="12">
        <v>7260350880</v>
      </c>
      <c r="B1401" s="12" t="s">
        <v>7143</v>
      </c>
      <c r="C1401" s="12" t="s">
        <v>6</v>
      </c>
      <c r="D1401" s="12" t="s">
        <v>7144</v>
      </c>
    </row>
    <row r="1402" spans="1:4">
      <c r="A1402" s="12">
        <v>7260350900</v>
      </c>
      <c r="B1402" s="12" t="s">
        <v>7145</v>
      </c>
      <c r="C1402" s="12" t="s">
        <v>6</v>
      </c>
      <c r="D1402" s="12" t="s">
        <v>7146</v>
      </c>
    </row>
    <row r="1403" spans="1:4">
      <c r="A1403" s="12">
        <v>7260350920</v>
      </c>
      <c r="B1403" s="12" t="s">
        <v>7147</v>
      </c>
      <c r="C1403" s="12" t="s">
        <v>6</v>
      </c>
      <c r="D1403" s="12" t="s">
        <v>7148</v>
      </c>
    </row>
    <row r="1408" spans="1:4">
      <c r="A1408" s="12">
        <v>7260350960</v>
      </c>
      <c r="B1408" s="12" t="s">
        <v>7149</v>
      </c>
      <c r="C1408" s="12" t="s">
        <v>6</v>
      </c>
      <c r="D1408" s="12" t="s">
        <v>2135</v>
      </c>
    </row>
    <row r="1409" spans="1:4">
      <c r="A1409" s="12">
        <v>7260500010</v>
      </c>
      <c r="B1409" s="12" t="s">
        <v>7150</v>
      </c>
      <c r="C1409" s="12" t="s">
        <v>6</v>
      </c>
      <c r="D1409" s="12" t="s">
        <v>7151</v>
      </c>
    </row>
    <row r="1410" spans="1:4">
      <c r="A1410" s="12">
        <v>7260500020</v>
      </c>
      <c r="B1410" s="12" t="s">
        <v>7152</v>
      </c>
      <c r="C1410" s="12" t="s">
        <v>6</v>
      </c>
      <c r="D1410" s="12" t="s">
        <v>7153</v>
      </c>
    </row>
    <row r="1411" spans="1:4">
      <c r="A1411" s="12">
        <v>7260500030</v>
      </c>
      <c r="B1411" s="12" t="s">
        <v>7154</v>
      </c>
      <c r="C1411" s="12" t="s">
        <v>6</v>
      </c>
      <c r="D1411" s="12" t="s">
        <v>7155</v>
      </c>
    </row>
    <row r="1412" spans="1:4">
      <c r="A1412" s="12">
        <v>7260500040</v>
      </c>
      <c r="B1412" s="12" t="s">
        <v>7156</v>
      </c>
      <c r="C1412" s="12" t="s">
        <v>6</v>
      </c>
      <c r="D1412" s="12" t="s">
        <v>7157</v>
      </c>
    </row>
    <row r="1413" spans="1:4">
      <c r="A1413" s="12">
        <v>7260500050</v>
      </c>
      <c r="B1413" s="12" t="s">
        <v>7158</v>
      </c>
      <c r="C1413" s="12" t="s">
        <v>6</v>
      </c>
      <c r="D1413" s="12" t="s">
        <v>7159</v>
      </c>
    </row>
    <row r="1414" spans="1:4">
      <c r="A1414" s="12">
        <v>7260500060</v>
      </c>
      <c r="B1414" s="12" t="s">
        <v>7160</v>
      </c>
      <c r="C1414" s="12" t="s">
        <v>6</v>
      </c>
      <c r="D1414" s="12" t="s">
        <v>7161</v>
      </c>
    </row>
    <row r="1415" spans="1:4">
      <c r="A1415" s="12">
        <v>7260500070</v>
      </c>
      <c r="B1415" s="12" t="s">
        <v>7162</v>
      </c>
      <c r="C1415" s="12" t="s">
        <v>6</v>
      </c>
      <c r="D1415" s="12" t="s">
        <v>7163</v>
      </c>
    </row>
    <row r="1416" spans="1:4">
      <c r="A1416" s="12">
        <v>7260500080</v>
      </c>
      <c r="B1416" s="12" t="s">
        <v>7164</v>
      </c>
      <c r="C1416" s="12" t="s">
        <v>6</v>
      </c>
      <c r="D1416" s="12" t="s">
        <v>7165</v>
      </c>
    </row>
    <row r="1417" spans="1:4">
      <c r="A1417" s="12">
        <v>7260500090</v>
      </c>
      <c r="B1417" s="12" t="s">
        <v>7166</v>
      </c>
      <c r="C1417" s="12" t="s">
        <v>6</v>
      </c>
      <c r="D1417" s="12" t="s">
        <v>7167</v>
      </c>
    </row>
    <row r="1418" spans="1:4">
      <c r="A1418" s="12">
        <v>7260500100</v>
      </c>
      <c r="B1418" s="12" t="s">
        <v>7168</v>
      </c>
      <c r="C1418" s="12" t="s">
        <v>6</v>
      </c>
      <c r="D1418" s="12" t="s">
        <v>7169</v>
      </c>
    </row>
    <row r="1419" spans="1:4">
      <c r="A1419" s="12">
        <v>7260500110</v>
      </c>
      <c r="B1419" s="12" t="s">
        <v>7170</v>
      </c>
      <c r="C1419" s="12" t="s">
        <v>6</v>
      </c>
      <c r="D1419" s="12" t="s">
        <v>7171</v>
      </c>
    </row>
    <row r="1420" spans="1:4">
      <c r="A1420" s="12">
        <v>7260500120</v>
      </c>
      <c r="B1420" s="12" t="s">
        <v>7172</v>
      </c>
      <c r="C1420" s="12" t="s">
        <v>6</v>
      </c>
      <c r="D1420" s="12" t="s">
        <v>7173</v>
      </c>
    </row>
    <row r="1421" spans="1:4">
      <c r="A1421" s="12">
        <v>7260500130</v>
      </c>
      <c r="B1421" s="12" t="s">
        <v>7174</v>
      </c>
      <c r="C1421" s="12" t="s">
        <v>6</v>
      </c>
      <c r="D1421" s="12" t="s">
        <v>7175</v>
      </c>
    </row>
    <row r="1422" spans="1:4">
      <c r="A1422" s="12">
        <v>7260500140</v>
      </c>
      <c r="B1422" s="12" t="s">
        <v>7176</v>
      </c>
      <c r="C1422" s="12" t="s">
        <v>6</v>
      </c>
      <c r="D1422" s="12" t="s">
        <v>7177</v>
      </c>
    </row>
    <row r="1423" spans="1:4">
      <c r="A1423" s="12">
        <v>7260500150</v>
      </c>
      <c r="B1423" s="12" t="s">
        <v>7178</v>
      </c>
      <c r="C1423" s="12" t="s">
        <v>6</v>
      </c>
      <c r="D1423" s="12" t="s">
        <v>7179</v>
      </c>
    </row>
    <row r="1424" spans="1:4">
      <c r="A1424" s="12">
        <v>7260500160</v>
      </c>
      <c r="B1424" s="12" t="s">
        <v>7180</v>
      </c>
      <c r="C1424" s="12" t="s">
        <v>6</v>
      </c>
      <c r="D1424" s="12" t="s">
        <v>7181</v>
      </c>
    </row>
    <row r="1425" spans="1:4">
      <c r="A1425" s="12">
        <v>7260500170</v>
      </c>
      <c r="B1425" s="12" t="s">
        <v>7182</v>
      </c>
      <c r="C1425" s="12" t="s">
        <v>6</v>
      </c>
      <c r="D1425" s="12" t="s">
        <v>7183</v>
      </c>
    </row>
    <row r="1426" spans="1:4">
      <c r="A1426" s="12">
        <v>7260500180</v>
      </c>
      <c r="B1426" s="12" t="s">
        <v>7184</v>
      </c>
      <c r="C1426" s="12" t="s">
        <v>6</v>
      </c>
      <c r="D1426" s="12" t="s">
        <v>7185</v>
      </c>
    </row>
    <row r="1427" spans="1:4">
      <c r="A1427" s="12">
        <v>7260500190</v>
      </c>
      <c r="B1427" s="12" t="s">
        <v>7186</v>
      </c>
      <c r="C1427" s="12" t="s">
        <v>6</v>
      </c>
      <c r="D1427" s="12" t="s">
        <v>7187</v>
      </c>
    </row>
    <row r="1428" spans="1:4">
      <c r="A1428" s="12">
        <v>7260500200</v>
      </c>
      <c r="B1428" s="12" t="s">
        <v>7188</v>
      </c>
      <c r="C1428" s="12" t="s">
        <v>6</v>
      </c>
      <c r="D1428" s="12" t="s">
        <v>7189</v>
      </c>
    </row>
    <row r="1429" spans="1:4">
      <c r="A1429" s="12">
        <v>7260550010</v>
      </c>
      <c r="B1429" s="12" t="s">
        <v>7190</v>
      </c>
      <c r="C1429" s="12" t="s">
        <v>6</v>
      </c>
      <c r="D1429" s="12" t="s">
        <v>7191</v>
      </c>
    </row>
    <row r="1430" spans="1:4">
      <c r="A1430" s="12">
        <v>7260550020</v>
      </c>
      <c r="B1430" s="12" t="s">
        <v>7192</v>
      </c>
      <c r="C1430" s="12" t="s">
        <v>6</v>
      </c>
      <c r="D1430" s="12" t="s">
        <v>7193</v>
      </c>
    </row>
    <row r="1431" spans="1:4">
      <c r="A1431" s="12">
        <v>7260550030</v>
      </c>
      <c r="B1431" s="12" t="s">
        <v>7194</v>
      </c>
      <c r="C1431" s="12" t="s">
        <v>6</v>
      </c>
      <c r="D1431" s="12" t="s">
        <v>7195</v>
      </c>
    </row>
    <row r="1432" spans="1:4">
      <c r="A1432" s="12">
        <v>7260550040</v>
      </c>
      <c r="B1432" s="12" t="s">
        <v>7196</v>
      </c>
      <c r="C1432" s="12" t="s">
        <v>6</v>
      </c>
      <c r="D1432" s="12" t="s">
        <v>7197</v>
      </c>
    </row>
    <row r="1433" spans="1:4">
      <c r="A1433" s="12">
        <v>7260550050</v>
      </c>
      <c r="B1433" s="12" t="s">
        <v>7198</v>
      </c>
      <c r="C1433" s="12" t="s">
        <v>6</v>
      </c>
      <c r="D1433" s="12" t="s">
        <v>7199</v>
      </c>
    </row>
    <row r="1434" spans="1:4">
      <c r="A1434" s="12">
        <v>7260550060</v>
      </c>
      <c r="B1434" s="12" t="s">
        <v>7200</v>
      </c>
      <c r="C1434" s="12" t="s">
        <v>6</v>
      </c>
      <c r="D1434" s="12" t="s">
        <v>7201</v>
      </c>
    </row>
    <row r="1435" spans="1:4">
      <c r="A1435" s="12">
        <v>7260550070</v>
      </c>
      <c r="B1435" s="12" t="s">
        <v>7202</v>
      </c>
      <c r="C1435" s="12" t="s">
        <v>6</v>
      </c>
      <c r="D1435" s="12" t="s">
        <v>7203</v>
      </c>
    </row>
    <row r="1436" spans="1:4">
      <c r="A1436" s="12">
        <v>7260550080</v>
      </c>
      <c r="B1436" s="12" t="s">
        <v>7204</v>
      </c>
      <c r="C1436" s="12" t="s">
        <v>6</v>
      </c>
      <c r="D1436" s="12" t="s">
        <v>7205</v>
      </c>
    </row>
    <row r="1437" spans="1:4">
      <c r="A1437" s="12">
        <v>7260550090</v>
      </c>
      <c r="B1437" s="12" t="s">
        <v>7206</v>
      </c>
      <c r="C1437" s="12" t="s">
        <v>6</v>
      </c>
      <c r="D1437" s="12" t="s">
        <v>7207</v>
      </c>
    </row>
    <row r="1438" spans="1:4">
      <c r="A1438" s="12">
        <v>7260550100</v>
      </c>
      <c r="B1438" s="12" t="s">
        <v>7208</v>
      </c>
      <c r="C1438" s="12" t="s">
        <v>6</v>
      </c>
      <c r="D1438" s="12" t="s">
        <v>7209</v>
      </c>
    </row>
    <row r="1439" spans="1:4">
      <c r="A1439" s="12">
        <v>7260550110</v>
      </c>
      <c r="B1439" s="12" t="s">
        <v>7210</v>
      </c>
      <c r="C1439" s="12" t="s">
        <v>6</v>
      </c>
      <c r="D1439" s="12" t="s">
        <v>7211</v>
      </c>
    </row>
    <row r="1440" spans="1:4">
      <c r="A1440" s="12">
        <v>7260550120</v>
      </c>
      <c r="B1440" s="12" t="s">
        <v>7212</v>
      </c>
      <c r="C1440" s="12" t="s">
        <v>6</v>
      </c>
      <c r="D1440" s="12" t="s">
        <v>7213</v>
      </c>
    </row>
    <row r="1441" spans="1:4">
      <c r="A1441" s="12">
        <v>7260550130</v>
      </c>
      <c r="B1441" s="12" t="s">
        <v>7214</v>
      </c>
      <c r="C1441" s="12" t="s">
        <v>6</v>
      </c>
      <c r="D1441" s="12" t="s">
        <v>7215</v>
      </c>
    </row>
    <row r="1442" spans="1:4">
      <c r="A1442" s="12">
        <v>7260550140</v>
      </c>
      <c r="B1442" s="12" t="s">
        <v>7216</v>
      </c>
      <c r="C1442" s="12" t="s">
        <v>6</v>
      </c>
      <c r="D1442" s="12" t="s">
        <v>7217</v>
      </c>
    </row>
    <row r="1443" spans="1:4">
      <c r="A1443" s="12">
        <v>7260550150</v>
      </c>
      <c r="B1443" s="12" t="s">
        <v>7218</v>
      </c>
      <c r="C1443" s="12" t="s">
        <v>6</v>
      </c>
      <c r="D1443" s="12" t="s">
        <v>7219</v>
      </c>
    </row>
    <row r="1444" spans="1:4">
      <c r="A1444" s="12">
        <v>7260550160</v>
      </c>
      <c r="B1444" s="12" t="s">
        <v>7220</v>
      </c>
      <c r="C1444" s="12" t="s">
        <v>6</v>
      </c>
      <c r="D1444" s="12" t="s">
        <v>7221</v>
      </c>
    </row>
    <row r="1445" spans="1:4">
      <c r="A1445" s="12">
        <v>7260550170</v>
      </c>
      <c r="B1445" s="12" t="s">
        <v>7222</v>
      </c>
      <c r="C1445" s="12" t="s">
        <v>6</v>
      </c>
      <c r="D1445" s="12" t="s">
        <v>7223</v>
      </c>
    </row>
    <row r="1446" spans="1:4">
      <c r="A1446" s="12">
        <v>7260550180</v>
      </c>
      <c r="B1446" s="12" t="s">
        <v>7224</v>
      </c>
      <c r="C1446" s="12" t="s">
        <v>6</v>
      </c>
      <c r="D1446" s="12" t="s">
        <v>7225</v>
      </c>
    </row>
    <row r="1447" spans="1:4">
      <c r="A1447" s="12">
        <v>7260550190</v>
      </c>
      <c r="B1447" s="12" t="s">
        <v>7226</v>
      </c>
      <c r="C1447" s="12" t="s">
        <v>6</v>
      </c>
      <c r="D1447" s="12" t="s">
        <v>7227</v>
      </c>
    </row>
    <row r="1448" spans="1:4">
      <c r="A1448" s="12">
        <v>7260550200</v>
      </c>
      <c r="B1448" s="12" t="s">
        <v>7228</v>
      </c>
      <c r="C1448" s="12" t="s">
        <v>6</v>
      </c>
      <c r="D1448" s="12" t="s">
        <v>4224</v>
      </c>
    </row>
    <row r="1455" spans="1:4">
      <c r="D1455" s="24"/>
    </row>
    <row r="1456" spans="1:4">
      <c r="D1456" s="24"/>
    </row>
    <row r="1513" spans="4:4">
      <c r="D1513" s="24"/>
    </row>
    <row r="1514" spans="4:4">
      <c r="D1514" s="24"/>
    </row>
    <row r="1571" spans="4:4">
      <c r="D1571" s="24"/>
    </row>
    <row r="1572" spans="4:4">
      <c r="D1572" s="24"/>
    </row>
  </sheetData>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verticalDpi="0" r:id="rId1"/>
  <headerFooter alignWithMargins="0">
    <oddFooter>&amp;R&amp;10Página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5748"/>
  <sheetViews>
    <sheetView zoomScaleNormal="100" workbookViewId="0">
      <selection activeCell="D11" sqref="D11"/>
    </sheetView>
  </sheetViews>
  <sheetFormatPr defaultRowHeight="12.75"/>
  <cols>
    <col min="1" max="1" width="16.875" style="243" customWidth="1"/>
    <col min="2" max="2" width="46.875" style="52" customWidth="1"/>
    <col min="3" max="3" width="9" style="52"/>
    <col min="4" max="4" width="14.125" style="259" bestFit="1" customWidth="1"/>
    <col min="5" max="16384" width="9" style="52"/>
  </cols>
  <sheetData>
    <row r="1" spans="1:4" s="243" customFormat="1">
      <c r="A1" s="239" t="s">
        <v>1944</v>
      </c>
      <c r="B1" s="240">
        <v>45261</v>
      </c>
      <c r="C1" s="241"/>
      <c r="D1" s="242"/>
    </row>
    <row r="2" spans="1:4">
      <c r="A2" s="244" t="s">
        <v>28</v>
      </c>
      <c r="B2" s="244" t="s">
        <v>934</v>
      </c>
      <c r="C2" s="244" t="s">
        <v>29</v>
      </c>
      <c r="D2" s="245" t="s">
        <v>12237</v>
      </c>
    </row>
    <row r="3" spans="1:4" ht="178.5">
      <c r="A3" s="246" t="s">
        <v>4927</v>
      </c>
      <c r="B3" s="246" t="s">
        <v>16617</v>
      </c>
      <c r="C3" s="246" t="s">
        <v>35</v>
      </c>
      <c r="D3" s="247">
        <v>154.78</v>
      </c>
    </row>
    <row r="4" spans="1:4">
      <c r="A4" s="248"/>
      <c r="B4" s="249"/>
      <c r="C4" s="248"/>
      <c r="D4" s="248"/>
    </row>
    <row r="5" spans="1:4">
      <c r="A5" s="248"/>
      <c r="B5" s="249"/>
      <c r="C5" s="248"/>
      <c r="D5" s="248"/>
    </row>
    <row r="6" spans="1:4">
      <c r="A6" s="248"/>
      <c r="B6" s="249"/>
      <c r="C6" s="248"/>
      <c r="D6" s="248"/>
    </row>
    <row r="7" spans="1:4">
      <c r="A7" s="248"/>
      <c r="B7" s="249"/>
      <c r="C7" s="248"/>
      <c r="D7" s="248"/>
    </row>
    <row r="8" spans="1:4">
      <c r="A8" s="248"/>
      <c r="B8" s="249"/>
      <c r="C8" s="248"/>
      <c r="D8" s="248"/>
    </row>
    <row r="9" spans="1:4">
      <c r="A9" s="248"/>
      <c r="B9" s="249"/>
      <c r="C9" s="248"/>
      <c r="D9" s="248"/>
    </row>
    <row r="10" spans="1:4">
      <c r="A10" s="248"/>
      <c r="B10" s="249"/>
      <c r="C10" s="248"/>
      <c r="D10" s="248"/>
    </row>
    <row r="11" spans="1:4">
      <c r="A11" s="248"/>
      <c r="B11" s="249"/>
      <c r="C11" s="248"/>
      <c r="D11" s="248"/>
    </row>
    <row r="12" spans="1:4">
      <c r="A12" s="248"/>
      <c r="B12" s="249"/>
      <c r="C12" s="248"/>
      <c r="D12" s="248"/>
    </row>
    <row r="13" spans="1:4">
      <c r="A13" s="248"/>
      <c r="B13" s="249"/>
      <c r="C13" s="248"/>
      <c r="D13" s="248"/>
    </row>
    <row r="14" spans="1:4">
      <c r="A14" s="248"/>
      <c r="B14" s="249"/>
      <c r="C14" s="248"/>
      <c r="D14" s="248"/>
    </row>
    <row r="15" spans="1:4">
      <c r="A15" s="248"/>
      <c r="B15" s="249"/>
      <c r="C15" s="248"/>
      <c r="D15" s="248"/>
    </row>
    <row r="16" spans="1:4">
      <c r="A16" s="248"/>
      <c r="B16" s="249"/>
      <c r="C16" s="248"/>
      <c r="D16" s="248"/>
    </row>
    <row r="17" spans="1:4">
      <c r="A17" s="248"/>
      <c r="B17" s="249"/>
      <c r="C17" s="248"/>
      <c r="D17" s="248"/>
    </row>
    <row r="18" spans="1:4">
      <c r="A18" s="248"/>
      <c r="B18" s="249"/>
      <c r="C18" s="248"/>
      <c r="D18" s="248"/>
    </row>
    <row r="19" spans="1:4">
      <c r="A19" s="248"/>
      <c r="B19" s="249"/>
      <c r="C19" s="248"/>
      <c r="D19" s="248"/>
    </row>
    <row r="20" spans="1:4">
      <c r="A20" s="248"/>
      <c r="B20" s="249"/>
      <c r="C20" s="248"/>
      <c r="D20" s="248"/>
    </row>
    <row r="21" spans="1:4">
      <c r="A21" s="246"/>
      <c r="B21" s="246"/>
      <c r="C21" s="246"/>
      <c r="D21" s="247"/>
    </row>
    <row r="22" spans="1:4">
      <c r="A22" s="248"/>
      <c r="B22" s="249"/>
      <c r="C22" s="248"/>
      <c r="D22" s="248"/>
    </row>
    <row r="23" spans="1:4">
      <c r="A23" s="248"/>
      <c r="B23" s="249"/>
      <c r="C23" s="248"/>
      <c r="D23" s="248"/>
    </row>
    <row r="24" spans="1:4">
      <c r="A24" s="248"/>
      <c r="B24" s="249"/>
      <c r="C24" s="248"/>
      <c r="D24" s="248"/>
    </row>
    <row r="25" spans="1:4">
      <c r="A25" s="248"/>
      <c r="B25" s="249"/>
      <c r="C25" s="248"/>
      <c r="D25" s="248"/>
    </row>
    <row r="26" spans="1:4">
      <c r="A26" s="246"/>
      <c r="B26" s="246"/>
      <c r="C26" s="246"/>
      <c r="D26" s="247"/>
    </row>
    <row r="27" spans="1:4">
      <c r="A27" s="248"/>
      <c r="B27" s="249"/>
      <c r="C27" s="248"/>
      <c r="D27" s="248"/>
    </row>
    <row r="28" spans="1:4">
      <c r="A28" s="248"/>
      <c r="B28" s="249"/>
      <c r="C28" s="248"/>
      <c r="D28" s="248"/>
    </row>
    <row r="29" spans="1:4">
      <c r="A29" s="248"/>
      <c r="B29" s="249"/>
      <c r="C29" s="248"/>
      <c r="D29" s="248"/>
    </row>
    <row r="30" spans="1:4">
      <c r="A30" s="248"/>
      <c r="B30" s="249"/>
      <c r="C30" s="248"/>
      <c r="D30" s="248"/>
    </row>
    <row r="31" spans="1:4">
      <c r="A31" s="248"/>
      <c r="B31" s="249"/>
      <c r="C31" s="248"/>
      <c r="D31" s="248"/>
    </row>
    <row r="32" spans="1:4">
      <c r="A32" s="248"/>
      <c r="B32" s="249"/>
      <c r="C32" s="248"/>
      <c r="D32" s="248"/>
    </row>
    <row r="33" spans="1:4">
      <c r="A33" s="248"/>
      <c r="B33" s="249"/>
      <c r="C33" s="248"/>
      <c r="D33" s="248"/>
    </row>
    <row r="34" spans="1:4">
      <c r="A34" s="246"/>
      <c r="B34" s="246"/>
      <c r="C34" s="246"/>
      <c r="D34" s="247"/>
    </row>
    <row r="35" spans="1:4">
      <c r="A35" s="248"/>
      <c r="B35" s="249"/>
      <c r="C35" s="248"/>
      <c r="D35" s="248"/>
    </row>
    <row r="36" spans="1:4">
      <c r="A36" s="246"/>
      <c r="B36" s="246"/>
      <c r="C36" s="246"/>
      <c r="D36" s="247"/>
    </row>
    <row r="37" spans="1:4">
      <c r="A37" s="246"/>
      <c r="B37" s="246"/>
      <c r="C37" s="246"/>
      <c r="D37" s="247"/>
    </row>
    <row r="38" spans="1:4">
      <c r="A38" s="248"/>
      <c r="B38" s="249"/>
      <c r="C38" s="248"/>
      <c r="D38" s="248"/>
    </row>
    <row r="39" spans="1:4">
      <c r="A39" s="246"/>
      <c r="B39" s="246"/>
      <c r="C39" s="246"/>
      <c r="D39" s="247"/>
    </row>
    <row r="40" spans="1:4">
      <c r="A40" s="248"/>
      <c r="B40" s="249"/>
      <c r="C40" s="248"/>
      <c r="D40" s="248"/>
    </row>
    <row r="41" spans="1:4">
      <c r="A41" s="246"/>
      <c r="B41" s="246"/>
      <c r="C41" s="246"/>
      <c r="D41" s="247"/>
    </row>
    <row r="42" spans="1:4">
      <c r="A42" s="246"/>
      <c r="B42" s="246"/>
      <c r="C42" s="246"/>
      <c r="D42" s="247"/>
    </row>
    <row r="43" spans="1:4">
      <c r="A43" s="248"/>
      <c r="B43" s="249"/>
      <c r="C43" s="248"/>
      <c r="D43" s="248"/>
    </row>
    <row r="44" spans="1:4">
      <c r="A44" s="246"/>
      <c r="B44" s="246"/>
      <c r="C44" s="246"/>
      <c r="D44" s="247"/>
    </row>
    <row r="45" spans="1:4">
      <c r="A45" s="248"/>
      <c r="B45" s="249"/>
      <c r="C45" s="248"/>
      <c r="D45" s="248"/>
    </row>
    <row r="46" spans="1:4">
      <c r="A46" s="248"/>
      <c r="B46" s="249"/>
      <c r="C46" s="248"/>
      <c r="D46" s="248"/>
    </row>
    <row r="47" spans="1:4">
      <c r="A47" s="248"/>
      <c r="B47" s="249"/>
      <c r="C47" s="248"/>
      <c r="D47" s="248"/>
    </row>
    <row r="48" spans="1:4">
      <c r="A48" s="248"/>
      <c r="B48" s="249"/>
      <c r="C48" s="248"/>
      <c r="D48" s="248"/>
    </row>
    <row r="49" spans="1:4">
      <c r="A49" s="248"/>
      <c r="B49" s="249"/>
      <c r="C49" s="248"/>
      <c r="D49" s="248"/>
    </row>
    <row r="50" spans="1:4">
      <c r="A50" s="248"/>
      <c r="B50" s="249"/>
      <c r="C50" s="248"/>
      <c r="D50" s="248"/>
    </row>
    <row r="51" spans="1:4">
      <c r="A51" s="248"/>
      <c r="B51" s="249"/>
      <c r="C51" s="248"/>
      <c r="D51" s="248"/>
    </row>
    <row r="52" spans="1:4">
      <c r="A52" s="246"/>
      <c r="B52" s="246"/>
      <c r="C52" s="246"/>
      <c r="D52" s="247"/>
    </row>
    <row r="53" spans="1:4">
      <c r="A53" s="248"/>
      <c r="B53" s="249"/>
      <c r="C53" s="248"/>
      <c r="D53" s="248"/>
    </row>
    <row r="54" spans="1:4">
      <c r="A54" s="248"/>
      <c r="B54" s="249"/>
      <c r="C54" s="248"/>
      <c r="D54" s="248"/>
    </row>
    <row r="55" spans="1:4">
      <c r="A55" s="248"/>
      <c r="B55" s="249"/>
      <c r="C55" s="248"/>
      <c r="D55" s="248"/>
    </row>
    <row r="56" spans="1:4">
      <c r="A56" s="248"/>
      <c r="B56" s="249"/>
      <c r="C56" s="248"/>
      <c r="D56" s="248"/>
    </row>
    <row r="57" spans="1:4">
      <c r="A57" s="248"/>
      <c r="B57" s="249"/>
      <c r="C57" s="248"/>
      <c r="D57" s="248"/>
    </row>
    <row r="58" spans="1:4">
      <c r="A58" s="248"/>
      <c r="B58" s="249"/>
      <c r="C58" s="248"/>
      <c r="D58" s="248"/>
    </row>
    <row r="59" spans="1:4">
      <c r="A59" s="248"/>
      <c r="B59" s="249"/>
      <c r="C59" s="248"/>
      <c r="D59" s="248"/>
    </row>
    <row r="60" spans="1:4">
      <c r="A60" s="248"/>
      <c r="B60" s="249"/>
      <c r="C60" s="248"/>
      <c r="D60" s="248"/>
    </row>
    <row r="61" spans="1:4">
      <c r="A61" s="248"/>
      <c r="B61" s="249"/>
      <c r="C61" s="248"/>
      <c r="D61" s="248"/>
    </row>
    <row r="62" spans="1:4">
      <c r="A62" s="248"/>
      <c r="B62" s="249"/>
      <c r="C62" s="248"/>
      <c r="D62" s="248"/>
    </row>
    <row r="63" spans="1:4">
      <c r="A63" s="248"/>
      <c r="B63" s="249"/>
      <c r="C63" s="248"/>
      <c r="D63" s="248"/>
    </row>
    <row r="64" spans="1:4">
      <c r="A64" s="248"/>
      <c r="B64" s="249"/>
      <c r="C64" s="248"/>
      <c r="D64" s="248"/>
    </row>
    <row r="65" spans="1:4">
      <c r="A65" s="248"/>
      <c r="B65" s="249"/>
      <c r="C65" s="248"/>
      <c r="D65" s="248"/>
    </row>
    <row r="66" spans="1:4">
      <c r="A66" s="248"/>
      <c r="B66" s="249"/>
      <c r="C66" s="248"/>
      <c r="D66" s="248"/>
    </row>
    <row r="67" spans="1:4">
      <c r="A67" s="248"/>
      <c r="B67" s="249"/>
      <c r="C67" s="248"/>
      <c r="D67" s="248"/>
    </row>
    <row r="68" spans="1:4">
      <c r="A68" s="248"/>
      <c r="B68" s="249"/>
      <c r="C68" s="248"/>
      <c r="D68" s="248"/>
    </row>
    <row r="69" spans="1:4">
      <c r="A69" s="248"/>
      <c r="B69" s="249"/>
      <c r="C69" s="248"/>
      <c r="D69" s="248"/>
    </row>
    <row r="70" spans="1:4">
      <c r="A70" s="248"/>
      <c r="B70" s="249"/>
      <c r="C70" s="248"/>
      <c r="D70" s="248"/>
    </row>
    <row r="71" spans="1:4">
      <c r="A71" s="246"/>
      <c r="B71" s="246"/>
      <c r="C71" s="246"/>
      <c r="D71" s="247"/>
    </row>
    <row r="72" spans="1:4">
      <c r="A72" s="246"/>
      <c r="B72" s="246"/>
      <c r="C72" s="246"/>
      <c r="D72" s="247"/>
    </row>
    <row r="73" spans="1:4">
      <c r="A73" s="248"/>
      <c r="B73" s="249"/>
      <c r="C73" s="248"/>
      <c r="D73" s="248"/>
    </row>
    <row r="74" spans="1:4">
      <c r="A74" s="248"/>
      <c r="B74" s="249"/>
      <c r="C74" s="248"/>
      <c r="D74" s="248"/>
    </row>
    <row r="75" spans="1:4">
      <c r="A75" s="248"/>
      <c r="B75" s="249"/>
      <c r="C75" s="248"/>
      <c r="D75" s="248"/>
    </row>
    <row r="76" spans="1:4">
      <c r="A76" s="248"/>
      <c r="B76" s="249"/>
      <c r="C76" s="248"/>
      <c r="D76" s="248"/>
    </row>
    <row r="77" spans="1:4">
      <c r="A77" s="248"/>
      <c r="B77" s="249"/>
      <c r="C77" s="248"/>
      <c r="D77" s="248"/>
    </row>
    <row r="78" spans="1:4">
      <c r="A78" s="248"/>
      <c r="B78" s="249"/>
      <c r="C78" s="248"/>
      <c r="D78" s="248"/>
    </row>
    <row r="79" spans="1:4">
      <c r="A79" s="248"/>
      <c r="B79" s="249"/>
      <c r="C79" s="248"/>
      <c r="D79" s="248"/>
    </row>
    <row r="80" spans="1:4">
      <c r="A80" s="248"/>
      <c r="B80" s="249"/>
      <c r="C80" s="248"/>
      <c r="D80" s="248"/>
    </row>
    <row r="81" spans="1:4">
      <c r="A81" s="248"/>
      <c r="B81" s="249"/>
      <c r="C81" s="248"/>
      <c r="D81" s="248"/>
    </row>
    <row r="82" spans="1:4">
      <c r="A82" s="246"/>
      <c r="B82" s="246"/>
      <c r="C82" s="246"/>
      <c r="D82" s="247"/>
    </row>
    <row r="83" spans="1:4">
      <c r="A83" s="248"/>
      <c r="B83" s="249"/>
      <c r="C83" s="248"/>
      <c r="D83" s="248"/>
    </row>
    <row r="84" spans="1:4">
      <c r="A84" s="246"/>
      <c r="B84" s="246"/>
      <c r="C84" s="246"/>
      <c r="D84" s="247"/>
    </row>
    <row r="85" spans="1:4">
      <c r="A85" s="248"/>
      <c r="B85" s="249"/>
      <c r="C85" s="248"/>
      <c r="D85" s="248"/>
    </row>
    <row r="86" spans="1:4">
      <c r="A86" s="248"/>
      <c r="B86" s="249"/>
      <c r="C86" s="248"/>
      <c r="D86" s="248"/>
    </row>
    <row r="87" spans="1:4">
      <c r="A87" s="248"/>
      <c r="B87" s="249"/>
      <c r="C87" s="248"/>
      <c r="D87" s="248"/>
    </row>
    <row r="88" spans="1:4">
      <c r="A88" s="246"/>
      <c r="B88" s="246"/>
      <c r="C88" s="246"/>
      <c r="D88" s="247"/>
    </row>
    <row r="89" spans="1:4">
      <c r="A89" s="248"/>
      <c r="B89" s="249"/>
      <c r="C89" s="248"/>
      <c r="D89" s="248"/>
    </row>
    <row r="90" spans="1:4">
      <c r="A90" s="248"/>
      <c r="B90" s="249"/>
      <c r="C90" s="248"/>
      <c r="D90" s="248"/>
    </row>
    <row r="91" spans="1:4">
      <c r="A91" s="246"/>
      <c r="B91" s="246"/>
      <c r="C91" s="246"/>
      <c r="D91" s="247"/>
    </row>
    <row r="92" spans="1:4">
      <c r="A92" s="248"/>
      <c r="B92" s="249"/>
      <c r="C92" s="248"/>
      <c r="D92" s="248"/>
    </row>
    <row r="93" spans="1:4">
      <c r="A93" s="248"/>
      <c r="B93" s="249"/>
      <c r="C93" s="248"/>
      <c r="D93" s="248"/>
    </row>
    <row r="94" spans="1:4">
      <c r="A94" s="248"/>
      <c r="B94" s="249"/>
      <c r="C94" s="248"/>
      <c r="D94" s="248"/>
    </row>
    <row r="95" spans="1:4">
      <c r="A95" s="248"/>
      <c r="B95" s="249"/>
      <c r="C95" s="248"/>
      <c r="D95" s="248"/>
    </row>
    <row r="96" spans="1:4">
      <c r="A96" s="248"/>
      <c r="B96" s="249"/>
      <c r="C96" s="248"/>
      <c r="D96" s="248"/>
    </row>
    <row r="97" spans="1:4">
      <c r="A97" s="248"/>
      <c r="B97" s="249"/>
      <c r="C97" s="248"/>
      <c r="D97" s="248"/>
    </row>
    <row r="98" spans="1:4">
      <c r="A98" s="248"/>
      <c r="B98" s="249"/>
      <c r="C98" s="248"/>
      <c r="D98" s="248"/>
    </row>
    <row r="99" spans="1:4">
      <c r="A99" s="248"/>
      <c r="B99" s="249"/>
      <c r="C99" s="248"/>
      <c r="D99" s="248"/>
    </row>
    <row r="100" spans="1:4">
      <c r="A100" s="248"/>
      <c r="B100" s="249"/>
      <c r="C100" s="248"/>
      <c r="D100" s="248"/>
    </row>
    <row r="101" spans="1:4">
      <c r="A101" s="248"/>
      <c r="B101" s="249"/>
      <c r="C101" s="248"/>
      <c r="D101" s="248"/>
    </row>
    <row r="102" spans="1:4">
      <c r="A102" s="248"/>
      <c r="B102" s="249"/>
      <c r="C102" s="248"/>
      <c r="D102" s="248"/>
    </row>
    <row r="103" spans="1:4">
      <c r="A103" s="246"/>
      <c r="B103" s="246"/>
      <c r="C103" s="246"/>
      <c r="D103" s="247"/>
    </row>
    <row r="104" spans="1:4">
      <c r="A104" s="246"/>
      <c r="B104" s="246"/>
      <c r="C104" s="246"/>
      <c r="D104" s="247"/>
    </row>
    <row r="105" spans="1:4">
      <c r="A105" s="248"/>
      <c r="B105" s="249"/>
      <c r="C105" s="248"/>
      <c r="D105" s="248"/>
    </row>
    <row r="106" spans="1:4">
      <c r="A106" s="248"/>
      <c r="B106" s="249"/>
      <c r="C106" s="248"/>
      <c r="D106" s="248"/>
    </row>
    <row r="107" spans="1:4">
      <c r="A107" s="248"/>
      <c r="B107" s="249"/>
      <c r="C107" s="248"/>
      <c r="D107" s="248"/>
    </row>
    <row r="108" spans="1:4">
      <c r="A108" s="248"/>
      <c r="B108" s="249"/>
      <c r="C108" s="248"/>
      <c r="D108" s="248"/>
    </row>
    <row r="109" spans="1:4">
      <c r="A109" s="248"/>
      <c r="B109" s="249"/>
      <c r="C109" s="248"/>
      <c r="D109" s="248"/>
    </row>
    <row r="110" spans="1:4">
      <c r="A110" s="248"/>
      <c r="B110" s="249"/>
      <c r="C110" s="248"/>
      <c r="D110" s="248"/>
    </row>
    <row r="111" spans="1:4">
      <c r="A111" s="248"/>
      <c r="B111" s="249"/>
      <c r="C111" s="248"/>
      <c r="D111" s="248"/>
    </row>
    <row r="112" spans="1:4">
      <c r="A112" s="248"/>
      <c r="B112" s="249"/>
      <c r="C112" s="248"/>
      <c r="D112" s="248"/>
    </row>
    <row r="113" spans="1:4">
      <c r="A113" s="246"/>
      <c r="B113" s="246"/>
      <c r="C113" s="246"/>
      <c r="D113" s="247"/>
    </row>
    <row r="114" spans="1:4">
      <c r="A114" s="246"/>
      <c r="B114" s="246"/>
      <c r="C114" s="246"/>
      <c r="D114" s="247"/>
    </row>
    <row r="115" spans="1:4">
      <c r="A115" s="248"/>
      <c r="B115" s="249"/>
      <c r="C115" s="248"/>
      <c r="D115" s="248"/>
    </row>
    <row r="116" spans="1:4">
      <c r="A116" s="248"/>
      <c r="B116" s="249"/>
      <c r="C116" s="248"/>
      <c r="D116" s="248"/>
    </row>
    <row r="117" spans="1:4">
      <c r="A117" s="248"/>
      <c r="B117" s="249"/>
      <c r="C117" s="248"/>
      <c r="D117" s="248"/>
    </row>
    <row r="118" spans="1:4">
      <c r="A118" s="248"/>
      <c r="B118" s="249"/>
      <c r="C118" s="248"/>
      <c r="D118" s="248"/>
    </row>
    <row r="119" spans="1:4">
      <c r="A119" s="246"/>
      <c r="B119" s="246"/>
      <c r="C119" s="246"/>
      <c r="D119" s="247"/>
    </row>
    <row r="120" spans="1:4">
      <c r="A120" s="246"/>
      <c r="B120" s="246"/>
      <c r="C120" s="246"/>
      <c r="D120" s="247"/>
    </row>
    <row r="121" spans="1:4">
      <c r="A121" s="248"/>
      <c r="B121" s="249"/>
      <c r="C121" s="248"/>
      <c r="D121" s="248"/>
    </row>
    <row r="122" spans="1:4">
      <c r="A122" s="248"/>
      <c r="B122" s="249"/>
      <c r="C122" s="248"/>
      <c r="D122" s="248"/>
    </row>
    <row r="123" spans="1:4">
      <c r="A123" s="248"/>
      <c r="B123" s="249"/>
      <c r="C123" s="248"/>
      <c r="D123" s="248"/>
    </row>
    <row r="124" spans="1:4">
      <c r="A124" s="248"/>
      <c r="B124" s="249"/>
      <c r="C124" s="248"/>
      <c r="D124" s="248"/>
    </row>
    <row r="125" spans="1:4">
      <c r="A125" s="248"/>
      <c r="B125" s="249"/>
      <c r="C125" s="248"/>
      <c r="D125" s="248"/>
    </row>
    <row r="126" spans="1:4">
      <c r="A126" s="246"/>
      <c r="B126" s="246"/>
      <c r="C126" s="246"/>
      <c r="D126" s="247"/>
    </row>
    <row r="127" spans="1:4">
      <c r="A127" s="248"/>
      <c r="B127" s="249"/>
      <c r="C127" s="248"/>
      <c r="D127" s="248"/>
    </row>
    <row r="128" spans="1:4">
      <c r="A128" s="248"/>
      <c r="B128" s="249"/>
      <c r="C128" s="248"/>
      <c r="D128" s="248"/>
    </row>
    <row r="129" spans="1:4">
      <c r="A129" s="246"/>
      <c r="B129" s="246"/>
      <c r="C129" s="246"/>
      <c r="D129" s="247"/>
    </row>
    <row r="130" spans="1:4">
      <c r="A130" s="248"/>
      <c r="B130" s="249"/>
      <c r="C130" s="248"/>
      <c r="D130" s="248"/>
    </row>
    <row r="131" spans="1:4">
      <c r="A131" s="248"/>
      <c r="B131" s="249"/>
      <c r="C131" s="248"/>
      <c r="D131" s="248"/>
    </row>
    <row r="132" spans="1:4">
      <c r="A132" s="248"/>
      <c r="B132" s="249"/>
      <c r="C132" s="248"/>
      <c r="D132" s="248"/>
    </row>
    <row r="133" spans="1:4">
      <c r="A133" s="248"/>
      <c r="B133" s="249"/>
      <c r="C133" s="248"/>
      <c r="D133" s="248"/>
    </row>
    <row r="134" spans="1:4">
      <c r="A134" s="246"/>
      <c r="B134" s="246"/>
      <c r="C134" s="246"/>
      <c r="D134" s="247"/>
    </row>
    <row r="135" spans="1:4">
      <c r="A135" s="248"/>
      <c r="B135" s="249"/>
      <c r="C135" s="248"/>
      <c r="D135" s="248"/>
    </row>
    <row r="136" spans="1:4">
      <c r="A136" s="248"/>
      <c r="B136" s="249"/>
      <c r="C136" s="248"/>
      <c r="D136" s="248"/>
    </row>
    <row r="137" spans="1:4">
      <c r="A137" s="248"/>
      <c r="B137" s="249"/>
      <c r="C137" s="248"/>
      <c r="D137" s="248"/>
    </row>
    <row r="138" spans="1:4">
      <c r="A138" s="248"/>
      <c r="B138" s="249"/>
      <c r="C138" s="248"/>
      <c r="D138" s="248"/>
    </row>
    <row r="139" spans="1:4">
      <c r="A139" s="248"/>
      <c r="B139" s="249"/>
      <c r="C139" s="248"/>
      <c r="D139" s="248"/>
    </row>
    <row r="140" spans="1:4">
      <c r="A140" s="248"/>
      <c r="B140" s="249"/>
      <c r="C140" s="248"/>
      <c r="D140" s="248"/>
    </row>
    <row r="141" spans="1:4">
      <c r="A141" s="248"/>
      <c r="B141" s="249"/>
      <c r="C141" s="248"/>
      <c r="D141" s="248"/>
    </row>
    <row r="142" spans="1:4">
      <c r="A142" s="248"/>
      <c r="B142" s="249"/>
      <c r="C142" s="248"/>
      <c r="D142" s="248"/>
    </row>
    <row r="143" spans="1:4">
      <c r="A143" s="248"/>
      <c r="B143" s="249"/>
      <c r="C143" s="248"/>
      <c r="D143" s="248"/>
    </row>
    <row r="144" spans="1:4">
      <c r="A144" s="248"/>
      <c r="B144" s="249"/>
      <c r="C144" s="248"/>
      <c r="D144" s="248"/>
    </row>
    <row r="145" spans="1:4">
      <c r="A145" s="246"/>
      <c r="B145" s="246"/>
      <c r="C145" s="246"/>
      <c r="D145" s="247"/>
    </row>
    <row r="146" spans="1:4">
      <c r="A146" s="248"/>
      <c r="B146" s="249"/>
      <c r="C146" s="248"/>
      <c r="D146" s="248"/>
    </row>
    <row r="147" spans="1:4">
      <c r="A147" s="248"/>
      <c r="B147" s="249"/>
      <c r="C147" s="248"/>
      <c r="D147" s="248"/>
    </row>
    <row r="148" spans="1:4">
      <c r="A148" s="248"/>
      <c r="B148" s="249"/>
      <c r="C148" s="248"/>
      <c r="D148" s="248"/>
    </row>
    <row r="149" spans="1:4">
      <c r="A149" s="248"/>
      <c r="B149" s="249"/>
      <c r="C149" s="248"/>
      <c r="D149" s="248"/>
    </row>
    <row r="150" spans="1:4">
      <c r="A150" s="248"/>
      <c r="B150" s="249"/>
      <c r="C150" s="248"/>
      <c r="D150" s="248"/>
    </row>
    <row r="151" spans="1:4">
      <c r="A151" s="246"/>
      <c r="B151" s="246"/>
      <c r="C151" s="246"/>
      <c r="D151" s="247"/>
    </row>
    <row r="152" spans="1:4">
      <c r="A152" s="248"/>
      <c r="B152" s="249"/>
      <c r="C152" s="248"/>
      <c r="D152" s="248"/>
    </row>
    <row r="153" spans="1:4">
      <c r="A153" s="248"/>
      <c r="B153" s="249"/>
      <c r="C153" s="248"/>
      <c r="D153" s="248"/>
    </row>
    <row r="154" spans="1:4">
      <c r="A154" s="248"/>
      <c r="B154" s="249"/>
      <c r="C154" s="248"/>
      <c r="D154" s="248"/>
    </row>
    <row r="155" spans="1:4">
      <c r="A155" s="248"/>
      <c r="B155" s="249"/>
      <c r="C155" s="248"/>
      <c r="D155" s="248"/>
    </row>
    <row r="156" spans="1:4">
      <c r="A156" s="248"/>
      <c r="B156" s="249"/>
      <c r="C156" s="248"/>
      <c r="D156" s="248"/>
    </row>
    <row r="157" spans="1:4">
      <c r="A157" s="248"/>
      <c r="B157" s="249"/>
      <c r="C157" s="248"/>
      <c r="D157" s="248"/>
    </row>
    <row r="158" spans="1:4">
      <c r="A158" s="248"/>
      <c r="B158" s="249"/>
      <c r="C158" s="248"/>
      <c r="D158" s="248"/>
    </row>
    <row r="159" spans="1:4">
      <c r="A159" s="246"/>
      <c r="B159" s="246"/>
      <c r="C159" s="246"/>
      <c r="D159" s="247"/>
    </row>
    <row r="160" spans="1:4">
      <c r="A160" s="248"/>
      <c r="B160" s="249"/>
      <c r="C160" s="248"/>
      <c r="D160" s="248"/>
    </row>
    <row r="161" spans="1:4">
      <c r="A161" s="248"/>
      <c r="B161" s="249"/>
      <c r="C161" s="248"/>
      <c r="D161" s="248"/>
    </row>
    <row r="162" spans="1:4">
      <c r="A162" s="248"/>
      <c r="B162" s="249"/>
      <c r="C162" s="248"/>
      <c r="D162" s="248"/>
    </row>
    <row r="163" spans="1:4">
      <c r="A163" s="248"/>
      <c r="B163" s="249"/>
      <c r="C163" s="248"/>
      <c r="D163" s="248"/>
    </row>
    <row r="164" spans="1:4">
      <c r="A164" s="248"/>
      <c r="B164" s="249"/>
      <c r="C164" s="248"/>
      <c r="D164" s="248"/>
    </row>
    <row r="165" spans="1:4">
      <c r="A165" s="248"/>
      <c r="B165" s="249"/>
      <c r="C165" s="248"/>
      <c r="D165" s="248"/>
    </row>
    <row r="166" spans="1:4">
      <c r="A166" s="248"/>
      <c r="B166" s="249"/>
      <c r="C166" s="248"/>
      <c r="D166" s="248"/>
    </row>
    <row r="167" spans="1:4">
      <c r="A167" s="248"/>
      <c r="B167" s="249"/>
      <c r="C167" s="248"/>
      <c r="D167" s="248"/>
    </row>
    <row r="168" spans="1:4">
      <c r="A168" s="248"/>
      <c r="B168" s="249"/>
      <c r="C168" s="248"/>
      <c r="D168" s="248"/>
    </row>
    <row r="169" spans="1:4">
      <c r="A169" s="248"/>
      <c r="B169" s="249"/>
      <c r="C169" s="248"/>
      <c r="D169" s="248"/>
    </row>
    <row r="170" spans="1:4">
      <c r="A170" s="248"/>
      <c r="B170" s="249"/>
      <c r="C170" s="248"/>
      <c r="D170" s="248"/>
    </row>
    <row r="171" spans="1:4">
      <c r="A171" s="248"/>
      <c r="B171" s="249"/>
      <c r="C171" s="248"/>
      <c r="D171" s="248"/>
    </row>
    <row r="172" spans="1:4">
      <c r="A172" s="248"/>
      <c r="B172" s="249"/>
      <c r="C172" s="248"/>
      <c r="D172" s="248"/>
    </row>
    <row r="173" spans="1:4">
      <c r="A173" s="248"/>
      <c r="B173" s="249"/>
      <c r="C173" s="248"/>
      <c r="D173" s="248"/>
    </row>
    <row r="174" spans="1:4">
      <c r="A174" s="248"/>
      <c r="B174" s="249"/>
      <c r="C174" s="248"/>
      <c r="D174" s="248"/>
    </row>
    <row r="175" spans="1:4">
      <c r="A175" s="248"/>
      <c r="B175" s="249"/>
      <c r="C175" s="248"/>
      <c r="D175" s="248"/>
    </row>
    <row r="176" spans="1:4">
      <c r="A176" s="248"/>
      <c r="B176" s="249"/>
      <c r="C176" s="248"/>
      <c r="D176" s="248"/>
    </row>
    <row r="177" spans="1:4">
      <c r="A177" s="248"/>
      <c r="B177" s="249"/>
      <c r="C177" s="248"/>
      <c r="D177" s="248"/>
    </row>
    <row r="178" spans="1:4">
      <c r="A178" s="248"/>
      <c r="B178" s="249"/>
      <c r="C178" s="248"/>
      <c r="D178" s="248"/>
    </row>
    <row r="179" spans="1:4">
      <c r="A179" s="248"/>
      <c r="B179" s="249"/>
      <c r="C179" s="248"/>
      <c r="D179" s="248"/>
    </row>
    <row r="180" spans="1:4">
      <c r="A180" s="248"/>
      <c r="B180" s="249"/>
      <c r="C180" s="248"/>
      <c r="D180" s="248"/>
    </row>
    <row r="181" spans="1:4">
      <c r="A181" s="248"/>
      <c r="B181" s="249"/>
      <c r="C181" s="248"/>
      <c r="D181" s="248"/>
    </row>
    <row r="182" spans="1:4">
      <c r="A182" s="246"/>
      <c r="B182" s="246"/>
      <c r="C182" s="246"/>
      <c r="D182" s="247"/>
    </row>
    <row r="183" spans="1:4">
      <c r="A183" s="246"/>
      <c r="B183" s="246"/>
      <c r="C183" s="246"/>
      <c r="D183" s="247"/>
    </row>
    <row r="184" spans="1:4">
      <c r="A184" s="248"/>
      <c r="B184" s="249"/>
      <c r="C184" s="248"/>
      <c r="D184" s="248"/>
    </row>
    <row r="185" spans="1:4">
      <c r="A185" s="248"/>
      <c r="B185" s="249"/>
      <c r="C185" s="248"/>
      <c r="D185" s="248"/>
    </row>
    <row r="186" spans="1:4">
      <c r="A186" s="248"/>
      <c r="B186" s="249"/>
      <c r="C186" s="248"/>
      <c r="D186" s="248"/>
    </row>
    <row r="187" spans="1:4">
      <c r="A187" s="248"/>
      <c r="B187" s="249"/>
      <c r="C187" s="248"/>
      <c r="D187" s="248"/>
    </row>
    <row r="188" spans="1:4">
      <c r="A188" s="248"/>
      <c r="B188" s="249"/>
      <c r="C188" s="248"/>
      <c r="D188" s="248"/>
    </row>
    <row r="189" spans="1:4">
      <c r="A189" s="248"/>
      <c r="B189" s="249"/>
      <c r="C189" s="248"/>
      <c r="D189" s="248"/>
    </row>
    <row r="190" spans="1:4">
      <c r="A190" s="248"/>
      <c r="B190" s="249"/>
      <c r="C190" s="248"/>
      <c r="D190" s="248"/>
    </row>
    <row r="191" spans="1:4">
      <c r="A191" s="248"/>
      <c r="B191" s="249"/>
      <c r="C191" s="248"/>
      <c r="D191" s="248"/>
    </row>
    <row r="192" spans="1:4">
      <c r="A192" s="248"/>
      <c r="B192" s="249"/>
      <c r="C192" s="248"/>
      <c r="D192" s="248"/>
    </row>
    <row r="193" spans="1:4">
      <c r="A193" s="248"/>
      <c r="B193" s="249"/>
      <c r="C193" s="248"/>
      <c r="D193" s="248"/>
    </row>
    <row r="194" spans="1:4">
      <c r="A194" s="248"/>
      <c r="B194" s="249"/>
      <c r="C194" s="248"/>
      <c r="D194" s="248"/>
    </row>
    <row r="195" spans="1:4">
      <c r="A195" s="248"/>
      <c r="B195" s="249"/>
      <c r="C195" s="248"/>
      <c r="D195" s="248"/>
    </row>
    <row r="196" spans="1:4">
      <c r="A196" s="248"/>
      <c r="B196" s="249"/>
      <c r="C196" s="248"/>
      <c r="D196" s="248"/>
    </row>
    <row r="197" spans="1:4">
      <c r="A197" s="248"/>
      <c r="B197" s="249"/>
      <c r="C197" s="248"/>
      <c r="D197" s="248"/>
    </row>
    <row r="198" spans="1:4">
      <c r="A198" s="248"/>
      <c r="B198" s="249"/>
      <c r="C198" s="248"/>
      <c r="D198" s="248"/>
    </row>
    <row r="199" spans="1:4">
      <c r="A199" s="248"/>
      <c r="B199" s="249"/>
      <c r="C199" s="248"/>
      <c r="D199" s="248"/>
    </row>
    <row r="200" spans="1:4">
      <c r="A200" s="248"/>
      <c r="B200" s="249"/>
      <c r="C200" s="248"/>
      <c r="D200" s="248"/>
    </row>
    <row r="201" spans="1:4">
      <c r="A201" s="248"/>
      <c r="B201" s="249"/>
      <c r="C201" s="248"/>
      <c r="D201" s="248"/>
    </row>
    <row r="202" spans="1:4">
      <c r="A202" s="248"/>
      <c r="B202" s="249"/>
      <c r="C202" s="248"/>
      <c r="D202" s="248"/>
    </row>
    <row r="203" spans="1:4">
      <c r="A203" s="248"/>
      <c r="B203" s="249"/>
      <c r="C203" s="248"/>
      <c r="D203" s="248"/>
    </row>
    <row r="204" spans="1:4">
      <c r="A204" s="248"/>
      <c r="B204" s="249"/>
      <c r="C204" s="248"/>
      <c r="D204" s="248"/>
    </row>
    <row r="205" spans="1:4">
      <c r="A205" s="248"/>
      <c r="B205" s="249"/>
      <c r="C205" s="248"/>
      <c r="D205" s="248"/>
    </row>
    <row r="206" spans="1:4">
      <c r="A206" s="248"/>
      <c r="B206" s="249"/>
      <c r="C206" s="248"/>
      <c r="D206" s="248"/>
    </row>
    <row r="207" spans="1:4">
      <c r="A207" s="248"/>
      <c r="B207" s="249"/>
      <c r="C207" s="248"/>
      <c r="D207" s="248"/>
    </row>
    <row r="208" spans="1:4">
      <c r="A208" s="248"/>
      <c r="B208" s="249"/>
      <c r="C208" s="248"/>
      <c r="D208" s="248"/>
    </row>
    <row r="209" spans="1:4">
      <c r="A209" s="248"/>
      <c r="B209" s="249"/>
      <c r="C209" s="248"/>
      <c r="D209" s="248"/>
    </row>
    <row r="210" spans="1:4">
      <c r="A210" s="248"/>
      <c r="B210" s="249"/>
      <c r="C210" s="248"/>
      <c r="D210" s="248"/>
    </row>
    <row r="211" spans="1:4">
      <c r="A211" s="248"/>
      <c r="B211" s="249"/>
      <c r="C211" s="248"/>
      <c r="D211" s="248"/>
    </row>
    <row r="212" spans="1:4">
      <c r="A212" s="248"/>
      <c r="B212" s="249"/>
      <c r="C212" s="248"/>
      <c r="D212" s="248"/>
    </row>
    <row r="213" spans="1:4">
      <c r="A213" s="248"/>
      <c r="B213" s="249"/>
      <c r="C213" s="248"/>
      <c r="D213" s="248"/>
    </row>
    <row r="214" spans="1:4">
      <c r="A214" s="248"/>
      <c r="B214" s="249"/>
      <c r="C214" s="248"/>
      <c r="D214" s="248"/>
    </row>
    <row r="215" spans="1:4">
      <c r="A215" s="248"/>
      <c r="B215" s="249"/>
      <c r="C215" s="248"/>
      <c r="D215" s="248"/>
    </row>
    <row r="216" spans="1:4">
      <c r="A216" s="248"/>
      <c r="B216" s="249"/>
      <c r="C216" s="248"/>
      <c r="D216" s="248"/>
    </row>
    <row r="217" spans="1:4">
      <c r="A217" s="248"/>
      <c r="B217" s="249"/>
      <c r="C217" s="248"/>
      <c r="D217" s="248"/>
    </row>
    <row r="218" spans="1:4">
      <c r="A218" s="246"/>
      <c r="B218" s="246"/>
      <c r="C218" s="246"/>
      <c r="D218" s="247"/>
    </row>
    <row r="219" spans="1:4">
      <c r="A219" s="246"/>
      <c r="B219" s="246"/>
      <c r="C219" s="246"/>
      <c r="D219" s="247"/>
    </row>
    <row r="220" spans="1:4">
      <c r="A220" s="246"/>
      <c r="B220" s="246"/>
      <c r="C220" s="246"/>
      <c r="D220" s="247"/>
    </row>
    <row r="221" spans="1:4">
      <c r="A221" s="246"/>
      <c r="B221" s="246"/>
      <c r="C221" s="246"/>
      <c r="D221" s="247"/>
    </row>
    <row r="222" spans="1:4">
      <c r="A222" s="248"/>
      <c r="B222" s="249"/>
      <c r="C222" s="248"/>
      <c r="D222" s="248"/>
    </row>
    <row r="223" spans="1:4">
      <c r="A223" s="246"/>
      <c r="B223" s="246"/>
      <c r="C223" s="246"/>
      <c r="D223" s="247"/>
    </row>
    <row r="224" spans="1:4">
      <c r="A224" s="248"/>
      <c r="B224" s="249"/>
      <c r="C224" s="248"/>
      <c r="D224" s="248"/>
    </row>
    <row r="225" spans="1:4">
      <c r="A225" s="248"/>
      <c r="B225" s="249"/>
      <c r="C225" s="248"/>
      <c r="D225" s="248"/>
    </row>
    <row r="226" spans="1:4">
      <c r="A226" s="248"/>
      <c r="B226" s="249"/>
      <c r="C226" s="248"/>
      <c r="D226" s="248"/>
    </row>
    <row r="227" spans="1:4">
      <c r="A227" s="248"/>
      <c r="B227" s="249"/>
      <c r="C227" s="248"/>
      <c r="D227" s="248"/>
    </row>
    <row r="228" spans="1:4">
      <c r="A228" s="248"/>
      <c r="B228" s="249"/>
      <c r="C228" s="248"/>
      <c r="D228" s="248"/>
    </row>
    <row r="229" spans="1:4">
      <c r="A229" s="248"/>
      <c r="B229" s="249"/>
      <c r="C229" s="248"/>
      <c r="D229" s="248"/>
    </row>
    <row r="230" spans="1:4">
      <c r="A230" s="246"/>
      <c r="B230" s="246"/>
      <c r="C230" s="246"/>
      <c r="D230" s="247"/>
    </row>
    <row r="231" spans="1:4">
      <c r="A231" s="248"/>
      <c r="B231" s="249"/>
      <c r="C231" s="248"/>
      <c r="D231" s="248"/>
    </row>
    <row r="232" spans="1:4">
      <c r="A232" s="248"/>
      <c r="B232" s="249"/>
      <c r="C232" s="248"/>
      <c r="D232" s="248"/>
    </row>
    <row r="233" spans="1:4">
      <c r="A233" s="248"/>
      <c r="B233" s="249"/>
      <c r="C233" s="248"/>
      <c r="D233" s="248"/>
    </row>
    <row r="234" spans="1:4">
      <c r="A234" s="248"/>
      <c r="B234" s="249"/>
      <c r="C234" s="248"/>
      <c r="D234" s="248"/>
    </row>
    <row r="235" spans="1:4">
      <c r="A235" s="248"/>
      <c r="B235" s="249"/>
      <c r="C235" s="248"/>
      <c r="D235" s="248"/>
    </row>
    <row r="236" spans="1:4">
      <c r="A236" s="248"/>
      <c r="B236" s="249"/>
      <c r="C236" s="248"/>
      <c r="D236" s="248"/>
    </row>
    <row r="237" spans="1:4">
      <c r="A237" s="248"/>
      <c r="B237" s="249"/>
      <c r="C237" s="248"/>
      <c r="D237" s="248"/>
    </row>
    <row r="238" spans="1:4">
      <c r="A238" s="248"/>
      <c r="B238" s="249"/>
      <c r="C238" s="248"/>
      <c r="D238" s="248"/>
    </row>
    <row r="239" spans="1:4">
      <c r="A239" s="248"/>
      <c r="B239" s="249"/>
      <c r="C239" s="248"/>
      <c r="D239" s="248"/>
    </row>
    <row r="240" spans="1:4">
      <c r="A240" s="248"/>
      <c r="B240" s="249"/>
      <c r="C240" s="248"/>
      <c r="D240" s="248"/>
    </row>
    <row r="241" spans="1:4">
      <c r="A241" s="246"/>
      <c r="B241" s="246"/>
      <c r="C241" s="246"/>
      <c r="D241" s="247"/>
    </row>
    <row r="242" spans="1:4">
      <c r="A242" s="248"/>
      <c r="B242" s="249"/>
      <c r="C242" s="248"/>
      <c r="D242" s="248"/>
    </row>
    <row r="243" spans="1:4">
      <c r="A243" s="248"/>
      <c r="B243" s="249"/>
      <c r="C243" s="248"/>
      <c r="D243" s="248"/>
    </row>
    <row r="244" spans="1:4">
      <c r="A244" s="248"/>
      <c r="B244" s="249"/>
      <c r="C244" s="248"/>
      <c r="D244" s="248"/>
    </row>
    <row r="245" spans="1:4">
      <c r="A245" s="246"/>
      <c r="B245" s="246"/>
      <c r="C245" s="246"/>
      <c r="D245" s="247"/>
    </row>
    <row r="246" spans="1:4">
      <c r="A246" s="248"/>
      <c r="B246" s="249"/>
      <c r="C246" s="248"/>
      <c r="D246" s="248"/>
    </row>
    <row r="247" spans="1:4">
      <c r="A247" s="248"/>
      <c r="B247" s="249"/>
      <c r="C247" s="248"/>
      <c r="D247" s="248"/>
    </row>
    <row r="248" spans="1:4">
      <c r="A248" s="248"/>
      <c r="B248" s="249"/>
      <c r="C248" s="248"/>
      <c r="D248" s="248"/>
    </row>
    <row r="249" spans="1:4">
      <c r="A249" s="248"/>
      <c r="B249" s="249"/>
      <c r="C249" s="248"/>
      <c r="D249" s="248"/>
    </row>
    <row r="250" spans="1:4">
      <c r="A250" s="248"/>
      <c r="B250" s="249"/>
      <c r="C250" s="248"/>
      <c r="D250" s="248"/>
    </row>
    <row r="251" spans="1:4">
      <c r="A251" s="248"/>
      <c r="B251" s="249"/>
      <c r="C251" s="248"/>
      <c r="D251" s="248"/>
    </row>
    <row r="252" spans="1:4">
      <c r="A252" s="248"/>
      <c r="B252" s="249"/>
      <c r="C252" s="248"/>
      <c r="D252" s="248"/>
    </row>
    <row r="253" spans="1:4">
      <c r="A253" s="248"/>
      <c r="B253" s="249"/>
      <c r="C253" s="248"/>
      <c r="D253" s="248"/>
    </row>
    <row r="254" spans="1:4">
      <c r="A254" s="248"/>
      <c r="B254" s="249"/>
      <c r="C254" s="248"/>
      <c r="D254" s="248"/>
    </row>
    <row r="255" spans="1:4">
      <c r="A255" s="248"/>
      <c r="B255" s="249"/>
      <c r="C255" s="248"/>
      <c r="D255" s="248"/>
    </row>
    <row r="256" spans="1:4">
      <c r="A256" s="248"/>
      <c r="B256" s="249"/>
      <c r="C256" s="248"/>
      <c r="D256" s="248"/>
    </row>
    <row r="257" spans="1:4">
      <c r="A257" s="248"/>
      <c r="B257" s="249"/>
      <c r="C257" s="248"/>
      <c r="D257" s="248"/>
    </row>
    <row r="258" spans="1:4">
      <c r="A258" s="248"/>
      <c r="B258" s="249"/>
      <c r="C258" s="248"/>
      <c r="D258" s="248"/>
    </row>
    <row r="259" spans="1:4">
      <c r="A259" s="248"/>
      <c r="B259" s="249"/>
      <c r="C259" s="248"/>
      <c r="D259" s="248"/>
    </row>
    <row r="260" spans="1:4">
      <c r="A260" s="248"/>
      <c r="B260" s="249"/>
      <c r="C260" s="248"/>
      <c r="D260" s="248"/>
    </row>
    <row r="261" spans="1:4">
      <c r="A261" s="248"/>
      <c r="B261" s="249"/>
      <c r="C261" s="248"/>
      <c r="D261" s="248"/>
    </row>
    <row r="262" spans="1:4">
      <c r="A262" s="248"/>
      <c r="B262" s="249"/>
      <c r="C262" s="248"/>
      <c r="D262" s="248"/>
    </row>
    <row r="263" spans="1:4">
      <c r="A263" s="248"/>
      <c r="B263" s="249"/>
      <c r="C263" s="248"/>
      <c r="D263" s="248"/>
    </row>
    <row r="264" spans="1:4">
      <c r="A264" s="248"/>
      <c r="B264" s="249"/>
      <c r="C264" s="248"/>
      <c r="D264" s="248"/>
    </row>
    <row r="265" spans="1:4">
      <c r="A265" s="246"/>
      <c r="B265" s="246"/>
      <c r="C265" s="246"/>
      <c r="D265" s="247"/>
    </row>
    <row r="266" spans="1:4">
      <c r="A266" s="248"/>
      <c r="B266" s="249"/>
      <c r="C266" s="248"/>
      <c r="D266" s="248"/>
    </row>
    <row r="267" spans="1:4">
      <c r="A267" s="248"/>
      <c r="B267" s="249"/>
      <c r="C267" s="248"/>
      <c r="D267" s="248"/>
    </row>
    <row r="268" spans="1:4">
      <c r="A268" s="248"/>
      <c r="B268" s="249"/>
      <c r="C268" s="248"/>
      <c r="D268" s="248"/>
    </row>
    <row r="269" spans="1:4">
      <c r="A269" s="246"/>
      <c r="B269" s="246"/>
      <c r="C269" s="246"/>
      <c r="D269" s="247"/>
    </row>
    <row r="270" spans="1:4">
      <c r="A270" s="248"/>
      <c r="B270" s="249"/>
      <c r="C270" s="248"/>
      <c r="D270" s="248"/>
    </row>
    <row r="271" spans="1:4">
      <c r="A271" s="248"/>
      <c r="B271" s="249"/>
      <c r="C271" s="248"/>
      <c r="D271" s="248"/>
    </row>
    <row r="272" spans="1:4">
      <c r="A272" s="248"/>
      <c r="B272" s="249"/>
      <c r="C272" s="248"/>
      <c r="D272" s="248"/>
    </row>
    <row r="273" spans="1:4">
      <c r="A273" s="248"/>
      <c r="B273" s="249"/>
      <c r="C273" s="248"/>
      <c r="D273" s="248"/>
    </row>
    <row r="274" spans="1:4">
      <c r="A274" s="248"/>
      <c r="B274" s="249"/>
      <c r="C274" s="248"/>
      <c r="D274" s="248"/>
    </row>
    <row r="275" spans="1:4">
      <c r="A275" s="248"/>
      <c r="B275" s="249"/>
      <c r="C275" s="248"/>
      <c r="D275" s="248"/>
    </row>
    <row r="276" spans="1:4">
      <c r="A276" s="248"/>
      <c r="B276" s="249"/>
      <c r="C276" s="248"/>
      <c r="D276" s="248"/>
    </row>
    <row r="277" spans="1:4">
      <c r="A277" s="248"/>
      <c r="B277" s="249"/>
      <c r="C277" s="248"/>
      <c r="D277" s="248"/>
    </row>
    <row r="278" spans="1:4">
      <c r="A278" s="248"/>
      <c r="B278" s="249"/>
      <c r="C278" s="248"/>
      <c r="D278" s="248"/>
    </row>
    <row r="279" spans="1:4">
      <c r="A279" s="248"/>
      <c r="B279" s="249"/>
      <c r="C279" s="248"/>
      <c r="D279" s="248"/>
    </row>
    <row r="280" spans="1:4">
      <c r="A280" s="248"/>
      <c r="B280" s="249"/>
      <c r="C280" s="248"/>
      <c r="D280" s="248"/>
    </row>
    <row r="281" spans="1:4">
      <c r="A281" s="248"/>
      <c r="B281" s="249"/>
      <c r="C281" s="248"/>
      <c r="D281" s="248"/>
    </row>
    <row r="282" spans="1:4">
      <c r="A282" s="246"/>
      <c r="B282" s="246"/>
      <c r="C282" s="246"/>
      <c r="D282" s="247"/>
    </row>
    <row r="283" spans="1:4">
      <c r="A283" s="248"/>
      <c r="B283" s="249"/>
      <c r="C283" s="248"/>
      <c r="D283" s="248"/>
    </row>
    <row r="284" spans="1:4">
      <c r="A284" s="246"/>
      <c r="B284" s="246"/>
      <c r="C284" s="246"/>
      <c r="D284" s="247"/>
    </row>
    <row r="285" spans="1:4">
      <c r="A285" s="248"/>
      <c r="B285" s="249"/>
      <c r="C285" s="248"/>
      <c r="D285" s="248"/>
    </row>
    <row r="286" spans="1:4">
      <c r="A286" s="246"/>
      <c r="B286" s="246"/>
      <c r="C286" s="246"/>
      <c r="D286" s="247"/>
    </row>
    <row r="287" spans="1:4">
      <c r="A287" s="248"/>
      <c r="B287" s="249"/>
      <c r="C287" s="248"/>
      <c r="D287" s="248"/>
    </row>
    <row r="288" spans="1:4">
      <c r="A288" s="248"/>
      <c r="B288" s="249"/>
      <c r="C288" s="248"/>
      <c r="D288" s="248"/>
    </row>
    <row r="289" spans="1:4">
      <c r="A289" s="248"/>
      <c r="B289" s="249"/>
      <c r="C289" s="248"/>
      <c r="D289" s="248"/>
    </row>
    <row r="290" spans="1:4">
      <c r="A290" s="248"/>
      <c r="B290" s="249"/>
      <c r="C290" s="248"/>
      <c r="D290" s="248"/>
    </row>
    <row r="291" spans="1:4">
      <c r="A291" s="246"/>
      <c r="B291" s="246"/>
      <c r="C291" s="246"/>
      <c r="D291" s="247"/>
    </row>
    <row r="292" spans="1:4">
      <c r="A292" s="248"/>
      <c r="B292" s="249"/>
      <c r="C292" s="248"/>
      <c r="D292" s="248"/>
    </row>
    <row r="293" spans="1:4">
      <c r="A293" s="248"/>
      <c r="B293" s="249"/>
      <c r="C293" s="248"/>
      <c r="D293" s="248"/>
    </row>
    <row r="294" spans="1:4">
      <c r="A294" s="248"/>
      <c r="B294" s="249"/>
      <c r="C294" s="248"/>
      <c r="D294" s="248"/>
    </row>
    <row r="295" spans="1:4">
      <c r="A295" s="246"/>
      <c r="B295" s="246"/>
      <c r="C295" s="246"/>
      <c r="D295" s="247"/>
    </row>
    <row r="296" spans="1:4">
      <c r="A296" s="246"/>
      <c r="B296" s="246"/>
      <c r="C296" s="246"/>
      <c r="D296" s="247"/>
    </row>
    <row r="297" spans="1:4">
      <c r="A297" s="248"/>
      <c r="B297" s="249"/>
      <c r="C297" s="248"/>
      <c r="D297" s="248"/>
    </row>
    <row r="298" spans="1:4">
      <c r="A298" s="248"/>
      <c r="B298" s="249"/>
      <c r="C298" s="248"/>
      <c r="D298" s="248"/>
    </row>
    <row r="299" spans="1:4">
      <c r="A299" s="248"/>
      <c r="B299" s="249"/>
      <c r="C299" s="248"/>
      <c r="D299" s="248"/>
    </row>
    <row r="300" spans="1:4">
      <c r="A300" s="248"/>
      <c r="B300" s="249"/>
      <c r="C300" s="248"/>
      <c r="D300" s="248"/>
    </row>
    <row r="301" spans="1:4">
      <c r="A301" s="248"/>
      <c r="B301" s="249"/>
      <c r="C301" s="248"/>
      <c r="D301" s="248"/>
    </row>
    <row r="302" spans="1:4">
      <c r="A302" s="248"/>
      <c r="B302" s="249"/>
      <c r="C302" s="248"/>
      <c r="D302" s="248"/>
    </row>
    <row r="303" spans="1:4">
      <c r="A303" s="248"/>
      <c r="B303" s="249"/>
      <c r="C303" s="248"/>
      <c r="D303" s="248"/>
    </row>
    <row r="304" spans="1:4">
      <c r="A304" s="248"/>
      <c r="B304" s="249"/>
      <c r="C304" s="248"/>
      <c r="D304" s="248"/>
    </row>
    <row r="305" spans="1:4">
      <c r="A305" s="248"/>
      <c r="B305" s="249"/>
      <c r="C305" s="248"/>
      <c r="D305" s="248"/>
    </row>
    <row r="306" spans="1:4">
      <c r="A306" s="248"/>
      <c r="B306" s="249"/>
      <c r="C306" s="248"/>
      <c r="D306" s="248"/>
    </row>
    <row r="307" spans="1:4">
      <c r="A307" s="248"/>
      <c r="B307" s="249"/>
      <c r="C307" s="248"/>
      <c r="D307" s="248"/>
    </row>
    <row r="308" spans="1:4">
      <c r="A308" s="248"/>
      <c r="B308" s="249"/>
      <c r="C308" s="248"/>
      <c r="D308" s="248"/>
    </row>
    <row r="309" spans="1:4">
      <c r="A309" s="248"/>
      <c r="B309" s="249"/>
      <c r="C309" s="248"/>
      <c r="D309" s="248"/>
    </row>
    <row r="310" spans="1:4">
      <c r="A310" s="248"/>
      <c r="B310" s="249"/>
      <c r="C310" s="248"/>
      <c r="D310" s="248"/>
    </row>
    <row r="311" spans="1:4">
      <c r="A311" s="248"/>
      <c r="B311" s="249"/>
      <c r="C311" s="248"/>
      <c r="D311" s="248"/>
    </row>
    <row r="312" spans="1:4">
      <c r="A312" s="248"/>
      <c r="B312" s="249"/>
      <c r="C312" s="248"/>
      <c r="D312" s="248"/>
    </row>
    <row r="313" spans="1:4">
      <c r="A313" s="248"/>
      <c r="B313" s="249"/>
      <c r="C313" s="248"/>
      <c r="D313" s="248"/>
    </row>
    <row r="314" spans="1:4">
      <c r="A314" s="248"/>
      <c r="B314" s="249"/>
      <c r="C314" s="248"/>
      <c r="D314" s="248"/>
    </row>
    <row r="315" spans="1:4">
      <c r="A315" s="248"/>
      <c r="B315" s="249"/>
      <c r="C315" s="248"/>
      <c r="D315" s="248"/>
    </row>
    <row r="316" spans="1:4">
      <c r="A316" s="248"/>
      <c r="B316" s="249"/>
      <c r="C316" s="248"/>
      <c r="D316" s="248"/>
    </row>
    <row r="317" spans="1:4">
      <c r="A317" s="246"/>
      <c r="B317" s="246"/>
      <c r="C317" s="246"/>
      <c r="D317" s="247"/>
    </row>
    <row r="318" spans="1:4">
      <c r="A318" s="248"/>
      <c r="B318" s="249"/>
      <c r="C318" s="248"/>
      <c r="D318" s="248"/>
    </row>
    <row r="319" spans="1:4">
      <c r="A319" s="248"/>
      <c r="B319" s="249"/>
      <c r="C319" s="248"/>
      <c r="D319" s="248"/>
    </row>
    <row r="320" spans="1:4">
      <c r="A320" s="248"/>
      <c r="B320" s="249"/>
      <c r="C320" s="248"/>
      <c r="D320" s="248"/>
    </row>
    <row r="321" spans="1:4">
      <c r="A321" s="248"/>
      <c r="B321" s="249"/>
      <c r="C321" s="248"/>
      <c r="D321" s="248"/>
    </row>
    <row r="322" spans="1:4">
      <c r="A322" s="246"/>
      <c r="B322" s="246"/>
      <c r="C322" s="246"/>
      <c r="D322" s="247"/>
    </row>
    <row r="323" spans="1:4">
      <c r="A323" s="248"/>
      <c r="B323" s="249"/>
      <c r="C323" s="248"/>
      <c r="D323" s="248"/>
    </row>
    <row r="324" spans="1:4">
      <c r="A324" s="246"/>
      <c r="B324" s="246"/>
      <c r="C324" s="246"/>
      <c r="D324" s="247"/>
    </row>
    <row r="325" spans="1:4">
      <c r="A325" s="246"/>
      <c r="B325" s="246"/>
      <c r="C325" s="246"/>
      <c r="D325" s="247"/>
    </row>
    <row r="326" spans="1:4">
      <c r="A326" s="246"/>
      <c r="B326" s="246"/>
      <c r="C326" s="246"/>
      <c r="D326" s="247"/>
    </row>
    <row r="327" spans="1:4">
      <c r="A327" s="246"/>
      <c r="B327" s="246"/>
      <c r="C327" s="246"/>
      <c r="D327" s="247"/>
    </row>
    <row r="328" spans="1:4">
      <c r="A328" s="248"/>
      <c r="B328" s="249"/>
      <c r="C328" s="248"/>
      <c r="D328" s="248"/>
    </row>
    <row r="329" spans="1:4">
      <c r="A329" s="248"/>
      <c r="B329" s="249"/>
      <c r="C329" s="248"/>
      <c r="D329" s="248"/>
    </row>
    <row r="330" spans="1:4">
      <c r="A330" s="248"/>
      <c r="B330" s="249"/>
      <c r="C330" s="248"/>
      <c r="D330" s="248"/>
    </row>
    <row r="331" spans="1:4">
      <c r="A331" s="248"/>
      <c r="B331" s="249"/>
      <c r="C331" s="248"/>
      <c r="D331" s="248"/>
    </row>
    <row r="332" spans="1:4">
      <c r="A332" s="248"/>
      <c r="B332" s="249"/>
      <c r="C332" s="248"/>
      <c r="D332" s="248"/>
    </row>
    <row r="333" spans="1:4">
      <c r="A333" s="248"/>
      <c r="B333" s="249"/>
      <c r="C333" s="248"/>
      <c r="D333" s="248"/>
    </row>
    <row r="334" spans="1:4">
      <c r="A334" s="248"/>
      <c r="B334" s="249"/>
      <c r="C334" s="248"/>
      <c r="D334" s="248"/>
    </row>
    <row r="335" spans="1:4">
      <c r="A335" s="248"/>
      <c r="B335" s="249"/>
      <c r="C335" s="248"/>
      <c r="D335" s="248"/>
    </row>
    <row r="336" spans="1:4">
      <c r="A336" s="248"/>
      <c r="B336" s="249"/>
      <c r="C336" s="248"/>
      <c r="D336" s="248"/>
    </row>
    <row r="337" spans="1:4">
      <c r="A337" s="248"/>
      <c r="B337" s="249"/>
      <c r="C337" s="248"/>
      <c r="D337" s="248"/>
    </row>
    <row r="338" spans="1:4">
      <c r="A338" s="248"/>
      <c r="B338" s="249"/>
      <c r="C338" s="248"/>
      <c r="D338" s="248"/>
    </row>
    <row r="339" spans="1:4">
      <c r="A339" s="248"/>
      <c r="B339" s="249"/>
      <c r="C339" s="248"/>
      <c r="D339" s="248"/>
    </row>
    <row r="340" spans="1:4">
      <c r="A340" s="248"/>
      <c r="B340" s="249"/>
      <c r="C340" s="248"/>
      <c r="D340" s="248"/>
    </row>
    <row r="341" spans="1:4">
      <c r="A341" s="248"/>
      <c r="B341" s="249"/>
      <c r="C341" s="248"/>
      <c r="D341" s="248"/>
    </row>
    <row r="342" spans="1:4">
      <c r="A342" s="248"/>
      <c r="B342" s="249"/>
      <c r="C342" s="248"/>
      <c r="D342" s="248"/>
    </row>
    <row r="343" spans="1:4">
      <c r="A343" s="248"/>
      <c r="B343" s="249"/>
      <c r="C343" s="248"/>
      <c r="D343" s="248"/>
    </row>
    <row r="344" spans="1:4">
      <c r="A344" s="248"/>
      <c r="B344" s="249"/>
      <c r="C344" s="248"/>
      <c r="D344" s="248"/>
    </row>
    <row r="345" spans="1:4">
      <c r="A345" s="248"/>
      <c r="B345" s="249"/>
      <c r="C345" s="248"/>
      <c r="D345" s="248"/>
    </row>
    <row r="346" spans="1:4">
      <c r="A346" s="248"/>
      <c r="B346" s="249"/>
      <c r="C346" s="248"/>
      <c r="D346" s="248"/>
    </row>
    <row r="347" spans="1:4">
      <c r="A347" s="246"/>
      <c r="B347" s="246"/>
      <c r="C347" s="246"/>
      <c r="D347" s="247"/>
    </row>
    <row r="348" spans="1:4">
      <c r="A348" s="248"/>
      <c r="B348" s="249"/>
      <c r="C348" s="248"/>
      <c r="D348" s="248"/>
    </row>
    <row r="349" spans="1:4">
      <c r="A349" s="248"/>
      <c r="B349" s="249"/>
      <c r="C349" s="248"/>
      <c r="D349" s="248"/>
    </row>
    <row r="350" spans="1:4">
      <c r="A350" s="248"/>
      <c r="B350" s="249"/>
      <c r="C350" s="248"/>
      <c r="D350" s="248"/>
    </row>
    <row r="351" spans="1:4">
      <c r="A351" s="246"/>
      <c r="B351" s="246"/>
      <c r="C351" s="246"/>
      <c r="D351" s="247"/>
    </row>
    <row r="352" spans="1:4">
      <c r="A352" s="248"/>
      <c r="B352" s="249"/>
      <c r="C352" s="248"/>
      <c r="D352" s="248"/>
    </row>
    <row r="353" spans="1:4">
      <c r="A353" s="248"/>
      <c r="B353" s="249"/>
      <c r="C353" s="248"/>
      <c r="D353" s="248"/>
    </row>
    <row r="354" spans="1:4">
      <c r="A354" s="248"/>
      <c r="B354" s="249"/>
      <c r="C354" s="248"/>
      <c r="D354" s="248"/>
    </row>
    <row r="355" spans="1:4">
      <c r="A355" s="248"/>
      <c r="B355" s="249"/>
      <c r="C355" s="248"/>
      <c r="D355" s="248"/>
    </row>
    <row r="356" spans="1:4">
      <c r="A356" s="248"/>
      <c r="B356" s="249"/>
      <c r="C356" s="248"/>
      <c r="D356" s="248"/>
    </row>
    <row r="357" spans="1:4">
      <c r="A357" s="248"/>
      <c r="B357" s="249"/>
      <c r="C357" s="248"/>
      <c r="D357" s="248"/>
    </row>
    <row r="358" spans="1:4">
      <c r="A358" s="248"/>
      <c r="B358" s="249"/>
      <c r="C358" s="248"/>
      <c r="D358" s="248"/>
    </row>
    <row r="359" spans="1:4">
      <c r="A359" s="248"/>
      <c r="B359" s="249"/>
      <c r="C359" s="248"/>
      <c r="D359" s="248"/>
    </row>
    <row r="360" spans="1:4">
      <c r="A360" s="248"/>
      <c r="B360" s="249"/>
      <c r="C360" s="248"/>
      <c r="D360" s="248"/>
    </row>
    <row r="361" spans="1:4">
      <c r="A361" s="248"/>
      <c r="B361" s="249"/>
      <c r="C361" s="248"/>
      <c r="D361" s="248"/>
    </row>
    <row r="362" spans="1:4">
      <c r="A362" s="248"/>
      <c r="B362" s="249"/>
      <c r="C362" s="248"/>
      <c r="D362" s="248"/>
    </row>
    <row r="363" spans="1:4">
      <c r="A363" s="248"/>
      <c r="B363" s="249"/>
      <c r="C363" s="248"/>
      <c r="D363" s="248"/>
    </row>
    <row r="364" spans="1:4">
      <c r="A364" s="248"/>
      <c r="B364" s="249"/>
      <c r="C364" s="248"/>
      <c r="D364" s="248"/>
    </row>
    <row r="365" spans="1:4">
      <c r="A365" s="248"/>
      <c r="B365" s="249"/>
      <c r="C365" s="248"/>
      <c r="D365" s="248"/>
    </row>
    <row r="366" spans="1:4">
      <c r="A366" s="248"/>
      <c r="B366" s="249"/>
      <c r="C366" s="248"/>
      <c r="D366" s="248"/>
    </row>
    <row r="367" spans="1:4">
      <c r="A367" s="248"/>
      <c r="B367" s="249"/>
      <c r="C367" s="248"/>
      <c r="D367" s="248"/>
    </row>
    <row r="368" spans="1:4">
      <c r="A368" s="246"/>
      <c r="B368" s="246"/>
      <c r="C368" s="246"/>
      <c r="D368" s="247"/>
    </row>
    <row r="369" spans="1:4">
      <c r="A369" s="248"/>
      <c r="B369" s="249"/>
      <c r="C369" s="248"/>
      <c r="D369" s="248"/>
    </row>
    <row r="370" spans="1:4">
      <c r="A370" s="248"/>
      <c r="B370" s="249"/>
      <c r="C370" s="248"/>
      <c r="D370" s="248"/>
    </row>
    <row r="371" spans="1:4">
      <c r="A371" s="248"/>
      <c r="B371" s="249"/>
      <c r="C371" s="248"/>
      <c r="D371" s="248"/>
    </row>
    <row r="372" spans="1:4">
      <c r="A372" s="248"/>
      <c r="B372" s="249"/>
      <c r="C372" s="248"/>
      <c r="D372" s="248"/>
    </row>
    <row r="373" spans="1:4">
      <c r="A373" s="248"/>
      <c r="B373" s="249"/>
      <c r="C373" s="248"/>
      <c r="D373" s="248"/>
    </row>
    <row r="374" spans="1:4">
      <c r="A374" s="248"/>
      <c r="B374" s="249"/>
      <c r="C374" s="248"/>
      <c r="D374" s="248"/>
    </row>
    <row r="375" spans="1:4">
      <c r="A375" s="248"/>
      <c r="B375" s="249"/>
      <c r="C375" s="248"/>
      <c r="D375" s="248"/>
    </row>
    <row r="376" spans="1:4">
      <c r="A376" s="248"/>
      <c r="B376" s="249"/>
      <c r="C376" s="248"/>
      <c r="D376" s="248"/>
    </row>
    <row r="377" spans="1:4">
      <c r="A377" s="248"/>
      <c r="B377" s="249"/>
      <c r="C377" s="248"/>
      <c r="D377" s="248"/>
    </row>
    <row r="378" spans="1:4">
      <c r="A378" s="248"/>
      <c r="B378" s="249"/>
      <c r="C378" s="248"/>
      <c r="D378" s="248"/>
    </row>
    <row r="379" spans="1:4">
      <c r="A379" s="248"/>
      <c r="B379" s="249"/>
      <c r="C379" s="248"/>
      <c r="D379" s="248"/>
    </row>
    <row r="380" spans="1:4">
      <c r="A380" s="248"/>
      <c r="B380" s="249"/>
      <c r="C380" s="248"/>
      <c r="D380" s="248"/>
    </row>
    <row r="381" spans="1:4">
      <c r="A381" s="248"/>
      <c r="B381" s="249"/>
      <c r="C381" s="248"/>
      <c r="D381" s="248"/>
    </row>
    <row r="382" spans="1:4">
      <c r="A382" s="248"/>
      <c r="B382" s="249"/>
      <c r="C382" s="248"/>
      <c r="D382" s="248"/>
    </row>
    <row r="383" spans="1:4">
      <c r="A383" s="248"/>
      <c r="B383" s="249"/>
      <c r="C383" s="248"/>
      <c r="D383" s="248"/>
    </row>
    <row r="384" spans="1:4">
      <c r="A384" s="248"/>
      <c r="B384" s="249"/>
      <c r="C384" s="248"/>
      <c r="D384" s="248"/>
    </row>
    <row r="385" spans="1:4">
      <c r="A385" s="248"/>
      <c r="B385" s="249"/>
      <c r="C385" s="248"/>
      <c r="D385" s="248"/>
    </row>
    <row r="386" spans="1:4">
      <c r="A386" s="248"/>
      <c r="B386" s="249"/>
      <c r="C386" s="248"/>
      <c r="D386" s="248"/>
    </row>
    <row r="387" spans="1:4">
      <c r="A387" s="248"/>
      <c r="B387" s="249"/>
      <c r="C387" s="248"/>
      <c r="D387" s="248"/>
    </row>
    <row r="388" spans="1:4">
      <c r="A388" s="248"/>
      <c r="B388" s="249"/>
      <c r="C388" s="248"/>
      <c r="D388" s="248"/>
    </row>
    <row r="389" spans="1:4">
      <c r="A389" s="248"/>
      <c r="B389" s="249"/>
      <c r="C389" s="248"/>
      <c r="D389" s="248"/>
    </row>
    <row r="390" spans="1:4">
      <c r="A390" s="248"/>
      <c r="B390" s="249"/>
      <c r="C390" s="248"/>
      <c r="D390" s="248"/>
    </row>
    <row r="391" spans="1:4">
      <c r="A391" s="248"/>
      <c r="B391" s="249"/>
      <c r="C391" s="248"/>
      <c r="D391" s="248"/>
    </row>
    <row r="392" spans="1:4">
      <c r="A392" s="248"/>
      <c r="B392" s="249"/>
      <c r="C392" s="248"/>
      <c r="D392" s="248"/>
    </row>
    <row r="393" spans="1:4">
      <c r="A393" s="248"/>
      <c r="B393" s="249"/>
      <c r="C393" s="248"/>
      <c r="D393" s="248"/>
    </row>
    <row r="394" spans="1:4">
      <c r="A394" s="248"/>
      <c r="B394" s="249"/>
      <c r="C394" s="248"/>
      <c r="D394" s="248"/>
    </row>
    <row r="395" spans="1:4">
      <c r="A395" s="248"/>
      <c r="B395" s="249"/>
      <c r="C395" s="248"/>
      <c r="D395" s="248"/>
    </row>
    <row r="396" spans="1:4">
      <c r="A396" s="248"/>
      <c r="B396" s="249"/>
      <c r="C396" s="248"/>
      <c r="D396" s="248"/>
    </row>
    <row r="397" spans="1:4">
      <c r="A397" s="248"/>
      <c r="B397" s="249"/>
      <c r="C397" s="248"/>
      <c r="D397" s="248"/>
    </row>
    <row r="398" spans="1:4">
      <c r="A398" s="248"/>
      <c r="B398" s="249"/>
      <c r="C398" s="248"/>
      <c r="D398" s="248"/>
    </row>
    <row r="399" spans="1:4">
      <c r="A399" s="248"/>
      <c r="B399" s="249"/>
      <c r="C399" s="248"/>
      <c r="D399" s="248"/>
    </row>
    <row r="400" spans="1:4">
      <c r="A400" s="248"/>
      <c r="B400" s="249"/>
      <c r="C400" s="248"/>
      <c r="D400" s="248"/>
    </row>
    <row r="401" spans="1:4">
      <c r="A401" s="248"/>
      <c r="B401" s="249"/>
      <c r="C401" s="248"/>
      <c r="D401" s="248"/>
    </row>
    <row r="402" spans="1:4">
      <c r="A402" s="248"/>
      <c r="B402" s="249"/>
      <c r="C402" s="248"/>
      <c r="D402" s="248"/>
    </row>
    <row r="403" spans="1:4">
      <c r="A403" s="246"/>
      <c r="B403" s="246"/>
      <c r="C403" s="246"/>
      <c r="D403" s="247"/>
    </row>
    <row r="404" spans="1:4">
      <c r="A404" s="248"/>
      <c r="B404" s="249"/>
      <c r="C404" s="248"/>
      <c r="D404" s="248"/>
    </row>
    <row r="405" spans="1:4">
      <c r="A405" s="248"/>
      <c r="B405" s="249"/>
      <c r="C405" s="248"/>
      <c r="D405" s="248"/>
    </row>
    <row r="406" spans="1:4">
      <c r="A406" s="248"/>
      <c r="B406" s="249"/>
      <c r="C406" s="248"/>
      <c r="D406" s="248"/>
    </row>
    <row r="407" spans="1:4">
      <c r="A407" s="248"/>
      <c r="B407" s="249"/>
      <c r="C407" s="248"/>
      <c r="D407" s="248"/>
    </row>
    <row r="408" spans="1:4">
      <c r="A408" s="248"/>
      <c r="B408" s="249"/>
      <c r="C408" s="248"/>
      <c r="D408" s="248"/>
    </row>
    <row r="409" spans="1:4">
      <c r="A409" s="248"/>
      <c r="B409" s="249"/>
      <c r="C409" s="248"/>
      <c r="D409" s="248"/>
    </row>
    <row r="410" spans="1:4">
      <c r="A410" s="248"/>
      <c r="B410" s="249"/>
      <c r="C410" s="248"/>
      <c r="D410" s="248"/>
    </row>
    <row r="411" spans="1:4">
      <c r="A411" s="248"/>
      <c r="B411" s="249"/>
      <c r="C411" s="248"/>
      <c r="D411" s="248"/>
    </row>
    <row r="412" spans="1:4">
      <c r="A412" s="248"/>
      <c r="B412" s="249"/>
      <c r="C412" s="248"/>
      <c r="D412" s="248"/>
    </row>
    <row r="413" spans="1:4">
      <c r="A413" s="248"/>
      <c r="B413" s="249"/>
      <c r="C413" s="248"/>
      <c r="D413" s="248"/>
    </row>
    <row r="414" spans="1:4">
      <c r="A414" s="248"/>
      <c r="B414" s="249"/>
      <c r="C414" s="248"/>
      <c r="D414" s="248"/>
    </row>
    <row r="415" spans="1:4">
      <c r="A415" s="248"/>
      <c r="B415" s="249"/>
      <c r="C415" s="248"/>
      <c r="D415" s="248"/>
    </row>
    <row r="416" spans="1:4">
      <c r="A416" s="248"/>
      <c r="B416" s="249"/>
      <c r="C416" s="248"/>
      <c r="D416" s="248"/>
    </row>
    <row r="417" spans="1:4">
      <c r="A417" s="248"/>
      <c r="B417" s="249"/>
      <c r="C417" s="248"/>
      <c r="D417" s="248"/>
    </row>
    <row r="418" spans="1:4">
      <c r="A418" s="248"/>
      <c r="B418" s="249"/>
      <c r="C418" s="248"/>
      <c r="D418" s="248"/>
    </row>
    <row r="419" spans="1:4">
      <c r="A419" s="248"/>
      <c r="B419" s="249"/>
      <c r="C419" s="248"/>
      <c r="D419" s="248"/>
    </row>
    <row r="420" spans="1:4">
      <c r="A420" s="248"/>
      <c r="B420" s="249"/>
      <c r="C420" s="248"/>
      <c r="D420" s="248"/>
    </row>
    <row r="421" spans="1:4">
      <c r="A421" s="248"/>
      <c r="B421" s="249"/>
      <c r="C421" s="248"/>
      <c r="D421" s="248"/>
    </row>
    <row r="422" spans="1:4">
      <c r="A422" s="248"/>
      <c r="B422" s="249"/>
      <c r="C422" s="248"/>
      <c r="D422" s="248"/>
    </row>
    <row r="423" spans="1:4">
      <c r="A423" s="248"/>
      <c r="B423" s="249"/>
      <c r="C423" s="248"/>
      <c r="D423" s="248"/>
    </row>
    <row r="424" spans="1:4">
      <c r="A424" s="248"/>
      <c r="B424" s="249"/>
      <c r="C424" s="248"/>
      <c r="D424" s="248"/>
    </row>
    <row r="425" spans="1:4">
      <c r="A425" s="248"/>
      <c r="B425" s="249"/>
      <c r="C425" s="248"/>
      <c r="D425" s="248"/>
    </row>
    <row r="426" spans="1:4">
      <c r="A426" s="248"/>
      <c r="B426" s="249"/>
      <c r="C426" s="248"/>
      <c r="D426" s="248"/>
    </row>
    <row r="427" spans="1:4">
      <c r="A427" s="248"/>
      <c r="B427" s="249"/>
      <c r="C427" s="248"/>
      <c r="D427" s="248"/>
    </row>
    <row r="428" spans="1:4">
      <c r="A428" s="248"/>
      <c r="B428" s="249"/>
      <c r="C428" s="248"/>
      <c r="D428" s="248"/>
    </row>
    <row r="429" spans="1:4">
      <c r="A429" s="248"/>
      <c r="B429" s="249"/>
      <c r="C429" s="248"/>
      <c r="D429" s="248"/>
    </row>
    <row r="430" spans="1:4">
      <c r="A430" s="248"/>
      <c r="B430" s="249"/>
      <c r="C430" s="248"/>
      <c r="D430" s="248"/>
    </row>
    <row r="431" spans="1:4">
      <c r="A431" s="248"/>
      <c r="B431" s="249"/>
      <c r="C431" s="248"/>
      <c r="D431" s="248"/>
    </row>
    <row r="432" spans="1:4">
      <c r="A432" s="248"/>
      <c r="B432" s="249"/>
      <c r="C432" s="248"/>
      <c r="D432" s="248"/>
    </row>
    <row r="433" spans="1:4">
      <c r="A433" s="248"/>
      <c r="B433" s="249"/>
      <c r="C433" s="248"/>
      <c r="D433" s="248"/>
    </row>
    <row r="434" spans="1:4">
      <c r="A434" s="248"/>
      <c r="B434" s="249"/>
      <c r="C434" s="248"/>
      <c r="D434" s="248"/>
    </row>
    <row r="435" spans="1:4">
      <c r="A435" s="248"/>
      <c r="B435" s="249"/>
      <c r="C435" s="248"/>
      <c r="D435" s="248"/>
    </row>
    <row r="436" spans="1:4">
      <c r="A436" s="248"/>
      <c r="B436" s="249"/>
      <c r="C436" s="248"/>
      <c r="D436" s="248"/>
    </row>
    <row r="437" spans="1:4">
      <c r="A437" s="248"/>
      <c r="B437" s="249"/>
      <c r="C437" s="248"/>
      <c r="D437" s="248"/>
    </row>
    <row r="438" spans="1:4">
      <c r="A438" s="248"/>
      <c r="B438" s="249"/>
      <c r="C438" s="248"/>
      <c r="D438" s="248"/>
    </row>
    <row r="439" spans="1:4">
      <c r="A439" s="248"/>
      <c r="B439" s="249"/>
      <c r="C439" s="248"/>
      <c r="D439" s="248"/>
    </row>
    <row r="440" spans="1:4">
      <c r="A440" s="248"/>
      <c r="B440" s="249"/>
      <c r="C440" s="248"/>
      <c r="D440" s="248"/>
    </row>
    <row r="441" spans="1:4">
      <c r="A441" s="248"/>
      <c r="B441" s="249"/>
      <c r="C441" s="248"/>
      <c r="D441" s="248"/>
    </row>
    <row r="442" spans="1:4">
      <c r="A442" s="248"/>
      <c r="B442" s="249"/>
      <c r="C442" s="248"/>
      <c r="D442" s="248"/>
    </row>
    <row r="443" spans="1:4">
      <c r="A443" s="246"/>
      <c r="B443" s="246"/>
      <c r="C443" s="246"/>
      <c r="D443" s="247"/>
    </row>
    <row r="444" spans="1:4">
      <c r="A444" s="246"/>
      <c r="B444" s="246"/>
      <c r="C444" s="246"/>
      <c r="D444" s="247"/>
    </row>
    <row r="445" spans="1:4">
      <c r="A445" s="248"/>
      <c r="B445" s="249"/>
      <c r="C445" s="248"/>
      <c r="D445" s="248"/>
    </row>
    <row r="446" spans="1:4">
      <c r="A446" s="246"/>
      <c r="B446" s="246"/>
      <c r="C446" s="246"/>
      <c r="D446" s="247"/>
    </row>
    <row r="447" spans="1:4">
      <c r="A447" s="248"/>
      <c r="B447" s="249"/>
      <c r="C447" s="248"/>
      <c r="D447" s="248"/>
    </row>
    <row r="448" spans="1:4">
      <c r="A448" s="248"/>
      <c r="B448" s="249"/>
      <c r="C448" s="248"/>
      <c r="D448" s="248"/>
    </row>
    <row r="449" spans="1:4">
      <c r="A449" s="246"/>
      <c r="B449" s="246"/>
      <c r="C449" s="246"/>
      <c r="D449" s="247"/>
    </row>
    <row r="450" spans="1:4">
      <c r="A450" s="248"/>
      <c r="B450" s="249"/>
      <c r="C450" s="248"/>
      <c r="D450" s="248"/>
    </row>
    <row r="451" spans="1:4">
      <c r="A451" s="248"/>
      <c r="B451" s="249"/>
      <c r="C451" s="248"/>
      <c r="D451" s="248"/>
    </row>
    <row r="452" spans="1:4">
      <c r="A452" s="248"/>
      <c r="B452" s="249"/>
      <c r="C452" s="248"/>
      <c r="D452" s="248"/>
    </row>
    <row r="453" spans="1:4">
      <c r="A453" s="246"/>
      <c r="B453" s="246"/>
      <c r="C453" s="246"/>
      <c r="D453" s="247"/>
    </row>
    <row r="454" spans="1:4">
      <c r="A454" s="248"/>
      <c r="B454" s="249"/>
      <c r="C454" s="248"/>
      <c r="D454" s="248"/>
    </row>
    <row r="455" spans="1:4">
      <c r="A455" s="248"/>
      <c r="B455" s="249"/>
      <c r="C455" s="248"/>
      <c r="D455" s="248"/>
    </row>
    <row r="456" spans="1:4">
      <c r="A456" s="248"/>
      <c r="B456" s="249"/>
      <c r="C456" s="248"/>
      <c r="D456" s="248"/>
    </row>
    <row r="457" spans="1:4">
      <c r="A457" s="248"/>
      <c r="B457" s="249"/>
      <c r="C457" s="248"/>
      <c r="D457" s="248"/>
    </row>
    <row r="458" spans="1:4">
      <c r="A458" s="248"/>
      <c r="B458" s="249"/>
      <c r="C458" s="248"/>
      <c r="D458" s="248"/>
    </row>
    <row r="459" spans="1:4">
      <c r="A459" s="248"/>
      <c r="B459" s="249"/>
      <c r="C459" s="248"/>
      <c r="D459" s="248"/>
    </row>
    <row r="460" spans="1:4">
      <c r="A460" s="246"/>
      <c r="B460" s="246"/>
      <c r="C460" s="246"/>
      <c r="D460" s="247"/>
    </row>
    <row r="461" spans="1:4">
      <c r="A461" s="248"/>
      <c r="B461" s="249"/>
      <c r="C461" s="248"/>
      <c r="D461" s="248"/>
    </row>
    <row r="462" spans="1:4">
      <c r="A462" s="248"/>
      <c r="B462" s="249"/>
      <c r="C462" s="248"/>
      <c r="D462" s="248"/>
    </row>
    <row r="463" spans="1:4">
      <c r="A463" s="248"/>
      <c r="B463" s="249"/>
      <c r="C463" s="248"/>
      <c r="D463" s="248"/>
    </row>
    <row r="464" spans="1:4">
      <c r="A464" s="246"/>
      <c r="B464" s="246"/>
      <c r="C464" s="246"/>
      <c r="D464" s="247"/>
    </row>
    <row r="465" spans="1:4">
      <c r="A465" s="248"/>
      <c r="B465" s="249"/>
      <c r="C465" s="248"/>
      <c r="D465" s="248"/>
    </row>
    <row r="466" spans="1:4">
      <c r="A466" s="248"/>
      <c r="B466" s="249"/>
      <c r="C466" s="248"/>
      <c r="D466" s="248"/>
    </row>
    <row r="467" spans="1:4">
      <c r="A467" s="246"/>
      <c r="B467" s="246"/>
      <c r="C467" s="246"/>
      <c r="D467" s="247"/>
    </row>
    <row r="468" spans="1:4">
      <c r="A468" s="248"/>
      <c r="B468" s="249"/>
      <c r="C468" s="248"/>
      <c r="D468" s="248"/>
    </row>
    <row r="469" spans="1:4">
      <c r="A469" s="248"/>
      <c r="B469" s="249"/>
      <c r="C469" s="248"/>
      <c r="D469" s="248"/>
    </row>
    <row r="470" spans="1:4">
      <c r="A470" s="248"/>
      <c r="B470" s="249"/>
      <c r="C470" s="248"/>
      <c r="D470" s="248"/>
    </row>
    <row r="471" spans="1:4">
      <c r="A471" s="248"/>
      <c r="B471" s="249"/>
      <c r="C471" s="248"/>
      <c r="D471" s="248"/>
    </row>
    <row r="472" spans="1:4">
      <c r="A472" s="246"/>
      <c r="B472" s="246"/>
      <c r="C472" s="246"/>
      <c r="D472" s="247"/>
    </row>
    <row r="473" spans="1:4">
      <c r="A473" s="248"/>
      <c r="B473" s="249"/>
      <c r="C473" s="248"/>
      <c r="D473" s="248"/>
    </row>
    <row r="474" spans="1:4">
      <c r="A474" s="248"/>
      <c r="B474" s="249"/>
      <c r="C474" s="248"/>
      <c r="D474" s="248"/>
    </row>
    <row r="475" spans="1:4">
      <c r="A475" s="246"/>
      <c r="B475" s="246"/>
      <c r="C475" s="246"/>
      <c r="D475" s="247"/>
    </row>
    <row r="476" spans="1:4">
      <c r="A476" s="246"/>
      <c r="B476" s="246"/>
      <c r="C476" s="246"/>
      <c r="D476" s="247"/>
    </row>
    <row r="477" spans="1:4">
      <c r="A477" s="248"/>
      <c r="B477" s="249"/>
      <c r="C477" s="248"/>
      <c r="D477" s="248"/>
    </row>
    <row r="478" spans="1:4">
      <c r="A478" s="248"/>
      <c r="B478" s="249"/>
      <c r="C478" s="248"/>
      <c r="D478" s="248"/>
    </row>
    <row r="479" spans="1:4">
      <c r="A479" s="248"/>
      <c r="B479" s="249"/>
      <c r="C479" s="248"/>
      <c r="D479" s="248"/>
    </row>
    <row r="480" spans="1:4">
      <c r="A480" s="246"/>
      <c r="B480" s="246"/>
      <c r="C480" s="246"/>
      <c r="D480" s="247"/>
    </row>
    <row r="481" spans="1:4">
      <c r="A481" s="248"/>
      <c r="B481" s="249"/>
      <c r="C481" s="248"/>
      <c r="D481" s="248"/>
    </row>
    <row r="482" spans="1:4">
      <c r="A482" s="246"/>
      <c r="B482" s="246"/>
      <c r="C482" s="246"/>
      <c r="D482" s="247"/>
    </row>
    <row r="483" spans="1:4">
      <c r="A483" s="246"/>
      <c r="B483" s="246"/>
      <c r="C483" s="246"/>
      <c r="D483" s="247"/>
    </row>
    <row r="484" spans="1:4">
      <c r="A484" s="248"/>
      <c r="B484" s="249"/>
      <c r="C484" s="248"/>
      <c r="D484" s="248"/>
    </row>
    <row r="485" spans="1:4">
      <c r="A485" s="248"/>
      <c r="B485" s="249"/>
      <c r="C485" s="248"/>
      <c r="D485" s="248"/>
    </row>
    <row r="486" spans="1:4">
      <c r="A486" s="248"/>
      <c r="B486" s="249"/>
      <c r="C486" s="248"/>
      <c r="D486" s="248"/>
    </row>
    <row r="487" spans="1:4">
      <c r="A487" s="248"/>
      <c r="B487" s="249"/>
      <c r="C487" s="248"/>
      <c r="D487" s="250"/>
    </row>
    <row r="488" spans="1:4">
      <c r="A488" s="248"/>
      <c r="B488" s="249"/>
      <c r="C488" s="248"/>
      <c r="D488" s="248"/>
    </row>
    <row r="489" spans="1:4">
      <c r="A489" s="246"/>
      <c r="B489" s="246"/>
      <c r="C489" s="246"/>
      <c r="D489" s="247"/>
    </row>
    <row r="490" spans="1:4">
      <c r="A490" s="246"/>
      <c r="B490" s="246"/>
      <c r="C490" s="246"/>
      <c r="D490" s="247"/>
    </row>
    <row r="491" spans="1:4">
      <c r="A491" s="248"/>
      <c r="B491" s="249"/>
      <c r="C491" s="248"/>
      <c r="D491" s="248"/>
    </row>
    <row r="492" spans="1:4">
      <c r="A492" s="248"/>
      <c r="B492" s="249"/>
      <c r="C492" s="248"/>
      <c r="D492" s="248"/>
    </row>
    <row r="493" spans="1:4">
      <c r="A493" s="246"/>
      <c r="B493" s="246"/>
      <c r="C493" s="246"/>
      <c r="D493" s="247"/>
    </row>
    <row r="494" spans="1:4">
      <c r="A494" s="246"/>
      <c r="B494" s="246"/>
      <c r="C494" s="246"/>
      <c r="D494" s="247"/>
    </row>
    <row r="495" spans="1:4">
      <c r="A495" s="248"/>
      <c r="B495" s="249"/>
      <c r="C495" s="248"/>
      <c r="D495" s="248"/>
    </row>
    <row r="496" spans="1:4">
      <c r="A496" s="248"/>
      <c r="B496" s="249"/>
      <c r="C496" s="248"/>
      <c r="D496" s="248"/>
    </row>
    <row r="497" spans="1:4">
      <c r="A497" s="248"/>
      <c r="B497" s="249"/>
      <c r="C497" s="248"/>
      <c r="D497" s="248"/>
    </row>
    <row r="498" spans="1:4">
      <c r="A498" s="246"/>
      <c r="B498" s="246"/>
      <c r="C498" s="246"/>
      <c r="D498" s="247"/>
    </row>
    <row r="499" spans="1:4">
      <c r="A499" s="246"/>
      <c r="B499" s="246"/>
      <c r="C499" s="246"/>
      <c r="D499" s="247"/>
    </row>
    <row r="500" spans="1:4">
      <c r="A500" s="248"/>
      <c r="B500" s="249"/>
      <c r="C500" s="248"/>
      <c r="D500" s="248"/>
    </row>
    <row r="501" spans="1:4">
      <c r="A501" s="248"/>
      <c r="B501" s="249"/>
      <c r="C501" s="248"/>
      <c r="D501" s="248"/>
    </row>
    <row r="502" spans="1:4">
      <c r="A502" s="248"/>
      <c r="B502" s="249"/>
      <c r="C502" s="248"/>
      <c r="D502" s="248"/>
    </row>
    <row r="503" spans="1:4">
      <c r="A503" s="246"/>
      <c r="B503" s="246"/>
      <c r="C503" s="246"/>
      <c r="D503" s="247"/>
    </row>
    <row r="504" spans="1:4">
      <c r="A504" s="248"/>
      <c r="B504" s="249"/>
      <c r="C504" s="248"/>
      <c r="D504" s="248"/>
    </row>
    <row r="505" spans="1:4">
      <c r="A505" s="248"/>
      <c r="B505" s="249"/>
      <c r="C505" s="248"/>
      <c r="D505" s="248"/>
    </row>
    <row r="506" spans="1:4">
      <c r="A506" s="248"/>
      <c r="B506" s="249"/>
      <c r="C506" s="248"/>
      <c r="D506" s="248"/>
    </row>
    <row r="507" spans="1:4">
      <c r="A507" s="246"/>
      <c r="B507" s="246"/>
      <c r="C507" s="246"/>
      <c r="D507" s="247"/>
    </row>
    <row r="508" spans="1:4">
      <c r="A508" s="248"/>
      <c r="B508" s="249"/>
      <c r="C508" s="248"/>
      <c r="D508" s="248"/>
    </row>
    <row r="509" spans="1:4">
      <c r="A509" s="248"/>
      <c r="B509" s="249"/>
      <c r="C509" s="248"/>
      <c r="D509" s="248"/>
    </row>
    <row r="510" spans="1:4">
      <c r="A510" s="246"/>
      <c r="B510" s="246"/>
      <c r="C510" s="246"/>
      <c r="D510" s="247"/>
    </row>
    <row r="511" spans="1:4">
      <c r="A511" s="246"/>
      <c r="B511" s="246"/>
      <c r="C511" s="246"/>
      <c r="D511" s="247"/>
    </row>
    <row r="512" spans="1:4">
      <c r="A512" s="248"/>
      <c r="B512" s="249"/>
      <c r="C512" s="248"/>
      <c r="D512" s="248"/>
    </row>
    <row r="513" spans="1:4">
      <c r="A513" s="248"/>
      <c r="B513" s="249"/>
      <c r="C513" s="248"/>
      <c r="D513" s="248"/>
    </row>
    <row r="514" spans="1:4">
      <c r="A514" s="248"/>
      <c r="B514" s="249"/>
      <c r="C514" s="248"/>
      <c r="D514" s="248"/>
    </row>
    <row r="515" spans="1:4">
      <c r="A515" s="248"/>
      <c r="B515" s="249"/>
      <c r="C515" s="248"/>
      <c r="D515" s="248"/>
    </row>
    <row r="516" spans="1:4">
      <c r="A516" s="246"/>
      <c r="B516" s="246"/>
      <c r="C516" s="246"/>
      <c r="D516" s="247"/>
    </row>
    <row r="517" spans="1:4">
      <c r="A517" s="246"/>
      <c r="B517" s="246"/>
      <c r="C517" s="246"/>
      <c r="D517" s="247"/>
    </row>
    <row r="518" spans="1:4">
      <c r="A518" s="248"/>
      <c r="B518" s="249"/>
      <c r="C518" s="248"/>
      <c r="D518" s="248"/>
    </row>
    <row r="519" spans="1:4">
      <c r="A519" s="248"/>
      <c r="B519" s="249"/>
      <c r="C519" s="248"/>
      <c r="D519" s="248"/>
    </row>
    <row r="520" spans="1:4">
      <c r="A520" s="248"/>
      <c r="B520" s="249"/>
      <c r="C520" s="248"/>
      <c r="D520" s="248"/>
    </row>
    <row r="521" spans="1:4">
      <c r="A521" s="248"/>
      <c r="B521" s="249"/>
      <c r="C521" s="248"/>
      <c r="D521" s="248"/>
    </row>
    <row r="522" spans="1:4">
      <c r="A522" s="248"/>
      <c r="B522" s="249"/>
      <c r="C522" s="248"/>
      <c r="D522" s="248"/>
    </row>
    <row r="523" spans="1:4">
      <c r="A523" s="248"/>
      <c r="B523" s="249"/>
      <c r="C523" s="248"/>
      <c r="D523" s="248"/>
    </row>
    <row r="524" spans="1:4">
      <c r="A524" s="248"/>
      <c r="B524" s="249"/>
      <c r="C524" s="248"/>
      <c r="D524" s="248"/>
    </row>
    <row r="525" spans="1:4">
      <c r="A525" s="248"/>
      <c r="B525" s="249"/>
      <c r="C525" s="248"/>
      <c r="D525" s="248"/>
    </row>
    <row r="526" spans="1:4">
      <c r="A526" s="246"/>
      <c r="B526" s="246"/>
      <c r="C526" s="246"/>
      <c r="D526" s="247"/>
    </row>
    <row r="527" spans="1:4">
      <c r="A527" s="246"/>
      <c r="B527" s="246"/>
      <c r="C527" s="246"/>
      <c r="D527" s="247"/>
    </row>
    <row r="528" spans="1:4">
      <c r="A528" s="248"/>
      <c r="B528" s="249"/>
      <c r="C528" s="248"/>
      <c r="D528" s="248"/>
    </row>
    <row r="529" spans="1:4">
      <c r="A529" s="248"/>
      <c r="B529" s="249"/>
      <c r="C529" s="248"/>
      <c r="D529" s="248"/>
    </row>
    <row r="530" spans="1:4">
      <c r="A530" s="248"/>
      <c r="B530" s="249"/>
      <c r="C530" s="248"/>
      <c r="D530" s="248"/>
    </row>
    <row r="531" spans="1:4">
      <c r="A531" s="248"/>
      <c r="B531" s="249"/>
      <c r="C531" s="248"/>
      <c r="D531" s="248"/>
    </row>
    <row r="532" spans="1:4">
      <c r="A532" s="248"/>
      <c r="B532" s="249"/>
      <c r="C532" s="248"/>
      <c r="D532" s="248"/>
    </row>
    <row r="533" spans="1:4">
      <c r="A533" s="248"/>
      <c r="B533" s="249"/>
      <c r="C533" s="248"/>
      <c r="D533" s="248"/>
    </row>
    <row r="534" spans="1:4">
      <c r="A534" s="248"/>
      <c r="B534" s="249"/>
      <c r="C534" s="248"/>
      <c r="D534" s="248"/>
    </row>
    <row r="535" spans="1:4">
      <c r="A535" s="248"/>
      <c r="B535" s="249"/>
      <c r="C535" s="248"/>
      <c r="D535" s="248"/>
    </row>
    <row r="536" spans="1:4">
      <c r="A536" s="248"/>
      <c r="B536" s="249"/>
      <c r="C536" s="248"/>
      <c r="D536" s="248"/>
    </row>
    <row r="537" spans="1:4">
      <c r="A537" s="248"/>
      <c r="B537" s="249"/>
      <c r="C537" s="248"/>
      <c r="D537" s="248"/>
    </row>
    <row r="538" spans="1:4">
      <c r="A538" s="248"/>
      <c r="B538" s="249"/>
      <c r="C538" s="248"/>
      <c r="D538" s="248"/>
    </row>
    <row r="539" spans="1:4">
      <c r="A539" s="248"/>
      <c r="B539" s="249"/>
      <c r="C539" s="248"/>
      <c r="D539" s="248"/>
    </row>
    <row r="540" spans="1:4">
      <c r="A540" s="248"/>
      <c r="B540" s="249"/>
      <c r="C540" s="248"/>
      <c r="D540" s="248"/>
    </row>
    <row r="541" spans="1:4">
      <c r="A541" s="248"/>
      <c r="B541" s="249"/>
      <c r="C541" s="248"/>
      <c r="D541" s="248"/>
    </row>
    <row r="542" spans="1:4">
      <c r="A542" s="248"/>
      <c r="B542" s="249"/>
      <c r="C542" s="248"/>
      <c r="D542" s="248"/>
    </row>
    <row r="543" spans="1:4">
      <c r="A543" s="248"/>
      <c r="B543" s="249"/>
      <c r="C543" s="248"/>
      <c r="D543" s="248"/>
    </row>
    <row r="544" spans="1:4">
      <c r="A544" s="248"/>
      <c r="B544" s="249"/>
      <c r="C544" s="248"/>
      <c r="D544" s="248"/>
    </row>
    <row r="545" spans="1:4">
      <c r="A545" s="248"/>
      <c r="B545" s="249"/>
      <c r="C545" s="248"/>
      <c r="D545" s="248"/>
    </row>
    <row r="546" spans="1:4">
      <c r="A546" s="248"/>
      <c r="B546" s="249"/>
      <c r="C546" s="248"/>
      <c r="D546" s="248"/>
    </row>
    <row r="547" spans="1:4">
      <c r="A547" s="248"/>
      <c r="B547" s="249"/>
      <c r="C547" s="248"/>
      <c r="D547" s="248"/>
    </row>
    <row r="548" spans="1:4">
      <c r="A548" s="248"/>
      <c r="B548" s="249"/>
      <c r="C548" s="248"/>
      <c r="D548" s="248"/>
    </row>
    <row r="549" spans="1:4">
      <c r="A549" s="246"/>
      <c r="B549" s="246"/>
      <c r="C549" s="246"/>
      <c r="D549" s="247"/>
    </row>
    <row r="550" spans="1:4">
      <c r="A550" s="246"/>
      <c r="B550" s="246"/>
      <c r="C550" s="246"/>
      <c r="D550" s="247"/>
    </row>
    <row r="551" spans="1:4">
      <c r="A551" s="248"/>
      <c r="B551" s="249"/>
      <c r="C551" s="248"/>
      <c r="D551" s="248"/>
    </row>
    <row r="552" spans="1:4">
      <c r="A552" s="248"/>
      <c r="B552" s="249"/>
      <c r="C552" s="248"/>
      <c r="D552" s="248"/>
    </row>
    <row r="553" spans="1:4">
      <c r="A553" s="248"/>
      <c r="B553" s="249"/>
      <c r="C553" s="248"/>
      <c r="D553" s="248"/>
    </row>
    <row r="554" spans="1:4">
      <c r="A554" s="246"/>
      <c r="B554" s="246"/>
      <c r="C554" s="246"/>
      <c r="D554" s="247"/>
    </row>
    <row r="555" spans="1:4">
      <c r="A555" s="246"/>
      <c r="B555" s="246"/>
      <c r="C555" s="246"/>
      <c r="D555" s="247"/>
    </row>
    <row r="556" spans="1:4">
      <c r="A556" s="248"/>
      <c r="B556" s="249"/>
      <c r="C556" s="248"/>
      <c r="D556" s="248"/>
    </row>
    <row r="557" spans="1:4">
      <c r="A557" s="246"/>
      <c r="B557" s="246"/>
      <c r="C557" s="246"/>
      <c r="D557" s="247"/>
    </row>
    <row r="558" spans="1:4">
      <c r="A558" s="246"/>
      <c r="B558" s="246"/>
      <c r="C558" s="246"/>
      <c r="D558" s="247"/>
    </row>
    <row r="559" spans="1:4">
      <c r="A559" s="248"/>
      <c r="B559" s="249"/>
      <c r="C559" s="248"/>
      <c r="D559" s="248"/>
    </row>
    <row r="560" spans="1:4">
      <c r="A560" s="248"/>
      <c r="B560" s="249"/>
      <c r="C560" s="248"/>
      <c r="D560" s="248"/>
    </row>
    <row r="561" spans="1:4">
      <c r="A561" s="248"/>
      <c r="B561" s="249"/>
      <c r="C561" s="248"/>
      <c r="D561" s="248"/>
    </row>
    <row r="562" spans="1:4">
      <c r="A562" s="248"/>
      <c r="B562" s="249"/>
      <c r="C562" s="248"/>
      <c r="D562" s="248"/>
    </row>
    <row r="563" spans="1:4">
      <c r="A563" s="246"/>
      <c r="B563" s="246"/>
      <c r="C563" s="246"/>
      <c r="D563" s="247"/>
    </row>
    <row r="564" spans="1:4">
      <c r="A564" s="246"/>
      <c r="B564" s="246"/>
      <c r="C564" s="246"/>
      <c r="D564" s="247"/>
    </row>
    <row r="565" spans="1:4">
      <c r="A565" s="248"/>
      <c r="B565" s="249"/>
      <c r="C565" s="248"/>
      <c r="D565" s="248"/>
    </row>
    <row r="566" spans="1:4">
      <c r="A566" s="248"/>
      <c r="B566" s="249"/>
      <c r="C566" s="248"/>
      <c r="D566" s="248"/>
    </row>
    <row r="567" spans="1:4">
      <c r="A567" s="248"/>
      <c r="B567" s="249"/>
      <c r="C567" s="248"/>
      <c r="D567" s="248"/>
    </row>
    <row r="568" spans="1:4">
      <c r="A568" s="248"/>
      <c r="B568" s="249"/>
      <c r="C568" s="248"/>
      <c r="D568" s="248"/>
    </row>
    <row r="569" spans="1:4">
      <c r="A569" s="246"/>
      <c r="B569" s="246"/>
      <c r="C569" s="246"/>
      <c r="D569" s="247"/>
    </row>
    <row r="570" spans="1:4">
      <c r="A570" s="246"/>
      <c r="B570" s="246"/>
      <c r="C570" s="246"/>
      <c r="D570" s="247"/>
    </row>
    <row r="571" spans="1:4">
      <c r="A571" s="246"/>
      <c r="B571" s="246"/>
      <c r="C571" s="246"/>
      <c r="D571" s="247"/>
    </row>
    <row r="572" spans="1:4">
      <c r="A572" s="246"/>
      <c r="B572" s="246"/>
      <c r="C572" s="246"/>
      <c r="D572" s="247"/>
    </row>
    <row r="573" spans="1:4">
      <c r="A573" s="248"/>
      <c r="B573" s="249"/>
      <c r="C573" s="248"/>
      <c r="D573" s="248"/>
    </row>
    <row r="574" spans="1:4">
      <c r="A574" s="248"/>
      <c r="B574" s="249"/>
      <c r="C574" s="248"/>
      <c r="D574" s="248"/>
    </row>
    <row r="575" spans="1:4">
      <c r="A575" s="248"/>
      <c r="B575" s="249"/>
      <c r="C575" s="248"/>
      <c r="D575" s="248"/>
    </row>
    <row r="576" spans="1:4">
      <c r="A576" s="248"/>
      <c r="B576" s="249"/>
      <c r="C576" s="248"/>
      <c r="D576" s="248"/>
    </row>
    <row r="577" spans="1:4">
      <c r="A577" s="248"/>
      <c r="B577" s="249"/>
      <c r="C577" s="248"/>
      <c r="D577" s="248"/>
    </row>
    <row r="578" spans="1:4">
      <c r="A578" s="248"/>
      <c r="B578" s="249"/>
      <c r="C578" s="248"/>
      <c r="D578" s="248"/>
    </row>
    <row r="579" spans="1:4">
      <c r="A579" s="248"/>
      <c r="B579" s="249"/>
      <c r="C579" s="248"/>
      <c r="D579" s="248"/>
    </row>
    <row r="580" spans="1:4">
      <c r="A580" s="248"/>
      <c r="B580" s="249"/>
      <c r="C580" s="248"/>
      <c r="D580" s="248"/>
    </row>
    <row r="581" spans="1:4">
      <c r="A581" s="248"/>
      <c r="B581" s="249"/>
      <c r="C581" s="248"/>
      <c r="D581" s="248"/>
    </row>
    <row r="582" spans="1:4">
      <c r="A582" s="248"/>
      <c r="B582" s="249"/>
      <c r="C582" s="248"/>
      <c r="D582" s="248"/>
    </row>
    <row r="583" spans="1:4">
      <c r="A583" s="248"/>
      <c r="B583" s="249"/>
      <c r="C583" s="248"/>
      <c r="D583" s="248"/>
    </row>
    <row r="584" spans="1:4">
      <c r="A584" s="248"/>
      <c r="B584" s="249"/>
      <c r="C584" s="248"/>
      <c r="D584" s="248"/>
    </row>
    <row r="585" spans="1:4">
      <c r="A585" s="248"/>
      <c r="B585" s="249"/>
      <c r="C585" s="248"/>
      <c r="D585" s="248"/>
    </row>
    <row r="586" spans="1:4">
      <c r="A586" s="248"/>
      <c r="B586" s="249"/>
      <c r="C586" s="248"/>
      <c r="D586" s="248"/>
    </row>
    <row r="587" spans="1:4">
      <c r="A587" s="248"/>
      <c r="B587" s="249"/>
      <c r="C587" s="248"/>
      <c r="D587" s="248"/>
    </row>
    <row r="588" spans="1:4">
      <c r="A588" s="246"/>
      <c r="B588" s="246"/>
      <c r="C588" s="246"/>
      <c r="D588" s="247"/>
    </row>
    <row r="589" spans="1:4">
      <c r="A589" s="248"/>
      <c r="B589" s="249"/>
      <c r="C589" s="248"/>
      <c r="D589" s="248"/>
    </row>
    <row r="590" spans="1:4">
      <c r="A590" s="248"/>
      <c r="B590" s="249"/>
      <c r="C590" s="248"/>
      <c r="D590" s="248"/>
    </row>
    <row r="591" spans="1:4">
      <c r="A591" s="246"/>
      <c r="B591" s="246"/>
      <c r="C591" s="246"/>
      <c r="D591" s="247"/>
    </row>
    <row r="592" spans="1:4">
      <c r="A592" s="246"/>
      <c r="B592" s="246"/>
      <c r="C592" s="246"/>
      <c r="D592" s="247"/>
    </row>
    <row r="593" spans="1:4">
      <c r="A593" s="248"/>
      <c r="B593" s="249"/>
      <c r="C593" s="248"/>
      <c r="D593" s="248"/>
    </row>
    <row r="594" spans="1:4">
      <c r="A594" s="248"/>
      <c r="B594" s="249"/>
      <c r="C594" s="248"/>
      <c r="D594" s="248"/>
    </row>
    <row r="595" spans="1:4">
      <c r="A595" s="248"/>
      <c r="B595" s="249"/>
      <c r="C595" s="248"/>
      <c r="D595" s="248"/>
    </row>
    <row r="596" spans="1:4">
      <c r="A596" s="248"/>
      <c r="B596" s="249"/>
      <c r="C596" s="248"/>
      <c r="D596" s="248"/>
    </row>
    <row r="597" spans="1:4">
      <c r="A597" s="248"/>
      <c r="B597" s="249"/>
      <c r="C597" s="248"/>
      <c r="D597" s="248"/>
    </row>
    <row r="598" spans="1:4">
      <c r="A598" s="248"/>
      <c r="B598" s="249"/>
      <c r="C598" s="248"/>
      <c r="D598" s="248"/>
    </row>
    <row r="599" spans="1:4">
      <c r="A599" s="248"/>
      <c r="B599" s="249"/>
      <c r="C599" s="248"/>
      <c r="D599" s="248"/>
    </row>
    <row r="600" spans="1:4">
      <c r="A600" s="248"/>
      <c r="B600" s="249"/>
      <c r="C600" s="248"/>
      <c r="D600" s="248"/>
    </row>
    <row r="601" spans="1:4">
      <c r="A601" s="248"/>
      <c r="B601" s="249"/>
      <c r="C601" s="248"/>
      <c r="D601" s="248"/>
    </row>
    <row r="602" spans="1:4">
      <c r="A602" s="248"/>
      <c r="B602" s="249"/>
      <c r="C602" s="248"/>
      <c r="D602" s="248"/>
    </row>
    <row r="603" spans="1:4">
      <c r="A603" s="248"/>
      <c r="B603" s="249"/>
      <c r="C603" s="248"/>
      <c r="D603" s="248"/>
    </row>
    <row r="604" spans="1:4">
      <c r="A604" s="248"/>
      <c r="B604" s="249"/>
      <c r="C604" s="248"/>
      <c r="D604" s="248"/>
    </row>
    <row r="605" spans="1:4">
      <c r="A605" s="248"/>
      <c r="B605" s="249"/>
      <c r="C605" s="248"/>
      <c r="D605" s="248"/>
    </row>
    <row r="606" spans="1:4">
      <c r="A606" s="248"/>
      <c r="B606" s="249"/>
      <c r="C606" s="248"/>
      <c r="D606" s="248"/>
    </row>
    <row r="607" spans="1:4">
      <c r="A607" s="248"/>
      <c r="B607" s="249"/>
      <c r="C607" s="248"/>
      <c r="D607" s="248"/>
    </row>
    <row r="608" spans="1:4">
      <c r="A608" s="248"/>
      <c r="B608" s="249"/>
      <c r="C608" s="248"/>
      <c r="D608" s="248"/>
    </row>
    <row r="609" spans="1:4">
      <c r="A609" s="248"/>
      <c r="B609" s="249"/>
      <c r="C609" s="248"/>
      <c r="D609" s="248"/>
    </row>
    <row r="610" spans="1:4">
      <c r="A610" s="248"/>
      <c r="B610" s="249"/>
      <c r="C610" s="248"/>
      <c r="D610" s="248"/>
    </row>
    <row r="611" spans="1:4">
      <c r="A611" s="248"/>
      <c r="B611" s="249"/>
      <c r="C611" s="248"/>
      <c r="D611" s="248"/>
    </row>
    <row r="612" spans="1:4">
      <c r="A612" s="248"/>
      <c r="B612" s="249"/>
      <c r="C612" s="248"/>
      <c r="D612" s="248"/>
    </row>
    <row r="613" spans="1:4">
      <c r="A613" s="248"/>
      <c r="B613" s="249"/>
      <c r="C613" s="248"/>
      <c r="D613" s="248"/>
    </row>
    <row r="614" spans="1:4">
      <c r="A614" s="248"/>
      <c r="B614" s="249"/>
      <c r="C614" s="248"/>
      <c r="D614" s="248"/>
    </row>
    <row r="615" spans="1:4">
      <c r="A615" s="248"/>
      <c r="B615" s="249"/>
      <c r="C615" s="248"/>
      <c r="D615" s="248"/>
    </row>
    <row r="616" spans="1:4">
      <c r="A616" s="248"/>
      <c r="B616" s="249"/>
      <c r="C616" s="248"/>
      <c r="D616" s="248"/>
    </row>
    <row r="617" spans="1:4">
      <c r="A617" s="248"/>
      <c r="B617" s="249"/>
      <c r="C617" s="248"/>
      <c r="D617" s="248"/>
    </row>
    <row r="618" spans="1:4">
      <c r="A618" s="248"/>
      <c r="B618" s="249"/>
      <c r="C618" s="248"/>
      <c r="D618" s="248"/>
    </row>
    <row r="619" spans="1:4">
      <c r="A619" s="248"/>
      <c r="B619" s="249"/>
      <c r="C619" s="248"/>
      <c r="D619" s="248"/>
    </row>
    <row r="620" spans="1:4">
      <c r="A620" s="246"/>
      <c r="B620" s="246"/>
      <c r="C620" s="246"/>
      <c r="D620" s="247"/>
    </row>
    <row r="621" spans="1:4">
      <c r="A621" s="248"/>
      <c r="B621" s="249"/>
      <c r="C621" s="248"/>
      <c r="D621" s="248"/>
    </row>
    <row r="622" spans="1:4">
      <c r="A622" s="248"/>
      <c r="B622" s="249"/>
      <c r="C622" s="248"/>
      <c r="D622" s="248"/>
    </row>
    <row r="623" spans="1:4">
      <c r="A623" s="248"/>
      <c r="B623" s="249"/>
      <c r="C623" s="248"/>
      <c r="D623" s="248"/>
    </row>
    <row r="624" spans="1:4">
      <c r="A624" s="246"/>
      <c r="B624" s="246"/>
      <c r="C624" s="246"/>
      <c r="D624" s="247"/>
    </row>
    <row r="625" spans="1:4">
      <c r="A625" s="248"/>
      <c r="B625" s="249"/>
      <c r="C625" s="248"/>
      <c r="D625" s="248"/>
    </row>
    <row r="626" spans="1:4">
      <c r="A626" s="248"/>
      <c r="B626" s="249"/>
      <c r="C626" s="248"/>
      <c r="D626" s="248"/>
    </row>
    <row r="627" spans="1:4">
      <c r="A627" s="248"/>
      <c r="B627" s="249"/>
      <c r="C627" s="248"/>
      <c r="D627" s="248"/>
    </row>
    <row r="628" spans="1:4">
      <c r="A628" s="248"/>
      <c r="B628" s="249"/>
      <c r="C628" s="248"/>
      <c r="D628" s="248"/>
    </row>
    <row r="629" spans="1:4">
      <c r="A629" s="246"/>
      <c r="B629" s="246"/>
      <c r="C629" s="246"/>
      <c r="D629" s="247"/>
    </row>
    <row r="630" spans="1:4">
      <c r="A630" s="248"/>
      <c r="B630" s="249"/>
      <c r="C630" s="248"/>
      <c r="D630" s="248"/>
    </row>
    <row r="631" spans="1:4">
      <c r="A631" s="248"/>
      <c r="B631" s="249"/>
      <c r="C631" s="248"/>
      <c r="D631" s="248"/>
    </row>
    <row r="632" spans="1:4">
      <c r="A632" s="248"/>
      <c r="B632" s="249"/>
      <c r="C632" s="248"/>
      <c r="D632" s="248"/>
    </row>
    <row r="633" spans="1:4">
      <c r="A633" s="248"/>
      <c r="B633" s="249"/>
      <c r="C633" s="248"/>
      <c r="D633" s="248"/>
    </row>
    <row r="634" spans="1:4">
      <c r="A634" s="248"/>
      <c r="B634" s="249"/>
      <c r="C634" s="248"/>
      <c r="D634" s="248"/>
    </row>
    <row r="635" spans="1:4">
      <c r="A635" s="248"/>
      <c r="B635" s="249"/>
      <c r="C635" s="248"/>
      <c r="D635" s="248"/>
    </row>
    <row r="636" spans="1:4">
      <c r="A636" s="248"/>
      <c r="B636" s="249"/>
      <c r="C636" s="248"/>
      <c r="D636" s="248"/>
    </row>
    <row r="637" spans="1:4">
      <c r="A637" s="248"/>
      <c r="B637" s="249"/>
      <c r="C637" s="248"/>
      <c r="D637" s="248"/>
    </row>
    <row r="638" spans="1:4">
      <c r="A638" s="248"/>
      <c r="B638" s="249"/>
      <c r="C638" s="248"/>
      <c r="D638" s="248"/>
    </row>
    <row r="639" spans="1:4">
      <c r="A639" s="248"/>
      <c r="B639" s="249"/>
      <c r="C639" s="248"/>
      <c r="D639" s="248"/>
    </row>
    <row r="640" spans="1:4">
      <c r="A640" s="248"/>
      <c r="B640" s="249"/>
      <c r="C640" s="248"/>
      <c r="D640" s="248"/>
    </row>
    <row r="641" spans="1:4">
      <c r="A641" s="248"/>
      <c r="B641" s="249"/>
      <c r="C641" s="248"/>
      <c r="D641" s="248"/>
    </row>
    <row r="642" spans="1:4">
      <c r="A642" s="248"/>
      <c r="B642" s="249"/>
      <c r="C642" s="248"/>
      <c r="D642" s="248"/>
    </row>
    <row r="643" spans="1:4">
      <c r="A643" s="246"/>
      <c r="B643" s="246"/>
      <c r="C643" s="246"/>
      <c r="D643" s="247"/>
    </row>
    <row r="644" spans="1:4">
      <c r="A644" s="248"/>
      <c r="B644" s="249"/>
      <c r="C644" s="248"/>
      <c r="D644" s="248"/>
    </row>
    <row r="645" spans="1:4">
      <c r="A645" s="248"/>
      <c r="B645" s="249"/>
      <c r="C645" s="248"/>
      <c r="D645" s="248"/>
    </row>
    <row r="646" spans="1:4">
      <c r="A646" s="248"/>
      <c r="B646" s="249"/>
      <c r="C646" s="248"/>
      <c r="D646" s="248"/>
    </row>
    <row r="647" spans="1:4">
      <c r="A647" s="248"/>
      <c r="B647" s="249"/>
      <c r="C647" s="248"/>
      <c r="D647" s="248"/>
    </row>
    <row r="648" spans="1:4">
      <c r="A648" s="248"/>
      <c r="B648" s="249"/>
      <c r="C648" s="248"/>
      <c r="D648" s="248"/>
    </row>
    <row r="649" spans="1:4">
      <c r="A649" s="248"/>
      <c r="B649" s="249"/>
      <c r="C649" s="248"/>
      <c r="D649" s="248"/>
    </row>
    <row r="650" spans="1:4">
      <c r="A650" s="248"/>
      <c r="B650" s="249"/>
      <c r="C650" s="248"/>
      <c r="D650" s="248"/>
    </row>
    <row r="651" spans="1:4">
      <c r="A651" s="248"/>
      <c r="B651" s="249"/>
      <c r="C651" s="248"/>
      <c r="D651" s="248"/>
    </row>
    <row r="652" spans="1:4">
      <c r="A652" s="248"/>
      <c r="B652" s="249"/>
      <c r="C652" s="248"/>
      <c r="D652" s="248"/>
    </row>
    <row r="653" spans="1:4">
      <c r="A653" s="248"/>
      <c r="B653" s="249"/>
      <c r="C653" s="248"/>
      <c r="D653" s="248"/>
    </row>
    <row r="654" spans="1:4">
      <c r="A654" s="246"/>
      <c r="B654" s="246"/>
      <c r="C654" s="246"/>
      <c r="D654" s="247"/>
    </row>
    <row r="655" spans="1:4">
      <c r="A655" s="246"/>
      <c r="B655" s="246"/>
      <c r="C655" s="246"/>
      <c r="D655" s="247"/>
    </row>
    <row r="656" spans="1:4">
      <c r="A656" s="248"/>
      <c r="B656" s="249"/>
      <c r="C656" s="248"/>
      <c r="D656" s="248"/>
    </row>
    <row r="657" spans="1:4">
      <c r="A657" s="248"/>
      <c r="B657" s="249"/>
      <c r="C657" s="248"/>
      <c r="D657" s="248"/>
    </row>
    <row r="658" spans="1:4">
      <c r="A658" s="248"/>
      <c r="B658" s="249"/>
      <c r="C658" s="248"/>
      <c r="D658" s="248"/>
    </row>
    <row r="659" spans="1:4">
      <c r="A659" s="246"/>
      <c r="B659" s="246"/>
      <c r="C659" s="246"/>
      <c r="D659" s="247"/>
    </row>
    <row r="660" spans="1:4">
      <c r="A660" s="246"/>
      <c r="B660" s="246"/>
      <c r="C660" s="246"/>
      <c r="D660" s="247"/>
    </row>
    <row r="661" spans="1:4">
      <c r="A661" s="248"/>
      <c r="B661" s="249"/>
      <c r="C661" s="248"/>
      <c r="D661" s="248"/>
    </row>
    <row r="662" spans="1:4">
      <c r="A662" s="248"/>
      <c r="B662" s="249"/>
      <c r="C662" s="248"/>
      <c r="D662" s="248"/>
    </row>
    <row r="663" spans="1:4">
      <c r="A663" s="248"/>
      <c r="B663" s="249"/>
      <c r="C663" s="248"/>
      <c r="D663" s="248"/>
    </row>
    <row r="664" spans="1:4">
      <c r="A664" s="246"/>
      <c r="B664" s="246"/>
      <c r="C664" s="246"/>
      <c r="D664" s="247"/>
    </row>
    <row r="665" spans="1:4">
      <c r="A665" s="248"/>
      <c r="B665" s="249"/>
      <c r="C665" s="248"/>
      <c r="D665" s="248"/>
    </row>
    <row r="666" spans="1:4">
      <c r="A666" s="248"/>
      <c r="B666" s="249"/>
      <c r="C666" s="248"/>
      <c r="D666" s="248"/>
    </row>
    <row r="667" spans="1:4">
      <c r="A667" s="248"/>
      <c r="B667" s="249"/>
      <c r="C667" s="248"/>
      <c r="D667" s="248"/>
    </row>
    <row r="668" spans="1:4">
      <c r="A668" s="248"/>
      <c r="B668" s="249"/>
      <c r="C668" s="248"/>
      <c r="D668" s="248"/>
    </row>
    <row r="669" spans="1:4">
      <c r="A669" s="248"/>
      <c r="B669" s="249"/>
      <c r="C669" s="248"/>
      <c r="D669" s="248"/>
    </row>
    <row r="670" spans="1:4">
      <c r="A670" s="248"/>
      <c r="B670" s="249"/>
      <c r="C670" s="248"/>
      <c r="D670" s="248"/>
    </row>
    <row r="671" spans="1:4">
      <c r="A671" s="248"/>
      <c r="B671" s="249"/>
      <c r="C671" s="248"/>
      <c r="D671" s="248"/>
    </row>
    <row r="672" spans="1:4">
      <c r="A672" s="246"/>
      <c r="B672" s="246"/>
      <c r="C672" s="246"/>
      <c r="D672" s="247"/>
    </row>
    <row r="673" spans="1:4">
      <c r="A673" s="248"/>
      <c r="B673" s="249"/>
      <c r="C673" s="248"/>
      <c r="D673" s="248"/>
    </row>
    <row r="674" spans="1:4">
      <c r="A674" s="248"/>
      <c r="B674" s="249"/>
      <c r="C674" s="248"/>
      <c r="D674" s="248"/>
    </row>
    <row r="675" spans="1:4">
      <c r="A675" s="248"/>
      <c r="B675" s="249"/>
      <c r="C675" s="248"/>
      <c r="D675" s="248"/>
    </row>
    <row r="676" spans="1:4">
      <c r="A676" s="248"/>
      <c r="B676" s="249"/>
      <c r="C676" s="248"/>
      <c r="D676" s="248"/>
    </row>
    <row r="677" spans="1:4">
      <c r="A677" s="248"/>
      <c r="B677" s="249"/>
      <c r="C677" s="248"/>
      <c r="D677" s="248"/>
    </row>
    <row r="678" spans="1:4">
      <c r="A678" s="246"/>
      <c r="B678" s="246"/>
      <c r="C678" s="246"/>
      <c r="D678" s="247"/>
    </row>
    <row r="679" spans="1:4">
      <c r="A679" s="248"/>
      <c r="B679" s="249"/>
      <c r="C679" s="248"/>
      <c r="D679" s="248"/>
    </row>
    <row r="680" spans="1:4">
      <c r="A680" s="248"/>
      <c r="B680" s="249"/>
      <c r="C680" s="248"/>
      <c r="D680" s="248"/>
    </row>
    <row r="681" spans="1:4">
      <c r="A681" s="246"/>
      <c r="B681" s="246"/>
      <c r="C681" s="246"/>
      <c r="D681" s="247"/>
    </row>
    <row r="682" spans="1:4">
      <c r="A682" s="248"/>
      <c r="B682" s="249"/>
      <c r="C682" s="248"/>
      <c r="D682" s="248"/>
    </row>
    <row r="683" spans="1:4">
      <c r="A683" s="248"/>
      <c r="B683" s="249"/>
      <c r="C683" s="248"/>
      <c r="D683" s="248"/>
    </row>
    <row r="684" spans="1:4">
      <c r="A684" s="248"/>
      <c r="B684" s="249"/>
      <c r="C684" s="248"/>
      <c r="D684" s="248"/>
    </row>
    <row r="685" spans="1:4">
      <c r="A685" s="248"/>
      <c r="B685" s="249"/>
      <c r="C685" s="248"/>
      <c r="D685" s="248"/>
    </row>
    <row r="686" spans="1:4">
      <c r="A686" s="246"/>
      <c r="B686" s="246"/>
      <c r="C686" s="246"/>
      <c r="D686" s="247"/>
    </row>
    <row r="687" spans="1:4">
      <c r="A687" s="248"/>
      <c r="B687" s="249"/>
      <c r="C687" s="248"/>
      <c r="D687" s="248"/>
    </row>
    <row r="688" spans="1:4">
      <c r="A688" s="248"/>
      <c r="B688" s="249"/>
      <c r="C688" s="248"/>
      <c r="D688" s="248"/>
    </row>
    <row r="689" spans="1:4">
      <c r="A689" s="248"/>
      <c r="B689" s="249"/>
      <c r="C689" s="248"/>
      <c r="D689" s="248"/>
    </row>
    <row r="690" spans="1:4">
      <c r="A690" s="248"/>
      <c r="B690" s="249"/>
      <c r="C690" s="248"/>
      <c r="D690" s="248"/>
    </row>
    <row r="691" spans="1:4">
      <c r="A691" s="246"/>
      <c r="B691" s="246"/>
      <c r="C691" s="246"/>
      <c r="D691" s="247"/>
    </row>
    <row r="692" spans="1:4">
      <c r="A692" s="246"/>
      <c r="B692" s="246"/>
      <c r="C692" s="246"/>
      <c r="D692" s="247"/>
    </row>
    <row r="693" spans="1:4">
      <c r="A693" s="246"/>
      <c r="B693" s="246"/>
      <c r="C693" s="246"/>
      <c r="D693" s="247"/>
    </row>
    <row r="694" spans="1:4">
      <c r="A694" s="248"/>
      <c r="B694" s="249"/>
      <c r="C694" s="248"/>
      <c r="D694" s="248"/>
    </row>
    <row r="695" spans="1:4">
      <c r="A695" s="246"/>
      <c r="B695" s="246"/>
      <c r="C695" s="246"/>
      <c r="D695" s="247"/>
    </row>
    <row r="696" spans="1:4">
      <c r="A696" s="248"/>
      <c r="B696" s="249"/>
      <c r="C696" s="248"/>
      <c r="D696" s="248"/>
    </row>
    <row r="697" spans="1:4">
      <c r="A697" s="248"/>
      <c r="B697" s="249"/>
      <c r="C697" s="248"/>
      <c r="D697" s="248"/>
    </row>
    <row r="698" spans="1:4">
      <c r="A698" s="248"/>
      <c r="B698" s="249"/>
      <c r="C698" s="248"/>
      <c r="D698" s="248"/>
    </row>
    <row r="699" spans="1:4">
      <c r="A699" s="248"/>
      <c r="B699" s="249"/>
      <c r="C699" s="248"/>
      <c r="D699" s="248"/>
    </row>
    <row r="700" spans="1:4">
      <c r="A700" s="248"/>
      <c r="B700" s="249"/>
      <c r="C700" s="248"/>
      <c r="D700" s="248"/>
    </row>
    <row r="701" spans="1:4">
      <c r="A701" s="248"/>
      <c r="B701" s="249"/>
      <c r="C701" s="248"/>
      <c r="D701" s="248"/>
    </row>
    <row r="702" spans="1:4">
      <c r="A702" s="248"/>
      <c r="B702" s="249"/>
      <c r="C702" s="248"/>
      <c r="D702" s="248"/>
    </row>
    <row r="703" spans="1:4">
      <c r="A703" s="248"/>
      <c r="B703" s="249"/>
      <c r="C703" s="248"/>
      <c r="D703" s="248"/>
    </row>
    <row r="704" spans="1:4">
      <c r="A704" s="248"/>
      <c r="B704" s="249"/>
      <c r="C704" s="248"/>
      <c r="D704" s="248"/>
    </row>
    <row r="705" spans="1:4">
      <c r="A705" s="248"/>
      <c r="B705" s="249"/>
      <c r="C705" s="248"/>
      <c r="D705" s="248"/>
    </row>
    <row r="706" spans="1:4">
      <c r="A706" s="248"/>
      <c r="B706" s="249"/>
      <c r="C706" s="248"/>
      <c r="D706" s="248"/>
    </row>
    <row r="707" spans="1:4">
      <c r="A707" s="248"/>
      <c r="B707" s="249"/>
      <c r="C707" s="248"/>
      <c r="D707" s="248"/>
    </row>
    <row r="708" spans="1:4">
      <c r="A708" s="248"/>
      <c r="B708" s="249"/>
      <c r="C708" s="248"/>
      <c r="D708" s="248"/>
    </row>
    <row r="709" spans="1:4">
      <c r="A709" s="248"/>
      <c r="B709" s="249"/>
      <c r="C709" s="248"/>
      <c r="D709" s="248"/>
    </row>
    <row r="710" spans="1:4">
      <c r="A710" s="248"/>
      <c r="B710" s="249"/>
      <c r="C710" s="248"/>
      <c r="D710" s="248"/>
    </row>
    <row r="711" spans="1:4">
      <c r="A711" s="248"/>
      <c r="B711" s="249"/>
      <c r="C711" s="248"/>
      <c r="D711" s="248"/>
    </row>
    <row r="712" spans="1:4">
      <c r="A712" s="248"/>
      <c r="B712" s="249"/>
      <c r="C712" s="248"/>
      <c r="D712" s="248"/>
    </row>
    <row r="713" spans="1:4">
      <c r="A713" s="248"/>
      <c r="B713" s="249"/>
      <c r="C713" s="248"/>
      <c r="D713" s="248"/>
    </row>
    <row r="714" spans="1:4">
      <c r="A714" s="248"/>
      <c r="B714" s="249"/>
      <c r="C714" s="248"/>
      <c r="D714" s="248"/>
    </row>
    <row r="715" spans="1:4">
      <c r="A715" s="248"/>
      <c r="B715" s="249"/>
      <c r="C715" s="248"/>
      <c r="D715" s="248"/>
    </row>
    <row r="716" spans="1:4">
      <c r="A716" s="248"/>
      <c r="B716" s="249"/>
      <c r="C716" s="248"/>
      <c r="D716" s="248"/>
    </row>
    <row r="717" spans="1:4">
      <c r="A717" s="248"/>
      <c r="B717" s="249"/>
      <c r="C717" s="248"/>
      <c r="D717" s="248"/>
    </row>
    <row r="718" spans="1:4">
      <c r="A718" s="248"/>
      <c r="B718" s="249"/>
      <c r="C718" s="248"/>
      <c r="D718" s="248"/>
    </row>
    <row r="719" spans="1:4">
      <c r="A719" s="248"/>
      <c r="B719" s="249"/>
      <c r="C719" s="248"/>
      <c r="D719" s="248"/>
    </row>
    <row r="720" spans="1:4">
      <c r="A720" s="248"/>
      <c r="B720" s="249"/>
      <c r="C720" s="248"/>
      <c r="D720" s="248"/>
    </row>
    <row r="721" spans="1:4">
      <c r="A721" s="248"/>
      <c r="B721" s="249"/>
      <c r="C721" s="248"/>
      <c r="D721" s="248"/>
    </row>
    <row r="722" spans="1:4">
      <c r="A722" s="248"/>
      <c r="B722" s="249"/>
      <c r="C722" s="248"/>
      <c r="D722" s="248"/>
    </row>
    <row r="723" spans="1:4">
      <c r="A723" s="248"/>
      <c r="B723" s="249"/>
      <c r="C723" s="248"/>
      <c r="D723" s="248"/>
    </row>
    <row r="724" spans="1:4">
      <c r="A724" s="248"/>
      <c r="B724" s="249"/>
      <c r="C724" s="248"/>
      <c r="D724" s="248"/>
    </row>
    <row r="725" spans="1:4">
      <c r="A725" s="248"/>
      <c r="B725" s="249"/>
      <c r="C725" s="248"/>
      <c r="D725" s="248"/>
    </row>
    <row r="726" spans="1:4">
      <c r="A726" s="248"/>
      <c r="B726" s="249"/>
      <c r="C726" s="248"/>
      <c r="D726" s="248"/>
    </row>
    <row r="727" spans="1:4">
      <c r="A727" s="246"/>
      <c r="B727" s="246"/>
      <c r="C727" s="246"/>
      <c r="D727" s="247"/>
    </row>
    <row r="728" spans="1:4">
      <c r="A728" s="246"/>
      <c r="B728" s="246"/>
      <c r="C728" s="246"/>
      <c r="D728" s="247"/>
    </row>
    <row r="729" spans="1:4">
      <c r="A729" s="246"/>
      <c r="B729" s="246"/>
      <c r="C729" s="246"/>
      <c r="D729" s="247"/>
    </row>
    <row r="730" spans="1:4">
      <c r="A730" s="246"/>
      <c r="B730" s="246"/>
      <c r="C730" s="246"/>
      <c r="D730" s="247"/>
    </row>
    <row r="731" spans="1:4">
      <c r="A731" s="248"/>
      <c r="B731" s="249"/>
      <c r="C731" s="248"/>
      <c r="D731" s="248"/>
    </row>
    <row r="732" spans="1:4">
      <c r="A732" s="248"/>
      <c r="B732" s="249"/>
      <c r="C732" s="248"/>
      <c r="D732" s="248"/>
    </row>
    <row r="733" spans="1:4">
      <c r="A733" s="248"/>
      <c r="B733" s="249"/>
      <c r="C733" s="248"/>
      <c r="D733" s="248"/>
    </row>
    <row r="734" spans="1:4">
      <c r="A734" s="248"/>
      <c r="B734" s="249"/>
      <c r="C734" s="248"/>
      <c r="D734" s="248"/>
    </row>
    <row r="735" spans="1:4">
      <c r="A735" s="246"/>
      <c r="B735" s="246"/>
      <c r="C735" s="246"/>
      <c r="D735" s="247"/>
    </row>
    <row r="736" spans="1:4">
      <c r="A736" s="248"/>
      <c r="B736" s="249"/>
      <c r="C736" s="248"/>
      <c r="D736" s="248"/>
    </row>
    <row r="737" spans="1:4">
      <c r="A737" s="248"/>
      <c r="B737" s="249"/>
      <c r="C737" s="248"/>
      <c r="D737" s="248"/>
    </row>
    <row r="738" spans="1:4">
      <c r="A738" s="248"/>
      <c r="B738" s="249"/>
      <c r="C738" s="248"/>
      <c r="D738" s="248"/>
    </row>
    <row r="739" spans="1:4">
      <c r="A739" s="248"/>
      <c r="B739" s="249"/>
      <c r="C739" s="248"/>
      <c r="D739" s="248"/>
    </row>
    <row r="740" spans="1:4">
      <c r="A740" s="246"/>
      <c r="B740" s="246"/>
      <c r="C740" s="246"/>
      <c r="D740" s="247"/>
    </row>
    <row r="741" spans="1:4">
      <c r="A741" s="248"/>
      <c r="B741" s="249"/>
      <c r="C741" s="248"/>
      <c r="D741" s="248"/>
    </row>
    <row r="742" spans="1:4">
      <c r="A742" s="248"/>
      <c r="B742" s="249"/>
      <c r="C742" s="248"/>
      <c r="D742" s="248"/>
    </row>
    <row r="743" spans="1:4">
      <c r="A743" s="246"/>
      <c r="B743" s="246"/>
      <c r="C743" s="246"/>
      <c r="D743" s="247"/>
    </row>
    <row r="744" spans="1:4">
      <c r="A744" s="248"/>
      <c r="B744" s="249"/>
      <c r="C744" s="248"/>
      <c r="D744" s="248"/>
    </row>
    <row r="745" spans="1:4">
      <c r="A745" s="248"/>
      <c r="B745" s="249"/>
      <c r="C745" s="248"/>
      <c r="D745" s="248"/>
    </row>
    <row r="746" spans="1:4">
      <c r="A746" s="248"/>
      <c r="B746" s="249"/>
      <c r="C746" s="248"/>
      <c r="D746" s="248"/>
    </row>
    <row r="747" spans="1:4">
      <c r="A747" s="248"/>
      <c r="B747" s="249"/>
      <c r="C747" s="248"/>
      <c r="D747" s="248"/>
    </row>
    <row r="748" spans="1:4">
      <c r="A748" s="248"/>
      <c r="B748" s="249"/>
      <c r="C748" s="248"/>
      <c r="D748" s="248"/>
    </row>
    <row r="749" spans="1:4">
      <c r="A749" s="248"/>
      <c r="B749" s="249"/>
      <c r="C749" s="248"/>
      <c r="D749" s="248"/>
    </row>
    <row r="750" spans="1:4">
      <c r="A750" s="248"/>
      <c r="B750" s="249"/>
      <c r="C750" s="248"/>
      <c r="D750" s="248"/>
    </row>
    <row r="751" spans="1:4">
      <c r="A751" s="248"/>
      <c r="B751" s="249"/>
      <c r="C751" s="248"/>
      <c r="D751" s="248"/>
    </row>
    <row r="752" spans="1:4">
      <c r="A752" s="246"/>
      <c r="B752" s="246"/>
      <c r="C752" s="246"/>
      <c r="D752" s="247"/>
    </row>
    <row r="753" spans="1:4">
      <c r="A753" s="248"/>
      <c r="B753" s="249"/>
      <c r="C753" s="248"/>
      <c r="D753" s="248"/>
    </row>
    <row r="754" spans="1:4">
      <c r="A754" s="248"/>
      <c r="B754" s="249"/>
      <c r="C754" s="248"/>
      <c r="D754" s="248"/>
    </row>
    <row r="755" spans="1:4">
      <c r="A755" s="246"/>
      <c r="B755" s="246"/>
      <c r="C755" s="246"/>
      <c r="D755" s="247"/>
    </row>
    <row r="756" spans="1:4">
      <c r="A756" s="248"/>
      <c r="B756" s="249"/>
      <c r="C756" s="248"/>
      <c r="D756" s="248"/>
    </row>
    <row r="757" spans="1:4">
      <c r="A757" s="248"/>
      <c r="B757" s="249"/>
      <c r="C757" s="248"/>
      <c r="D757" s="248"/>
    </row>
    <row r="758" spans="1:4">
      <c r="A758" s="248"/>
      <c r="B758" s="249"/>
      <c r="C758" s="248"/>
      <c r="D758" s="248"/>
    </row>
    <row r="759" spans="1:4">
      <c r="A759" s="248"/>
      <c r="B759" s="249"/>
      <c r="C759" s="248"/>
      <c r="D759" s="248"/>
    </row>
    <row r="760" spans="1:4">
      <c r="A760" s="248"/>
      <c r="B760" s="249"/>
      <c r="C760" s="248"/>
      <c r="D760" s="248"/>
    </row>
    <row r="761" spans="1:4">
      <c r="A761" s="248"/>
      <c r="B761" s="249"/>
      <c r="C761" s="248"/>
      <c r="D761" s="248"/>
    </row>
    <row r="762" spans="1:4">
      <c r="A762" s="248"/>
      <c r="B762" s="249"/>
      <c r="C762" s="248"/>
      <c r="D762" s="248"/>
    </row>
    <row r="763" spans="1:4">
      <c r="A763" s="248"/>
      <c r="B763" s="249"/>
      <c r="C763" s="248"/>
      <c r="D763" s="248"/>
    </row>
    <row r="764" spans="1:4">
      <c r="A764" s="248"/>
      <c r="B764" s="249"/>
      <c r="C764" s="248"/>
      <c r="D764" s="248"/>
    </row>
    <row r="765" spans="1:4">
      <c r="A765" s="246"/>
      <c r="B765" s="246"/>
      <c r="C765" s="246"/>
      <c r="D765" s="247"/>
    </row>
    <row r="766" spans="1:4">
      <c r="A766" s="248"/>
      <c r="B766" s="249"/>
      <c r="C766" s="248"/>
      <c r="D766" s="248"/>
    </row>
    <row r="767" spans="1:4">
      <c r="A767" s="248"/>
      <c r="B767" s="249"/>
      <c r="C767" s="248"/>
      <c r="D767" s="248"/>
    </row>
    <row r="768" spans="1:4">
      <c r="A768" s="246"/>
      <c r="B768" s="246"/>
      <c r="C768" s="246"/>
      <c r="D768" s="247"/>
    </row>
    <row r="769" spans="1:4">
      <c r="A769" s="248"/>
      <c r="B769" s="249"/>
      <c r="C769" s="248"/>
      <c r="D769" s="248"/>
    </row>
    <row r="770" spans="1:4">
      <c r="A770" s="248"/>
      <c r="B770" s="249"/>
      <c r="C770" s="248"/>
      <c r="D770" s="248"/>
    </row>
    <row r="771" spans="1:4">
      <c r="A771" s="248"/>
      <c r="B771" s="249"/>
      <c r="C771" s="248"/>
      <c r="D771" s="248"/>
    </row>
    <row r="772" spans="1:4">
      <c r="A772" s="246"/>
      <c r="B772" s="246"/>
      <c r="C772" s="246"/>
      <c r="D772" s="247"/>
    </row>
    <row r="773" spans="1:4">
      <c r="A773" s="248"/>
      <c r="B773" s="249"/>
      <c r="C773" s="248"/>
      <c r="D773" s="248"/>
    </row>
    <row r="774" spans="1:4">
      <c r="A774" s="248"/>
      <c r="B774" s="249"/>
      <c r="C774" s="248"/>
      <c r="D774" s="248"/>
    </row>
    <row r="775" spans="1:4">
      <c r="A775" s="248"/>
      <c r="B775" s="249"/>
      <c r="C775" s="248"/>
      <c r="D775" s="248"/>
    </row>
    <row r="776" spans="1:4">
      <c r="A776" s="248"/>
      <c r="B776" s="249"/>
      <c r="C776" s="248"/>
      <c r="D776" s="248"/>
    </row>
    <row r="777" spans="1:4">
      <c r="A777" s="248"/>
      <c r="B777" s="249"/>
      <c r="C777" s="248"/>
      <c r="D777" s="248"/>
    </row>
    <row r="778" spans="1:4">
      <c r="A778" s="248"/>
      <c r="B778" s="249"/>
      <c r="C778" s="248"/>
      <c r="D778" s="248"/>
    </row>
    <row r="779" spans="1:4">
      <c r="A779" s="248"/>
      <c r="B779" s="249"/>
      <c r="C779" s="248"/>
      <c r="D779" s="248"/>
    </row>
    <row r="780" spans="1:4">
      <c r="A780" s="248"/>
      <c r="B780" s="249"/>
      <c r="C780" s="248"/>
      <c r="D780" s="248"/>
    </row>
    <row r="781" spans="1:4">
      <c r="A781" s="248"/>
      <c r="B781" s="249"/>
      <c r="C781" s="248"/>
      <c r="D781" s="248"/>
    </row>
    <row r="782" spans="1:4">
      <c r="A782" s="248"/>
      <c r="B782" s="249"/>
      <c r="C782" s="248"/>
      <c r="D782" s="248"/>
    </row>
    <row r="783" spans="1:4">
      <c r="A783" s="246"/>
      <c r="B783" s="246"/>
      <c r="C783" s="246"/>
      <c r="D783" s="247"/>
    </row>
    <row r="784" spans="1:4">
      <c r="A784" s="248"/>
      <c r="B784" s="249"/>
      <c r="C784" s="248"/>
      <c r="D784" s="248"/>
    </row>
    <row r="785" spans="1:4">
      <c r="A785" s="248"/>
      <c r="B785" s="249"/>
      <c r="C785" s="248"/>
      <c r="D785" s="248"/>
    </row>
    <row r="786" spans="1:4">
      <c r="A786" s="246"/>
      <c r="B786" s="246"/>
      <c r="C786" s="246"/>
      <c r="D786" s="247"/>
    </row>
    <row r="787" spans="1:4">
      <c r="A787" s="248"/>
      <c r="B787" s="249"/>
      <c r="C787" s="248"/>
      <c r="D787" s="248"/>
    </row>
    <row r="788" spans="1:4">
      <c r="A788" s="248"/>
      <c r="B788" s="249"/>
      <c r="C788" s="248"/>
      <c r="D788" s="248"/>
    </row>
    <row r="789" spans="1:4">
      <c r="A789" s="248"/>
      <c r="B789" s="249"/>
      <c r="C789" s="248"/>
      <c r="D789" s="248"/>
    </row>
    <row r="790" spans="1:4">
      <c r="A790" s="248"/>
      <c r="B790" s="249"/>
      <c r="C790" s="248"/>
      <c r="D790" s="248"/>
    </row>
    <row r="791" spans="1:4">
      <c r="A791" s="248"/>
      <c r="B791" s="249"/>
      <c r="C791" s="248"/>
      <c r="D791" s="248"/>
    </row>
    <row r="792" spans="1:4">
      <c r="A792" s="248"/>
      <c r="B792" s="249"/>
      <c r="C792" s="248"/>
      <c r="D792" s="248"/>
    </row>
    <row r="793" spans="1:4">
      <c r="A793" s="248"/>
      <c r="B793" s="249"/>
      <c r="C793" s="248"/>
      <c r="D793" s="248"/>
    </row>
    <row r="794" spans="1:4">
      <c r="A794" s="248"/>
      <c r="B794" s="249"/>
      <c r="C794" s="248"/>
      <c r="D794" s="248"/>
    </row>
    <row r="795" spans="1:4">
      <c r="A795" s="248"/>
      <c r="B795" s="249"/>
      <c r="C795" s="248"/>
      <c r="D795" s="248"/>
    </row>
    <row r="796" spans="1:4">
      <c r="A796" s="248"/>
      <c r="B796" s="249"/>
      <c r="C796" s="248"/>
      <c r="D796" s="248"/>
    </row>
    <row r="797" spans="1:4">
      <c r="A797" s="248"/>
      <c r="B797" s="249"/>
      <c r="C797" s="248"/>
      <c r="D797" s="248"/>
    </row>
    <row r="798" spans="1:4">
      <c r="A798" s="248"/>
      <c r="B798" s="249"/>
      <c r="C798" s="248"/>
      <c r="D798" s="248"/>
    </row>
    <row r="799" spans="1:4">
      <c r="A799" s="246"/>
      <c r="B799" s="246"/>
      <c r="C799" s="246"/>
      <c r="D799" s="247"/>
    </row>
    <row r="800" spans="1:4">
      <c r="A800" s="248"/>
      <c r="B800" s="249"/>
      <c r="C800" s="248"/>
      <c r="D800" s="248"/>
    </row>
    <row r="801" spans="1:4">
      <c r="A801" s="248"/>
      <c r="B801" s="249"/>
      <c r="C801" s="248"/>
      <c r="D801" s="248"/>
    </row>
    <row r="802" spans="1:4">
      <c r="A802" s="246"/>
      <c r="B802" s="246"/>
      <c r="C802" s="246"/>
      <c r="D802" s="247"/>
    </row>
    <row r="803" spans="1:4">
      <c r="A803" s="248"/>
      <c r="B803" s="249"/>
      <c r="C803" s="248"/>
      <c r="D803" s="248"/>
    </row>
    <row r="804" spans="1:4">
      <c r="A804" s="248"/>
      <c r="B804" s="249"/>
      <c r="C804" s="248"/>
      <c r="D804" s="248"/>
    </row>
    <row r="805" spans="1:4">
      <c r="A805" s="248"/>
      <c r="B805" s="249"/>
      <c r="C805" s="248"/>
      <c r="D805" s="248"/>
    </row>
    <row r="806" spans="1:4">
      <c r="A806" s="248"/>
      <c r="B806" s="249"/>
      <c r="C806" s="248"/>
      <c r="D806" s="248"/>
    </row>
    <row r="807" spans="1:4">
      <c r="A807" s="248"/>
      <c r="B807" s="249"/>
      <c r="C807" s="248"/>
      <c r="D807" s="248"/>
    </row>
    <row r="808" spans="1:4">
      <c r="A808" s="248"/>
      <c r="B808" s="249"/>
      <c r="C808" s="248"/>
      <c r="D808" s="248"/>
    </row>
    <row r="809" spans="1:4">
      <c r="A809" s="248"/>
      <c r="B809" s="249"/>
      <c r="C809" s="248"/>
      <c r="D809" s="248"/>
    </row>
    <row r="810" spans="1:4">
      <c r="A810" s="248"/>
      <c r="B810" s="249"/>
      <c r="C810" s="248"/>
      <c r="D810" s="248"/>
    </row>
    <row r="811" spans="1:4">
      <c r="A811" s="248"/>
      <c r="B811" s="249"/>
      <c r="C811" s="248"/>
      <c r="D811" s="248"/>
    </row>
    <row r="812" spans="1:4">
      <c r="A812" s="246"/>
      <c r="B812" s="246"/>
      <c r="C812" s="246"/>
      <c r="D812" s="247"/>
    </row>
    <row r="813" spans="1:4">
      <c r="A813" s="248"/>
      <c r="B813" s="249"/>
      <c r="C813" s="248"/>
      <c r="D813" s="248"/>
    </row>
    <row r="814" spans="1:4">
      <c r="A814" s="248"/>
      <c r="B814" s="249"/>
      <c r="C814" s="248"/>
      <c r="D814" s="248"/>
    </row>
    <row r="815" spans="1:4">
      <c r="A815" s="246"/>
      <c r="B815" s="246"/>
      <c r="C815" s="246"/>
      <c r="D815" s="247"/>
    </row>
    <row r="816" spans="1:4">
      <c r="A816" s="248"/>
      <c r="B816" s="249"/>
      <c r="C816" s="248"/>
      <c r="D816" s="248"/>
    </row>
    <row r="817" spans="1:4">
      <c r="A817" s="246"/>
      <c r="B817" s="246"/>
      <c r="C817" s="246"/>
      <c r="D817" s="247"/>
    </row>
    <row r="818" spans="1:4">
      <c r="A818" s="248"/>
      <c r="B818" s="249"/>
      <c r="C818" s="248"/>
      <c r="D818" s="248"/>
    </row>
    <row r="819" spans="1:4">
      <c r="A819" s="248"/>
      <c r="B819" s="249"/>
      <c r="C819" s="248"/>
      <c r="D819" s="248"/>
    </row>
    <row r="820" spans="1:4">
      <c r="A820" s="248"/>
      <c r="B820" s="249"/>
      <c r="C820" s="248"/>
      <c r="D820" s="248"/>
    </row>
    <row r="821" spans="1:4">
      <c r="A821" s="246"/>
      <c r="B821" s="246"/>
      <c r="C821" s="246"/>
      <c r="D821" s="247"/>
    </row>
    <row r="822" spans="1:4">
      <c r="A822" s="248"/>
      <c r="B822" s="249"/>
      <c r="C822" s="248"/>
      <c r="D822" s="248"/>
    </row>
    <row r="823" spans="1:4">
      <c r="A823" s="246"/>
      <c r="B823" s="246"/>
      <c r="C823" s="246"/>
      <c r="D823" s="247"/>
    </row>
    <row r="824" spans="1:4">
      <c r="A824" s="246"/>
      <c r="B824" s="246"/>
      <c r="C824" s="246"/>
      <c r="D824" s="247"/>
    </row>
    <row r="825" spans="1:4">
      <c r="A825" s="248"/>
      <c r="B825" s="249"/>
      <c r="C825" s="248"/>
      <c r="D825" s="248"/>
    </row>
    <row r="826" spans="1:4">
      <c r="A826" s="248"/>
      <c r="B826" s="249"/>
      <c r="C826" s="248"/>
      <c r="D826" s="248"/>
    </row>
    <row r="827" spans="1:4">
      <c r="A827" s="248"/>
      <c r="B827" s="249"/>
      <c r="C827" s="248"/>
      <c r="D827" s="248"/>
    </row>
    <row r="828" spans="1:4">
      <c r="A828" s="248"/>
      <c r="B828" s="249"/>
      <c r="C828" s="248"/>
      <c r="D828" s="248"/>
    </row>
    <row r="829" spans="1:4">
      <c r="A829" s="248"/>
      <c r="B829" s="249"/>
      <c r="C829" s="248"/>
      <c r="D829" s="248"/>
    </row>
    <row r="830" spans="1:4">
      <c r="A830" s="248"/>
      <c r="B830" s="249"/>
      <c r="C830" s="248"/>
      <c r="D830" s="248"/>
    </row>
    <row r="831" spans="1:4">
      <c r="A831" s="248"/>
      <c r="B831" s="249"/>
      <c r="C831" s="248"/>
      <c r="D831" s="248"/>
    </row>
    <row r="832" spans="1:4">
      <c r="A832" s="248"/>
      <c r="B832" s="249"/>
      <c r="C832" s="248"/>
      <c r="D832" s="248"/>
    </row>
    <row r="833" spans="1:4">
      <c r="A833" s="248"/>
      <c r="B833" s="249"/>
      <c r="C833" s="248"/>
      <c r="D833" s="248"/>
    </row>
    <row r="834" spans="1:4">
      <c r="A834" s="246"/>
      <c r="B834" s="246"/>
      <c r="C834" s="246"/>
      <c r="D834" s="247"/>
    </row>
    <row r="835" spans="1:4">
      <c r="A835" s="246"/>
      <c r="B835" s="246"/>
      <c r="C835" s="246"/>
      <c r="D835" s="247"/>
    </row>
    <row r="836" spans="1:4">
      <c r="A836" s="248"/>
      <c r="B836" s="249"/>
      <c r="C836" s="248"/>
      <c r="D836" s="248"/>
    </row>
    <row r="837" spans="1:4">
      <c r="A837" s="248"/>
      <c r="B837" s="249"/>
      <c r="C837" s="248"/>
      <c r="D837" s="248"/>
    </row>
    <row r="838" spans="1:4">
      <c r="A838" s="248"/>
      <c r="B838" s="249"/>
      <c r="C838" s="248"/>
      <c r="D838" s="248"/>
    </row>
    <row r="839" spans="1:4">
      <c r="A839" s="248"/>
      <c r="B839" s="249"/>
      <c r="C839" s="248"/>
      <c r="D839" s="248"/>
    </row>
    <row r="840" spans="1:4">
      <c r="A840" s="248"/>
      <c r="B840" s="249"/>
      <c r="C840" s="248"/>
      <c r="D840" s="248"/>
    </row>
    <row r="841" spans="1:4">
      <c r="A841" s="248"/>
      <c r="B841" s="249"/>
      <c r="C841" s="248"/>
      <c r="D841" s="248"/>
    </row>
    <row r="842" spans="1:4">
      <c r="A842" s="248"/>
      <c r="B842" s="249"/>
      <c r="C842" s="248"/>
      <c r="D842" s="248"/>
    </row>
    <row r="843" spans="1:4">
      <c r="A843" s="248"/>
      <c r="B843" s="249"/>
      <c r="C843" s="248"/>
      <c r="D843" s="248"/>
    </row>
    <row r="844" spans="1:4">
      <c r="A844" s="248"/>
      <c r="B844" s="249"/>
      <c r="C844" s="248"/>
      <c r="D844" s="248"/>
    </row>
    <row r="845" spans="1:4">
      <c r="A845" s="248"/>
      <c r="B845" s="249"/>
      <c r="C845" s="248"/>
      <c r="D845" s="248"/>
    </row>
    <row r="846" spans="1:4">
      <c r="A846" s="248"/>
      <c r="B846" s="249"/>
      <c r="C846" s="248"/>
      <c r="D846" s="248"/>
    </row>
    <row r="847" spans="1:4">
      <c r="A847" s="248"/>
      <c r="B847" s="249"/>
      <c r="C847" s="248"/>
      <c r="D847" s="248"/>
    </row>
    <row r="848" spans="1:4">
      <c r="A848" s="248"/>
      <c r="B848" s="249"/>
      <c r="C848" s="248"/>
      <c r="D848" s="248"/>
    </row>
    <row r="849" spans="1:4">
      <c r="A849" s="248"/>
      <c r="B849" s="249"/>
      <c r="C849" s="248"/>
      <c r="D849" s="248"/>
    </row>
    <row r="850" spans="1:4">
      <c r="A850" s="248"/>
      <c r="B850" s="249"/>
      <c r="C850" s="248"/>
      <c r="D850" s="248"/>
    </row>
    <row r="851" spans="1:4">
      <c r="A851" s="248"/>
      <c r="B851" s="249"/>
      <c r="C851" s="248"/>
      <c r="D851" s="248"/>
    </row>
    <row r="852" spans="1:4">
      <c r="A852" s="248"/>
      <c r="B852" s="249"/>
      <c r="C852" s="248"/>
      <c r="D852" s="248"/>
    </row>
    <row r="853" spans="1:4">
      <c r="A853" s="248"/>
      <c r="B853" s="249"/>
      <c r="C853" s="248"/>
      <c r="D853" s="248"/>
    </row>
    <row r="854" spans="1:4">
      <c r="A854" s="248"/>
      <c r="B854" s="249"/>
      <c r="C854" s="248"/>
      <c r="D854" s="248"/>
    </row>
    <row r="855" spans="1:4">
      <c r="A855" s="248"/>
      <c r="B855" s="249"/>
      <c r="C855" s="248"/>
      <c r="D855" s="248"/>
    </row>
    <row r="856" spans="1:4">
      <c r="A856" s="248"/>
      <c r="B856" s="249"/>
      <c r="C856" s="248"/>
      <c r="D856" s="248"/>
    </row>
    <row r="857" spans="1:4">
      <c r="A857" s="246"/>
      <c r="B857" s="246"/>
      <c r="C857" s="246"/>
      <c r="D857" s="247"/>
    </row>
    <row r="858" spans="1:4">
      <c r="A858" s="246"/>
      <c r="B858" s="246"/>
      <c r="C858" s="246"/>
      <c r="D858" s="247"/>
    </row>
    <row r="859" spans="1:4">
      <c r="A859" s="248"/>
      <c r="B859" s="249"/>
      <c r="C859" s="248"/>
      <c r="D859" s="248"/>
    </row>
    <row r="860" spans="1:4">
      <c r="A860" s="248"/>
      <c r="B860" s="249"/>
      <c r="C860" s="248"/>
      <c r="D860" s="248"/>
    </row>
    <row r="861" spans="1:4">
      <c r="A861" s="248"/>
      <c r="B861" s="249"/>
      <c r="C861" s="248"/>
      <c r="D861" s="248"/>
    </row>
    <row r="862" spans="1:4">
      <c r="A862" s="248"/>
      <c r="B862" s="249"/>
      <c r="C862" s="248"/>
      <c r="D862" s="248"/>
    </row>
    <row r="863" spans="1:4">
      <c r="A863" s="248"/>
      <c r="B863" s="249"/>
      <c r="C863" s="248"/>
      <c r="D863" s="248"/>
    </row>
    <row r="864" spans="1:4">
      <c r="A864" s="246"/>
      <c r="B864" s="246"/>
      <c r="C864" s="246"/>
      <c r="D864" s="247"/>
    </row>
    <row r="865" spans="1:4">
      <c r="A865" s="246"/>
      <c r="B865" s="246"/>
      <c r="C865" s="246"/>
      <c r="D865" s="247"/>
    </row>
    <row r="866" spans="1:4">
      <c r="A866" s="246"/>
      <c r="B866" s="246"/>
      <c r="C866" s="246"/>
      <c r="D866" s="247"/>
    </row>
    <row r="867" spans="1:4">
      <c r="A867" s="246"/>
      <c r="B867" s="246"/>
      <c r="C867" s="246"/>
      <c r="D867" s="247"/>
    </row>
    <row r="868" spans="1:4">
      <c r="A868" s="248"/>
      <c r="B868" s="249"/>
      <c r="C868" s="248"/>
      <c r="D868" s="248"/>
    </row>
    <row r="869" spans="1:4">
      <c r="A869" s="248"/>
      <c r="B869" s="249"/>
      <c r="C869" s="248"/>
      <c r="D869" s="248"/>
    </row>
    <row r="870" spans="1:4">
      <c r="A870" s="248"/>
      <c r="B870" s="249"/>
      <c r="C870" s="248"/>
      <c r="D870" s="248"/>
    </row>
    <row r="871" spans="1:4">
      <c r="A871" s="248"/>
      <c r="B871" s="249"/>
      <c r="C871" s="248"/>
      <c r="D871" s="248"/>
    </row>
    <row r="872" spans="1:4">
      <c r="A872" s="248"/>
      <c r="B872" s="249"/>
      <c r="C872" s="248"/>
      <c r="D872" s="248"/>
    </row>
    <row r="873" spans="1:4">
      <c r="A873" s="248"/>
      <c r="B873" s="249"/>
      <c r="C873" s="248"/>
      <c r="D873" s="248"/>
    </row>
    <row r="874" spans="1:4">
      <c r="A874" s="248"/>
      <c r="B874" s="249"/>
      <c r="C874" s="248"/>
      <c r="D874" s="248"/>
    </row>
    <row r="875" spans="1:4">
      <c r="A875" s="248"/>
      <c r="B875" s="249"/>
      <c r="C875" s="248"/>
      <c r="D875" s="248"/>
    </row>
    <row r="876" spans="1:4">
      <c r="A876" s="248"/>
      <c r="B876" s="249"/>
      <c r="C876" s="248"/>
      <c r="D876" s="248"/>
    </row>
    <row r="877" spans="1:4">
      <c r="A877" s="248"/>
      <c r="B877" s="249"/>
      <c r="C877" s="248"/>
      <c r="D877" s="248"/>
    </row>
    <row r="878" spans="1:4">
      <c r="A878" s="248"/>
      <c r="B878" s="249"/>
      <c r="C878" s="248"/>
      <c r="D878" s="248"/>
    </row>
    <row r="879" spans="1:4">
      <c r="A879" s="248"/>
      <c r="B879" s="249"/>
      <c r="C879" s="248"/>
      <c r="D879" s="248"/>
    </row>
    <row r="880" spans="1:4">
      <c r="A880" s="248"/>
      <c r="B880" s="249"/>
      <c r="C880" s="248"/>
      <c r="D880" s="248"/>
    </row>
    <row r="881" spans="1:4">
      <c r="A881" s="248"/>
      <c r="B881" s="249"/>
      <c r="C881" s="248"/>
      <c r="D881" s="248"/>
    </row>
    <row r="882" spans="1:4">
      <c r="A882" s="246"/>
      <c r="B882" s="246"/>
      <c r="C882" s="246"/>
      <c r="D882" s="247"/>
    </row>
    <row r="883" spans="1:4">
      <c r="A883" s="248"/>
      <c r="B883" s="249"/>
      <c r="C883" s="248"/>
      <c r="D883" s="248"/>
    </row>
    <row r="884" spans="1:4">
      <c r="A884" s="248"/>
      <c r="B884" s="249"/>
      <c r="C884" s="248"/>
      <c r="D884" s="248"/>
    </row>
    <row r="885" spans="1:4">
      <c r="A885" s="248"/>
      <c r="B885" s="249"/>
      <c r="C885" s="248"/>
      <c r="D885" s="248"/>
    </row>
    <row r="886" spans="1:4">
      <c r="A886" s="248"/>
      <c r="B886" s="249"/>
      <c r="C886" s="248"/>
      <c r="D886" s="248"/>
    </row>
    <row r="887" spans="1:4">
      <c r="A887" s="248"/>
      <c r="B887" s="249"/>
      <c r="C887" s="248"/>
      <c r="D887" s="248"/>
    </row>
    <row r="888" spans="1:4">
      <c r="A888" s="248"/>
      <c r="B888" s="249"/>
      <c r="C888" s="248"/>
      <c r="D888" s="248"/>
    </row>
    <row r="889" spans="1:4">
      <c r="A889" s="248"/>
      <c r="B889" s="249"/>
      <c r="C889" s="248"/>
      <c r="D889" s="248"/>
    </row>
    <row r="890" spans="1:4">
      <c r="A890" s="248"/>
      <c r="B890" s="249"/>
      <c r="C890" s="248"/>
      <c r="D890" s="248"/>
    </row>
    <row r="891" spans="1:4">
      <c r="A891" s="248"/>
      <c r="B891" s="249"/>
      <c r="C891" s="248"/>
      <c r="D891" s="248"/>
    </row>
    <row r="892" spans="1:4">
      <c r="A892" s="248"/>
      <c r="B892" s="249"/>
      <c r="C892" s="248"/>
      <c r="D892" s="248"/>
    </row>
    <row r="893" spans="1:4">
      <c r="A893" s="248"/>
      <c r="B893" s="249"/>
      <c r="C893" s="248"/>
      <c r="D893" s="248"/>
    </row>
    <row r="894" spans="1:4">
      <c r="A894" s="248"/>
      <c r="B894" s="249"/>
      <c r="C894" s="248"/>
      <c r="D894" s="248"/>
    </row>
    <row r="895" spans="1:4">
      <c r="A895" s="248"/>
      <c r="B895" s="249"/>
      <c r="C895" s="248"/>
      <c r="D895" s="248"/>
    </row>
    <row r="896" spans="1:4">
      <c r="A896" s="246"/>
      <c r="B896" s="246"/>
      <c r="C896" s="246"/>
      <c r="D896" s="247"/>
    </row>
    <row r="897" spans="1:4">
      <c r="A897" s="248"/>
      <c r="B897" s="249"/>
      <c r="C897" s="248"/>
      <c r="D897" s="248"/>
    </row>
    <row r="898" spans="1:4">
      <c r="A898" s="248"/>
      <c r="B898" s="249"/>
      <c r="C898" s="248"/>
      <c r="D898" s="248"/>
    </row>
    <row r="899" spans="1:4">
      <c r="A899" s="248"/>
      <c r="B899" s="249"/>
      <c r="C899" s="248"/>
      <c r="D899" s="248"/>
    </row>
    <row r="900" spans="1:4">
      <c r="A900" s="248"/>
      <c r="B900" s="249"/>
      <c r="C900" s="248"/>
      <c r="D900" s="248"/>
    </row>
    <row r="901" spans="1:4">
      <c r="A901" s="248"/>
      <c r="B901" s="249"/>
      <c r="C901" s="248"/>
      <c r="D901" s="248"/>
    </row>
    <row r="902" spans="1:4">
      <c r="A902" s="248"/>
      <c r="B902" s="249"/>
      <c r="C902" s="248"/>
      <c r="D902" s="248"/>
    </row>
    <row r="903" spans="1:4">
      <c r="A903" s="246"/>
      <c r="B903" s="246"/>
      <c r="C903" s="246"/>
      <c r="D903" s="247"/>
    </row>
    <row r="904" spans="1:4">
      <c r="A904" s="248"/>
      <c r="B904" s="249"/>
      <c r="C904" s="248"/>
      <c r="D904" s="248"/>
    </row>
    <row r="905" spans="1:4">
      <c r="A905" s="246"/>
      <c r="B905" s="246"/>
      <c r="C905" s="246"/>
      <c r="D905" s="247"/>
    </row>
    <row r="906" spans="1:4">
      <c r="A906" s="246"/>
      <c r="B906" s="246"/>
      <c r="C906" s="246"/>
      <c r="D906" s="247"/>
    </row>
    <row r="907" spans="1:4">
      <c r="A907" s="248"/>
      <c r="B907" s="249"/>
      <c r="C907" s="248"/>
      <c r="D907" s="248"/>
    </row>
    <row r="908" spans="1:4">
      <c r="A908" s="246"/>
      <c r="B908" s="246"/>
      <c r="C908" s="246"/>
      <c r="D908" s="247"/>
    </row>
    <row r="909" spans="1:4">
      <c r="A909" s="246"/>
      <c r="B909" s="246"/>
      <c r="C909" s="246"/>
      <c r="D909" s="247"/>
    </row>
    <row r="910" spans="1:4">
      <c r="A910" s="246"/>
      <c r="B910" s="246"/>
      <c r="C910" s="246"/>
      <c r="D910" s="247"/>
    </row>
    <row r="911" spans="1:4">
      <c r="A911" s="246"/>
      <c r="B911" s="246"/>
      <c r="C911" s="246"/>
      <c r="D911" s="247"/>
    </row>
    <row r="912" spans="1:4">
      <c r="A912" s="248"/>
      <c r="B912" s="249"/>
      <c r="C912" s="248"/>
      <c r="D912" s="248"/>
    </row>
    <row r="913" spans="1:4">
      <c r="A913" s="248"/>
      <c r="B913" s="249"/>
      <c r="C913" s="248"/>
      <c r="D913" s="248"/>
    </row>
    <row r="914" spans="1:4">
      <c r="A914" s="248"/>
      <c r="B914" s="249"/>
      <c r="C914" s="248"/>
      <c r="D914" s="248"/>
    </row>
    <row r="915" spans="1:4">
      <c r="A915" s="248"/>
      <c r="B915" s="249"/>
      <c r="C915" s="248"/>
      <c r="D915" s="248"/>
    </row>
    <row r="916" spans="1:4">
      <c r="A916" s="248"/>
      <c r="B916" s="249"/>
      <c r="C916" s="248"/>
      <c r="D916" s="248"/>
    </row>
    <row r="917" spans="1:4">
      <c r="A917" s="246"/>
      <c r="B917" s="246"/>
      <c r="C917" s="246"/>
      <c r="D917" s="247"/>
    </row>
    <row r="918" spans="1:4">
      <c r="A918" s="248"/>
      <c r="B918" s="249"/>
      <c r="C918" s="248"/>
      <c r="D918" s="248"/>
    </row>
    <row r="919" spans="1:4">
      <c r="A919" s="248"/>
      <c r="B919" s="249"/>
      <c r="C919" s="248"/>
      <c r="D919" s="248"/>
    </row>
    <row r="920" spans="1:4">
      <c r="A920" s="248"/>
      <c r="B920" s="249"/>
      <c r="C920" s="248"/>
      <c r="D920" s="248"/>
    </row>
    <row r="921" spans="1:4">
      <c r="A921" s="246"/>
      <c r="B921" s="246"/>
      <c r="C921" s="246"/>
      <c r="D921" s="247"/>
    </row>
    <row r="922" spans="1:4">
      <c r="A922" s="248"/>
      <c r="B922" s="249"/>
      <c r="C922" s="248"/>
      <c r="D922" s="248"/>
    </row>
    <row r="923" spans="1:4">
      <c r="A923" s="248"/>
      <c r="B923" s="249"/>
      <c r="C923" s="248"/>
      <c r="D923" s="248"/>
    </row>
    <row r="924" spans="1:4">
      <c r="A924" s="248"/>
      <c r="B924" s="249"/>
      <c r="C924" s="248"/>
      <c r="D924" s="248"/>
    </row>
    <row r="925" spans="1:4">
      <c r="A925" s="248"/>
      <c r="B925" s="249"/>
      <c r="C925" s="248"/>
      <c r="D925" s="248"/>
    </row>
    <row r="926" spans="1:4">
      <c r="A926" s="246"/>
      <c r="B926" s="246"/>
      <c r="C926" s="246"/>
      <c r="D926" s="247"/>
    </row>
    <row r="927" spans="1:4">
      <c r="A927" s="248"/>
      <c r="B927" s="249"/>
      <c r="C927" s="248"/>
      <c r="D927" s="248"/>
    </row>
    <row r="928" spans="1:4">
      <c r="A928" s="248"/>
      <c r="B928" s="249"/>
      <c r="C928" s="248"/>
      <c r="D928" s="248"/>
    </row>
    <row r="929" spans="1:4">
      <c r="A929" s="248"/>
      <c r="B929" s="249"/>
      <c r="C929" s="248"/>
      <c r="D929" s="248"/>
    </row>
    <row r="930" spans="1:4">
      <c r="A930" s="248"/>
      <c r="B930" s="249"/>
      <c r="C930" s="248"/>
      <c r="D930" s="248"/>
    </row>
    <row r="931" spans="1:4">
      <c r="A931" s="248"/>
      <c r="B931" s="249"/>
      <c r="C931" s="248"/>
      <c r="D931" s="248"/>
    </row>
    <row r="932" spans="1:4">
      <c r="A932" s="248"/>
      <c r="B932" s="249"/>
      <c r="C932" s="248"/>
      <c r="D932" s="248"/>
    </row>
    <row r="933" spans="1:4">
      <c r="A933" s="248"/>
      <c r="B933" s="249"/>
      <c r="C933" s="248"/>
      <c r="D933" s="248"/>
    </row>
    <row r="934" spans="1:4">
      <c r="A934" s="248"/>
      <c r="B934" s="249"/>
      <c r="C934" s="248"/>
      <c r="D934" s="248"/>
    </row>
    <row r="935" spans="1:4">
      <c r="A935" s="248"/>
      <c r="B935" s="249"/>
      <c r="C935" s="248"/>
      <c r="D935" s="248"/>
    </row>
    <row r="936" spans="1:4">
      <c r="A936" s="248"/>
      <c r="B936" s="249"/>
      <c r="C936" s="248"/>
      <c r="D936" s="248"/>
    </row>
    <row r="937" spans="1:4">
      <c r="A937" s="248"/>
      <c r="B937" s="249"/>
      <c r="C937" s="248"/>
      <c r="D937" s="248"/>
    </row>
    <row r="938" spans="1:4">
      <c r="A938" s="246"/>
      <c r="B938" s="246"/>
      <c r="C938" s="246"/>
      <c r="D938" s="247"/>
    </row>
    <row r="939" spans="1:4">
      <c r="A939" s="248"/>
      <c r="B939" s="249"/>
      <c r="C939" s="248"/>
      <c r="D939" s="248"/>
    </row>
    <row r="940" spans="1:4">
      <c r="A940" s="248"/>
      <c r="B940" s="249"/>
      <c r="C940" s="248"/>
      <c r="D940" s="248"/>
    </row>
    <row r="941" spans="1:4">
      <c r="A941" s="248"/>
      <c r="B941" s="249"/>
      <c r="C941" s="248"/>
      <c r="D941" s="248"/>
    </row>
    <row r="942" spans="1:4">
      <c r="A942" s="248"/>
      <c r="B942" s="249"/>
      <c r="C942" s="248"/>
      <c r="D942" s="248"/>
    </row>
    <row r="943" spans="1:4">
      <c r="A943" s="248"/>
      <c r="B943" s="249"/>
      <c r="C943" s="248"/>
      <c r="D943" s="248"/>
    </row>
    <row r="944" spans="1:4">
      <c r="A944" s="248"/>
      <c r="B944" s="249"/>
      <c r="C944" s="248"/>
      <c r="D944" s="248"/>
    </row>
    <row r="945" spans="1:4">
      <c r="A945" s="248"/>
      <c r="B945" s="249"/>
      <c r="C945" s="248"/>
      <c r="D945" s="248"/>
    </row>
    <row r="946" spans="1:4">
      <c r="A946" s="248"/>
      <c r="B946" s="249"/>
      <c r="C946" s="248"/>
      <c r="D946" s="248"/>
    </row>
    <row r="947" spans="1:4">
      <c r="A947" s="248"/>
      <c r="B947" s="249"/>
      <c r="C947" s="248"/>
      <c r="D947" s="248"/>
    </row>
    <row r="948" spans="1:4">
      <c r="A948" s="248"/>
      <c r="B948" s="249"/>
      <c r="C948" s="248"/>
      <c r="D948" s="248"/>
    </row>
    <row r="949" spans="1:4">
      <c r="A949" s="246"/>
      <c r="B949" s="246"/>
      <c r="C949" s="246"/>
      <c r="D949" s="247"/>
    </row>
    <row r="950" spans="1:4">
      <c r="A950" s="248"/>
      <c r="B950" s="249"/>
      <c r="C950" s="248"/>
      <c r="D950" s="248"/>
    </row>
    <row r="951" spans="1:4">
      <c r="A951" s="248"/>
      <c r="B951" s="249"/>
      <c r="C951" s="248"/>
      <c r="D951" s="248"/>
    </row>
    <row r="952" spans="1:4">
      <c r="A952" s="248"/>
      <c r="B952" s="249"/>
      <c r="C952" s="248"/>
      <c r="D952" s="248"/>
    </row>
    <row r="953" spans="1:4">
      <c r="A953" s="248"/>
      <c r="B953" s="249"/>
      <c r="C953" s="248"/>
      <c r="D953" s="248"/>
    </row>
    <row r="954" spans="1:4">
      <c r="A954" s="248"/>
      <c r="B954" s="249"/>
      <c r="C954" s="248"/>
      <c r="D954" s="248"/>
    </row>
    <row r="955" spans="1:4">
      <c r="A955" s="248"/>
      <c r="B955" s="249"/>
      <c r="C955" s="248"/>
      <c r="D955" s="248"/>
    </row>
    <row r="956" spans="1:4">
      <c r="A956" s="246"/>
      <c r="B956" s="246"/>
      <c r="C956" s="246"/>
      <c r="D956" s="247"/>
    </row>
    <row r="957" spans="1:4">
      <c r="A957" s="248"/>
      <c r="B957" s="249"/>
      <c r="C957" s="248"/>
      <c r="D957" s="248"/>
    </row>
    <row r="958" spans="1:4">
      <c r="A958" s="248"/>
      <c r="B958" s="249"/>
      <c r="C958" s="248"/>
      <c r="D958" s="248"/>
    </row>
    <row r="959" spans="1:4">
      <c r="A959" s="248"/>
      <c r="B959" s="249"/>
      <c r="C959" s="248"/>
      <c r="D959" s="248"/>
    </row>
    <row r="960" spans="1:4">
      <c r="A960" s="248"/>
      <c r="B960" s="249"/>
      <c r="C960" s="248"/>
      <c r="D960" s="248"/>
    </row>
    <row r="961" spans="1:4">
      <c r="A961" s="248"/>
      <c r="B961" s="249"/>
      <c r="C961" s="248"/>
      <c r="D961" s="248"/>
    </row>
    <row r="962" spans="1:4">
      <c r="A962" s="246"/>
      <c r="B962" s="246"/>
      <c r="C962" s="246"/>
      <c r="D962" s="247"/>
    </row>
    <row r="963" spans="1:4">
      <c r="A963" s="248"/>
      <c r="B963" s="249"/>
      <c r="C963" s="248"/>
      <c r="D963" s="248"/>
    </row>
    <row r="964" spans="1:4">
      <c r="A964" s="248"/>
      <c r="B964" s="249"/>
      <c r="C964" s="248"/>
      <c r="D964" s="248"/>
    </row>
    <row r="965" spans="1:4">
      <c r="A965" s="248"/>
      <c r="B965" s="249"/>
      <c r="C965" s="248"/>
      <c r="D965" s="248"/>
    </row>
    <row r="966" spans="1:4">
      <c r="A966" s="246"/>
      <c r="B966" s="246"/>
      <c r="C966" s="246"/>
      <c r="D966" s="247"/>
    </row>
    <row r="967" spans="1:4">
      <c r="A967" s="248"/>
      <c r="B967" s="249"/>
      <c r="C967" s="248"/>
      <c r="D967" s="248"/>
    </row>
    <row r="968" spans="1:4">
      <c r="A968" s="248"/>
      <c r="B968" s="249"/>
      <c r="C968" s="248"/>
      <c r="D968" s="248"/>
    </row>
    <row r="969" spans="1:4">
      <c r="A969" s="248"/>
      <c r="B969" s="249"/>
      <c r="C969" s="248"/>
      <c r="D969" s="248"/>
    </row>
    <row r="970" spans="1:4">
      <c r="A970" s="248"/>
      <c r="B970" s="249"/>
      <c r="C970" s="248"/>
      <c r="D970" s="248"/>
    </row>
    <row r="971" spans="1:4">
      <c r="A971" s="248"/>
      <c r="B971" s="249"/>
      <c r="C971" s="248"/>
      <c r="D971" s="248"/>
    </row>
    <row r="972" spans="1:4">
      <c r="A972" s="246"/>
      <c r="B972" s="246"/>
      <c r="C972" s="246"/>
      <c r="D972" s="247"/>
    </row>
    <row r="973" spans="1:4">
      <c r="A973" s="248"/>
      <c r="B973" s="249"/>
      <c r="C973" s="248"/>
      <c r="D973" s="248"/>
    </row>
    <row r="974" spans="1:4">
      <c r="A974" s="248"/>
      <c r="B974" s="249"/>
      <c r="C974" s="248"/>
      <c r="D974" s="248"/>
    </row>
    <row r="975" spans="1:4">
      <c r="A975" s="246"/>
      <c r="B975" s="246"/>
      <c r="C975" s="246"/>
      <c r="D975" s="247"/>
    </row>
    <row r="976" spans="1:4">
      <c r="A976" s="248"/>
      <c r="B976" s="249"/>
      <c r="C976" s="248"/>
      <c r="D976" s="248"/>
    </row>
    <row r="977" spans="1:4">
      <c r="A977" s="248"/>
      <c r="B977" s="249"/>
      <c r="C977" s="248"/>
      <c r="D977" s="248"/>
    </row>
    <row r="978" spans="1:4">
      <c r="A978" s="248"/>
      <c r="B978" s="249"/>
      <c r="C978" s="248"/>
      <c r="D978" s="248"/>
    </row>
    <row r="979" spans="1:4">
      <c r="A979" s="248"/>
      <c r="B979" s="249"/>
      <c r="C979" s="248"/>
      <c r="D979" s="248"/>
    </row>
    <row r="980" spans="1:4">
      <c r="A980" s="248"/>
      <c r="B980" s="249"/>
      <c r="C980" s="248"/>
      <c r="D980" s="248"/>
    </row>
    <row r="981" spans="1:4">
      <c r="A981" s="248"/>
      <c r="B981" s="249"/>
      <c r="C981" s="248"/>
      <c r="D981" s="248"/>
    </row>
    <row r="982" spans="1:4">
      <c r="A982" s="248"/>
      <c r="B982" s="249"/>
      <c r="C982" s="248"/>
      <c r="D982" s="248"/>
    </row>
    <row r="983" spans="1:4">
      <c r="A983" s="248"/>
      <c r="B983" s="249"/>
      <c r="C983" s="248"/>
      <c r="D983" s="248"/>
    </row>
    <row r="984" spans="1:4">
      <c r="A984" s="248"/>
      <c r="B984" s="249"/>
      <c r="C984" s="248"/>
      <c r="D984" s="248"/>
    </row>
    <row r="985" spans="1:4">
      <c r="A985" s="248"/>
      <c r="B985" s="249"/>
      <c r="C985" s="248"/>
      <c r="D985" s="248"/>
    </row>
    <row r="986" spans="1:4">
      <c r="A986" s="248"/>
      <c r="B986" s="249"/>
      <c r="C986" s="248"/>
      <c r="D986" s="248"/>
    </row>
    <row r="987" spans="1:4">
      <c r="A987" s="248"/>
      <c r="B987" s="249"/>
      <c r="C987" s="248"/>
      <c r="D987" s="248"/>
    </row>
    <row r="988" spans="1:4">
      <c r="A988" s="248"/>
      <c r="B988" s="249"/>
      <c r="C988" s="248"/>
      <c r="D988" s="248"/>
    </row>
    <row r="989" spans="1:4">
      <c r="A989" s="248"/>
      <c r="B989" s="249"/>
      <c r="C989" s="248"/>
      <c r="D989" s="248"/>
    </row>
    <row r="990" spans="1:4">
      <c r="A990" s="246"/>
      <c r="B990" s="246"/>
      <c r="C990" s="246"/>
      <c r="D990" s="247"/>
    </row>
    <row r="991" spans="1:4">
      <c r="A991" s="248"/>
      <c r="B991" s="249"/>
      <c r="C991" s="248"/>
      <c r="D991" s="248"/>
    </row>
    <row r="992" spans="1:4">
      <c r="A992" s="248"/>
      <c r="B992" s="249"/>
      <c r="C992" s="248"/>
      <c r="D992" s="248"/>
    </row>
    <row r="993" spans="1:4">
      <c r="A993" s="248"/>
      <c r="B993" s="249"/>
      <c r="C993" s="248"/>
      <c r="D993" s="248"/>
    </row>
    <row r="994" spans="1:4">
      <c r="A994" s="248"/>
      <c r="B994" s="249"/>
      <c r="C994" s="248"/>
      <c r="D994" s="248"/>
    </row>
    <row r="995" spans="1:4">
      <c r="A995" s="248"/>
      <c r="B995" s="249"/>
      <c r="C995" s="248"/>
      <c r="D995" s="248"/>
    </row>
    <row r="996" spans="1:4">
      <c r="A996" s="248"/>
      <c r="B996" s="249"/>
      <c r="C996" s="248"/>
      <c r="D996" s="248"/>
    </row>
    <row r="997" spans="1:4">
      <c r="A997" s="248"/>
      <c r="B997" s="249"/>
      <c r="C997" s="248"/>
      <c r="D997" s="248"/>
    </row>
    <row r="998" spans="1:4">
      <c r="A998" s="248"/>
      <c r="B998" s="249"/>
      <c r="C998" s="248"/>
      <c r="D998" s="248"/>
    </row>
    <row r="999" spans="1:4">
      <c r="A999" s="248"/>
      <c r="B999" s="249"/>
      <c r="C999" s="248"/>
      <c r="D999" s="248"/>
    </row>
    <row r="1000" spans="1:4">
      <c r="A1000" s="248"/>
      <c r="B1000" s="249"/>
      <c r="C1000" s="248"/>
      <c r="D1000" s="248"/>
    </row>
    <row r="1001" spans="1:4">
      <c r="A1001" s="248"/>
      <c r="B1001" s="249"/>
      <c r="C1001" s="248"/>
      <c r="D1001" s="248"/>
    </row>
    <row r="1002" spans="1:4">
      <c r="A1002" s="248"/>
      <c r="B1002" s="249"/>
      <c r="C1002" s="248"/>
      <c r="D1002" s="248"/>
    </row>
    <row r="1003" spans="1:4">
      <c r="A1003" s="248"/>
      <c r="B1003" s="249"/>
      <c r="C1003" s="248"/>
      <c r="D1003" s="248"/>
    </row>
    <row r="1004" spans="1:4">
      <c r="A1004" s="248"/>
      <c r="B1004" s="249"/>
      <c r="C1004" s="248"/>
      <c r="D1004" s="248"/>
    </row>
    <row r="1005" spans="1:4">
      <c r="A1005" s="248"/>
      <c r="B1005" s="249"/>
      <c r="C1005" s="248"/>
      <c r="D1005" s="248"/>
    </row>
    <row r="1006" spans="1:4">
      <c r="A1006" s="248"/>
      <c r="B1006" s="249"/>
      <c r="C1006" s="248"/>
      <c r="D1006" s="248"/>
    </row>
    <row r="1007" spans="1:4">
      <c r="A1007" s="248"/>
      <c r="B1007" s="249"/>
      <c r="C1007" s="248"/>
      <c r="D1007" s="248"/>
    </row>
    <row r="1008" spans="1:4">
      <c r="A1008" s="248"/>
      <c r="B1008" s="249"/>
      <c r="C1008" s="248"/>
      <c r="D1008" s="248"/>
    </row>
    <row r="1009" spans="1:4">
      <c r="A1009" s="248"/>
      <c r="B1009" s="249"/>
      <c r="C1009" s="248"/>
      <c r="D1009" s="248"/>
    </row>
    <row r="1010" spans="1:4">
      <c r="A1010" s="248"/>
      <c r="B1010" s="249"/>
      <c r="C1010" s="248"/>
      <c r="D1010" s="248"/>
    </row>
    <row r="1011" spans="1:4">
      <c r="A1011" s="248"/>
      <c r="B1011" s="249"/>
      <c r="C1011" s="248"/>
      <c r="D1011" s="248"/>
    </row>
    <row r="1012" spans="1:4">
      <c r="A1012" s="248"/>
      <c r="B1012" s="249"/>
      <c r="C1012" s="248"/>
      <c r="D1012" s="248"/>
    </row>
    <row r="1013" spans="1:4">
      <c r="A1013" s="248"/>
      <c r="B1013" s="249"/>
      <c r="C1013" s="248"/>
      <c r="D1013" s="248"/>
    </row>
    <row r="1014" spans="1:4">
      <c r="A1014" s="248"/>
      <c r="B1014" s="249"/>
      <c r="C1014" s="248"/>
      <c r="D1014" s="248"/>
    </row>
    <row r="1015" spans="1:4">
      <c r="A1015" s="248"/>
      <c r="B1015" s="249"/>
      <c r="C1015" s="248"/>
      <c r="D1015" s="248"/>
    </row>
    <row r="1016" spans="1:4">
      <c r="A1016" s="248"/>
      <c r="B1016" s="249"/>
      <c r="C1016" s="248"/>
      <c r="D1016" s="248"/>
    </row>
    <row r="1017" spans="1:4">
      <c r="A1017" s="248"/>
      <c r="B1017" s="249"/>
      <c r="C1017" s="248"/>
      <c r="D1017" s="248"/>
    </row>
    <row r="1018" spans="1:4">
      <c r="A1018" s="248"/>
      <c r="B1018" s="249"/>
      <c r="C1018" s="248"/>
      <c r="D1018" s="248"/>
    </row>
    <row r="1019" spans="1:4">
      <c r="A1019" s="248"/>
      <c r="B1019" s="249"/>
      <c r="C1019" s="248"/>
      <c r="D1019" s="248"/>
    </row>
    <row r="1020" spans="1:4">
      <c r="A1020" s="248"/>
      <c r="B1020" s="249"/>
      <c r="C1020" s="248"/>
      <c r="D1020" s="248"/>
    </row>
    <row r="1021" spans="1:4">
      <c r="A1021" s="248"/>
      <c r="B1021" s="249"/>
      <c r="C1021" s="248"/>
      <c r="D1021" s="248"/>
    </row>
    <row r="1022" spans="1:4">
      <c r="A1022" s="248"/>
      <c r="B1022" s="249"/>
      <c r="C1022" s="248"/>
      <c r="D1022" s="248"/>
    </row>
    <row r="1023" spans="1:4">
      <c r="A1023" s="248"/>
      <c r="B1023" s="249"/>
      <c r="C1023" s="248"/>
      <c r="D1023" s="248"/>
    </row>
    <row r="1024" spans="1:4">
      <c r="A1024" s="248"/>
      <c r="B1024" s="249"/>
      <c r="C1024" s="248"/>
      <c r="D1024" s="248"/>
    </row>
    <row r="1025" spans="1:4">
      <c r="A1025" s="248"/>
      <c r="B1025" s="249"/>
      <c r="C1025" s="248"/>
      <c r="D1025" s="248"/>
    </row>
    <row r="1026" spans="1:4">
      <c r="A1026" s="248"/>
      <c r="B1026" s="249"/>
      <c r="C1026" s="248"/>
      <c r="D1026" s="248"/>
    </row>
    <row r="1027" spans="1:4">
      <c r="A1027" s="248"/>
      <c r="B1027" s="249"/>
      <c r="C1027" s="248"/>
      <c r="D1027" s="248"/>
    </row>
    <row r="1028" spans="1:4">
      <c r="A1028" s="248"/>
      <c r="B1028" s="249"/>
      <c r="C1028" s="248"/>
      <c r="D1028" s="248"/>
    </row>
    <row r="1029" spans="1:4">
      <c r="A1029" s="248"/>
      <c r="B1029" s="249"/>
      <c r="C1029" s="248"/>
      <c r="D1029" s="248"/>
    </row>
    <row r="1030" spans="1:4">
      <c r="A1030" s="248"/>
      <c r="B1030" s="249"/>
      <c r="C1030" s="248"/>
      <c r="D1030" s="248"/>
    </row>
    <row r="1031" spans="1:4">
      <c r="A1031" s="248"/>
      <c r="B1031" s="249"/>
      <c r="C1031" s="248"/>
      <c r="D1031" s="248"/>
    </row>
    <row r="1032" spans="1:4">
      <c r="A1032" s="248"/>
      <c r="B1032" s="249"/>
      <c r="C1032" s="248"/>
      <c r="D1032" s="248"/>
    </row>
    <row r="1033" spans="1:4">
      <c r="A1033" s="248"/>
      <c r="B1033" s="249"/>
      <c r="C1033" s="248"/>
      <c r="D1033" s="248"/>
    </row>
    <row r="1034" spans="1:4">
      <c r="A1034" s="248"/>
      <c r="B1034" s="249"/>
      <c r="C1034" s="248"/>
      <c r="D1034" s="248"/>
    </row>
    <row r="1035" spans="1:4">
      <c r="A1035" s="248"/>
      <c r="B1035" s="249"/>
      <c r="C1035" s="248"/>
      <c r="D1035" s="248"/>
    </row>
    <row r="1036" spans="1:4">
      <c r="A1036" s="248"/>
      <c r="B1036" s="249"/>
      <c r="C1036" s="248"/>
      <c r="D1036" s="248"/>
    </row>
    <row r="1037" spans="1:4">
      <c r="A1037" s="248"/>
      <c r="B1037" s="249"/>
      <c r="C1037" s="248"/>
      <c r="D1037" s="248"/>
    </row>
    <row r="1038" spans="1:4">
      <c r="A1038" s="248"/>
      <c r="B1038" s="249"/>
      <c r="C1038" s="248"/>
      <c r="D1038" s="248"/>
    </row>
    <row r="1039" spans="1:4">
      <c r="A1039" s="248"/>
      <c r="B1039" s="249"/>
      <c r="C1039" s="248"/>
      <c r="D1039" s="248"/>
    </row>
    <row r="1040" spans="1:4">
      <c r="A1040" s="248"/>
      <c r="B1040" s="249"/>
      <c r="C1040" s="248"/>
      <c r="D1040" s="248"/>
    </row>
    <row r="1041" spans="1:4">
      <c r="A1041" s="248"/>
      <c r="B1041" s="249"/>
      <c r="C1041" s="248"/>
      <c r="D1041" s="248"/>
    </row>
    <row r="1042" spans="1:4">
      <c r="A1042" s="248"/>
      <c r="B1042" s="249"/>
      <c r="C1042" s="248"/>
      <c r="D1042" s="248"/>
    </row>
    <row r="1043" spans="1:4">
      <c r="A1043" s="248"/>
      <c r="B1043" s="249"/>
      <c r="C1043" s="248"/>
      <c r="D1043" s="248"/>
    </row>
    <row r="1044" spans="1:4">
      <c r="A1044" s="248"/>
      <c r="B1044" s="249"/>
      <c r="C1044" s="248"/>
      <c r="D1044" s="248"/>
    </row>
    <row r="1045" spans="1:4">
      <c r="A1045" s="248"/>
      <c r="B1045" s="249"/>
      <c r="C1045" s="248"/>
      <c r="D1045" s="248"/>
    </row>
    <row r="1046" spans="1:4">
      <c r="A1046" s="248"/>
      <c r="B1046" s="249"/>
      <c r="C1046" s="248"/>
      <c r="D1046" s="248"/>
    </row>
    <row r="1047" spans="1:4">
      <c r="A1047" s="248"/>
      <c r="B1047" s="249"/>
      <c r="C1047" s="248"/>
      <c r="D1047" s="248"/>
    </row>
    <row r="1048" spans="1:4">
      <c r="A1048" s="248"/>
      <c r="B1048" s="249"/>
      <c r="C1048" s="248"/>
      <c r="D1048" s="248"/>
    </row>
    <row r="1049" spans="1:4">
      <c r="A1049" s="248"/>
      <c r="B1049" s="249"/>
      <c r="C1049" s="248"/>
      <c r="D1049" s="248"/>
    </row>
    <row r="1050" spans="1:4">
      <c r="A1050" s="248"/>
      <c r="B1050" s="249"/>
      <c r="C1050" s="248"/>
      <c r="D1050" s="248"/>
    </row>
    <row r="1051" spans="1:4">
      <c r="A1051" s="248"/>
      <c r="B1051" s="249"/>
      <c r="C1051" s="248"/>
      <c r="D1051" s="248"/>
    </row>
    <row r="1052" spans="1:4">
      <c r="A1052" s="248"/>
      <c r="B1052" s="249"/>
      <c r="C1052" s="248"/>
      <c r="D1052" s="248"/>
    </row>
    <row r="1053" spans="1:4">
      <c r="A1053" s="248"/>
      <c r="B1053" s="249"/>
      <c r="C1053" s="248"/>
      <c r="D1053" s="248"/>
    </row>
    <row r="1054" spans="1:4">
      <c r="A1054" s="248"/>
      <c r="B1054" s="249"/>
      <c r="C1054" s="248"/>
      <c r="D1054" s="248"/>
    </row>
    <row r="1055" spans="1:4">
      <c r="A1055" s="248"/>
      <c r="B1055" s="249"/>
      <c r="C1055" s="248"/>
      <c r="D1055" s="248"/>
    </row>
    <row r="1056" spans="1:4">
      <c r="A1056" s="248"/>
      <c r="B1056" s="249"/>
      <c r="C1056" s="248"/>
      <c r="D1056" s="248"/>
    </row>
    <row r="1057" spans="1:4">
      <c r="A1057" s="248"/>
      <c r="B1057" s="249"/>
      <c r="C1057" s="248"/>
      <c r="D1057" s="248"/>
    </row>
    <row r="1058" spans="1:4">
      <c r="A1058" s="248"/>
      <c r="B1058" s="249"/>
      <c r="C1058" s="248"/>
      <c r="D1058" s="248"/>
    </row>
    <row r="1059" spans="1:4">
      <c r="A1059" s="248"/>
      <c r="B1059" s="249"/>
      <c r="C1059" s="248"/>
      <c r="D1059" s="248"/>
    </row>
    <row r="1060" spans="1:4">
      <c r="A1060" s="248"/>
      <c r="B1060" s="249"/>
      <c r="C1060" s="248"/>
      <c r="D1060" s="248"/>
    </row>
    <row r="1061" spans="1:4">
      <c r="A1061" s="248"/>
      <c r="B1061" s="249"/>
      <c r="C1061" s="248"/>
      <c r="D1061" s="248"/>
    </row>
    <row r="1062" spans="1:4">
      <c r="A1062" s="248"/>
      <c r="B1062" s="249"/>
      <c r="C1062" s="248"/>
      <c r="D1062" s="248"/>
    </row>
    <row r="1063" spans="1:4">
      <c r="A1063" s="248"/>
      <c r="B1063" s="249"/>
      <c r="C1063" s="248"/>
      <c r="D1063" s="248"/>
    </row>
    <row r="1064" spans="1:4">
      <c r="A1064" s="248"/>
      <c r="B1064" s="249"/>
      <c r="C1064" s="248"/>
      <c r="D1064" s="248"/>
    </row>
    <row r="1065" spans="1:4">
      <c r="A1065" s="248"/>
      <c r="B1065" s="249"/>
      <c r="C1065" s="248"/>
      <c r="D1065" s="248"/>
    </row>
    <row r="1066" spans="1:4">
      <c r="A1066" s="248"/>
      <c r="B1066" s="249"/>
      <c r="C1066" s="248"/>
      <c r="D1066" s="248"/>
    </row>
    <row r="1067" spans="1:4">
      <c r="A1067" s="248"/>
      <c r="B1067" s="249"/>
      <c r="C1067" s="248"/>
      <c r="D1067" s="248"/>
    </row>
    <row r="1068" spans="1:4">
      <c r="A1068" s="248"/>
      <c r="B1068" s="249"/>
      <c r="C1068" s="248"/>
      <c r="D1068" s="248"/>
    </row>
    <row r="1069" spans="1:4">
      <c r="A1069" s="248"/>
      <c r="B1069" s="249"/>
      <c r="C1069" s="248"/>
      <c r="D1069" s="248"/>
    </row>
    <row r="1070" spans="1:4">
      <c r="A1070" s="248"/>
      <c r="B1070" s="249"/>
      <c r="C1070" s="248"/>
      <c r="D1070" s="248"/>
    </row>
    <row r="1071" spans="1:4">
      <c r="A1071" s="248"/>
      <c r="B1071" s="249"/>
      <c r="C1071" s="248"/>
      <c r="D1071" s="248"/>
    </row>
    <row r="1072" spans="1:4">
      <c r="A1072" s="248"/>
      <c r="B1072" s="249"/>
      <c r="C1072" s="248"/>
      <c r="D1072" s="248"/>
    </row>
    <row r="1073" spans="1:4">
      <c r="A1073" s="248"/>
      <c r="B1073" s="249"/>
      <c r="C1073" s="248"/>
      <c r="D1073" s="248"/>
    </row>
    <row r="1074" spans="1:4">
      <c r="A1074" s="248"/>
      <c r="B1074" s="249"/>
      <c r="C1074" s="248"/>
      <c r="D1074" s="248"/>
    </row>
    <row r="1075" spans="1:4">
      <c r="A1075" s="248"/>
      <c r="B1075" s="249"/>
      <c r="C1075" s="248"/>
      <c r="D1075" s="248"/>
    </row>
    <row r="1076" spans="1:4">
      <c r="A1076" s="248"/>
      <c r="B1076" s="249"/>
      <c r="C1076" s="248"/>
      <c r="D1076" s="248"/>
    </row>
    <row r="1077" spans="1:4">
      <c r="A1077" s="248"/>
      <c r="B1077" s="249"/>
      <c r="C1077" s="248"/>
      <c r="D1077" s="248"/>
    </row>
    <row r="1078" spans="1:4">
      <c r="A1078" s="248"/>
      <c r="B1078" s="249"/>
      <c r="C1078" s="248"/>
      <c r="D1078" s="248"/>
    </row>
    <row r="1079" spans="1:4">
      <c r="A1079" s="248"/>
      <c r="B1079" s="249"/>
      <c r="C1079" s="248"/>
      <c r="D1079" s="248"/>
    </row>
    <row r="1080" spans="1:4">
      <c r="A1080" s="246"/>
      <c r="B1080" s="246"/>
      <c r="C1080" s="246"/>
      <c r="D1080" s="247"/>
    </row>
    <row r="1081" spans="1:4">
      <c r="A1081" s="248"/>
      <c r="B1081" s="249"/>
      <c r="C1081" s="248"/>
      <c r="D1081" s="248"/>
    </row>
    <row r="1082" spans="1:4">
      <c r="A1082" s="248"/>
      <c r="B1082" s="249"/>
      <c r="C1082" s="248"/>
      <c r="D1082" s="248"/>
    </row>
    <row r="1083" spans="1:4">
      <c r="A1083" s="248"/>
      <c r="B1083" s="249"/>
      <c r="C1083" s="248"/>
      <c r="D1083" s="248"/>
    </row>
    <row r="1084" spans="1:4">
      <c r="A1084" s="248"/>
      <c r="B1084" s="249"/>
      <c r="C1084" s="248"/>
      <c r="D1084" s="248"/>
    </row>
    <row r="1085" spans="1:4">
      <c r="A1085" s="248"/>
      <c r="B1085" s="249"/>
      <c r="C1085" s="248"/>
      <c r="D1085" s="248"/>
    </row>
    <row r="1086" spans="1:4">
      <c r="A1086" s="248"/>
      <c r="B1086" s="249"/>
      <c r="C1086" s="248"/>
      <c r="D1086" s="248"/>
    </row>
    <row r="1087" spans="1:4">
      <c r="A1087" s="248"/>
      <c r="B1087" s="249"/>
      <c r="C1087" s="248"/>
      <c r="D1087" s="248"/>
    </row>
    <row r="1088" spans="1:4">
      <c r="A1088" s="248"/>
      <c r="B1088" s="249"/>
      <c r="C1088" s="248"/>
      <c r="D1088" s="248"/>
    </row>
    <row r="1089" spans="1:4">
      <c r="A1089" s="248"/>
      <c r="B1089" s="249"/>
      <c r="C1089" s="248"/>
      <c r="D1089" s="248"/>
    </row>
    <row r="1090" spans="1:4">
      <c r="A1090" s="248"/>
      <c r="B1090" s="249"/>
      <c r="C1090" s="248"/>
      <c r="D1090" s="248"/>
    </row>
    <row r="1091" spans="1:4">
      <c r="A1091" s="246"/>
      <c r="B1091" s="246"/>
      <c r="C1091" s="246"/>
      <c r="D1091" s="247"/>
    </row>
    <row r="1092" spans="1:4">
      <c r="A1092" s="246"/>
      <c r="B1092" s="246"/>
      <c r="C1092" s="246"/>
      <c r="D1092" s="247"/>
    </row>
    <row r="1093" spans="1:4">
      <c r="A1093" s="248"/>
      <c r="B1093" s="249"/>
      <c r="C1093" s="248"/>
      <c r="D1093" s="248"/>
    </row>
    <row r="1094" spans="1:4">
      <c r="A1094" s="248"/>
      <c r="B1094" s="249"/>
      <c r="C1094" s="248"/>
      <c r="D1094" s="248"/>
    </row>
    <row r="1095" spans="1:4">
      <c r="A1095" s="248"/>
      <c r="B1095" s="249"/>
      <c r="C1095" s="248"/>
      <c r="D1095" s="248"/>
    </row>
    <row r="1096" spans="1:4">
      <c r="A1096" s="248"/>
      <c r="B1096" s="249"/>
      <c r="C1096" s="248"/>
      <c r="D1096" s="248"/>
    </row>
    <row r="1097" spans="1:4">
      <c r="A1097" s="248"/>
      <c r="B1097" s="249"/>
      <c r="C1097" s="248"/>
      <c r="D1097" s="248"/>
    </row>
    <row r="1098" spans="1:4">
      <c r="A1098" s="248"/>
      <c r="B1098" s="249"/>
      <c r="C1098" s="248"/>
      <c r="D1098" s="248"/>
    </row>
    <row r="1099" spans="1:4">
      <c r="A1099" s="246"/>
      <c r="B1099" s="246"/>
      <c r="C1099" s="246"/>
      <c r="D1099" s="247"/>
    </row>
    <row r="1100" spans="1:4">
      <c r="A1100" s="248"/>
      <c r="B1100" s="249"/>
      <c r="C1100" s="248"/>
      <c r="D1100" s="248"/>
    </row>
    <row r="1101" spans="1:4">
      <c r="A1101" s="248"/>
      <c r="B1101" s="249"/>
      <c r="C1101" s="248"/>
      <c r="D1101" s="248"/>
    </row>
    <row r="1102" spans="1:4">
      <c r="A1102" s="248"/>
      <c r="B1102" s="249"/>
      <c r="C1102" s="248"/>
      <c r="D1102" s="248"/>
    </row>
    <row r="1103" spans="1:4">
      <c r="A1103" s="248"/>
      <c r="B1103" s="249"/>
      <c r="C1103" s="248"/>
      <c r="D1103" s="248"/>
    </row>
    <row r="1104" spans="1:4">
      <c r="A1104" s="248"/>
      <c r="B1104" s="249"/>
      <c r="C1104" s="248"/>
      <c r="D1104" s="248"/>
    </row>
    <row r="1105" spans="1:4">
      <c r="A1105" s="248"/>
      <c r="B1105" s="249"/>
      <c r="C1105" s="248"/>
      <c r="D1105" s="248"/>
    </row>
    <row r="1106" spans="1:4">
      <c r="A1106" s="248"/>
      <c r="B1106" s="249"/>
      <c r="C1106" s="248"/>
      <c r="D1106" s="248"/>
    </row>
    <row r="1107" spans="1:4">
      <c r="A1107" s="248"/>
      <c r="B1107" s="249"/>
      <c r="C1107" s="248"/>
      <c r="D1107" s="248"/>
    </row>
    <row r="1108" spans="1:4">
      <c r="A1108" s="248"/>
      <c r="B1108" s="249"/>
      <c r="C1108" s="248"/>
      <c r="D1108" s="248"/>
    </row>
    <row r="1109" spans="1:4">
      <c r="A1109" s="248"/>
      <c r="B1109" s="249"/>
      <c r="C1109" s="248"/>
      <c r="D1109" s="248"/>
    </row>
    <row r="1110" spans="1:4">
      <c r="A1110" s="248"/>
      <c r="B1110" s="249"/>
      <c r="C1110" s="248"/>
      <c r="D1110" s="248"/>
    </row>
    <row r="1111" spans="1:4">
      <c r="A1111" s="248"/>
      <c r="B1111" s="249"/>
      <c r="C1111" s="248"/>
      <c r="D1111" s="248"/>
    </row>
    <row r="1112" spans="1:4">
      <c r="A1112" s="248"/>
      <c r="B1112" s="249"/>
      <c r="C1112" s="248"/>
      <c r="D1112" s="248"/>
    </row>
    <row r="1113" spans="1:4">
      <c r="A1113" s="248"/>
      <c r="B1113" s="249"/>
      <c r="C1113" s="248"/>
      <c r="D1113" s="248"/>
    </row>
    <row r="1114" spans="1:4">
      <c r="A1114" s="248"/>
      <c r="B1114" s="249"/>
      <c r="C1114" s="248"/>
      <c r="D1114" s="248"/>
    </row>
    <row r="1115" spans="1:4">
      <c r="A1115" s="248"/>
      <c r="B1115" s="249"/>
      <c r="C1115" s="248"/>
      <c r="D1115" s="248"/>
    </row>
    <row r="1116" spans="1:4">
      <c r="A1116" s="248"/>
      <c r="B1116" s="249"/>
      <c r="C1116" s="248"/>
      <c r="D1116" s="248"/>
    </row>
    <row r="1117" spans="1:4">
      <c r="A1117" s="248"/>
      <c r="B1117" s="249"/>
      <c r="C1117" s="248"/>
      <c r="D1117" s="248"/>
    </row>
    <row r="1118" spans="1:4">
      <c r="A1118" s="248"/>
      <c r="B1118" s="249"/>
      <c r="C1118" s="248"/>
      <c r="D1118" s="248"/>
    </row>
    <row r="1119" spans="1:4">
      <c r="A1119" s="248"/>
      <c r="B1119" s="249"/>
      <c r="C1119" s="248"/>
      <c r="D1119" s="248"/>
    </row>
    <row r="1120" spans="1:4">
      <c r="A1120" s="248"/>
      <c r="B1120" s="249"/>
      <c r="C1120" s="248"/>
      <c r="D1120" s="248"/>
    </row>
    <row r="1121" spans="1:4">
      <c r="A1121" s="248"/>
      <c r="B1121" s="249"/>
      <c r="C1121" s="248"/>
      <c r="D1121" s="248"/>
    </row>
    <row r="1122" spans="1:4">
      <c r="A1122" s="248"/>
      <c r="B1122" s="249"/>
      <c r="C1122" s="248"/>
      <c r="D1122" s="248"/>
    </row>
    <row r="1123" spans="1:4">
      <c r="A1123" s="248"/>
      <c r="B1123" s="249"/>
      <c r="C1123" s="248"/>
      <c r="D1123" s="248"/>
    </row>
    <row r="1124" spans="1:4">
      <c r="A1124" s="248"/>
      <c r="B1124" s="249"/>
      <c r="C1124" s="248"/>
      <c r="D1124" s="248"/>
    </row>
    <row r="1125" spans="1:4">
      <c r="A1125" s="248"/>
      <c r="B1125" s="249"/>
      <c r="C1125" s="248"/>
      <c r="D1125" s="248"/>
    </row>
    <row r="1126" spans="1:4">
      <c r="A1126" s="248"/>
      <c r="B1126" s="249"/>
      <c r="C1126" s="248"/>
      <c r="D1126" s="248"/>
    </row>
    <row r="1127" spans="1:4">
      <c r="A1127" s="248"/>
      <c r="B1127" s="249"/>
      <c r="C1127" s="248"/>
      <c r="D1127" s="248"/>
    </row>
    <row r="1128" spans="1:4">
      <c r="A1128" s="248"/>
      <c r="B1128" s="249"/>
      <c r="C1128" s="248"/>
      <c r="D1128" s="248"/>
    </row>
    <row r="1129" spans="1:4">
      <c r="A1129" s="248"/>
      <c r="B1129" s="249"/>
      <c r="C1129" s="248"/>
      <c r="D1129" s="248"/>
    </row>
    <row r="1130" spans="1:4">
      <c r="A1130" s="248"/>
      <c r="B1130" s="249"/>
      <c r="C1130" s="248"/>
      <c r="D1130" s="248"/>
    </row>
    <row r="1131" spans="1:4">
      <c r="A1131" s="248"/>
      <c r="B1131" s="249"/>
      <c r="C1131" s="248"/>
      <c r="D1131" s="248"/>
    </row>
    <row r="1132" spans="1:4">
      <c r="A1132" s="248"/>
      <c r="B1132" s="249"/>
      <c r="C1132" s="248"/>
      <c r="D1132" s="248"/>
    </row>
    <row r="1133" spans="1:4">
      <c r="A1133" s="248"/>
      <c r="B1133" s="249"/>
      <c r="C1133" s="248"/>
      <c r="D1133" s="248"/>
    </row>
    <row r="1134" spans="1:4">
      <c r="A1134" s="248"/>
      <c r="B1134" s="249"/>
      <c r="C1134" s="248"/>
      <c r="D1134" s="248"/>
    </row>
    <row r="1135" spans="1:4">
      <c r="A1135" s="248"/>
      <c r="B1135" s="249"/>
      <c r="C1135" s="248"/>
      <c r="D1135" s="248"/>
    </row>
    <row r="1136" spans="1:4">
      <c r="A1136" s="248"/>
      <c r="B1136" s="249"/>
      <c r="C1136" s="248"/>
      <c r="D1136" s="248"/>
    </row>
    <row r="1137" spans="1:4">
      <c r="A1137" s="248"/>
      <c r="B1137" s="249"/>
      <c r="C1137" s="248"/>
      <c r="D1137" s="248"/>
    </row>
    <row r="1138" spans="1:4">
      <c r="A1138" s="248"/>
      <c r="B1138" s="249"/>
      <c r="C1138" s="248"/>
      <c r="D1138" s="248"/>
    </row>
    <row r="1139" spans="1:4">
      <c r="A1139" s="248"/>
      <c r="B1139" s="249"/>
      <c r="C1139" s="248"/>
      <c r="D1139" s="248"/>
    </row>
    <row r="1140" spans="1:4">
      <c r="A1140" s="248"/>
      <c r="B1140" s="249"/>
      <c r="C1140" s="248"/>
      <c r="D1140" s="248"/>
    </row>
    <row r="1141" spans="1:4">
      <c r="A1141" s="248"/>
      <c r="B1141" s="249"/>
      <c r="C1141" s="248"/>
      <c r="D1141" s="248"/>
    </row>
    <row r="1142" spans="1:4">
      <c r="A1142" s="248"/>
      <c r="B1142" s="249"/>
      <c r="C1142" s="248"/>
      <c r="D1142" s="248"/>
    </row>
    <row r="1143" spans="1:4">
      <c r="A1143" s="248"/>
      <c r="B1143" s="249"/>
      <c r="C1143" s="248"/>
      <c r="D1143" s="248"/>
    </row>
    <row r="1144" spans="1:4">
      <c r="A1144" s="248"/>
      <c r="B1144" s="249"/>
      <c r="C1144" s="248"/>
      <c r="D1144" s="248"/>
    </row>
    <row r="1145" spans="1:4">
      <c r="A1145" s="248"/>
      <c r="B1145" s="249"/>
      <c r="C1145" s="248"/>
      <c r="D1145" s="248"/>
    </row>
    <row r="1146" spans="1:4">
      <c r="A1146" s="248"/>
      <c r="B1146" s="249"/>
      <c r="C1146" s="248"/>
      <c r="D1146" s="248"/>
    </row>
    <row r="1147" spans="1:4">
      <c r="A1147" s="248"/>
      <c r="B1147" s="249"/>
      <c r="C1147" s="248"/>
      <c r="D1147" s="248"/>
    </row>
    <row r="1148" spans="1:4">
      <c r="A1148" s="248"/>
      <c r="B1148" s="249"/>
      <c r="C1148" s="248"/>
      <c r="D1148" s="248"/>
    </row>
    <row r="1149" spans="1:4">
      <c r="A1149" s="248"/>
      <c r="B1149" s="249"/>
      <c r="C1149" s="248"/>
      <c r="D1149" s="248"/>
    </row>
    <row r="1150" spans="1:4">
      <c r="A1150" s="248"/>
      <c r="B1150" s="249"/>
      <c r="C1150" s="248"/>
      <c r="D1150" s="248"/>
    </row>
    <row r="1151" spans="1:4">
      <c r="A1151" s="248"/>
      <c r="B1151" s="249"/>
      <c r="C1151" s="248"/>
      <c r="D1151" s="248"/>
    </row>
    <row r="1152" spans="1:4">
      <c r="A1152" s="248"/>
      <c r="B1152" s="249"/>
      <c r="C1152" s="248"/>
      <c r="D1152" s="248"/>
    </row>
    <row r="1153" spans="1:4">
      <c r="A1153" s="248"/>
      <c r="B1153" s="249"/>
      <c r="C1153" s="248"/>
      <c r="D1153" s="248"/>
    </row>
    <row r="1154" spans="1:4">
      <c r="A1154" s="248"/>
      <c r="B1154" s="249"/>
      <c r="C1154" s="248"/>
      <c r="D1154" s="248"/>
    </row>
    <row r="1155" spans="1:4">
      <c r="A1155" s="248"/>
      <c r="B1155" s="249"/>
      <c r="C1155" s="248"/>
      <c r="D1155" s="248"/>
    </row>
    <row r="1156" spans="1:4">
      <c r="A1156" s="248"/>
      <c r="B1156" s="249"/>
      <c r="C1156" s="248"/>
      <c r="D1156" s="248"/>
    </row>
    <row r="1157" spans="1:4">
      <c r="A1157" s="248"/>
      <c r="B1157" s="249"/>
      <c r="C1157" s="248"/>
      <c r="D1157" s="248"/>
    </row>
    <row r="1158" spans="1:4">
      <c r="A1158" s="248"/>
      <c r="B1158" s="249"/>
      <c r="C1158" s="248"/>
      <c r="D1158" s="248"/>
    </row>
    <row r="1159" spans="1:4">
      <c r="A1159" s="248"/>
      <c r="B1159" s="249"/>
      <c r="C1159" s="248"/>
      <c r="D1159" s="248"/>
    </row>
    <row r="1160" spans="1:4">
      <c r="A1160" s="248"/>
      <c r="B1160" s="249"/>
      <c r="C1160" s="248"/>
      <c r="D1160" s="248"/>
    </row>
    <row r="1161" spans="1:4">
      <c r="A1161" s="248"/>
      <c r="B1161" s="249"/>
      <c r="C1161" s="248"/>
      <c r="D1161" s="248"/>
    </row>
    <row r="1162" spans="1:4">
      <c r="A1162" s="248"/>
      <c r="B1162" s="249"/>
      <c r="C1162" s="248"/>
      <c r="D1162" s="248"/>
    </row>
    <row r="1163" spans="1:4">
      <c r="A1163" s="248"/>
      <c r="B1163" s="249"/>
      <c r="C1163" s="248"/>
      <c r="D1163" s="248"/>
    </row>
    <row r="1164" spans="1:4">
      <c r="A1164" s="248"/>
      <c r="B1164" s="249"/>
      <c r="C1164" s="248"/>
      <c r="D1164" s="248"/>
    </row>
    <row r="1165" spans="1:4">
      <c r="A1165" s="248"/>
      <c r="B1165" s="249"/>
      <c r="C1165" s="248"/>
      <c r="D1165" s="248"/>
    </row>
    <row r="1166" spans="1:4">
      <c r="A1166" s="248"/>
      <c r="B1166" s="249"/>
      <c r="C1166" s="248"/>
      <c r="D1166" s="248"/>
    </row>
    <row r="1167" spans="1:4">
      <c r="A1167" s="248"/>
      <c r="B1167" s="249"/>
      <c r="C1167" s="248"/>
      <c r="D1167" s="248"/>
    </row>
    <row r="1168" spans="1:4">
      <c r="A1168" s="248"/>
      <c r="B1168" s="249"/>
      <c r="C1168" s="248"/>
      <c r="D1168" s="248"/>
    </row>
    <row r="1169" spans="1:4">
      <c r="A1169" s="248"/>
      <c r="B1169" s="249"/>
      <c r="C1169" s="248"/>
      <c r="D1169" s="248"/>
    </row>
    <row r="1170" spans="1:4">
      <c r="A1170" s="248"/>
      <c r="B1170" s="249"/>
      <c r="C1170" s="248"/>
      <c r="D1170" s="248"/>
    </row>
    <row r="1171" spans="1:4">
      <c r="A1171" s="248"/>
      <c r="B1171" s="249"/>
      <c r="C1171" s="248"/>
      <c r="D1171" s="248"/>
    </row>
    <row r="1172" spans="1:4">
      <c r="A1172" s="248"/>
      <c r="B1172" s="249"/>
      <c r="C1172" s="248"/>
      <c r="D1172" s="248"/>
    </row>
    <row r="1173" spans="1:4">
      <c r="A1173" s="248"/>
      <c r="B1173" s="249"/>
      <c r="C1173" s="248"/>
      <c r="D1173" s="248"/>
    </row>
    <row r="1174" spans="1:4">
      <c r="A1174" s="248"/>
      <c r="B1174" s="249"/>
      <c r="C1174" s="248"/>
      <c r="D1174" s="248"/>
    </row>
    <row r="1175" spans="1:4">
      <c r="A1175" s="248"/>
      <c r="B1175" s="249"/>
      <c r="C1175" s="248"/>
      <c r="D1175" s="248"/>
    </row>
    <row r="1176" spans="1:4">
      <c r="A1176" s="248"/>
      <c r="B1176" s="249"/>
      <c r="C1176" s="248"/>
      <c r="D1176" s="248"/>
    </row>
    <row r="1177" spans="1:4">
      <c r="A1177" s="248"/>
      <c r="B1177" s="249"/>
      <c r="C1177" s="248"/>
      <c r="D1177" s="248"/>
    </row>
    <row r="1178" spans="1:4">
      <c r="A1178" s="248"/>
      <c r="B1178" s="249"/>
      <c r="C1178" s="248"/>
      <c r="D1178" s="248"/>
    </row>
    <row r="1179" spans="1:4">
      <c r="A1179" s="248"/>
      <c r="B1179" s="249"/>
      <c r="C1179" s="248"/>
      <c r="D1179" s="248"/>
    </row>
    <row r="1180" spans="1:4">
      <c r="A1180" s="248"/>
      <c r="B1180" s="249"/>
      <c r="C1180" s="248"/>
      <c r="D1180" s="248"/>
    </row>
    <row r="1181" spans="1:4">
      <c r="A1181" s="248"/>
      <c r="B1181" s="249"/>
      <c r="C1181" s="248"/>
      <c r="D1181" s="248"/>
    </row>
    <row r="1182" spans="1:4">
      <c r="A1182" s="248"/>
      <c r="B1182" s="249"/>
      <c r="C1182" s="248"/>
      <c r="D1182" s="248"/>
    </row>
    <row r="1183" spans="1:4">
      <c r="A1183" s="248"/>
      <c r="B1183" s="249"/>
      <c r="C1183" s="248"/>
      <c r="D1183" s="248"/>
    </row>
    <row r="1184" spans="1:4">
      <c r="A1184" s="248"/>
      <c r="B1184" s="249"/>
      <c r="C1184" s="248"/>
      <c r="D1184" s="248"/>
    </row>
    <row r="1185" spans="1:4">
      <c r="A1185" s="248"/>
      <c r="B1185" s="249"/>
      <c r="C1185" s="248"/>
      <c r="D1185" s="248"/>
    </row>
    <row r="1186" spans="1:4">
      <c r="A1186" s="248"/>
      <c r="B1186" s="249"/>
      <c r="C1186" s="248"/>
      <c r="D1186" s="248"/>
    </row>
    <row r="1187" spans="1:4">
      <c r="A1187" s="248"/>
      <c r="B1187" s="249"/>
      <c r="C1187" s="248"/>
      <c r="D1187" s="248"/>
    </row>
    <row r="1188" spans="1:4">
      <c r="A1188" s="248"/>
      <c r="B1188" s="249"/>
      <c r="C1188" s="248"/>
      <c r="D1188" s="248"/>
    </row>
    <row r="1189" spans="1:4">
      <c r="A1189" s="248"/>
      <c r="B1189" s="249"/>
      <c r="C1189" s="248"/>
      <c r="D1189" s="248"/>
    </row>
    <row r="1190" spans="1:4">
      <c r="A1190" s="248"/>
      <c r="B1190" s="249"/>
      <c r="C1190" s="248"/>
      <c r="D1190" s="248"/>
    </row>
    <row r="1191" spans="1:4">
      <c r="A1191" s="248"/>
      <c r="B1191" s="249"/>
      <c r="C1191" s="248"/>
      <c r="D1191" s="248"/>
    </row>
    <row r="1192" spans="1:4">
      <c r="A1192" s="248"/>
      <c r="B1192" s="249"/>
      <c r="C1192" s="248"/>
      <c r="D1192" s="248"/>
    </row>
    <row r="1193" spans="1:4">
      <c r="A1193" s="248"/>
      <c r="B1193" s="249"/>
      <c r="C1193" s="248"/>
      <c r="D1193" s="248"/>
    </row>
    <row r="1194" spans="1:4">
      <c r="A1194" s="248"/>
      <c r="B1194" s="249"/>
      <c r="C1194" s="248"/>
      <c r="D1194" s="248"/>
    </row>
    <row r="1195" spans="1:4">
      <c r="A1195" s="248"/>
      <c r="B1195" s="249"/>
      <c r="C1195" s="248"/>
      <c r="D1195" s="248"/>
    </row>
    <row r="1196" spans="1:4">
      <c r="A1196" s="248"/>
      <c r="B1196" s="249"/>
      <c r="C1196" s="248"/>
      <c r="D1196" s="248"/>
    </row>
    <row r="1197" spans="1:4">
      <c r="A1197" s="248"/>
      <c r="B1197" s="249"/>
      <c r="C1197" s="248"/>
      <c r="D1197" s="248"/>
    </row>
    <row r="1198" spans="1:4">
      <c r="A1198" s="248"/>
      <c r="B1198" s="249"/>
      <c r="C1198" s="248"/>
      <c r="D1198" s="248"/>
    </row>
    <row r="1199" spans="1:4">
      <c r="A1199" s="248"/>
      <c r="B1199" s="249"/>
      <c r="C1199" s="248"/>
      <c r="D1199" s="248"/>
    </row>
    <row r="1200" spans="1:4">
      <c r="A1200" s="248"/>
      <c r="B1200" s="249"/>
      <c r="C1200" s="248"/>
      <c r="D1200" s="248"/>
    </row>
    <row r="1201" spans="1:4">
      <c r="A1201" s="248"/>
      <c r="B1201" s="249"/>
      <c r="C1201" s="248"/>
      <c r="D1201" s="248"/>
    </row>
    <row r="1202" spans="1:4">
      <c r="A1202" s="248"/>
      <c r="B1202" s="249"/>
      <c r="C1202" s="248"/>
      <c r="D1202" s="248"/>
    </row>
    <row r="1203" spans="1:4">
      <c r="A1203" s="248"/>
      <c r="B1203" s="249"/>
      <c r="C1203" s="248"/>
      <c r="D1203" s="248"/>
    </row>
    <row r="1204" spans="1:4">
      <c r="A1204" s="248"/>
      <c r="B1204" s="249"/>
      <c r="C1204" s="248"/>
      <c r="D1204" s="248"/>
    </row>
    <row r="1205" spans="1:4">
      <c r="A1205" s="248"/>
      <c r="B1205" s="249"/>
      <c r="C1205" s="248"/>
      <c r="D1205" s="248"/>
    </row>
    <row r="1206" spans="1:4">
      <c r="A1206" s="248"/>
      <c r="B1206" s="249"/>
      <c r="C1206" s="248"/>
      <c r="D1206" s="248"/>
    </row>
    <row r="1207" spans="1:4">
      <c r="A1207" s="248"/>
      <c r="B1207" s="249"/>
      <c r="C1207" s="248"/>
      <c r="D1207" s="248"/>
    </row>
    <row r="1208" spans="1:4">
      <c r="A1208" s="248"/>
      <c r="B1208" s="249"/>
      <c r="C1208" s="248"/>
      <c r="D1208" s="248"/>
    </row>
    <row r="1209" spans="1:4">
      <c r="A1209" s="248"/>
      <c r="B1209" s="249"/>
      <c r="C1209" s="248"/>
      <c r="D1209" s="248"/>
    </row>
    <row r="1210" spans="1:4">
      <c r="A1210" s="248"/>
      <c r="B1210" s="249"/>
      <c r="C1210" s="248"/>
      <c r="D1210" s="248"/>
    </row>
    <row r="1211" spans="1:4">
      <c r="A1211" s="248"/>
      <c r="B1211" s="249"/>
      <c r="C1211" s="248"/>
      <c r="D1211" s="248"/>
    </row>
    <row r="1212" spans="1:4">
      <c r="A1212" s="248"/>
      <c r="B1212" s="249"/>
      <c r="C1212" s="248"/>
      <c r="D1212" s="248"/>
    </row>
    <row r="1213" spans="1:4">
      <c r="A1213" s="248"/>
      <c r="B1213" s="249"/>
      <c r="C1213" s="248"/>
      <c r="D1213" s="248"/>
    </row>
    <row r="1214" spans="1:4">
      <c r="A1214" s="248"/>
      <c r="B1214" s="249"/>
      <c r="C1214" s="248"/>
      <c r="D1214" s="248"/>
    </row>
    <row r="1215" spans="1:4">
      <c r="A1215" s="248"/>
      <c r="B1215" s="249"/>
      <c r="C1215" s="248"/>
      <c r="D1215" s="248"/>
    </row>
    <row r="1216" spans="1:4">
      <c r="A1216" s="248"/>
      <c r="B1216" s="249"/>
      <c r="C1216" s="248"/>
      <c r="D1216" s="248"/>
    </row>
    <row r="1217" spans="1:4">
      <c r="A1217" s="248"/>
      <c r="B1217" s="249"/>
      <c r="C1217" s="248"/>
      <c r="D1217" s="248"/>
    </row>
    <row r="1218" spans="1:4">
      <c r="A1218" s="248"/>
      <c r="B1218" s="249"/>
      <c r="C1218" s="248"/>
      <c r="D1218" s="248"/>
    </row>
    <row r="1219" spans="1:4">
      <c r="A1219" s="248"/>
      <c r="B1219" s="249"/>
      <c r="C1219" s="248"/>
      <c r="D1219" s="248"/>
    </row>
    <row r="1220" spans="1:4">
      <c r="A1220" s="248"/>
      <c r="B1220" s="249"/>
      <c r="C1220" s="248"/>
      <c r="D1220" s="248"/>
    </row>
    <row r="1221" spans="1:4">
      <c r="A1221" s="248"/>
      <c r="B1221" s="249"/>
      <c r="C1221" s="248"/>
      <c r="D1221" s="248"/>
    </row>
    <row r="1222" spans="1:4">
      <c r="A1222" s="246"/>
      <c r="B1222" s="246"/>
      <c r="C1222" s="246"/>
      <c r="D1222" s="247"/>
    </row>
    <row r="1223" spans="1:4">
      <c r="A1223" s="246"/>
      <c r="B1223" s="246"/>
      <c r="C1223" s="246"/>
      <c r="D1223" s="247"/>
    </row>
    <row r="1224" spans="1:4">
      <c r="A1224" s="248"/>
      <c r="B1224" s="249"/>
      <c r="C1224" s="248"/>
      <c r="D1224" s="248"/>
    </row>
    <row r="1225" spans="1:4">
      <c r="A1225" s="248"/>
      <c r="B1225" s="249"/>
      <c r="C1225" s="248"/>
      <c r="D1225" s="248"/>
    </row>
    <row r="1226" spans="1:4">
      <c r="A1226" s="248"/>
      <c r="B1226" s="249"/>
      <c r="C1226" s="248"/>
      <c r="D1226" s="248"/>
    </row>
    <row r="1227" spans="1:4">
      <c r="A1227" s="248"/>
      <c r="B1227" s="249"/>
      <c r="C1227" s="248"/>
      <c r="D1227" s="248"/>
    </row>
    <row r="1228" spans="1:4">
      <c r="A1228" s="248"/>
      <c r="B1228" s="249"/>
      <c r="C1228" s="248"/>
      <c r="D1228" s="248"/>
    </row>
    <row r="1229" spans="1:4">
      <c r="A1229" s="248"/>
      <c r="B1229" s="249"/>
      <c r="C1229" s="248"/>
      <c r="D1229" s="248"/>
    </row>
    <row r="1230" spans="1:4">
      <c r="A1230" s="248"/>
      <c r="B1230" s="249"/>
      <c r="C1230" s="248"/>
      <c r="D1230" s="248"/>
    </row>
    <row r="1231" spans="1:4">
      <c r="A1231" s="248"/>
      <c r="B1231" s="249"/>
      <c r="C1231" s="248"/>
      <c r="D1231" s="248"/>
    </row>
    <row r="1232" spans="1:4">
      <c r="A1232" s="246"/>
      <c r="B1232" s="246"/>
      <c r="C1232" s="246"/>
      <c r="D1232" s="247"/>
    </row>
    <row r="1233" spans="1:4">
      <c r="A1233" s="248"/>
      <c r="B1233" s="249"/>
      <c r="C1233" s="248"/>
      <c r="D1233" s="248"/>
    </row>
    <row r="1234" spans="1:4">
      <c r="A1234" s="248"/>
      <c r="B1234" s="249"/>
      <c r="C1234" s="248"/>
      <c r="D1234" s="248"/>
    </row>
    <row r="1235" spans="1:4">
      <c r="A1235" s="248"/>
      <c r="B1235" s="249"/>
      <c r="C1235" s="248"/>
      <c r="D1235" s="248"/>
    </row>
    <row r="1236" spans="1:4">
      <c r="A1236" s="248"/>
      <c r="B1236" s="249"/>
      <c r="C1236" s="248"/>
      <c r="D1236" s="248"/>
    </row>
    <row r="1237" spans="1:4">
      <c r="A1237" s="246"/>
      <c r="B1237" s="246"/>
      <c r="C1237" s="246"/>
      <c r="D1237" s="247"/>
    </row>
    <row r="1238" spans="1:4">
      <c r="A1238" s="248"/>
      <c r="B1238" s="249"/>
      <c r="C1238" s="248"/>
      <c r="D1238" s="248"/>
    </row>
    <row r="1239" spans="1:4">
      <c r="A1239" s="246"/>
      <c r="B1239" s="246"/>
      <c r="C1239" s="246"/>
      <c r="D1239" s="247"/>
    </row>
    <row r="1240" spans="1:4">
      <c r="A1240" s="248"/>
      <c r="B1240" s="249"/>
      <c r="C1240" s="248"/>
      <c r="D1240" s="248"/>
    </row>
    <row r="1241" spans="1:4">
      <c r="A1241" s="248"/>
      <c r="B1241" s="249"/>
      <c r="C1241" s="248"/>
      <c r="D1241" s="248"/>
    </row>
    <row r="1242" spans="1:4">
      <c r="A1242" s="248"/>
      <c r="B1242" s="249"/>
      <c r="C1242" s="248"/>
      <c r="D1242" s="248"/>
    </row>
    <row r="1243" spans="1:4">
      <c r="A1243" s="248"/>
      <c r="B1243" s="249"/>
      <c r="C1243" s="248"/>
      <c r="D1243" s="248"/>
    </row>
    <row r="1244" spans="1:4">
      <c r="A1244" s="248"/>
      <c r="B1244" s="249"/>
      <c r="C1244" s="248"/>
      <c r="D1244" s="248"/>
    </row>
    <row r="1245" spans="1:4">
      <c r="A1245" s="246"/>
      <c r="B1245" s="246"/>
      <c r="C1245" s="246"/>
      <c r="D1245" s="247"/>
    </row>
    <row r="1246" spans="1:4">
      <c r="A1246" s="248"/>
      <c r="B1246" s="249"/>
      <c r="C1246" s="248"/>
      <c r="D1246" s="248"/>
    </row>
    <row r="1247" spans="1:4">
      <c r="A1247" s="248"/>
      <c r="B1247" s="249"/>
      <c r="C1247" s="248"/>
      <c r="D1247" s="248"/>
    </row>
    <row r="1248" spans="1:4">
      <c r="A1248" s="248"/>
      <c r="B1248" s="249"/>
      <c r="C1248" s="248"/>
      <c r="D1248" s="248"/>
    </row>
    <row r="1249" spans="1:4">
      <c r="A1249" s="248"/>
      <c r="B1249" s="249"/>
      <c r="C1249" s="248"/>
      <c r="D1249" s="248"/>
    </row>
    <row r="1250" spans="1:4">
      <c r="A1250" s="248"/>
      <c r="B1250" s="249"/>
      <c r="C1250" s="248"/>
      <c r="D1250" s="248"/>
    </row>
    <row r="1251" spans="1:4">
      <c r="A1251" s="248"/>
      <c r="B1251" s="249"/>
      <c r="C1251" s="248"/>
      <c r="D1251" s="248"/>
    </row>
    <row r="1252" spans="1:4">
      <c r="A1252" s="248"/>
      <c r="B1252" s="249"/>
      <c r="C1252" s="248"/>
      <c r="D1252" s="248"/>
    </row>
    <row r="1253" spans="1:4">
      <c r="A1253" s="246"/>
      <c r="B1253" s="246"/>
      <c r="C1253" s="246"/>
      <c r="D1253" s="247"/>
    </row>
    <row r="1254" spans="1:4">
      <c r="A1254" s="248"/>
      <c r="B1254" s="249"/>
      <c r="C1254" s="248"/>
      <c r="D1254" s="248"/>
    </row>
    <row r="1255" spans="1:4">
      <c r="A1255" s="248"/>
      <c r="B1255" s="249"/>
      <c r="C1255" s="248"/>
      <c r="D1255" s="248"/>
    </row>
    <row r="1256" spans="1:4">
      <c r="A1256" s="248"/>
      <c r="B1256" s="249"/>
      <c r="C1256" s="248"/>
      <c r="D1256" s="248"/>
    </row>
    <row r="1257" spans="1:4">
      <c r="A1257" s="248"/>
      <c r="B1257" s="249"/>
      <c r="C1257" s="248"/>
      <c r="D1257" s="248"/>
    </row>
    <row r="1258" spans="1:4">
      <c r="A1258" s="246"/>
      <c r="B1258" s="246"/>
      <c r="C1258" s="246"/>
      <c r="D1258" s="247"/>
    </row>
    <row r="1259" spans="1:4">
      <c r="A1259" s="248"/>
      <c r="B1259" s="249"/>
      <c r="C1259" s="248"/>
      <c r="D1259" s="248"/>
    </row>
    <row r="1260" spans="1:4">
      <c r="A1260" s="248"/>
      <c r="B1260" s="249"/>
      <c r="C1260" s="248"/>
      <c r="D1260" s="248"/>
    </row>
    <row r="1261" spans="1:4">
      <c r="A1261" s="248"/>
      <c r="B1261" s="249"/>
      <c r="C1261" s="248"/>
      <c r="D1261" s="248"/>
    </row>
    <row r="1262" spans="1:4">
      <c r="A1262" s="248"/>
      <c r="B1262" s="249"/>
      <c r="C1262" s="248"/>
      <c r="D1262" s="248"/>
    </row>
    <row r="1263" spans="1:4">
      <c r="A1263" s="248"/>
      <c r="B1263" s="249"/>
      <c r="C1263" s="248"/>
      <c r="D1263" s="248"/>
    </row>
    <row r="1264" spans="1:4">
      <c r="A1264" s="246"/>
      <c r="B1264" s="246"/>
      <c r="C1264" s="246"/>
      <c r="D1264" s="247"/>
    </row>
    <row r="1265" spans="1:4">
      <c r="A1265" s="246"/>
      <c r="B1265" s="246"/>
      <c r="C1265" s="246"/>
      <c r="D1265" s="247"/>
    </row>
    <row r="1266" spans="1:4">
      <c r="A1266" s="248"/>
      <c r="B1266" s="249"/>
      <c r="C1266" s="248"/>
      <c r="D1266" s="248"/>
    </row>
    <row r="1267" spans="1:4">
      <c r="A1267" s="246"/>
      <c r="B1267" s="246"/>
      <c r="C1267" s="246"/>
      <c r="D1267" s="247"/>
    </row>
    <row r="1268" spans="1:4">
      <c r="A1268" s="248"/>
      <c r="B1268" s="249"/>
      <c r="C1268" s="248"/>
      <c r="D1268" s="248"/>
    </row>
    <row r="1269" spans="1:4">
      <c r="A1269" s="248"/>
      <c r="B1269" s="249"/>
      <c r="C1269" s="248"/>
      <c r="D1269" s="248"/>
    </row>
    <row r="1270" spans="1:4">
      <c r="A1270" s="248"/>
      <c r="B1270" s="249"/>
      <c r="C1270" s="248"/>
      <c r="D1270" s="248"/>
    </row>
    <row r="1271" spans="1:4">
      <c r="A1271" s="248"/>
      <c r="B1271" s="249"/>
      <c r="C1271" s="248"/>
      <c r="D1271" s="248"/>
    </row>
    <row r="1272" spans="1:4">
      <c r="A1272" s="248"/>
      <c r="B1272" s="249"/>
      <c r="C1272" s="248"/>
      <c r="D1272" s="248"/>
    </row>
    <row r="1273" spans="1:4">
      <c r="A1273" s="248"/>
      <c r="B1273" s="249"/>
      <c r="C1273" s="248"/>
      <c r="D1273" s="248"/>
    </row>
    <row r="1274" spans="1:4">
      <c r="A1274" s="248"/>
      <c r="B1274" s="249"/>
      <c r="C1274" s="248"/>
      <c r="D1274" s="248"/>
    </row>
    <row r="1275" spans="1:4">
      <c r="A1275" s="246"/>
      <c r="B1275" s="246"/>
      <c r="C1275" s="246"/>
      <c r="D1275" s="247"/>
    </row>
    <row r="1276" spans="1:4">
      <c r="A1276" s="248"/>
      <c r="B1276" s="249"/>
      <c r="C1276" s="248"/>
      <c r="D1276" s="248"/>
    </row>
    <row r="1277" spans="1:4">
      <c r="A1277" s="248"/>
      <c r="B1277" s="249"/>
      <c r="C1277" s="248"/>
      <c r="D1277" s="248"/>
    </row>
    <row r="1278" spans="1:4">
      <c r="A1278" s="248"/>
      <c r="B1278" s="249"/>
      <c r="C1278" s="248"/>
      <c r="D1278" s="248"/>
    </row>
    <row r="1279" spans="1:4">
      <c r="A1279" s="248"/>
      <c r="B1279" s="249"/>
      <c r="C1279" s="248"/>
      <c r="D1279" s="248"/>
    </row>
    <row r="1280" spans="1:4">
      <c r="A1280" s="248"/>
      <c r="B1280" s="249"/>
      <c r="C1280" s="248"/>
      <c r="D1280" s="248"/>
    </row>
    <row r="1281" spans="1:4">
      <c r="A1281" s="248"/>
      <c r="B1281" s="249"/>
      <c r="C1281" s="248"/>
      <c r="D1281" s="248"/>
    </row>
    <row r="1282" spans="1:4">
      <c r="A1282" s="248"/>
      <c r="B1282" s="249"/>
      <c r="C1282" s="248"/>
      <c r="D1282" s="248"/>
    </row>
    <row r="1283" spans="1:4">
      <c r="A1283" s="248"/>
      <c r="B1283" s="249"/>
      <c r="C1283" s="248"/>
      <c r="D1283" s="248"/>
    </row>
    <row r="1284" spans="1:4">
      <c r="A1284" s="248"/>
      <c r="B1284" s="249"/>
      <c r="C1284" s="248"/>
      <c r="D1284" s="248"/>
    </row>
    <row r="1285" spans="1:4">
      <c r="A1285" s="248"/>
      <c r="B1285" s="249"/>
      <c r="C1285" s="248"/>
      <c r="D1285" s="248"/>
    </row>
    <row r="1286" spans="1:4">
      <c r="A1286" s="248"/>
      <c r="B1286" s="249"/>
      <c r="C1286" s="248"/>
      <c r="D1286" s="248"/>
    </row>
    <row r="1287" spans="1:4">
      <c r="A1287" s="248"/>
      <c r="B1287" s="249"/>
      <c r="C1287" s="248"/>
      <c r="D1287" s="248"/>
    </row>
    <row r="1288" spans="1:4">
      <c r="A1288" s="248"/>
      <c r="B1288" s="249"/>
      <c r="C1288" s="248"/>
      <c r="D1288" s="248"/>
    </row>
    <row r="1289" spans="1:4">
      <c r="A1289" s="248"/>
      <c r="B1289" s="249"/>
      <c r="C1289" s="248"/>
      <c r="D1289" s="248"/>
    </row>
    <row r="1290" spans="1:4">
      <c r="A1290" s="248"/>
      <c r="B1290" s="249"/>
      <c r="C1290" s="248"/>
      <c r="D1290" s="248"/>
    </row>
    <row r="1291" spans="1:4">
      <c r="A1291" s="248"/>
      <c r="B1291" s="249"/>
      <c r="C1291" s="248"/>
      <c r="D1291" s="248"/>
    </row>
    <row r="1292" spans="1:4">
      <c r="A1292" s="248"/>
      <c r="B1292" s="249"/>
      <c r="C1292" s="248"/>
      <c r="D1292" s="248"/>
    </row>
    <row r="1293" spans="1:4">
      <c r="A1293" s="248"/>
      <c r="B1293" s="249"/>
      <c r="C1293" s="248"/>
      <c r="D1293" s="248"/>
    </row>
    <row r="1294" spans="1:4">
      <c r="A1294" s="248"/>
      <c r="B1294" s="249"/>
      <c r="C1294" s="248"/>
      <c r="D1294" s="248"/>
    </row>
    <row r="1295" spans="1:4">
      <c r="A1295" s="248"/>
      <c r="B1295" s="249"/>
      <c r="C1295" s="248"/>
      <c r="D1295" s="248"/>
    </row>
    <row r="1296" spans="1:4">
      <c r="A1296" s="248"/>
      <c r="B1296" s="249"/>
      <c r="C1296" s="248"/>
      <c r="D1296" s="248"/>
    </row>
    <row r="1297" spans="1:4">
      <c r="A1297" s="246"/>
      <c r="B1297" s="246"/>
      <c r="C1297" s="246"/>
      <c r="D1297" s="247"/>
    </row>
    <row r="1298" spans="1:4">
      <c r="A1298" s="248"/>
      <c r="B1298" s="249"/>
      <c r="C1298" s="248"/>
      <c r="D1298" s="248"/>
    </row>
    <row r="1299" spans="1:4">
      <c r="A1299" s="246"/>
      <c r="B1299" s="246"/>
      <c r="C1299" s="246"/>
      <c r="D1299" s="247"/>
    </row>
    <row r="1300" spans="1:4">
      <c r="A1300" s="246"/>
      <c r="B1300" s="246"/>
      <c r="C1300" s="246"/>
      <c r="D1300" s="247"/>
    </row>
    <row r="1301" spans="1:4">
      <c r="A1301" s="248"/>
      <c r="B1301" s="249"/>
      <c r="C1301" s="248"/>
      <c r="D1301" s="248"/>
    </row>
    <row r="1302" spans="1:4">
      <c r="A1302" s="248"/>
      <c r="B1302" s="249"/>
      <c r="C1302" s="248"/>
      <c r="D1302" s="248"/>
    </row>
    <row r="1303" spans="1:4">
      <c r="A1303" s="246"/>
      <c r="B1303" s="246"/>
      <c r="C1303" s="246"/>
      <c r="D1303" s="247"/>
    </row>
    <row r="1304" spans="1:4">
      <c r="A1304" s="248"/>
      <c r="B1304" s="249"/>
      <c r="C1304" s="248"/>
      <c r="D1304" s="248"/>
    </row>
    <row r="1305" spans="1:4">
      <c r="A1305" s="248"/>
      <c r="B1305" s="249"/>
      <c r="C1305" s="248"/>
      <c r="D1305" s="248"/>
    </row>
    <row r="1306" spans="1:4">
      <c r="A1306" s="248"/>
      <c r="B1306" s="249"/>
      <c r="C1306" s="248"/>
      <c r="D1306" s="248"/>
    </row>
    <row r="1307" spans="1:4">
      <c r="A1307" s="248"/>
      <c r="B1307" s="249"/>
      <c r="C1307" s="248"/>
      <c r="D1307" s="248"/>
    </row>
    <row r="1308" spans="1:4">
      <c r="A1308" s="248"/>
      <c r="B1308" s="249"/>
      <c r="C1308" s="248"/>
      <c r="D1308" s="248"/>
    </row>
    <row r="1309" spans="1:4">
      <c r="A1309" s="246"/>
      <c r="B1309" s="246"/>
      <c r="C1309" s="246"/>
      <c r="D1309" s="247"/>
    </row>
    <row r="1310" spans="1:4">
      <c r="A1310" s="248"/>
      <c r="B1310" s="249"/>
      <c r="C1310" s="248"/>
      <c r="D1310" s="248"/>
    </row>
    <row r="1311" spans="1:4">
      <c r="A1311" s="248"/>
      <c r="B1311" s="249"/>
      <c r="C1311" s="248"/>
      <c r="D1311" s="248"/>
    </row>
    <row r="1312" spans="1:4">
      <c r="A1312" s="248"/>
      <c r="B1312" s="249"/>
      <c r="C1312" s="248"/>
      <c r="D1312" s="248"/>
    </row>
    <row r="1313" spans="1:4">
      <c r="A1313" s="248"/>
      <c r="B1313" s="249"/>
      <c r="C1313" s="248"/>
      <c r="D1313" s="248"/>
    </row>
    <row r="1314" spans="1:4">
      <c r="A1314" s="248"/>
      <c r="B1314" s="249"/>
      <c r="C1314" s="248"/>
      <c r="D1314" s="248"/>
    </row>
    <row r="1315" spans="1:4">
      <c r="A1315" s="246"/>
      <c r="B1315" s="246"/>
      <c r="C1315" s="246"/>
      <c r="D1315" s="247"/>
    </row>
    <row r="1316" spans="1:4">
      <c r="A1316" s="248"/>
      <c r="B1316" s="249"/>
      <c r="C1316" s="248"/>
      <c r="D1316" s="248"/>
    </row>
    <row r="1317" spans="1:4">
      <c r="A1317" s="248"/>
      <c r="B1317" s="249"/>
      <c r="C1317" s="248"/>
      <c r="D1317" s="248"/>
    </row>
    <row r="1318" spans="1:4">
      <c r="A1318" s="248"/>
      <c r="B1318" s="249"/>
      <c r="C1318" s="248"/>
      <c r="D1318" s="248"/>
    </row>
    <row r="1319" spans="1:4">
      <c r="A1319" s="246"/>
      <c r="B1319" s="246"/>
      <c r="C1319" s="246"/>
      <c r="D1319" s="247"/>
    </row>
    <row r="1320" spans="1:4">
      <c r="A1320" s="246"/>
      <c r="B1320" s="246"/>
      <c r="C1320" s="246"/>
      <c r="D1320" s="247"/>
    </row>
    <row r="1321" spans="1:4">
      <c r="A1321" s="248"/>
      <c r="B1321" s="249"/>
      <c r="C1321" s="248"/>
      <c r="D1321" s="248"/>
    </row>
    <row r="1322" spans="1:4">
      <c r="A1322" s="248"/>
      <c r="B1322" s="249"/>
      <c r="C1322" s="248"/>
      <c r="D1322" s="248"/>
    </row>
    <row r="1323" spans="1:4">
      <c r="A1323" s="248"/>
      <c r="B1323" s="249"/>
      <c r="C1323" s="248"/>
      <c r="D1323" s="248"/>
    </row>
    <row r="1324" spans="1:4">
      <c r="A1324" s="248"/>
      <c r="B1324" s="249"/>
      <c r="C1324" s="248"/>
      <c r="D1324" s="248"/>
    </row>
    <row r="1325" spans="1:4">
      <c r="A1325" s="248"/>
      <c r="B1325" s="249"/>
      <c r="C1325" s="248"/>
      <c r="D1325" s="248"/>
    </row>
    <row r="1326" spans="1:4">
      <c r="A1326" s="248"/>
      <c r="B1326" s="249"/>
      <c r="C1326" s="248"/>
      <c r="D1326" s="248"/>
    </row>
    <row r="1327" spans="1:4">
      <c r="A1327" s="248"/>
      <c r="B1327" s="249"/>
      <c r="C1327" s="248"/>
      <c r="D1327" s="248"/>
    </row>
    <row r="1328" spans="1:4">
      <c r="A1328" s="248"/>
      <c r="B1328" s="249"/>
      <c r="C1328" s="248"/>
      <c r="D1328" s="248"/>
    </row>
    <row r="1329" spans="1:4">
      <c r="A1329" s="248"/>
      <c r="B1329" s="249"/>
      <c r="C1329" s="248"/>
      <c r="D1329" s="248"/>
    </row>
    <row r="1330" spans="1:4">
      <c r="A1330" s="248"/>
      <c r="B1330" s="249"/>
      <c r="C1330" s="248"/>
      <c r="D1330" s="248"/>
    </row>
    <row r="1331" spans="1:4">
      <c r="A1331" s="246"/>
      <c r="B1331" s="246"/>
      <c r="C1331" s="246"/>
      <c r="D1331" s="247"/>
    </row>
    <row r="1332" spans="1:4">
      <c r="A1332" s="248"/>
      <c r="B1332" s="249"/>
      <c r="C1332" s="248"/>
      <c r="D1332" s="248"/>
    </row>
    <row r="1333" spans="1:4">
      <c r="A1333" s="248"/>
      <c r="B1333" s="249"/>
      <c r="C1333" s="248"/>
      <c r="D1333" s="248"/>
    </row>
    <row r="1334" spans="1:4">
      <c r="A1334" s="248"/>
      <c r="B1334" s="249"/>
      <c r="C1334" s="248"/>
      <c r="D1334" s="248"/>
    </row>
    <row r="1335" spans="1:4">
      <c r="A1335" s="248"/>
      <c r="B1335" s="249"/>
      <c r="C1335" s="248"/>
      <c r="D1335" s="248"/>
    </row>
    <row r="1336" spans="1:4">
      <c r="A1336" s="248"/>
      <c r="B1336" s="249"/>
      <c r="C1336" s="248"/>
      <c r="D1336" s="248"/>
    </row>
    <row r="1337" spans="1:4">
      <c r="A1337" s="248"/>
      <c r="B1337" s="249"/>
      <c r="C1337" s="248"/>
      <c r="D1337" s="248"/>
    </row>
    <row r="1338" spans="1:4">
      <c r="A1338" s="248"/>
      <c r="B1338" s="249"/>
      <c r="C1338" s="248"/>
      <c r="D1338" s="248"/>
    </row>
    <row r="1339" spans="1:4">
      <c r="A1339" s="246"/>
      <c r="B1339" s="246"/>
      <c r="C1339" s="246"/>
      <c r="D1339" s="247"/>
    </row>
    <row r="1340" spans="1:4">
      <c r="A1340" s="248"/>
      <c r="B1340" s="249"/>
      <c r="C1340" s="248"/>
      <c r="D1340" s="248"/>
    </row>
    <row r="1341" spans="1:4">
      <c r="A1341" s="246"/>
      <c r="B1341" s="246"/>
      <c r="C1341" s="246"/>
      <c r="D1341" s="247"/>
    </row>
    <row r="1342" spans="1:4">
      <c r="A1342" s="248"/>
      <c r="B1342" s="249"/>
      <c r="C1342" s="248"/>
      <c r="D1342" s="248"/>
    </row>
    <row r="1343" spans="1:4">
      <c r="A1343" s="246"/>
      <c r="B1343" s="246"/>
      <c r="C1343" s="246"/>
      <c r="D1343" s="247"/>
    </row>
    <row r="1344" spans="1:4">
      <c r="A1344" s="246"/>
      <c r="B1344" s="246"/>
      <c r="C1344" s="246"/>
      <c r="D1344" s="247"/>
    </row>
    <row r="1345" spans="1:4">
      <c r="A1345" s="248"/>
      <c r="B1345" s="249"/>
      <c r="C1345" s="248"/>
      <c r="D1345" s="248"/>
    </row>
    <row r="1346" spans="1:4">
      <c r="A1346" s="246"/>
      <c r="B1346" s="246"/>
      <c r="C1346" s="246"/>
      <c r="D1346" s="247"/>
    </row>
    <row r="1347" spans="1:4">
      <c r="A1347" s="248"/>
      <c r="B1347" s="249"/>
      <c r="C1347" s="248"/>
      <c r="D1347" s="248"/>
    </row>
    <row r="1348" spans="1:4">
      <c r="A1348" s="248"/>
      <c r="B1348" s="249"/>
      <c r="C1348" s="248"/>
      <c r="D1348" s="248"/>
    </row>
    <row r="1349" spans="1:4">
      <c r="A1349" s="248"/>
      <c r="B1349" s="249"/>
      <c r="C1349" s="248"/>
      <c r="D1349" s="248"/>
    </row>
    <row r="1350" spans="1:4">
      <c r="A1350" s="248"/>
      <c r="B1350" s="249"/>
      <c r="C1350" s="248"/>
      <c r="D1350" s="248"/>
    </row>
    <row r="1351" spans="1:4">
      <c r="A1351" s="246"/>
      <c r="B1351" s="246"/>
      <c r="C1351" s="246"/>
      <c r="D1351" s="247"/>
    </row>
    <row r="1352" spans="1:4">
      <c r="A1352" s="248"/>
      <c r="B1352" s="249"/>
      <c r="C1352" s="248"/>
      <c r="D1352" s="248"/>
    </row>
    <row r="1353" spans="1:4">
      <c r="A1353" s="248"/>
      <c r="B1353" s="249"/>
      <c r="C1353" s="248"/>
      <c r="D1353" s="248"/>
    </row>
    <row r="1354" spans="1:4">
      <c r="A1354" s="248"/>
      <c r="B1354" s="249"/>
      <c r="C1354" s="248"/>
      <c r="D1354" s="248"/>
    </row>
    <row r="1355" spans="1:4">
      <c r="A1355" s="246"/>
      <c r="B1355" s="246"/>
      <c r="C1355" s="246"/>
      <c r="D1355" s="247"/>
    </row>
    <row r="1356" spans="1:4">
      <c r="A1356" s="246"/>
      <c r="B1356" s="246"/>
      <c r="C1356" s="246"/>
      <c r="D1356" s="247"/>
    </row>
    <row r="1357" spans="1:4">
      <c r="A1357" s="248"/>
      <c r="B1357" s="249"/>
      <c r="C1357" s="248"/>
      <c r="D1357" s="248"/>
    </row>
    <row r="1358" spans="1:4">
      <c r="A1358" s="248"/>
      <c r="B1358" s="249"/>
      <c r="C1358" s="248"/>
      <c r="D1358" s="248"/>
    </row>
    <row r="1359" spans="1:4">
      <c r="A1359" s="246"/>
      <c r="B1359" s="246"/>
      <c r="C1359" s="246"/>
      <c r="D1359" s="247"/>
    </row>
    <row r="1360" spans="1:4">
      <c r="A1360" s="246"/>
      <c r="B1360" s="246"/>
      <c r="C1360" s="246"/>
      <c r="D1360" s="247"/>
    </row>
    <row r="1361" spans="1:4">
      <c r="A1361" s="248"/>
      <c r="B1361" s="249"/>
      <c r="C1361" s="248"/>
      <c r="D1361" s="248"/>
    </row>
    <row r="1362" spans="1:4">
      <c r="A1362" s="248"/>
      <c r="B1362" s="249"/>
      <c r="C1362" s="248"/>
      <c r="D1362" s="248"/>
    </row>
    <row r="1363" spans="1:4">
      <c r="A1363" s="246"/>
      <c r="B1363" s="246"/>
      <c r="C1363" s="246"/>
      <c r="D1363" s="247"/>
    </row>
    <row r="1364" spans="1:4">
      <c r="A1364" s="248"/>
      <c r="B1364" s="249"/>
      <c r="C1364" s="248"/>
      <c r="D1364" s="248"/>
    </row>
    <row r="1365" spans="1:4">
      <c r="A1365" s="248"/>
      <c r="B1365" s="249"/>
      <c r="C1365" s="248"/>
      <c r="D1365" s="248"/>
    </row>
    <row r="1366" spans="1:4">
      <c r="A1366" s="246"/>
      <c r="B1366" s="246"/>
      <c r="C1366" s="246"/>
      <c r="D1366" s="247"/>
    </row>
    <row r="1367" spans="1:4">
      <c r="A1367" s="246"/>
      <c r="B1367" s="246"/>
      <c r="C1367" s="246"/>
      <c r="D1367" s="247"/>
    </row>
    <row r="1368" spans="1:4">
      <c r="A1368" s="248"/>
      <c r="B1368" s="249"/>
      <c r="C1368" s="248"/>
      <c r="D1368" s="248"/>
    </row>
    <row r="1369" spans="1:4">
      <c r="A1369" s="248"/>
      <c r="B1369" s="249"/>
      <c r="C1369" s="248"/>
      <c r="D1369" s="248"/>
    </row>
    <row r="1370" spans="1:4">
      <c r="A1370" s="248"/>
      <c r="B1370" s="249"/>
      <c r="C1370" s="248"/>
      <c r="D1370" s="248"/>
    </row>
    <row r="1371" spans="1:4">
      <c r="A1371" s="248"/>
      <c r="B1371" s="249"/>
      <c r="C1371" s="248"/>
      <c r="D1371" s="248"/>
    </row>
    <row r="1372" spans="1:4">
      <c r="A1372" s="248"/>
      <c r="B1372" s="249"/>
      <c r="C1372" s="248"/>
      <c r="D1372" s="248"/>
    </row>
    <row r="1373" spans="1:4">
      <c r="A1373" s="248"/>
      <c r="B1373" s="249"/>
      <c r="C1373" s="248"/>
      <c r="D1373" s="248"/>
    </row>
    <row r="1374" spans="1:4">
      <c r="A1374" s="248"/>
      <c r="B1374" s="249"/>
      <c r="C1374" s="248"/>
      <c r="D1374" s="248"/>
    </row>
    <row r="1375" spans="1:4">
      <c r="A1375" s="248"/>
      <c r="B1375" s="249"/>
      <c r="C1375" s="248"/>
      <c r="D1375" s="248"/>
    </row>
    <row r="1376" spans="1:4">
      <c r="A1376" s="248"/>
      <c r="B1376" s="249"/>
      <c r="C1376" s="248"/>
      <c r="D1376" s="248"/>
    </row>
    <row r="1377" spans="1:4">
      <c r="A1377" s="248"/>
      <c r="B1377" s="249"/>
      <c r="C1377" s="248"/>
      <c r="D1377" s="248"/>
    </row>
    <row r="1378" spans="1:4">
      <c r="A1378" s="248"/>
      <c r="B1378" s="249"/>
      <c r="C1378" s="248"/>
      <c r="D1378" s="248"/>
    </row>
    <row r="1379" spans="1:4">
      <c r="A1379" s="248"/>
      <c r="B1379" s="249"/>
      <c r="C1379" s="248"/>
      <c r="D1379" s="248"/>
    </row>
    <row r="1380" spans="1:4">
      <c r="A1380" s="248"/>
      <c r="B1380" s="249"/>
      <c r="C1380" s="248"/>
      <c r="D1380" s="248"/>
    </row>
    <row r="1381" spans="1:4">
      <c r="A1381" s="248"/>
      <c r="B1381" s="249"/>
      <c r="C1381" s="248"/>
      <c r="D1381" s="248"/>
    </row>
    <row r="1382" spans="1:4">
      <c r="A1382" s="248"/>
      <c r="B1382" s="249"/>
      <c r="C1382" s="248"/>
      <c r="D1382" s="248"/>
    </row>
    <row r="1383" spans="1:4">
      <c r="A1383" s="248"/>
      <c r="B1383" s="249"/>
      <c r="C1383" s="248"/>
      <c r="D1383" s="248"/>
    </row>
    <row r="1384" spans="1:4">
      <c r="A1384" s="248"/>
      <c r="B1384" s="249"/>
      <c r="C1384" s="248"/>
      <c r="D1384" s="248"/>
    </row>
    <row r="1385" spans="1:4">
      <c r="A1385" s="248"/>
      <c r="B1385" s="249"/>
      <c r="C1385" s="248"/>
      <c r="D1385" s="248"/>
    </row>
    <row r="1386" spans="1:4">
      <c r="A1386" s="248"/>
      <c r="B1386" s="249"/>
      <c r="C1386" s="248"/>
      <c r="D1386" s="248"/>
    </row>
    <row r="1387" spans="1:4">
      <c r="A1387" s="248"/>
      <c r="B1387" s="249"/>
      <c r="C1387" s="248"/>
      <c r="D1387" s="248"/>
    </row>
    <row r="1388" spans="1:4">
      <c r="A1388" s="248"/>
      <c r="B1388" s="249"/>
      <c r="C1388" s="248"/>
      <c r="D1388" s="248"/>
    </row>
    <row r="1389" spans="1:4">
      <c r="A1389" s="246"/>
      <c r="B1389" s="246"/>
      <c r="C1389" s="246"/>
      <c r="D1389" s="247"/>
    </row>
    <row r="1390" spans="1:4">
      <c r="A1390" s="248"/>
      <c r="B1390" s="249"/>
      <c r="C1390" s="248"/>
      <c r="D1390" s="248"/>
    </row>
    <row r="1391" spans="1:4">
      <c r="A1391" s="248"/>
      <c r="B1391" s="249"/>
      <c r="C1391" s="248"/>
      <c r="D1391" s="248"/>
    </row>
    <row r="1392" spans="1:4">
      <c r="A1392" s="248"/>
      <c r="B1392" s="249"/>
      <c r="C1392" s="248"/>
      <c r="D1392" s="248"/>
    </row>
    <row r="1393" spans="1:4">
      <c r="A1393" s="248"/>
      <c r="B1393" s="249"/>
      <c r="C1393" s="248"/>
      <c r="D1393" s="248"/>
    </row>
    <row r="1394" spans="1:4">
      <c r="A1394" s="246"/>
      <c r="B1394" s="246"/>
      <c r="C1394" s="246"/>
      <c r="D1394" s="247"/>
    </row>
    <row r="1395" spans="1:4">
      <c r="A1395" s="246"/>
      <c r="B1395" s="246"/>
      <c r="C1395" s="246"/>
      <c r="D1395" s="247"/>
    </row>
    <row r="1396" spans="1:4">
      <c r="A1396" s="248"/>
      <c r="B1396" s="249"/>
      <c r="C1396" s="248"/>
      <c r="D1396" s="248"/>
    </row>
    <row r="1397" spans="1:4">
      <c r="A1397" s="248"/>
      <c r="B1397" s="249"/>
      <c r="C1397" s="248"/>
      <c r="D1397" s="248"/>
    </row>
    <row r="1398" spans="1:4">
      <c r="A1398" s="248"/>
      <c r="B1398" s="249"/>
      <c r="C1398" s="248"/>
      <c r="D1398" s="248"/>
    </row>
    <row r="1399" spans="1:4">
      <c r="A1399" s="248"/>
      <c r="B1399" s="249"/>
      <c r="C1399" s="248"/>
      <c r="D1399" s="248"/>
    </row>
    <row r="1400" spans="1:4">
      <c r="A1400" s="248"/>
      <c r="B1400" s="249"/>
      <c r="C1400" s="248"/>
      <c r="D1400" s="248"/>
    </row>
    <row r="1401" spans="1:4">
      <c r="A1401" s="246"/>
      <c r="B1401" s="246"/>
      <c r="C1401" s="246"/>
      <c r="D1401" s="247"/>
    </row>
    <row r="1402" spans="1:4">
      <c r="A1402" s="248"/>
      <c r="B1402" s="249"/>
      <c r="C1402" s="248"/>
      <c r="D1402" s="248"/>
    </row>
    <row r="1403" spans="1:4">
      <c r="A1403" s="246"/>
      <c r="B1403" s="246"/>
      <c r="C1403" s="246"/>
      <c r="D1403" s="247"/>
    </row>
    <row r="1404" spans="1:4">
      <c r="A1404" s="246"/>
      <c r="B1404" s="246"/>
      <c r="C1404" s="246"/>
      <c r="D1404" s="247"/>
    </row>
    <row r="1405" spans="1:4">
      <c r="A1405" s="248"/>
      <c r="B1405" s="249"/>
      <c r="C1405" s="248"/>
      <c r="D1405" s="248"/>
    </row>
    <row r="1406" spans="1:4">
      <c r="A1406" s="248"/>
      <c r="B1406" s="249"/>
      <c r="C1406" s="248"/>
      <c r="D1406" s="248"/>
    </row>
    <row r="1407" spans="1:4">
      <c r="A1407" s="248"/>
      <c r="B1407" s="249"/>
      <c r="C1407" s="248"/>
      <c r="D1407" s="248"/>
    </row>
    <row r="1408" spans="1:4">
      <c r="A1408" s="248"/>
      <c r="B1408" s="249"/>
      <c r="C1408" s="248"/>
      <c r="D1408" s="248"/>
    </row>
    <row r="1409" spans="1:4">
      <c r="A1409" s="248"/>
      <c r="B1409" s="249"/>
      <c r="C1409" s="248"/>
      <c r="D1409" s="248"/>
    </row>
    <row r="1410" spans="1:4">
      <c r="A1410" s="248"/>
      <c r="B1410" s="249"/>
      <c r="C1410" s="248"/>
      <c r="D1410" s="248"/>
    </row>
    <row r="1411" spans="1:4">
      <c r="A1411" s="248"/>
      <c r="B1411" s="249"/>
      <c r="C1411" s="248"/>
      <c r="D1411" s="248"/>
    </row>
    <row r="1412" spans="1:4">
      <c r="A1412" s="248"/>
      <c r="B1412" s="249"/>
      <c r="C1412" s="248"/>
      <c r="D1412" s="248"/>
    </row>
    <row r="1413" spans="1:4">
      <c r="A1413" s="248"/>
      <c r="B1413" s="249"/>
      <c r="C1413" s="248"/>
      <c r="D1413" s="248"/>
    </row>
    <row r="1414" spans="1:4">
      <c r="A1414" s="248"/>
      <c r="B1414" s="249"/>
      <c r="C1414" s="248"/>
      <c r="D1414" s="248"/>
    </row>
    <row r="1415" spans="1:4">
      <c r="A1415" s="246"/>
      <c r="B1415" s="246"/>
      <c r="C1415" s="246"/>
      <c r="D1415" s="247"/>
    </row>
    <row r="1416" spans="1:4">
      <c r="A1416" s="246"/>
      <c r="B1416" s="246"/>
      <c r="C1416" s="246"/>
      <c r="D1416" s="247"/>
    </row>
    <row r="1417" spans="1:4">
      <c r="A1417" s="248"/>
      <c r="B1417" s="249"/>
      <c r="C1417" s="248"/>
      <c r="D1417" s="248"/>
    </row>
    <row r="1418" spans="1:4">
      <c r="A1418" s="246"/>
      <c r="B1418" s="246"/>
      <c r="C1418" s="246"/>
      <c r="D1418" s="247"/>
    </row>
    <row r="1419" spans="1:4">
      <c r="A1419" s="246"/>
      <c r="B1419" s="246"/>
      <c r="C1419" s="246"/>
      <c r="D1419" s="247"/>
    </row>
    <row r="1420" spans="1:4">
      <c r="A1420" s="248"/>
      <c r="B1420" s="249"/>
      <c r="C1420" s="248"/>
      <c r="D1420" s="248"/>
    </row>
    <row r="1421" spans="1:4">
      <c r="A1421" s="248"/>
      <c r="B1421" s="249"/>
      <c r="C1421" s="248"/>
      <c r="D1421" s="248"/>
    </row>
    <row r="1422" spans="1:4">
      <c r="A1422" s="248"/>
      <c r="B1422" s="249"/>
      <c r="C1422" s="248"/>
      <c r="D1422" s="248"/>
    </row>
    <row r="1423" spans="1:4">
      <c r="A1423" s="248"/>
      <c r="B1423" s="249"/>
      <c r="C1423" s="248"/>
      <c r="D1423" s="248"/>
    </row>
    <row r="1424" spans="1:4">
      <c r="A1424" s="248"/>
      <c r="B1424" s="249"/>
      <c r="C1424" s="248"/>
      <c r="D1424" s="248"/>
    </row>
    <row r="1425" spans="1:4">
      <c r="A1425" s="248"/>
      <c r="B1425" s="249"/>
      <c r="C1425" s="248"/>
      <c r="D1425" s="248"/>
    </row>
    <row r="1426" spans="1:4">
      <c r="A1426" s="248"/>
      <c r="B1426" s="249"/>
      <c r="C1426" s="248"/>
      <c r="D1426" s="248"/>
    </row>
    <row r="1427" spans="1:4">
      <c r="A1427" s="248"/>
      <c r="B1427" s="249"/>
      <c r="C1427" s="248"/>
      <c r="D1427" s="248"/>
    </row>
    <row r="1428" spans="1:4">
      <c r="A1428" s="248"/>
      <c r="B1428" s="249"/>
      <c r="C1428" s="248"/>
      <c r="D1428" s="248"/>
    </row>
    <row r="1429" spans="1:4">
      <c r="A1429" s="248"/>
      <c r="B1429" s="249"/>
      <c r="C1429" s="248"/>
      <c r="D1429" s="248"/>
    </row>
    <row r="1430" spans="1:4">
      <c r="A1430" s="248"/>
      <c r="B1430" s="249"/>
      <c r="C1430" s="248"/>
      <c r="D1430" s="248"/>
    </row>
    <row r="1431" spans="1:4">
      <c r="A1431" s="246"/>
      <c r="B1431" s="246"/>
      <c r="C1431" s="246"/>
      <c r="D1431" s="247"/>
    </row>
    <row r="1432" spans="1:4">
      <c r="A1432" s="246"/>
      <c r="B1432" s="246"/>
      <c r="C1432" s="246"/>
      <c r="D1432" s="247"/>
    </row>
    <row r="1433" spans="1:4">
      <c r="A1433" s="246"/>
      <c r="B1433" s="246"/>
      <c r="C1433" s="246"/>
      <c r="D1433" s="247"/>
    </row>
    <row r="1434" spans="1:4">
      <c r="A1434" s="246"/>
      <c r="B1434" s="246"/>
      <c r="C1434" s="246"/>
      <c r="D1434" s="247"/>
    </row>
    <row r="1435" spans="1:4">
      <c r="A1435" s="248"/>
      <c r="B1435" s="249"/>
      <c r="C1435" s="248"/>
      <c r="D1435" s="248"/>
    </row>
    <row r="1436" spans="1:4">
      <c r="A1436" s="248"/>
      <c r="B1436" s="249"/>
      <c r="C1436" s="248"/>
      <c r="D1436" s="248"/>
    </row>
    <row r="1437" spans="1:4">
      <c r="A1437" s="248"/>
      <c r="B1437" s="249"/>
      <c r="C1437" s="248"/>
      <c r="D1437" s="248"/>
    </row>
    <row r="1438" spans="1:4">
      <c r="A1438" s="248"/>
      <c r="B1438" s="249"/>
      <c r="C1438" s="248"/>
      <c r="D1438" s="248"/>
    </row>
    <row r="1439" spans="1:4">
      <c r="A1439" s="248"/>
      <c r="B1439" s="249"/>
      <c r="C1439" s="248"/>
      <c r="D1439" s="248"/>
    </row>
    <row r="1440" spans="1:4">
      <c r="A1440" s="248"/>
      <c r="B1440" s="249"/>
      <c r="C1440" s="248"/>
      <c r="D1440" s="248"/>
    </row>
    <row r="1441" spans="1:4">
      <c r="A1441" s="248"/>
      <c r="B1441" s="249"/>
      <c r="C1441" s="248"/>
      <c r="D1441" s="248"/>
    </row>
    <row r="1442" spans="1:4">
      <c r="A1442" s="248"/>
      <c r="B1442" s="249"/>
      <c r="C1442" s="248"/>
      <c r="D1442" s="248"/>
    </row>
    <row r="1443" spans="1:4">
      <c r="A1443" s="248"/>
      <c r="B1443" s="249"/>
      <c r="C1443" s="248"/>
      <c r="D1443" s="248"/>
    </row>
    <row r="1444" spans="1:4">
      <c r="A1444" s="248"/>
      <c r="B1444" s="249"/>
      <c r="C1444" s="248"/>
      <c r="D1444" s="248"/>
    </row>
    <row r="1445" spans="1:4">
      <c r="A1445" s="248"/>
      <c r="B1445" s="249"/>
      <c r="C1445" s="248"/>
      <c r="D1445" s="248"/>
    </row>
    <row r="1446" spans="1:4">
      <c r="A1446" s="248"/>
      <c r="B1446" s="249"/>
      <c r="C1446" s="248"/>
      <c r="D1446" s="248"/>
    </row>
    <row r="1447" spans="1:4">
      <c r="A1447" s="248"/>
      <c r="B1447" s="249"/>
      <c r="C1447" s="248"/>
      <c r="D1447" s="248"/>
    </row>
    <row r="1448" spans="1:4">
      <c r="A1448" s="248"/>
      <c r="B1448" s="249"/>
      <c r="C1448" s="248"/>
      <c r="D1448" s="248"/>
    </row>
    <row r="1449" spans="1:4">
      <c r="A1449" s="248"/>
      <c r="B1449" s="249"/>
      <c r="C1449" s="248"/>
      <c r="D1449" s="248"/>
    </row>
    <row r="1450" spans="1:4">
      <c r="A1450" s="248"/>
      <c r="B1450" s="249"/>
      <c r="C1450" s="248"/>
      <c r="D1450" s="248"/>
    </row>
    <row r="1451" spans="1:4">
      <c r="A1451" s="248"/>
      <c r="B1451" s="249"/>
      <c r="C1451" s="248"/>
      <c r="D1451" s="248"/>
    </row>
    <row r="1452" spans="1:4">
      <c r="A1452" s="248"/>
      <c r="B1452" s="249"/>
      <c r="C1452" s="248"/>
      <c r="D1452" s="248"/>
    </row>
    <row r="1453" spans="1:4">
      <c r="A1453" s="248"/>
      <c r="B1453" s="249"/>
      <c r="C1453" s="248"/>
      <c r="D1453" s="248"/>
    </row>
    <row r="1454" spans="1:4">
      <c r="A1454" s="248"/>
      <c r="B1454" s="249"/>
      <c r="C1454" s="248"/>
      <c r="D1454" s="248"/>
    </row>
    <row r="1455" spans="1:4">
      <c r="A1455" s="248"/>
      <c r="B1455" s="249"/>
      <c r="C1455" s="248"/>
      <c r="D1455" s="248"/>
    </row>
    <row r="1456" spans="1:4">
      <c r="A1456" s="248"/>
      <c r="B1456" s="249"/>
      <c r="C1456" s="248"/>
      <c r="D1456" s="248"/>
    </row>
    <row r="1457" spans="1:4">
      <c r="A1457" s="248"/>
      <c r="B1457" s="249"/>
      <c r="C1457" s="248"/>
      <c r="D1457" s="248"/>
    </row>
    <row r="1458" spans="1:4">
      <c r="A1458" s="248"/>
      <c r="B1458" s="249"/>
      <c r="C1458" s="248"/>
      <c r="D1458" s="248"/>
    </row>
    <row r="1459" spans="1:4">
      <c r="A1459" s="248"/>
      <c r="B1459" s="249"/>
      <c r="C1459" s="248"/>
      <c r="D1459" s="248"/>
    </row>
    <row r="1460" spans="1:4">
      <c r="A1460" s="248"/>
      <c r="B1460" s="249"/>
      <c r="C1460" s="248"/>
      <c r="D1460" s="248"/>
    </row>
    <row r="1461" spans="1:4">
      <c r="A1461" s="248"/>
      <c r="B1461" s="249"/>
      <c r="C1461" s="248"/>
      <c r="D1461" s="248"/>
    </row>
    <row r="1462" spans="1:4">
      <c r="A1462" s="248"/>
      <c r="B1462" s="249"/>
      <c r="C1462" s="248"/>
      <c r="D1462" s="248"/>
    </row>
    <row r="1463" spans="1:4">
      <c r="A1463" s="248"/>
      <c r="B1463" s="249"/>
      <c r="C1463" s="248"/>
      <c r="D1463" s="248"/>
    </row>
    <row r="1464" spans="1:4">
      <c r="A1464" s="248"/>
      <c r="B1464" s="249"/>
      <c r="C1464" s="248"/>
      <c r="D1464" s="248"/>
    </row>
    <row r="1465" spans="1:4">
      <c r="A1465" s="248"/>
      <c r="B1465" s="249"/>
      <c r="C1465" s="248"/>
      <c r="D1465" s="248"/>
    </row>
    <row r="1466" spans="1:4">
      <c r="A1466" s="248"/>
      <c r="B1466" s="249"/>
      <c r="C1466" s="248"/>
      <c r="D1466" s="248"/>
    </row>
    <row r="1467" spans="1:4">
      <c r="A1467" s="248"/>
      <c r="B1467" s="249"/>
      <c r="C1467" s="248"/>
      <c r="D1467" s="248"/>
    </row>
    <row r="1468" spans="1:4">
      <c r="A1468" s="248"/>
      <c r="B1468" s="249"/>
      <c r="C1468" s="248"/>
      <c r="D1468" s="248"/>
    </row>
    <row r="1469" spans="1:4">
      <c r="A1469" s="248"/>
      <c r="B1469" s="249"/>
      <c r="C1469" s="248"/>
      <c r="D1469" s="248"/>
    </row>
    <row r="1470" spans="1:4">
      <c r="A1470" s="248"/>
      <c r="B1470" s="249"/>
      <c r="C1470" s="248"/>
      <c r="D1470" s="248"/>
    </row>
    <row r="1471" spans="1:4">
      <c r="A1471" s="248"/>
      <c r="B1471" s="249"/>
      <c r="C1471" s="248"/>
      <c r="D1471" s="248"/>
    </row>
    <row r="1472" spans="1:4">
      <c r="A1472" s="248"/>
      <c r="B1472" s="249"/>
      <c r="C1472" s="248"/>
      <c r="D1472" s="248"/>
    </row>
    <row r="1473" spans="1:4">
      <c r="A1473" s="248"/>
      <c r="B1473" s="249"/>
      <c r="C1473" s="248"/>
      <c r="D1473" s="248"/>
    </row>
    <row r="1474" spans="1:4">
      <c r="A1474" s="248"/>
      <c r="B1474" s="249"/>
      <c r="C1474" s="248"/>
      <c r="D1474" s="248"/>
    </row>
    <row r="1475" spans="1:4">
      <c r="A1475" s="248"/>
      <c r="B1475" s="249"/>
      <c r="C1475" s="248"/>
      <c r="D1475" s="248"/>
    </row>
    <row r="1476" spans="1:4">
      <c r="A1476" s="248"/>
      <c r="B1476" s="249"/>
      <c r="C1476" s="248"/>
      <c r="D1476" s="248"/>
    </row>
    <row r="1477" spans="1:4">
      <c r="A1477" s="248"/>
      <c r="B1477" s="249"/>
      <c r="C1477" s="248"/>
      <c r="D1477" s="248"/>
    </row>
    <row r="1478" spans="1:4">
      <c r="A1478" s="248"/>
      <c r="B1478" s="249"/>
      <c r="C1478" s="248"/>
      <c r="D1478" s="248"/>
    </row>
    <row r="1479" spans="1:4">
      <c r="A1479" s="248"/>
      <c r="B1479" s="249"/>
      <c r="C1479" s="248"/>
      <c r="D1479" s="248"/>
    </row>
    <row r="1480" spans="1:4">
      <c r="A1480" s="248"/>
      <c r="B1480" s="249"/>
      <c r="C1480" s="248"/>
      <c r="D1480" s="248"/>
    </row>
    <row r="1481" spans="1:4">
      <c r="A1481" s="248"/>
      <c r="B1481" s="249"/>
      <c r="C1481" s="248"/>
      <c r="D1481" s="248"/>
    </row>
    <row r="1482" spans="1:4">
      <c r="A1482" s="248"/>
      <c r="B1482" s="249"/>
      <c r="C1482" s="248"/>
      <c r="D1482" s="248"/>
    </row>
    <row r="1483" spans="1:4">
      <c r="A1483" s="248"/>
      <c r="B1483" s="249"/>
      <c r="C1483" s="248"/>
      <c r="D1483" s="248"/>
    </row>
    <row r="1484" spans="1:4">
      <c r="A1484" s="248"/>
      <c r="B1484" s="249"/>
      <c r="C1484" s="248"/>
      <c r="D1484" s="248"/>
    </row>
    <row r="1485" spans="1:4">
      <c r="A1485" s="248"/>
      <c r="B1485" s="249"/>
      <c r="C1485" s="248"/>
      <c r="D1485" s="248"/>
    </row>
    <row r="1486" spans="1:4">
      <c r="A1486" s="248"/>
      <c r="B1486" s="249"/>
      <c r="C1486" s="248"/>
      <c r="D1486" s="248"/>
    </row>
    <row r="1487" spans="1:4">
      <c r="A1487" s="248"/>
      <c r="B1487" s="249"/>
      <c r="C1487" s="248"/>
      <c r="D1487" s="248"/>
    </row>
    <row r="1488" spans="1:4">
      <c r="A1488" s="248"/>
      <c r="B1488" s="249"/>
      <c r="C1488" s="248"/>
      <c r="D1488" s="248"/>
    </row>
    <row r="1489" spans="1:4">
      <c r="A1489" s="248"/>
      <c r="B1489" s="249"/>
      <c r="C1489" s="248"/>
      <c r="D1489" s="248"/>
    </row>
    <row r="1490" spans="1:4">
      <c r="A1490" s="248"/>
      <c r="B1490" s="249"/>
      <c r="C1490" s="248"/>
      <c r="D1490" s="248"/>
    </row>
    <row r="1491" spans="1:4">
      <c r="A1491" s="248"/>
      <c r="B1491" s="249"/>
      <c r="C1491" s="248"/>
      <c r="D1491" s="248"/>
    </row>
    <row r="1492" spans="1:4">
      <c r="A1492" s="248"/>
      <c r="B1492" s="249"/>
      <c r="C1492" s="248"/>
      <c r="D1492" s="248"/>
    </row>
    <row r="1493" spans="1:4">
      <c r="A1493" s="248"/>
      <c r="B1493" s="249"/>
      <c r="C1493" s="248"/>
      <c r="D1493" s="248"/>
    </row>
    <row r="1494" spans="1:4">
      <c r="A1494" s="248"/>
      <c r="B1494" s="249"/>
      <c r="C1494" s="248"/>
      <c r="D1494" s="248"/>
    </row>
    <row r="1495" spans="1:4">
      <c r="A1495" s="248"/>
      <c r="B1495" s="249"/>
      <c r="C1495" s="248"/>
      <c r="D1495" s="248"/>
    </row>
    <row r="1496" spans="1:4">
      <c r="A1496" s="248"/>
      <c r="B1496" s="249"/>
      <c r="C1496" s="248"/>
      <c r="D1496" s="248"/>
    </row>
    <row r="1497" spans="1:4">
      <c r="A1497" s="246"/>
      <c r="B1497" s="246"/>
      <c r="C1497" s="246"/>
      <c r="D1497" s="247"/>
    </row>
    <row r="1498" spans="1:4">
      <c r="A1498" s="248"/>
      <c r="B1498" s="249"/>
      <c r="C1498" s="248"/>
      <c r="D1498" s="248"/>
    </row>
    <row r="1499" spans="1:4">
      <c r="A1499" s="248"/>
      <c r="B1499" s="249"/>
      <c r="C1499" s="248"/>
      <c r="D1499" s="248"/>
    </row>
    <row r="1500" spans="1:4">
      <c r="A1500" s="248"/>
      <c r="B1500" s="249"/>
      <c r="C1500" s="248"/>
      <c r="D1500" s="248"/>
    </row>
    <row r="1501" spans="1:4">
      <c r="A1501" s="248"/>
      <c r="B1501" s="249"/>
      <c r="C1501" s="248"/>
      <c r="D1501" s="248"/>
    </row>
    <row r="1502" spans="1:4">
      <c r="A1502" s="248"/>
      <c r="B1502" s="249"/>
      <c r="C1502" s="248"/>
      <c r="D1502" s="248"/>
    </row>
    <row r="1503" spans="1:4">
      <c r="A1503" s="248"/>
      <c r="B1503" s="249"/>
      <c r="C1503" s="248"/>
      <c r="D1503" s="248"/>
    </row>
    <row r="1504" spans="1:4">
      <c r="A1504" s="248"/>
      <c r="B1504" s="249"/>
      <c r="C1504" s="248"/>
      <c r="D1504" s="248"/>
    </row>
    <row r="1505" spans="1:4">
      <c r="A1505" s="248"/>
      <c r="B1505" s="249"/>
      <c r="C1505" s="248"/>
      <c r="D1505" s="248"/>
    </row>
    <row r="1506" spans="1:4">
      <c r="A1506" s="248"/>
      <c r="B1506" s="249"/>
      <c r="C1506" s="248"/>
      <c r="D1506" s="248"/>
    </row>
    <row r="1507" spans="1:4">
      <c r="A1507" s="246"/>
      <c r="B1507" s="246"/>
      <c r="C1507" s="246"/>
      <c r="D1507" s="247"/>
    </row>
    <row r="1508" spans="1:4">
      <c r="A1508" s="248"/>
      <c r="B1508" s="249"/>
      <c r="C1508" s="248"/>
      <c r="D1508" s="248"/>
    </row>
    <row r="1509" spans="1:4">
      <c r="A1509" s="246"/>
      <c r="B1509" s="246"/>
      <c r="C1509" s="246"/>
      <c r="D1509" s="247"/>
    </row>
    <row r="1510" spans="1:4">
      <c r="A1510" s="246"/>
      <c r="B1510" s="246"/>
      <c r="C1510" s="246"/>
      <c r="D1510" s="247"/>
    </row>
    <row r="1511" spans="1:4">
      <c r="A1511" s="248"/>
      <c r="B1511" s="249"/>
      <c r="C1511" s="248"/>
      <c r="D1511" s="248"/>
    </row>
    <row r="1512" spans="1:4">
      <c r="A1512" s="248"/>
      <c r="B1512" s="249"/>
      <c r="C1512" s="248"/>
      <c r="D1512" s="248"/>
    </row>
    <row r="1513" spans="1:4">
      <c r="A1513" s="246"/>
      <c r="B1513" s="246"/>
      <c r="C1513" s="246"/>
      <c r="D1513" s="247"/>
    </row>
    <row r="1514" spans="1:4">
      <c r="A1514" s="246"/>
      <c r="B1514" s="246"/>
      <c r="C1514" s="246"/>
      <c r="D1514" s="247"/>
    </row>
    <row r="1515" spans="1:4">
      <c r="A1515" s="248"/>
      <c r="B1515" s="249"/>
      <c r="C1515" s="248"/>
      <c r="D1515" s="248"/>
    </row>
    <row r="1516" spans="1:4">
      <c r="A1516" s="248"/>
      <c r="B1516" s="249"/>
      <c r="C1516" s="248"/>
      <c r="D1516" s="248"/>
    </row>
    <row r="1517" spans="1:4">
      <c r="A1517" s="248"/>
      <c r="B1517" s="249"/>
      <c r="C1517" s="248"/>
      <c r="D1517" s="248"/>
    </row>
    <row r="1518" spans="1:4">
      <c r="A1518" s="248"/>
      <c r="B1518" s="249"/>
      <c r="C1518" s="248"/>
      <c r="D1518" s="248"/>
    </row>
    <row r="1519" spans="1:4">
      <c r="A1519" s="248"/>
      <c r="B1519" s="249"/>
      <c r="C1519" s="248"/>
      <c r="D1519" s="248"/>
    </row>
    <row r="1520" spans="1:4">
      <c r="A1520" s="248"/>
      <c r="B1520" s="249"/>
      <c r="C1520" s="248"/>
      <c r="D1520" s="248"/>
    </row>
    <row r="1521" spans="1:4">
      <c r="A1521" s="248"/>
      <c r="B1521" s="249"/>
      <c r="C1521" s="248"/>
      <c r="D1521" s="248"/>
    </row>
    <row r="1522" spans="1:4">
      <c r="A1522" s="248"/>
      <c r="B1522" s="249"/>
      <c r="C1522" s="248"/>
      <c r="D1522" s="248"/>
    </row>
    <row r="1523" spans="1:4">
      <c r="A1523" s="248"/>
      <c r="B1523" s="249"/>
      <c r="C1523" s="248"/>
      <c r="D1523" s="248"/>
    </row>
    <row r="1524" spans="1:4">
      <c r="A1524" s="248"/>
      <c r="B1524" s="249"/>
      <c r="C1524" s="248"/>
      <c r="D1524" s="248"/>
    </row>
    <row r="1525" spans="1:4">
      <c r="A1525" s="248"/>
      <c r="B1525" s="249"/>
      <c r="C1525" s="248"/>
      <c r="D1525" s="248"/>
    </row>
    <row r="1526" spans="1:4">
      <c r="A1526" s="248"/>
      <c r="B1526" s="249"/>
      <c r="C1526" s="248"/>
      <c r="D1526" s="248"/>
    </row>
    <row r="1527" spans="1:4">
      <c r="A1527" s="248"/>
      <c r="B1527" s="249"/>
      <c r="C1527" s="248"/>
      <c r="D1527" s="248"/>
    </row>
    <row r="1528" spans="1:4">
      <c r="A1528" s="248"/>
      <c r="B1528" s="249"/>
      <c r="C1528" s="248"/>
      <c r="D1528" s="248"/>
    </row>
    <row r="1529" spans="1:4">
      <c r="A1529" s="248"/>
      <c r="B1529" s="249"/>
      <c r="C1529" s="248"/>
      <c r="D1529" s="248"/>
    </row>
    <row r="1530" spans="1:4">
      <c r="A1530" s="248"/>
      <c r="B1530" s="249"/>
      <c r="C1530" s="248"/>
      <c r="D1530" s="248"/>
    </row>
    <row r="1531" spans="1:4">
      <c r="A1531" s="248"/>
      <c r="B1531" s="249"/>
      <c r="C1531" s="248"/>
      <c r="D1531" s="248"/>
    </row>
    <row r="1532" spans="1:4">
      <c r="A1532" s="248"/>
      <c r="B1532" s="249"/>
      <c r="C1532" s="248"/>
      <c r="D1532" s="248"/>
    </row>
    <row r="1533" spans="1:4">
      <c r="A1533" s="248"/>
      <c r="B1533" s="249"/>
      <c r="C1533" s="248"/>
      <c r="D1533" s="248"/>
    </row>
    <row r="1534" spans="1:4">
      <c r="A1534" s="248"/>
      <c r="B1534" s="249"/>
      <c r="C1534" s="248"/>
      <c r="D1534" s="248"/>
    </row>
    <row r="1535" spans="1:4">
      <c r="A1535" s="248"/>
      <c r="B1535" s="249"/>
      <c r="C1535" s="248"/>
      <c r="D1535" s="248"/>
    </row>
    <row r="1536" spans="1:4">
      <c r="A1536" s="248"/>
      <c r="B1536" s="249"/>
      <c r="C1536" s="248"/>
      <c r="D1536" s="248"/>
    </row>
    <row r="1537" spans="1:4">
      <c r="A1537" s="248"/>
      <c r="B1537" s="249"/>
      <c r="C1537" s="248"/>
      <c r="D1537" s="248"/>
    </row>
    <row r="1538" spans="1:4">
      <c r="A1538" s="248"/>
      <c r="B1538" s="249"/>
      <c r="C1538" s="248"/>
      <c r="D1538" s="248"/>
    </row>
    <row r="1539" spans="1:4">
      <c r="A1539" s="248"/>
      <c r="B1539" s="249"/>
      <c r="C1539" s="248"/>
      <c r="D1539" s="248"/>
    </row>
    <row r="1540" spans="1:4">
      <c r="A1540" s="248"/>
      <c r="B1540" s="249"/>
      <c r="C1540" s="248"/>
      <c r="D1540" s="248"/>
    </row>
    <row r="1541" spans="1:4">
      <c r="A1541" s="248"/>
      <c r="B1541" s="249"/>
      <c r="C1541" s="248"/>
      <c r="D1541" s="248"/>
    </row>
    <row r="1542" spans="1:4">
      <c r="A1542" s="248"/>
      <c r="B1542" s="249"/>
      <c r="C1542" s="248"/>
      <c r="D1542" s="248"/>
    </row>
    <row r="1543" spans="1:4">
      <c r="A1543" s="248"/>
      <c r="B1543" s="249"/>
      <c r="C1543" s="248"/>
      <c r="D1543" s="248"/>
    </row>
    <row r="1544" spans="1:4">
      <c r="A1544" s="248"/>
      <c r="B1544" s="249"/>
      <c r="C1544" s="248"/>
      <c r="D1544" s="248"/>
    </row>
    <row r="1545" spans="1:4">
      <c r="A1545" s="248"/>
      <c r="B1545" s="249"/>
      <c r="C1545" s="248"/>
      <c r="D1545" s="248"/>
    </row>
    <row r="1546" spans="1:4">
      <c r="A1546" s="248"/>
      <c r="B1546" s="249"/>
      <c r="C1546" s="248"/>
      <c r="D1546" s="248"/>
    </row>
    <row r="1547" spans="1:4">
      <c r="A1547" s="248"/>
      <c r="B1547" s="249"/>
      <c r="C1547" s="248"/>
      <c r="D1547" s="248"/>
    </row>
    <row r="1548" spans="1:4">
      <c r="A1548" s="248"/>
      <c r="B1548" s="249"/>
      <c r="C1548" s="248"/>
      <c r="D1548" s="248"/>
    </row>
    <row r="1549" spans="1:4">
      <c r="A1549" s="248"/>
      <c r="B1549" s="249"/>
      <c r="C1549" s="248"/>
      <c r="D1549" s="248"/>
    </row>
    <row r="1550" spans="1:4">
      <c r="A1550" s="246"/>
      <c r="B1550" s="246"/>
      <c r="C1550" s="246"/>
      <c r="D1550" s="247"/>
    </row>
    <row r="1551" spans="1:4">
      <c r="A1551" s="246"/>
      <c r="B1551" s="246"/>
      <c r="C1551" s="246"/>
      <c r="D1551" s="247"/>
    </row>
    <row r="1552" spans="1:4">
      <c r="A1552" s="248"/>
      <c r="B1552" s="249"/>
      <c r="C1552" s="248"/>
      <c r="D1552" s="248"/>
    </row>
    <row r="1553" spans="1:4">
      <c r="A1553" s="248"/>
      <c r="B1553" s="249"/>
      <c r="C1553" s="248"/>
      <c r="D1553" s="248"/>
    </row>
    <row r="1554" spans="1:4">
      <c r="A1554" s="248"/>
      <c r="B1554" s="249"/>
      <c r="C1554" s="248"/>
      <c r="D1554" s="248"/>
    </row>
    <row r="1555" spans="1:4">
      <c r="A1555" s="248"/>
      <c r="B1555" s="249"/>
      <c r="C1555" s="248"/>
      <c r="D1555" s="248"/>
    </row>
    <row r="1556" spans="1:4">
      <c r="A1556" s="248"/>
      <c r="B1556" s="249"/>
      <c r="C1556" s="248"/>
      <c r="D1556" s="248"/>
    </row>
    <row r="1557" spans="1:4">
      <c r="A1557" s="248"/>
      <c r="B1557" s="249"/>
      <c r="C1557" s="248"/>
      <c r="D1557" s="248"/>
    </row>
    <row r="1558" spans="1:4">
      <c r="A1558" s="248"/>
      <c r="B1558" s="249"/>
      <c r="C1558" s="248"/>
      <c r="D1558" s="248"/>
    </row>
    <row r="1559" spans="1:4">
      <c r="A1559" s="248"/>
      <c r="B1559" s="249"/>
      <c r="C1559" s="248"/>
      <c r="D1559" s="248"/>
    </row>
    <row r="1560" spans="1:4">
      <c r="A1560" s="248"/>
      <c r="B1560" s="249"/>
      <c r="C1560" s="248"/>
      <c r="D1560" s="248"/>
    </row>
    <row r="1561" spans="1:4">
      <c r="A1561" s="248"/>
      <c r="B1561" s="249"/>
      <c r="C1561" s="248"/>
      <c r="D1561" s="248"/>
    </row>
    <row r="1562" spans="1:4">
      <c r="A1562" s="248"/>
      <c r="B1562" s="249"/>
      <c r="C1562" s="248"/>
      <c r="D1562" s="248"/>
    </row>
    <row r="1563" spans="1:4">
      <c r="A1563" s="248"/>
      <c r="B1563" s="249"/>
      <c r="C1563" s="248"/>
      <c r="D1563" s="248"/>
    </row>
    <row r="1564" spans="1:4">
      <c r="A1564" s="248"/>
      <c r="B1564" s="249"/>
      <c r="C1564" s="248"/>
      <c r="D1564" s="248"/>
    </row>
    <row r="1565" spans="1:4">
      <c r="A1565" s="248"/>
      <c r="B1565" s="249"/>
      <c r="C1565" s="248"/>
      <c r="D1565" s="248"/>
    </row>
    <row r="1566" spans="1:4">
      <c r="A1566" s="248"/>
      <c r="B1566" s="249"/>
      <c r="C1566" s="248"/>
      <c r="D1566" s="248"/>
    </row>
    <row r="1567" spans="1:4">
      <c r="A1567" s="248"/>
      <c r="B1567" s="249"/>
      <c r="C1567" s="248"/>
      <c r="D1567" s="248"/>
    </row>
    <row r="1568" spans="1:4">
      <c r="A1568" s="248"/>
      <c r="B1568" s="249"/>
      <c r="C1568" s="248"/>
      <c r="D1568" s="248"/>
    </row>
    <row r="1569" spans="1:4">
      <c r="A1569" s="248"/>
      <c r="B1569" s="249"/>
      <c r="C1569" s="248"/>
      <c r="D1569" s="248"/>
    </row>
    <row r="1570" spans="1:4">
      <c r="A1570" s="248"/>
      <c r="B1570" s="249"/>
      <c r="C1570" s="248"/>
      <c r="D1570" s="248"/>
    </row>
    <row r="1571" spans="1:4">
      <c r="A1571" s="248"/>
      <c r="B1571" s="249"/>
      <c r="C1571" s="248"/>
      <c r="D1571" s="248"/>
    </row>
    <row r="1572" spans="1:4">
      <c r="A1572" s="248"/>
      <c r="B1572" s="249"/>
      <c r="C1572" s="248"/>
      <c r="D1572" s="248"/>
    </row>
    <row r="1573" spans="1:4">
      <c r="A1573" s="248"/>
      <c r="B1573" s="249"/>
      <c r="C1573" s="248"/>
      <c r="D1573" s="248"/>
    </row>
    <row r="1574" spans="1:4">
      <c r="A1574" s="248"/>
      <c r="B1574" s="249"/>
      <c r="C1574" s="248"/>
      <c r="D1574" s="248"/>
    </row>
    <row r="1575" spans="1:4">
      <c r="A1575" s="248"/>
      <c r="B1575" s="249"/>
      <c r="C1575" s="248"/>
      <c r="D1575" s="248"/>
    </row>
    <row r="1576" spans="1:4">
      <c r="A1576" s="248"/>
      <c r="B1576" s="249"/>
      <c r="C1576" s="248"/>
      <c r="D1576" s="248"/>
    </row>
    <row r="1577" spans="1:4">
      <c r="A1577" s="248"/>
      <c r="B1577" s="249"/>
      <c r="C1577" s="248"/>
      <c r="D1577" s="248"/>
    </row>
    <row r="1578" spans="1:4">
      <c r="A1578" s="248"/>
      <c r="B1578" s="249"/>
      <c r="C1578" s="248"/>
      <c r="D1578" s="248"/>
    </row>
    <row r="1579" spans="1:4">
      <c r="A1579" s="248"/>
      <c r="B1579" s="249"/>
      <c r="C1579" s="248"/>
      <c r="D1579" s="248"/>
    </row>
    <row r="1580" spans="1:4">
      <c r="A1580" s="248"/>
      <c r="B1580" s="249"/>
      <c r="C1580" s="248"/>
      <c r="D1580" s="248"/>
    </row>
    <row r="1581" spans="1:4">
      <c r="A1581" s="248"/>
      <c r="B1581" s="249"/>
      <c r="C1581" s="248"/>
      <c r="D1581" s="248"/>
    </row>
    <row r="1582" spans="1:4">
      <c r="A1582" s="248"/>
      <c r="B1582" s="249"/>
      <c r="C1582" s="248"/>
      <c r="D1582" s="248"/>
    </row>
    <row r="1583" spans="1:4">
      <c r="A1583" s="248"/>
      <c r="B1583" s="249"/>
      <c r="C1583" s="248"/>
      <c r="D1583" s="248"/>
    </row>
    <row r="1584" spans="1:4">
      <c r="A1584" s="248"/>
      <c r="B1584" s="249"/>
      <c r="C1584" s="248"/>
      <c r="D1584" s="248"/>
    </row>
    <row r="1585" spans="1:4">
      <c r="A1585" s="248"/>
      <c r="B1585" s="249"/>
      <c r="C1585" s="248"/>
      <c r="D1585" s="248"/>
    </row>
    <row r="1586" spans="1:4">
      <c r="A1586" s="248"/>
      <c r="B1586" s="249"/>
      <c r="C1586" s="248"/>
      <c r="D1586" s="248"/>
    </row>
    <row r="1587" spans="1:4">
      <c r="A1587" s="248"/>
      <c r="B1587" s="249"/>
      <c r="C1587" s="248"/>
      <c r="D1587" s="248"/>
    </row>
    <row r="1588" spans="1:4">
      <c r="A1588" s="248"/>
      <c r="B1588" s="249"/>
      <c r="C1588" s="248"/>
      <c r="D1588" s="248"/>
    </row>
    <row r="1589" spans="1:4">
      <c r="A1589" s="248"/>
      <c r="B1589" s="249"/>
      <c r="C1589" s="248"/>
      <c r="D1589" s="248"/>
    </row>
    <row r="1590" spans="1:4">
      <c r="A1590" s="248"/>
      <c r="B1590" s="249"/>
      <c r="C1590" s="248"/>
      <c r="D1590" s="248"/>
    </row>
    <row r="1591" spans="1:4">
      <c r="A1591" s="248"/>
      <c r="B1591" s="249"/>
      <c r="C1591" s="248"/>
      <c r="D1591" s="248"/>
    </row>
    <row r="1592" spans="1:4">
      <c r="A1592" s="248"/>
      <c r="B1592" s="249"/>
      <c r="C1592" s="248"/>
      <c r="D1592" s="248"/>
    </row>
    <row r="1593" spans="1:4">
      <c r="A1593" s="248"/>
      <c r="B1593" s="249"/>
      <c r="C1593" s="248"/>
      <c r="D1593" s="248"/>
    </row>
    <row r="1594" spans="1:4">
      <c r="A1594" s="248"/>
      <c r="B1594" s="249"/>
      <c r="C1594" s="248"/>
      <c r="D1594" s="248"/>
    </row>
    <row r="1595" spans="1:4">
      <c r="A1595" s="248"/>
      <c r="B1595" s="249"/>
      <c r="C1595" s="248"/>
      <c r="D1595" s="248"/>
    </row>
    <row r="1596" spans="1:4">
      <c r="A1596" s="248"/>
      <c r="B1596" s="249"/>
      <c r="C1596" s="248"/>
      <c r="D1596" s="248"/>
    </row>
    <row r="1597" spans="1:4">
      <c r="A1597" s="248"/>
      <c r="B1597" s="249"/>
      <c r="C1597" s="248"/>
      <c r="D1597" s="248"/>
    </row>
    <row r="1598" spans="1:4">
      <c r="A1598" s="248"/>
      <c r="B1598" s="249"/>
      <c r="C1598" s="248"/>
      <c r="D1598" s="248"/>
    </row>
    <row r="1599" spans="1:4">
      <c r="A1599" s="248"/>
      <c r="B1599" s="249"/>
      <c r="C1599" s="248"/>
      <c r="D1599" s="248"/>
    </row>
    <row r="1600" spans="1:4">
      <c r="A1600" s="248"/>
      <c r="B1600" s="249"/>
      <c r="C1600" s="248"/>
      <c r="D1600" s="248"/>
    </row>
    <row r="1601" spans="1:4">
      <c r="A1601" s="248"/>
      <c r="B1601" s="249"/>
      <c r="C1601" s="248"/>
      <c r="D1601" s="248"/>
    </row>
    <row r="1602" spans="1:4">
      <c r="A1602" s="248"/>
      <c r="B1602" s="249"/>
      <c r="C1602" s="248"/>
      <c r="D1602" s="248"/>
    </row>
    <row r="1603" spans="1:4">
      <c r="A1603" s="248"/>
      <c r="B1603" s="249"/>
      <c r="C1603" s="248"/>
      <c r="D1603" s="248"/>
    </row>
    <row r="1604" spans="1:4">
      <c r="A1604" s="248"/>
      <c r="B1604" s="249"/>
      <c r="C1604" s="248"/>
      <c r="D1604" s="248"/>
    </row>
    <row r="1605" spans="1:4">
      <c r="A1605" s="248"/>
      <c r="B1605" s="249"/>
      <c r="C1605" s="248"/>
      <c r="D1605" s="248"/>
    </row>
    <row r="1606" spans="1:4">
      <c r="A1606" s="248"/>
      <c r="B1606" s="249"/>
      <c r="C1606" s="248"/>
      <c r="D1606" s="248"/>
    </row>
    <row r="1607" spans="1:4">
      <c r="A1607" s="246"/>
      <c r="B1607" s="246"/>
      <c r="C1607" s="246"/>
      <c r="D1607" s="247"/>
    </row>
    <row r="1608" spans="1:4">
      <c r="A1608" s="246"/>
      <c r="B1608" s="246"/>
      <c r="C1608" s="246"/>
      <c r="D1608" s="247"/>
    </row>
    <row r="1609" spans="1:4">
      <c r="A1609" s="248"/>
      <c r="B1609" s="249"/>
      <c r="C1609" s="248"/>
      <c r="D1609" s="248"/>
    </row>
    <row r="1610" spans="1:4">
      <c r="A1610" s="248"/>
      <c r="B1610" s="249"/>
      <c r="C1610" s="248"/>
      <c r="D1610" s="248"/>
    </row>
    <row r="1611" spans="1:4">
      <c r="A1611" s="248"/>
      <c r="B1611" s="249"/>
      <c r="C1611" s="248"/>
      <c r="D1611" s="248"/>
    </row>
    <row r="1612" spans="1:4">
      <c r="A1612" s="248"/>
      <c r="B1612" s="249"/>
      <c r="C1612" s="248"/>
      <c r="D1612" s="248"/>
    </row>
    <row r="1613" spans="1:4">
      <c r="A1613" s="248"/>
      <c r="B1613" s="249"/>
      <c r="C1613" s="248"/>
      <c r="D1613" s="248"/>
    </row>
    <row r="1614" spans="1:4">
      <c r="A1614" s="248"/>
      <c r="B1614" s="249"/>
      <c r="C1614" s="248"/>
      <c r="D1614" s="248"/>
    </row>
    <row r="1615" spans="1:4">
      <c r="A1615" s="248"/>
      <c r="B1615" s="249"/>
      <c r="C1615" s="248"/>
      <c r="D1615" s="248"/>
    </row>
    <row r="1616" spans="1:4">
      <c r="A1616" s="248"/>
      <c r="B1616" s="249"/>
      <c r="C1616" s="248"/>
      <c r="D1616" s="248"/>
    </row>
    <row r="1617" spans="1:4">
      <c r="A1617" s="248"/>
      <c r="B1617" s="249"/>
      <c r="C1617" s="248"/>
      <c r="D1617" s="248"/>
    </row>
    <row r="1618" spans="1:4">
      <c r="A1618" s="248"/>
      <c r="B1618" s="249"/>
      <c r="C1618" s="248"/>
      <c r="D1618" s="248"/>
    </row>
    <row r="1619" spans="1:4">
      <c r="A1619" s="248"/>
      <c r="B1619" s="249"/>
      <c r="C1619" s="248"/>
      <c r="D1619" s="248"/>
    </row>
    <row r="1620" spans="1:4">
      <c r="A1620" s="248"/>
      <c r="B1620" s="249"/>
      <c r="C1620" s="248"/>
      <c r="D1620" s="248"/>
    </row>
    <row r="1621" spans="1:4">
      <c r="A1621" s="248"/>
      <c r="B1621" s="249"/>
      <c r="C1621" s="248"/>
      <c r="D1621" s="248"/>
    </row>
    <row r="1622" spans="1:4">
      <c r="A1622" s="248"/>
      <c r="B1622" s="249"/>
      <c r="C1622" s="248"/>
      <c r="D1622" s="248"/>
    </row>
    <row r="1623" spans="1:4">
      <c r="A1623" s="248"/>
      <c r="B1623" s="249"/>
      <c r="C1623" s="248"/>
      <c r="D1623" s="248"/>
    </row>
    <row r="1624" spans="1:4">
      <c r="A1624" s="248"/>
      <c r="B1624" s="249"/>
      <c r="C1624" s="248"/>
      <c r="D1624" s="248"/>
    </row>
    <row r="1625" spans="1:4">
      <c r="A1625" s="248"/>
      <c r="B1625" s="249"/>
      <c r="C1625" s="248"/>
      <c r="D1625" s="248"/>
    </row>
    <row r="1626" spans="1:4">
      <c r="A1626" s="246"/>
      <c r="B1626" s="246"/>
      <c r="C1626" s="246"/>
      <c r="D1626" s="247"/>
    </row>
    <row r="1627" spans="1:4">
      <c r="A1627" s="246"/>
      <c r="B1627" s="246"/>
      <c r="C1627" s="246"/>
      <c r="D1627" s="247"/>
    </row>
    <row r="1628" spans="1:4">
      <c r="A1628" s="248"/>
      <c r="B1628" s="249"/>
      <c r="C1628" s="248"/>
      <c r="D1628" s="248"/>
    </row>
    <row r="1629" spans="1:4">
      <c r="A1629" s="248"/>
      <c r="B1629" s="249"/>
      <c r="C1629" s="248"/>
      <c r="D1629" s="248"/>
    </row>
    <row r="1630" spans="1:4">
      <c r="A1630" s="248"/>
      <c r="B1630" s="249"/>
      <c r="C1630" s="248"/>
      <c r="D1630" s="248"/>
    </row>
    <row r="1631" spans="1:4">
      <c r="A1631" s="248"/>
      <c r="B1631" s="249"/>
      <c r="C1631" s="248"/>
      <c r="D1631" s="248"/>
    </row>
    <row r="1632" spans="1:4">
      <c r="A1632" s="248"/>
      <c r="B1632" s="249"/>
      <c r="C1632" s="248"/>
      <c r="D1632" s="248"/>
    </row>
    <row r="1633" spans="1:4">
      <c r="A1633" s="248"/>
      <c r="B1633" s="249"/>
      <c r="C1633" s="248"/>
      <c r="D1633" s="248"/>
    </row>
    <row r="1634" spans="1:4">
      <c r="A1634" s="248"/>
      <c r="B1634" s="249"/>
      <c r="C1634" s="248"/>
      <c r="D1634" s="248"/>
    </row>
    <row r="1635" spans="1:4">
      <c r="A1635" s="248"/>
      <c r="B1635" s="249"/>
      <c r="C1635" s="248"/>
      <c r="D1635" s="248"/>
    </row>
    <row r="1636" spans="1:4">
      <c r="A1636" s="248"/>
      <c r="B1636" s="249"/>
      <c r="C1636" s="248"/>
      <c r="D1636" s="248"/>
    </row>
    <row r="1637" spans="1:4">
      <c r="A1637" s="248"/>
      <c r="B1637" s="249"/>
      <c r="C1637" s="248"/>
      <c r="D1637" s="248"/>
    </row>
    <row r="1638" spans="1:4">
      <c r="A1638" s="246"/>
      <c r="B1638" s="246"/>
      <c r="C1638" s="246"/>
      <c r="D1638" s="247"/>
    </row>
    <row r="1639" spans="1:4">
      <c r="A1639" s="246"/>
      <c r="B1639" s="246"/>
      <c r="C1639" s="246"/>
      <c r="D1639" s="247"/>
    </row>
    <row r="1640" spans="1:4">
      <c r="A1640" s="248"/>
      <c r="B1640" s="249"/>
      <c r="C1640" s="248"/>
      <c r="D1640" s="248"/>
    </row>
    <row r="1641" spans="1:4">
      <c r="A1641" s="248"/>
      <c r="B1641" s="249"/>
      <c r="C1641" s="248"/>
      <c r="D1641" s="248"/>
    </row>
    <row r="1642" spans="1:4">
      <c r="A1642" s="248"/>
      <c r="B1642" s="249"/>
      <c r="C1642" s="248"/>
      <c r="D1642" s="248"/>
    </row>
    <row r="1643" spans="1:4">
      <c r="A1643" s="246"/>
      <c r="B1643" s="246"/>
      <c r="C1643" s="246"/>
      <c r="D1643" s="247"/>
    </row>
    <row r="1644" spans="1:4">
      <c r="A1644" s="248"/>
      <c r="B1644" s="249"/>
      <c r="C1644" s="248"/>
      <c r="D1644" s="248"/>
    </row>
    <row r="1645" spans="1:4">
      <c r="A1645" s="248"/>
      <c r="B1645" s="249"/>
      <c r="C1645" s="248"/>
      <c r="D1645" s="248"/>
    </row>
    <row r="1646" spans="1:4">
      <c r="A1646" s="248"/>
      <c r="B1646" s="249"/>
      <c r="C1646" s="248"/>
      <c r="D1646" s="248"/>
    </row>
    <row r="1647" spans="1:4">
      <c r="A1647" s="248"/>
      <c r="B1647" s="249"/>
      <c r="C1647" s="248"/>
      <c r="D1647" s="248"/>
    </row>
    <row r="1648" spans="1:4">
      <c r="A1648" s="248"/>
      <c r="B1648" s="249"/>
      <c r="C1648" s="248"/>
      <c r="D1648" s="248"/>
    </row>
    <row r="1649" spans="1:4">
      <c r="A1649" s="248"/>
      <c r="B1649" s="249"/>
      <c r="C1649" s="248"/>
      <c r="D1649" s="248"/>
    </row>
    <row r="1650" spans="1:4">
      <c r="A1650" s="248"/>
      <c r="B1650" s="249"/>
      <c r="C1650" s="248"/>
      <c r="D1650" s="248"/>
    </row>
    <row r="1651" spans="1:4">
      <c r="A1651" s="248"/>
      <c r="B1651" s="249"/>
      <c r="C1651" s="248"/>
      <c r="D1651" s="248"/>
    </row>
    <row r="1652" spans="1:4">
      <c r="A1652" s="248"/>
      <c r="B1652" s="249"/>
      <c r="C1652" s="248"/>
      <c r="D1652" s="248"/>
    </row>
    <row r="1653" spans="1:4">
      <c r="A1653" s="248"/>
      <c r="B1653" s="249"/>
      <c r="C1653" s="248"/>
      <c r="D1653" s="248"/>
    </row>
    <row r="1654" spans="1:4">
      <c r="A1654" s="248"/>
      <c r="B1654" s="249"/>
      <c r="C1654" s="248"/>
      <c r="D1654" s="248"/>
    </row>
    <row r="1655" spans="1:4">
      <c r="A1655" s="248"/>
      <c r="B1655" s="249"/>
      <c r="C1655" s="248"/>
      <c r="D1655" s="248"/>
    </row>
    <row r="1656" spans="1:4">
      <c r="A1656" s="248"/>
      <c r="B1656" s="249"/>
      <c r="C1656" s="248"/>
      <c r="D1656" s="248"/>
    </row>
    <row r="1657" spans="1:4">
      <c r="A1657" s="248"/>
      <c r="B1657" s="249"/>
      <c r="C1657" s="248"/>
      <c r="D1657" s="248"/>
    </row>
    <row r="1658" spans="1:4">
      <c r="A1658" s="248"/>
      <c r="B1658" s="249"/>
      <c r="C1658" s="248"/>
      <c r="D1658" s="248"/>
    </row>
    <row r="1659" spans="1:4">
      <c r="A1659" s="248"/>
      <c r="B1659" s="249"/>
      <c r="C1659" s="248"/>
      <c r="D1659" s="248"/>
    </row>
    <row r="1660" spans="1:4">
      <c r="A1660" s="248"/>
      <c r="B1660" s="249"/>
      <c r="C1660" s="248"/>
      <c r="D1660" s="248"/>
    </row>
    <row r="1661" spans="1:4">
      <c r="A1661" s="248"/>
      <c r="B1661" s="249"/>
      <c r="C1661" s="248"/>
      <c r="D1661" s="248"/>
    </row>
    <row r="1662" spans="1:4">
      <c r="A1662" s="248"/>
      <c r="B1662" s="249"/>
      <c r="C1662" s="248"/>
      <c r="D1662" s="248"/>
    </row>
    <row r="1663" spans="1:4">
      <c r="A1663" s="248"/>
      <c r="B1663" s="249"/>
      <c r="C1663" s="248"/>
      <c r="D1663" s="248"/>
    </row>
    <row r="1664" spans="1:4">
      <c r="A1664" s="248"/>
      <c r="B1664" s="249"/>
      <c r="C1664" s="248"/>
      <c r="D1664" s="248"/>
    </row>
    <row r="1665" spans="1:4">
      <c r="A1665" s="248"/>
      <c r="B1665" s="249"/>
      <c r="C1665" s="248"/>
      <c r="D1665" s="248"/>
    </row>
    <row r="1666" spans="1:4">
      <c r="A1666" s="248"/>
      <c r="B1666" s="249"/>
      <c r="C1666" s="248"/>
      <c r="D1666" s="248"/>
    </row>
    <row r="1667" spans="1:4">
      <c r="A1667" s="248"/>
      <c r="B1667" s="249"/>
      <c r="C1667" s="248"/>
      <c r="D1667" s="248"/>
    </row>
    <row r="1668" spans="1:4">
      <c r="A1668" s="248"/>
      <c r="B1668" s="249"/>
      <c r="C1668" s="248"/>
      <c r="D1668" s="248"/>
    </row>
    <row r="1669" spans="1:4">
      <c r="A1669" s="248"/>
      <c r="B1669" s="249"/>
      <c r="C1669" s="248"/>
      <c r="D1669" s="248"/>
    </row>
    <row r="1670" spans="1:4">
      <c r="A1670" s="248"/>
      <c r="B1670" s="249"/>
      <c r="C1670" s="248"/>
      <c r="D1670" s="248"/>
    </row>
    <row r="1671" spans="1:4">
      <c r="A1671" s="248"/>
      <c r="B1671" s="249"/>
      <c r="C1671" s="248"/>
      <c r="D1671" s="248"/>
    </row>
    <row r="1672" spans="1:4">
      <c r="A1672" s="248"/>
      <c r="B1672" s="249"/>
      <c r="C1672" s="248"/>
      <c r="D1672" s="248"/>
    </row>
    <row r="1673" spans="1:4">
      <c r="A1673" s="248"/>
      <c r="B1673" s="249"/>
      <c r="C1673" s="248"/>
      <c r="D1673" s="248"/>
    </row>
    <row r="1674" spans="1:4">
      <c r="A1674" s="248"/>
      <c r="B1674" s="249"/>
      <c r="C1674" s="248"/>
      <c r="D1674" s="248"/>
    </row>
    <row r="1675" spans="1:4">
      <c r="A1675" s="248"/>
      <c r="B1675" s="249"/>
      <c r="C1675" s="248"/>
      <c r="D1675" s="248"/>
    </row>
    <row r="1676" spans="1:4">
      <c r="A1676" s="248"/>
      <c r="B1676" s="249"/>
      <c r="C1676" s="248"/>
      <c r="D1676" s="248"/>
    </row>
    <row r="1677" spans="1:4">
      <c r="A1677" s="248"/>
      <c r="B1677" s="249"/>
      <c r="C1677" s="248"/>
      <c r="D1677" s="248"/>
    </row>
    <row r="1678" spans="1:4">
      <c r="A1678" s="248"/>
      <c r="B1678" s="249"/>
      <c r="C1678" s="248"/>
      <c r="D1678" s="248"/>
    </row>
    <row r="1679" spans="1:4">
      <c r="A1679" s="248"/>
      <c r="B1679" s="249"/>
      <c r="C1679" s="248"/>
      <c r="D1679" s="248"/>
    </row>
    <row r="1680" spans="1:4">
      <c r="A1680" s="248"/>
      <c r="B1680" s="249"/>
      <c r="C1680" s="248"/>
      <c r="D1680" s="248"/>
    </row>
    <row r="1681" spans="1:4">
      <c r="A1681" s="248"/>
      <c r="B1681" s="249"/>
      <c r="C1681" s="248"/>
      <c r="D1681" s="248"/>
    </row>
    <row r="1682" spans="1:4">
      <c r="A1682" s="246"/>
      <c r="B1682" s="246"/>
      <c r="C1682" s="246"/>
      <c r="D1682" s="247"/>
    </row>
    <row r="1683" spans="1:4">
      <c r="A1683" s="248"/>
      <c r="B1683" s="249"/>
      <c r="C1683" s="248"/>
      <c r="D1683" s="248"/>
    </row>
    <row r="1684" spans="1:4">
      <c r="A1684" s="248"/>
      <c r="B1684" s="249"/>
      <c r="C1684" s="248"/>
      <c r="D1684" s="248"/>
    </row>
    <row r="1685" spans="1:4">
      <c r="A1685" s="248"/>
      <c r="B1685" s="249"/>
      <c r="C1685" s="248"/>
      <c r="D1685" s="248"/>
    </row>
    <row r="1686" spans="1:4">
      <c r="A1686" s="248"/>
      <c r="B1686" s="249"/>
      <c r="C1686" s="248"/>
      <c r="D1686" s="248"/>
    </row>
    <row r="1687" spans="1:4">
      <c r="A1687" s="248"/>
      <c r="B1687" s="249"/>
      <c r="C1687" s="248"/>
      <c r="D1687" s="248"/>
    </row>
    <row r="1688" spans="1:4">
      <c r="A1688" s="248"/>
      <c r="B1688" s="249"/>
      <c r="C1688" s="248"/>
      <c r="D1688" s="248"/>
    </row>
    <row r="1689" spans="1:4">
      <c r="A1689" s="248"/>
      <c r="B1689" s="249"/>
      <c r="C1689" s="248"/>
      <c r="D1689" s="248"/>
    </row>
    <row r="1690" spans="1:4">
      <c r="A1690" s="248"/>
      <c r="B1690" s="249"/>
      <c r="C1690" s="248"/>
      <c r="D1690" s="248"/>
    </row>
    <row r="1691" spans="1:4">
      <c r="A1691" s="248"/>
      <c r="B1691" s="249"/>
      <c r="C1691" s="248"/>
      <c r="D1691" s="248"/>
    </row>
    <row r="1692" spans="1:4">
      <c r="A1692" s="248"/>
      <c r="B1692" s="249"/>
      <c r="C1692" s="248"/>
      <c r="D1692" s="248"/>
    </row>
    <row r="1693" spans="1:4">
      <c r="A1693" s="248"/>
      <c r="B1693" s="249"/>
      <c r="C1693" s="248"/>
      <c r="D1693" s="248"/>
    </row>
    <row r="1694" spans="1:4">
      <c r="A1694" s="248"/>
      <c r="B1694" s="249"/>
      <c r="C1694" s="248"/>
      <c r="D1694" s="248"/>
    </row>
    <row r="1695" spans="1:4">
      <c r="A1695" s="248"/>
      <c r="B1695" s="249"/>
      <c r="C1695" s="248"/>
      <c r="D1695" s="248"/>
    </row>
    <row r="1696" spans="1:4">
      <c r="A1696" s="248"/>
      <c r="B1696" s="249"/>
      <c r="C1696" s="248"/>
      <c r="D1696" s="248"/>
    </row>
    <row r="1697" spans="1:4">
      <c r="A1697" s="248"/>
      <c r="B1697" s="249"/>
      <c r="C1697" s="248"/>
      <c r="D1697" s="248"/>
    </row>
    <row r="1698" spans="1:4">
      <c r="A1698" s="248"/>
      <c r="B1698" s="249"/>
      <c r="C1698" s="248"/>
      <c r="D1698" s="248"/>
    </row>
    <row r="1699" spans="1:4">
      <c r="A1699" s="246"/>
      <c r="B1699" s="246"/>
      <c r="C1699" s="246"/>
      <c r="D1699" s="247"/>
    </row>
    <row r="1700" spans="1:4">
      <c r="A1700" s="246"/>
      <c r="B1700" s="246"/>
      <c r="C1700" s="246"/>
      <c r="D1700" s="247"/>
    </row>
    <row r="1701" spans="1:4">
      <c r="A1701" s="248"/>
      <c r="B1701" s="249"/>
      <c r="C1701" s="248"/>
      <c r="D1701" s="248"/>
    </row>
    <row r="1702" spans="1:4">
      <c r="A1702" s="248"/>
      <c r="B1702" s="249"/>
      <c r="C1702" s="248"/>
      <c r="D1702" s="248"/>
    </row>
    <row r="1703" spans="1:4">
      <c r="A1703" s="248"/>
      <c r="B1703" s="249"/>
      <c r="C1703" s="248"/>
      <c r="D1703" s="248"/>
    </row>
    <row r="1704" spans="1:4">
      <c r="A1704" s="248"/>
      <c r="B1704" s="249"/>
      <c r="C1704" s="248"/>
      <c r="D1704" s="248"/>
    </row>
    <row r="1705" spans="1:4">
      <c r="A1705" s="248"/>
      <c r="B1705" s="249"/>
      <c r="C1705" s="248"/>
      <c r="D1705" s="248"/>
    </row>
    <row r="1706" spans="1:4">
      <c r="A1706" s="248"/>
      <c r="B1706" s="249"/>
      <c r="C1706" s="248"/>
      <c r="D1706" s="248"/>
    </row>
    <row r="1707" spans="1:4">
      <c r="A1707" s="248"/>
      <c r="B1707" s="249"/>
      <c r="C1707" s="248"/>
      <c r="D1707" s="248"/>
    </row>
    <row r="1708" spans="1:4">
      <c r="A1708" s="248"/>
      <c r="B1708" s="249"/>
      <c r="C1708" s="248"/>
      <c r="D1708" s="248"/>
    </row>
    <row r="1709" spans="1:4">
      <c r="A1709" s="246"/>
      <c r="B1709" s="246"/>
      <c r="C1709" s="246"/>
      <c r="D1709" s="247"/>
    </row>
    <row r="1710" spans="1:4">
      <c r="A1710" s="246"/>
      <c r="B1710" s="246"/>
      <c r="C1710" s="246"/>
      <c r="D1710" s="247"/>
    </row>
    <row r="1711" spans="1:4">
      <c r="A1711" s="248"/>
      <c r="B1711" s="249"/>
      <c r="C1711" s="248"/>
      <c r="D1711" s="248"/>
    </row>
    <row r="1712" spans="1:4">
      <c r="A1712" s="248"/>
      <c r="B1712" s="249"/>
      <c r="C1712" s="248"/>
      <c r="D1712" s="248"/>
    </row>
    <row r="1713" spans="1:4">
      <c r="A1713" s="248"/>
      <c r="B1713" s="249"/>
      <c r="C1713" s="248"/>
      <c r="D1713" s="248"/>
    </row>
    <row r="1714" spans="1:4">
      <c r="A1714" s="248"/>
      <c r="B1714" s="249"/>
      <c r="C1714" s="248"/>
      <c r="D1714" s="248"/>
    </row>
    <row r="1715" spans="1:4">
      <c r="A1715" s="248"/>
      <c r="B1715" s="249"/>
      <c r="C1715" s="248"/>
      <c r="D1715" s="248"/>
    </row>
    <row r="1716" spans="1:4">
      <c r="A1716" s="248"/>
      <c r="B1716" s="249"/>
      <c r="C1716" s="248"/>
      <c r="D1716" s="248"/>
    </row>
    <row r="1717" spans="1:4">
      <c r="A1717" s="248"/>
      <c r="B1717" s="249"/>
      <c r="C1717" s="248"/>
      <c r="D1717" s="248"/>
    </row>
    <row r="1718" spans="1:4">
      <c r="A1718" s="248"/>
      <c r="B1718" s="249"/>
      <c r="C1718" s="248"/>
      <c r="D1718" s="248"/>
    </row>
    <row r="1719" spans="1:4">
      <c r="A1719" s="248"/>
      <c r="B1719" s="249"/>
      <c r="C1719" s="248"/>
      <c r="D1719" s="248"/>
    </row>
    <row r="1720" spans="1:4">
      <c r="A1720" s="248"/>
      <c r="B1720" s="249"/>
      <c r="C1720" s="248"/>
      <c r="D1720" s="248"/>
    </row>
    <row r="1721" spans="1:4">
      <c r="A1721" s="248"/>
      <c r="B1721" s="249"/>
      <c r="C1721" s="248"/>
      <c r="D1721" s="248"/>
    </row>
    <row r="1722" spans="1:4">
      <c r="A1722" s="248"/>
      <c r="B1722" s="249"/>
      <c r="C1722" s="248"/>
      <c r="D1722" s="248"/>
    </row>
    <row r="1723" spans="1:4">
      <c r="A1723" s="248"/>
      <c r="B1723" s="249"/>
      <c r="C1723" s="248"/>
      <c r="D1723" s="248"/>
    </row>
    <row r="1724" spans="1:4">
      <c r="A1724" s="248"/>
      <c r="B1724" s="249"/>
      <c r="C1724" s="248"/>
      <c r="D1724" s="248"/>
    </row>
    <row r="1725" spans="1:4">
      <c r="A1725" s="248"/>
      <c r="B1725" s="249"/>
      <c r="C1725" s="248"/>
      <c r="D1725" s="248"/>
    </row>
    <row r="1726" spans="1:4">
      <c r="A1726" s="248"/>
      <c r="B1726" s="249"/>
      <c r="C1726" s="248"/>
      <c r="D1726" s="248"/>
    </row>
    <row r="1727" spans="1:4">
      <c r="A1727" s="248"/>
      <c r="B1727" s="249"/>
      <c r="C1727" s="248"/>
      <c r="D1727" s="248"/>
    </row>
    <row r="1728" spans="1:4">
      <c r="A1728" s="248"/>
      <c r="B1728" s="249"/>
      <c r="C1728" s="248"/>
      <c r="D1728" s="248"/>
    </row>
    <row r="1729" spans="1:4">
      <c r="A1729" s="246"/>
      <c r="B1729" s="246"/>
      <c r="C1729" s="246"/>
      <c r="D1729" s="247"/>
    </row>
    <row r="1730" spans="1:4">
      <c r="A1730" s="248"/>
      <c r="B1730" s="249"/>
      <c r="C1730" s="248"/>
      <c r="D1730" s="248"/>
    </row>
    <row r="1731" spans="1:4">
      <c r="A1731" s="248"/>
      <c r="B1731" s="249"/>
      <c r="C1731" s="248"/>
      <c r="D1731" s="248"/>
    </row>
    <row r="1732" spans="1:4">
      <c r="A1732" s="248"/>
      <c r="B1732" s="249"/>
      <c r="C1732" s="248"/>
      <c r="D1732" s="248"/>
    </row>
    <row r="1733" spans="1:4">
      <c r="A1733" s="248"/>
      <c r="B1733" s="249"/>
      <c r="C1733" s="248"/>
      <c r="D1733" s="248"/>
    </row>
    <row r="1734" spans="1:4">
      <c r="A1734" s="248"/>
      <c r="B1734" s="249"/>
      <c r="C1734" s="248"/>
      <c r="D1734" s="248"/>
    </row>
    <row r="1735" spans="1:4">
      <c r="A1735" s="248"/>
      <c r="B1735" s="249"/>
      <c r="C1735" s="248"/>
      <c r="D1735" s="248"/>
    </row>
    <row r="1736" spans="1:4">
      <c r="A1736" s="248"/>
      <c r="B1736" s="249"/>
      <c r="C1736" s="248"/>
      <c r="D1736" s="248"/>
    </row>
    <row r="1737" spans="1:4">
      <c r="A1737" s="246"/>
      <c r="B1737" s="246"/>
      <c r="C1737" s="246"/>
      <c r="D1737" s="247"/>
    </row>
    <row r="1738" spans="1:4">
      <c r="A1738" s="248"/>
      <c r="B1738" s="249"/>
      <c r="C1738" s="248"/>
      <c r="D1738" s="248"/>
    </row>
    <row r="1739" spans="1:4">
      <c r="A1739" s="246"/>
      <c r="B1739" s="246"/>
      <c r="C1739" s="246"/>
      <c r="D1739" s="247"/>
    </row>
    <row r="1740" spans="1:4">
      <c r="A1740" s="246"/>
      <c r="B1740" s="246"/>
      <c r="C1740" s="246"/>
      <c r="D1740" s="247"/>
    </row>
    <row r="1741" spans="1:4">
      <c r="A1741" s="248"/>
      <c r="B1741" s="249"/>
      <c r="C1741" s="248"/>
      <c r="D1741" s="248"/>
    </row>
    <row r="1742" spans="1:4">
      <c r="A1742" s="248"/>
      <c r="B1742" s="249"/>
      <c r="C1742" s="248"/>
      <c r="D1742" s="248"/>
    </row>
    <row r="1743" spans="1:4">
      <c r="A1743" s="248"/>
      <c r="B1743" s="249"/>
      <c r="C1743" s="248"/>
      <c r="D1743" s="248"/>
    </row>
    <row r="1744" spans="1:4">
      <c r="A1744" s="246"/>
      <c r="B1744" s="246"/>
      <c r="C1744" s="246"/>
      <c r="D1744" s="247"/>
    </row>
    <row r="1745" spans="1:4">
      <c r="A1745" s="246"/>
      <c r="B1745" s="246"/>
      <c r="C1745" s="246"/>
      <c r="D1745" s="247"/>
    </row>
    <row r="1746" spans="1:4">
      <c r="A1746" s="248"/>
      <c r="B1746" s="249"/>
      <c r="C1746" s="248"/>
      <c r="D1746" s="248"/>
    </row>
    <row r="1747" spans="1:4">
      <c r="A1747" s="246"/>
      <c r="B1747" s="246"/>
      <c r="C1747" s="246"/>
      <c r="D1747" s="247"/>
    </row>
    <row r="1748" spans="1:4">
      <c r="A1748" s="248"/>
      <c r="B1748" s="249"/>
      <c r="C1748" s="248"/>
      <c r="D1748" s="248"/>
    </row>
    <row r="1749" spans="1:4">
      <c r="A1749" s="248"/>
      <c r="B1749" s="249"/>
      <c r="C1749" s="248"/>
      <c r="D1749" s="248"/>
    </row>
    <row r="1750" spans="1:4">
      <c r="A1750" s="248"/>
      <c r="B1750" s="249"/>
      <c r="C1750" s="248"/>
      <c r="D1750" s="248"/>
    </row>
    <row r="1751" spans="1:4">
      <c r="A1751" s="248"/>
      <c r="B1751" s="249"/>
      <c r="C1751" s="248"/>
      <c r="D1751" s="248"/>
    </row>
    <row r="1752" spans="1:4">
      <c r="A1752" s="248"/>
      <c r="B1752" s="249"/>
      <c r="C1752" s="248"/>
      <c r="D1752" s="248"/>
    </row>
    <row r="1753" spans="1:4">
      <c r="A1753" s="246"/>
      <c r="B1753" s="246"/>
      <c r="C1753" s="246"/>
      <c r="D1753" s="247"/>
    </row>
    <row r="1754" spans="1:4">
      <c r="A1754" s="248"/>
      <c r="B1754" s="249"/>
      <c r="C1754" s="248"/>
      <c r="D1754" s="248"/>
    </row>
    <row r="1755" spans="1:4">
      <c r="A1755" s="248"/>
      <c r="B1755" s="249"/>
      <c r="C1755" s="248"/>
      <c r="D1755" s="248"/>
    </row>
    <row r="1756" spans="1:4">
      <c r="A1756" s="248"/>
      <c r="B1756" s="249"/>
      <c r="C1756" s="248"/>
      <c r="D1756" s="248"/>
    </row>
    <row r="1757" spans="1:4">
      <c r="A1757" s="248"/>
      <c r="B1757" s="249"/>
      <c r="C1757" s="248"/>
      <c r="D1757" s="248"/>
    </row>
    <row r="1758" spans="1:4">
      <c r="A1758" s="248"/>
      <c r="B1758" s="249"/>
      <c r="C1758" s="248"/>
      <c r="D1758" s="248"/>
    </row>
    <row r="1759" spans="1:4">
      <c r="A1759" s="248"/>
      <c r="B1759" s="249"/>
      <c r="C1759" s="248"/>
      <c r="D1759" s="248"/>
    </row>
    <row r="1760" spans="1:4">
      <c r="A1760" s="248"/>
      <c r="B1760" s="249"/>
      <c r="C1760" s="248"/>
      <c r="D1760" s="248"/>
    </row>
    <row r="1761" spans="1:4">
      <c r="A1761" s="246"/>
      <c r="B1761" s="246"/>
      <c r="C1761" s="246"/>
      <c r="D1761" s="247"/>
    </row>
    <row r="1762" spans="1:4">
      <c r="A1762" s="246"/>
      <c r="B1762" s="246"/>
      <c r="C1762" s="246"/>
      <c r="D1762" s="247"/>
    </row>
    <row r="1763" spans="1:4">
      <c r="A1763" s="246"/>
      <c r="B1763" s="246"/>
      <c r="C1763" s="246"/>
      <c r="D1763" s="247"/>
    </row>
    <row r="1764" spans="1:4">
      <c r="A1764" s="246"/>
      <c r="B1764" s="246"/>
      <c r="C1764" s="246"/>
      <c r="D1764" s="247"/>
    </row>
    <row r="1765" spans="1:4">
      <c r="A1765" s="248"/>
      <c r="B1765" s="249"/>
      <c r="C1765" s="248"/>
      <c r="D1765" s="248"/>
    </row>
    <row r="1766" spans="1:4">
      <c r="A1766" s="248"/>
      <c r="B1766" s="249"/>
      <c r="C1766" s="248"/>
      <c r="D1766" s="248"/>
    </row>
    <row r="1767" spans="1:4">
      <c r="A1767" s="248"/>
      <c r="B1767" s="249"/>
      <c r="C1767" s="248"/>
      <c r="D1767" s="248"/>
    </row>
    <row r="1768" spans="1:4">
      <c r="A1768" s="248"/>
      <c r="B1768" s="249"/>
      <c r="C1768" s="248"/>
      <c r="D1768" s="248"/>
    </row>
    <row r="1769" spans="1:4">
      <c r="A1769" s="248"/>
      <c r="B1769" s="249"/>
      <c r="C1769" s="248"/>
      <c r="D1769" s="248"/>
    </row>
    <row r="1770" spans="1:4">
      <c r="A1770" s="248"/>
      <c r="B1770" s="249"/>
      <c r="C1770" s="248"/>
      <c r="D1770" s="248"/>
    </row>
    <row r="1771" spans="1:4">
      <c r="A1771" s="248"/>
      <c r="B1771" s="249"/>
      <c r="C1771" s="248"/>
      <c r="D1771" s="248"/>
    </row>
    <row r="1772" spans="1:4">
      <c r="A1772" s="246"/>
      <c r="B1772" s="246"/>
      <c r="C1772" s="246"/>
      <c r="D1772" s="247"/>
    </row>
    <row r="1773" spans="1:4">
      <c r="A1773" s="248"/>
      <c r="B1773" s="249"/>
      <c r="C1773" s="248"/>
      <c r="D1773" s="248"/>
    </row>
    <row r="1774" spans="1:4">
      <c r="A1774" s="246"/>
      <c r="B1774" s="246"/>
      <c r="C1774" s="246"/>
      <c r="D1774" s="247"/>
    </row>
    <row r="1775" spans="1:4">
      <c r="A1775" s="248"/>
      <c r="B1775" s="249"/>
      <c r="C1775" s="248"/>
      <c r="D1775" s="248"/>
    </row>
    <row r="1776" spans="1:4">
      <c r="A1776" s="248"/>
      <c r="B1776" s="249"/>
      <c r="C1776" s="248"/>
      <c r="D1776" s="248"/>
    </row>
    <row r="1777" spans="1:4">
      <c r="A1777" s="248"/>
      <c r="B1777" s="249"/>
      <c r="C1777" s="248"/>
      <c r="D1777" s="248"/>
    </row>
    <row r="1778" spans="1:4">
      <c r="A1778" s="248"/>
      <c r="B1778" s="249"/>
      <c r="C1778" s="248"/>
      <c r="D1778" s="248"/>
    </row>
    <row r="1779" spans="1:4">
      <c r="A1779" s="248"/>
      <c r="B1779" s="249"/>
      <c r="C1779" s="248"/>
      <c r="D1779" s="248"/>
    </row>
    <row r="1780" spans="1:4">
      <c r="A1780" s="248"/>
      <c r="B1780" s="249"/>
      <c r="C1780" s="248"/>
      <c r="D1780" s="248"/>
    </row>
    <row r="1781" spans="1:4">
      <c r="A1781" s="248"/>
      <c r="B1781" s="249"/>
      <c r="C1781" s="248"/>
      <c r="D1781" s="248"/>
    </row>
    <row r="1782" spans="1:4">
      <c r="A1782" s="248"/>
      <c r="B1782" s="249"/>
      <c r="C1782" s="248"/>
      <c r="D1782" s="248"/>
    </row>
    <row r="1783" spans="1:4">
      <c r="A1783" s="248"/>
      <c r="B1783" s="249"/>
      <c r="C1783" s="248"/>
      <c r="D1783" s="248"/>
    </row>
    <row r="1784" spans="1:4">
      <c r="A1784" s="248"/>
      <c r="B1784" s="249"/>
      <c r="C1784" s="248"/>
      <c r="D1784" s="248"/>
    </row>
    <row r="1785" spans="1:4">
      <c r="A1785" s="248"/>
      <c r="B1785" s="249"/>
      <c r="C1785" s="248"/>
      <c r="D1785" s="248"/>
    </row>
    <row r="1786" spans="1:4">
      <c r="A1786" s="248"/>
      <c r="B1786" s="249"/>
      <c r="C1786" s="248"/>
      <c r="D1786" s="248"/>
    </row>
    <row r="1787" spans="1:4">
      <c r="A1787" s="248"/>
      <c r="B1787" s="249"/>
      <c r="C1787" s="248"/>
      <c r="D1787" s="248"/>
    </row>
    <row r="1788" spans="1:4">
      <c r="A1788" s="248"/>
      <c r="B1788" s="249"/>
      <c r="C1788" s="248"/>
      <c r="D1788" s="248"/>
    </row>
    <row r="1789" spans="1:4">
      <c r="A1789" s="246"/>
      <c r="B1789" s="246"/>
      <c r="C1789" s="246"/>
      <c r="D1789" s="247"/>
    </row>
    <row r="1790" spans="1:4">
      <c r="A1790" s="248"/>
      <c r="B1790" s="249"/>
      <c r="C1790" s="248"/>
      <c r="D1790" s="248"/>
    </row>
    <row r="1791" spans="1:4">
      <c r="A1791" s="248"/>
      <c r="B1791" s="249"/>
      <c r="C1791" s="248"/>
      <c r="D1791" s="248"/>
    </row>
    <row r="1792" spans="1:4">
      <c r="A1792" s="248"/>
      <c r="B1792" s="249"/>
      <c r="C1792" s="248"/>
      <c r="D1792" s="248"/>
    </row>
    <row r="1793" spans="1:4">
      <c r="A1793" s="248"/>
      <c r="B1793" s="249"/>
      <c r="C1793" s="248"/>
      <c r="D1793" s="248"/>
    </row>
    <row r="1794" spans="1:4">
      <c r="A1794" s="248"/>
      <c r="B1794" s="249"/>
      <c r="C1794" s="248"/>
      <c r="D1794" s="248"/>
    </row>
    <row r="1795" spans="1:4">
      <c r="A1795" s="246"/>
      <c r="B1795" s="246"/>
      <c r="C1795" s="246"/>
      <c r="D1795" s="247"/>
    </row>
    <row r="1796" spans="1:4">
      <c r="A1796" s="248"/>
      <c r="B1796" s="249"/>
      <c r="C1796" s="248"/>
      <c r="D1796" s="248"/>
    </row>
    <row r="1797" spans="1:4">
      <c r="A1797" s="248"/>
      <c r="B1797" s="249"/>
      <c r="C1797" s="248"/>
      <c r="D1797" s="248"/>
    </row>
    <row r="1798" spans="1:4">
      <c r="A1798" s="248"/>
      <c r="B1798" s="249"/>
      <c r="C1798" s="248"/>
      <c r="D1798" s="248"/>
    </row>
    <row r="1799" spans="1:4">
      <c r="A1799" s="248"/>
      <c r="B1799" s="249"/>
      <c r="C1799" s="248"/>
      <c r="D1799" s="248"/>
    </row>
    <row r="1800" spans="1:4">
      <c r="A1800" s="248"/>
      <c r="B1800" s="249"/>
      <c r="C1800" s="248"/>
      <c r="D1800" s="248"/>
    </row>
    <row r="1801" spans="1:4">
      <c r="A1801" s="248"/>
      <c r="B1801" s="249"/>
      <c r="C1801" s="248"/>
      <c r="D1801" s="248"/>
    </row>
    <row r="1802" spans="1:4">
      <c r="A1802" s="248"/>
      <c r="B1802" s="249"/>
      <c r="C1802" s="248"/>
      <c r="D1802" s="248"/>
    </row>
    <row r="1803" spans="1:4">
      <c r="A1803" s="248"/>
      <c r="B1803" s="249"/>
      <c r="C1803" s="248"/>
      <c r="D1803" s="248"/>
    </row>
    <row r="1804" spans="1:4">
      <c r="A1804" s="248"/>
      <c r="B1804" s="249"/>
      <c r="C1804" s="248"/>
      <c r="D1804" s="248"/>
    </row>
    <row r="1805" spans="1:4">
      <c r="A1805" s="248"/>
      <c r="B1805" s="249"/>
      <c r="C1805" s="248"/>
      <c r="D1805" s="248"/>
    </row>
    <row r="1806" spans="1:4">
      <c r="A1806" s="248"/>
      <c r="B1806" s="249"/>
      <c r="C1806" s="248"/>
      <c r="D1806" s="248"/>
    </row>
    <row r="1807" spans="1:4">
      <c r="A1807" s="248"/>
      <c r="B1807" s="249"/>
      <c r="C1807" s="248"/>
      <c r="D1807" s="248"/>
    </row>
    <row r="1808" spans="1:4">
      <c r="A1808" s="248"/>
      <c r="B1808" s="249"/>
      <c r="C1808" s="248"/>
      <c r="D1808" s="248"/>
    </row>
    <row r="1809" spans="1:4">
      <c r="A1809" s="248"/>
      <c r="B1809" s="249"/>
      <c r="C1809" s="248"/>
      <c r="D1809" s="248"/>
    </row>
    <row r="1810" spans="1:4">
      <c r="A1810" s="248"/>
      <c r="B1810" s="249"/>
      <c r="C1810" s="248"/>
      <c r="D1810" s="248"/>
    </row>
    <row r="1811" spans="1:4">
      <c r="A1811" s="248"/>
      <c r="B1811" s="249"/>
      <c r="C1811" s="248"/>
      <c r="D1811" s="248"/>
    </row>
    <row r="1812" spans="1:4">
      <c r="A1812" s="248"/>
      <c r="B1812" s="249"/>
      <c r="C1812" s="248"/>
      <c r="D1812" s="248"/>
    </row>
    <row r="1813" spans="1:4">
      <c r="A1813" s="248"/>
      <c r="B1813" s="249"/>
      <c r="C1813" s="248"/>
      <c r="D1813" s="248"/>
    </row>
    <row r="1814" spans="1:4">
      <c r="A1814" s="248"/>
      <c r="B1814" s="249"/>
      <c r="C1814" s="248"/>
      <c r="D1814" s="248"/>
    </row>
    <row r="1815" spans="1:4">
      <c r="A1815" s="248"/>
      <c r="B1815" s="249"/>
      <c r="C1815" s="248"/>
      <c r="D1815" s="248"/>
    </row>
    <row r="1816" spans="1:4">
      <c r="A1816" s="248"/>
      <c r="B1816" s="249"/>
      <c r="C1816" s="248"/>
      <c r="D1816" s="248"/>
    </row>
    <row r="1817" spans="1:4">
      <c r="A1817" s="248"/>
      <c r="B1817" s="249"/>
      <c r="C1817" s="248"/>
      <c r="D1817" s="248"/>
    </row>
    <row r="1818" spans="1:4">
      <c r="A1818" s="248"/>
      <c r="B1818" s="249"/>
      <c r="C1818" s="248"/>
      <c r="D1818" s="248"/>
    </row>
    <row r="1819" spans="1:4">
      <c r="A1819" s="248"/>
      <c r="B1819" s="249"/>
      <c r="C1819" s="248"/>
      <c r="D1819" s="248"/>
    </row>
    <row r="1820" spans="1:4">
      <c r="A1820" s="248"/>
      <c r="B1820" s="249"/>
      <c r="C1820" s="248"/>
      <c r="D1820" s="248"/>
    </row>
    <row r="1821" spans="1:4">
      <c r="A1821" s="248"/>
      <c r="B1821" s="249"/>
      <c r="C1821" s="248"/>
      <c r="D1821" s="248"/>
    </row>
    <row r="1822" spans="1:4">
      <c r="A1822" s="248"/>
      <c r="B1822" s="249"/>
      <c r="C1822" s="248"/>
      <c r="D1822" s="248"/>
    </row>
    <row r="1823" spans="1:4">
      <c r="A1823" s="248"/>
      <c r="B1823" s="249"/>
      <c r="C1823" s="248"/>
      <c r="D1823" s="248"/>
    </row>
    <row r="1824" spans="1:4">
      <c r="A1824" s="248"/>
      <c r="B1824" s="249"/>
      <c r="C1824" s="248"/>
      <c r="D1824" s="248"/>
    </row>
    <row r="1825" spans="1:4">
      <c r="A1825" s="248"/>
      <c r="B1825" s="249"/>
      <c r="C1825" s="248"/>
      <c r="D1825" s="248"/>
    </row>
    <row r="1826" spans="1:4">
      <c r="A1826" s="248"/>
      <c r="B1826" s="249"/>
      <c r="C1826" s="248"/>
      <c r="D1826" s="248"/>
    </row>
    <row r="1827" spans="1:4">
      <c r="A1827" s="246"/>
      <c r="B1827" s="246"/>
      <c r="C1827" s="246"/>
      <c r="D1827" s="247"/>
    </row>
    <row r="1828" spans="1:4">
      <c r="A1828" s="248"/>
      <c r="B1828" s="249"/>
      <c r="C1828" s="248"/>
      <c r="D1828" s="248"/>
    </row>
    <row r="1829" spans="1:4">
      <c r="A1829" s="248"/>
      <c r="B1829" s="249"/>
      <c r="C1829" s="248"/>
      <c r="D1829" s="248"/>
    </row>
    <row r="1830" spans="1:4">
      <c r="A1830" s="246"/>
      <c r="B1830" s="246"/>
      <c r="C1830" s="246"/>
      <c r="D1830" s="247"/>
    </row>
    <row r="1831" spans="1:4">
      <c r="A1831" s="248"/>
      <c r="B1831" s="249"/>
      <c r="C1831" s="248"/>
      <c r="D1831" s="248"/>
    </row>
    <row r="1832" spans="1:4">
      <c r="A1832" s="248"/>
      <c r="B1832" s="249"/>
      <c r="C1832" s="248"/>
      <c r="D1832" s="248"/>
    </row>
    <row r="1833" spans="1:4">
      <c r="A1833" s="248"/>
      <c r="B1833" s="249"/>
      <c r="C1833" s="248"/>
      <c r="D1833" s="248"/>
    </row>
    <row r="1834" spans="1:4">
      <c r="A1834" s="248"/>
      <c r="B1834" s="249"/>
      <c r="C1834" s="248"/>
      <c r="D1834" s="248"/>
    </row>
    <row r="1835" spans="1:4">
      <c r="A1835" s="248"/>
      <c r="B1835" s="249"/>
      <c r="C1835" s="248"/>
      <c r="D1835" s="248"/>
    </row>
    <row r="1836" spans="1:4">
      <c r="A1836" s="248"/>
      <c r="B1836" s="249"/>
      <c r="C1836" s="248"/>
      <c r="D1836" s="248"/>
    </row>
    <row r="1837" spans="1:4">
      <c r="A1837" s="248"/>
      <c r="B1837" s="249"/>
      <c r="C1837" s="248"/>
      <c r="D1837" s="248"/>
    </row>
    <row r="1838" spans="1:4">
      <c r="A1838" s="248"/>
      <c r="B1838" s="249"/>
      <c r="C1838" s="248"/>
      <c r="D1838" s="248"/>
    </row>
    <row r="1839" spans="1:4">
      <c r="A1839" s="248"/>
      <c r="B1839" s="249"/>
      <c r="C1839" s="248"/>
      <c r="D1839" s="248"/>
    </row>
    <row r="1840" spans="1:4">
      <c r="A1840" s="248"/>
      <c r="B1840" s="249"/>
      <c r="C1840" s="248"/>
      <c r="D1840" s="248"/>
    </row>
    <row r="1841" spans="1:4">
      <c r="A1841" s="246"/>
      <c r="B1841" s="246"/>
      <c r="C1841" s="246"/>
      <c r="D1841" s="247"/>
    </row>
    <row r="1842" spans="1:4">
      <c r="A1842" s="248"/>
      <c r="B1842" s="249"/>
      <c r="C1842" s="248"/>
      <c r="D1842" s="248"/>
    </row>
    <row r="1843" spans="1:4">
      <c r="A1843" s="248"/>
      <c r="B1843" s="249"/>
      <c r="C1843" s="248"/>
      <c r="D1843" s="248"/>
    </row>
    <row r="1844" spans="1:4">
      <c r="A1844" s="246"/>
      <c r="B1844" s="246"/>
      <c r="C1844" s="246"/>
      <c r="D1844" s="247"/>
    </row>
    <row r="1845" spans="1:4">
      <c r="A1845" s="248"/>
      <c r="B1845" s="249"/>
      <c r="C1845" s="248"/>
      <c r="D1845" s="248"/>
    </row>
    <row r="1846" spans="1:4">
      <c r="A1846" s="248"/>
      <c r="B1846" s="249"/>
      <c r="C1846" s="248"/>
      <c r="D1846" s="248"/>
    </row>
    <row r="1847" spans="1:4">
      <c r="A1847" s="248"/>
      <c r="B1847" s="249"/>
      <c r="C1847" s="248"/>
      <c r="D1847" s="248"/>
    </row>
    <row r="1848" spans="1:4">
      <c r="A1848" s="248"/>
      <c r="B1848" s="249"/>
      <c r="C1848" s="248"/>
      <c r="D1848" s="248"/>
    </row>
    <row r="1849" spans="1:4">
      <c r="A1849" s="248"/>
      <c r="B1849" s="249"/>
      <c r="C1849" s="248"/>
      <c r="D1849" s="248"/>
    </row>
    <row r="1850" spans="1:4">
      <c r="A1850" s="248"/>
      <c r="B1850" s="249"/>
      <c r="C1850" s="248"/>
      <c r="D1850" s="248"/>
    </row>
    <row r="1851" spans="1:4">
      <c r="A1851" s="248"/>
      <c r="B1851" s="249"/>
      <c r="C1851" s="248"/>
      <c r="D1851" s="248"/>
    </row>
    <row r="1852" spans="1:4">
      <c r="A1852" s="248"/>
      <c r="B1852" s="249"/>
      <c r="C1852" s="248"/>
      <c r="D1852" s="248"/>
    </row>
    <row r="1853" spans="1:4">
      <c r="A1853" s="248"/>
      <c r="B1853" s="249"/>
      <c r="C1853" s="248"/>
      <c r="D1853" s="248"/>
    </row>
    <row r="1854" spans="1:4">
      <c r="A1854" s="248"/>
      <c r="B1854" s="249"/>
      <c r="C1854" s="248"/>
      <c r="D1854" s="248"/>
    </row>
    <row r="1855" spans="1:4">
      <c r="A1855" s="248"/>
      <c r="B1855" s="249"/>
      <c r="C1855" s="248"/>
      <c r="D1855" s="248"/>
    </row>
    <row r="1856" spans="1:4">
      <c r="A1856" s="248"/>
      <c r="B1856" s="249"/>
      <c r="C1856" s="248"/>
      <c r="D1856" s="248"/>
    </row>
    <row r="1857" spans="1:4">
      <c r="A1857" s="248"/>
      <c r="B1857" s="249"/>
      <c r="C1857" s="248"/>
      <c r="D1857" s="248"/>
    </row>
    <row r="1858" spans="1:4">
      <c r="A1858" s="248"/>
      <c r="B1858" s="249"/>
      <c r="C1858" s="248"/>
      <c r="D1858" s="248"/>
    </row>
    <row r="1859" spans="1:4">
      <c r="A1859" s="248"/>
      <c r="B1859" s="249"/>
      <c r="C1859" s="248"/>
      <c r="D1859" s="248"/>
    </row>
    <row r="1860" spans="1:4">
      <c r="A1860" s="246"/>
      <c r="B1860" s="246"/>
      <c r="C1860" s="246"/>
      <c r="D1860" s="247"/>
    </row>
    <row r="1861" spans="1:4">
      <c r="A1861" s="246"/>
      <c r="B1861" s="246"/>
      <c r="C1861" s="246"/>
      <c r="D1861" s="247"/>
    </row>
    <row r="1862" spans="1:4">
      <c r="A1862" s="248"/>
      <c r="B1862" s="249"/>
      <c r="C1862" s="248"/>
      <c r="D1862" s="248"/>
    </row>
    <row r="1863" spans="1:4">
      <c r="A1863" s="248"/>
      <c r="B1863" s="249"/>
      <c r="C1863" s="248"/>
      <c r="D1863" s="248"/>
    </row>
    <row r="1864" spans="1:4">
      <c r="A1864" s="248"/>
      <c r="B1864" s="249"/>
      <c r="C1864" s="248"/>
      <c r="D1864" s="248"/>
    </row>
    <row r="1865" spans="1:4">
      <c r="A1865" s="248"/>
      <c r="B1865" s="249"/>
      <c r="C1865" s="248"/>
      <c r="D1865" s="248"/>
    </row>
    <row r="1866" spans="1:4">
      <c r="A1866" s="246"/>
      <c r="B1866" s="246"/>
      <c r="C1866" s="246"/>
      <c r="D1866" s="247"/>
    </row>
    <row r="1867" spans="1:4">
      <c r="A1867" s="248"/>
      <c r="B1867" s="249"/>
      <c r="C1867" s="248"/>
      <c r="D1867" s="248"/>
    </row>
    <row r="1868" spans="1:4">
      <c r="A1868" s="248"/>
      <c r="B1868" s="249"/>
      <c r="C1868" s="248"/>
      <c r="D1868" s="248"/>
    </row>
    <row r="1869" spans="1:4">
      <c r="A1869" s="248"/>
      <c r="B1869" s="249"/>
      <c r="C1869" s="248"/>
      <c r="D1869" s="248"/>
    </row>
    <row r="1870" spans="1:4">
      <c r="A1870" s="248"/>
      <c r="B1870" s="249"/>
      <c r="C1870" s="248"/>
      <c r="D1870" s="248"/>
    </row>
    <row r="1871" spans="1:4">
      <c r="A1871" s="248"/>
      <c r="B1871" s="249"/>
      <c r="C1871" s="248"/>
      <c r="D1871" s="248"/>
    </row>
    <row r="1872" spans="1:4">
      <c r="A1872" s="248"/>
      <c r="B1872" s="249"/>
      <c r="C1872" s="248"/>
      <c r="D1872" s="248"/>
    </row>
    <row r="1873" spans="1:4">
      <c r="A1873" s="248"/>
      <c r="B1873" s="249"/>
      <c r="C1873" s="248"/>
      <c r="D1873" s="248"/>
    </row>
    <row r="1874" spans="1:4">
      <c r="A1874" s="248"/>
      <c r="B1874" s="249"/>
      <c r="C1874" s="248"/>
      <c r="D1874" s="248"/>
    </row>
    <row r="1875" spans="1:4">
      <c r="A1875" s="248"/>
      <c r="B1875" s="249"/>
      <c r="C1875" s="248"/>
      <c r="D1875" s="248"/>
    </row>
    <row r="1876" spans="1:4">
      <c r="A1876" s="248"/>
      <c r="B1876" s="249"/>
      <c r="C1876" s="248"/>
      <c r="D1876" s="248"/>
    </row>
    <row r="1877" spans="1:4">
      <c r="A1877" s="248"/>
      <c r="B1877" s="249"/>
      <c r="C1877" s="248"/>
      <c r="D1877" s="248"/>
    </row>
    <row r="1878" spans="1:4">
      <c r="A1878" s="248"/>
      <c r="B1878" s="249"/>
      <c r="C1878" s="248"/>
      <c r="D1878" s="248"/>
    </row>
    <row r="1879" spans="1:4">
      <c r="A1879" s="248"/>
      <c r="B1879" s="249"/>
      <c r="C1879" s="248"/>
      <c r="D1879" s="248"/>
    </row>
    <row r="1880" spans="1:4">
      <c r="A1880" s="248"/>
      <c r="B1880" s="249"/>
      <c r="C1880" s="248"/>
      <c r="D1880" s="248"/>
    </row>
    <row r="1881" spans="1:4">
      <c r="A1881" s="248"/>
      <c r="B1881" s="249"/>
      <c r="C1881" s="248"/>
      <c r="D1881" s="248"/>
    </row>
    <row r="1882" spans="1:4">
      <c r="A1882" s="248"/>
      <c r="B1882" s="249"/>
      <c r="C1882" s="248"/>
      <c r="D1882" s="248"/>
    </row>
    <row r="1883" spans="1:4">
      <c r="A1883" s="248"/>
      <c r="B1883" s="249"/>
      <c r="C1883" s="248"/>
      <c r="D1883" s="248"/>
    </row>
    <row r="1884" spans="1:4">
      <c r="A1884" s="248"/>
      <c r="B1884" s="249"/>
      <c r="C1884" s="248"/>
      <c r="D1884" s="248"/>
    </row>
    <row r="1885" spans="1:4">
      <c r="A1885" s="246"/>
      <c r="B1885" s="246"/>
      <c r="C1885" s="246"/>
      <c r="D1885" s="247"/>
    </row>
    <row r="1886" spans="1:4">
      <c r="A1886" s="248"/>
      <c r="B1886" s="249"/>
      <c r="C1886" s="248"/>
      <c r="D1886" s="248"/>
    </row>
    <row r="1887" spans="1:4">
      <c r="A1887" s="248"/>
      <c r="B1887" s="249"/>
      <c r="C1887" s="248"/>
      <c r="D1887" s="248"/>
    </row>
    <row r="1888" spans="1:4">
      <c r="A1888" s="248"/>
      <c r="B1888" s="249"/>
      <c r="C1888" s="248"/>
      <c r="D1888" s="248"/>
    </row>
    <row r="1889" spans="1:4">
      <c r="A1889" s="248"/>
      <c r="B1889" s="249"/>
      <c r="C1889" s="248"/>
      <c r="D1889" s="248"/>
    </row>
    <row r="1890" spans="1:4">
      <c r="A1890" s="248"/>
      <c r="B1890" s="249"/>
      <c r="C1890" s="248"/>
      <c r="D1890" s="248"/>
    </row>
    <row r="1891" spans="1:4">
      <c r="A1891" s="248"/>
      <c r="B1891" s="249"/>
      <c r="C1891" s="248"/>
      <c r="D1891" s="248"/>
    </row>
    <row r="1892" spans="1:4">
      <c r="A1892" s="246"/>
      <c r="B1892" s="246"/>
      <c r="C1892" s="246"/>
      <c r="D1892" s="247"/>
    </row>
    <row r="1893" spans="1:4">
      <c r="A1893" s="248"/>
      <c r="B1893" s="249"/>
      <c r="C1893" s="248"/>
      <c r="D1893" s="248"/>
    </row>
    <row r="1894" spans="1:4">
      <c r="A1894" s="248"/>
      <c r="B1894" s="249"/>
      <c r="C1894" s="248"/>
      <c r="D1894" s="248"/>
    </row>
    <row r="1895" spans="1:4">
      <c r="A1895" s="248"/>
      <c r="B1895" s="249"/>
      <c r="C1895" s="248"/>
      <c r="D1895" s="248"/>
    </row>
    <row r="1896" spans="1:4">
      <c r="A1896" s="248"/>
      <c r="B1896" s="249"/>
      <c r="C1896" s="248"/>
      <c r="D1896" s="248"/>
    </row>
    <row r="1897" spans="1:4">
      <c r="A1897" s="248"/>
      <c r="B1897" s="249"/>
      <c r="C1897" s="248"/>
      <c r="D1897" s="248"/>
    </row>
    <row r="1898" spans="1:4">
      <c r="A1898" s="248"/>
      <c r="B1898" s="249"/>
      <c r="C1898" s="248"/>
      <c r="D1898" s="248"/>
    </row>
    <row r="1899" spans="1:4">
      <c r="A1899" s="248"/>
      <c r="B1899" s="249"/>
      <c r="C1899" s="248"/>
      <c r="D1899" s="248"/>
    </row>
    <row r="1900" spans="1:4">
      <c r="A1900" s="248"/>
      <c r="B1900" s="249"/>
      <c r="C1900" s="248"/>
      <c r="D1900" s="248"/>
    </row>
    <row r="1901" spans="1:4">
      <c r="A1901" s="248"/>
      <c r="B1901" s="249"/>
      <c r="C1901" s="248"/>
      <c r="D1901" s="248"/>
    </row>
    <row r="1902" spans="1:4">
      <c r="A1902" s="248"/>
      <c r="B1902" s="249"/>
      <c r="C1902" s="248"/>
      <c r="D1902" s="248"/>
    </row>
    <row r="1903" spans="1:4">
      <c r="A1903" s="248"/>
      <c r="B1903" s="249"/>
      <c r="C1903" s="248"/>
      <c r="D1903" s="248"/>
    </row>
    <row r="1904" spans="1:4">
      <c r="A1904" s="246"/>
      <c r="B1904" s="246"/>
      <c r="C1904" s="246"/>
      <c r="D1904" s="247"/>
    </row>
    <row r="1905" spans="1:4">
      <c r="A1905" s="248"/>
      <c r="B1905" s="249"/>
      <c r="C1905" s="248"/>
      <c r="D1905" s="248"/>
    </row>
    <row r="1906" spans="1:4">
      <c r="A1906" s="248"/>
      <c r="B1906" s="249"/>
      <c r="C1906" s="248"/>
      <c r="D1906" s="248"/>
    </row>
    <row r="1907" spans="1:4">
      <c r="A1907" s="248"/>
      <c r="B1907" s="249"/>
      <c r="C1907" s="248"/>
      <c r="D1907" s="248"/>
    </row>
    <row r="1908" spans="1:4">
      <c r="A1908" s="248"/>
      <c r="B1908" s="249"/>
      <c r="C1908" s="248"/>
      <c r="D1908" s="248"/>
    </row>
    <row r="1909" spans="1:4">
      <c r="A1909" s="248"/>
      <c r="B1909" s="249"/>
      <c r="C1909" s="248"/>
      <c r="D1909" s="248"/>
    </row>
    <row r="1910" spans="1:4">
      <c r="A1910" s="248"/>
      <c r="B1910" s="249"/>
      <c r="C1910" s="248"/>
      <c r="D1910" s="248"/>
    </row>
    <row r="1911" spans="1:4">
      <c r="A1911" s="248"/>
      <c r="B1911" s="249"/>
      <c r="C1911" s="248"/>
      <c r="D1911" s="248"/>
    </row>
    <row r="1912" spans="1:4">
      <c r="A1912" s="248"/>
      <c r="B1912" s="249"/>
      <c r="C1912" s="248"/>
      <c r="D1912" s="248"/>
    </row>
    <row r="1913" spans="1:4">
      <c r="A1913" s="248"/>
      <c r="B1913" s="249"/>
      <c r="C1913" s="248"/>
      <c r="D1913" s="248"/>
    </row>
    <row r="1914" spans="1:4">
      <c r="A1914" s="248"/>
      <c r="B1914" s="249"/>
      <c r="C1914" s="248"/>
      <c r="D1914" s="248"/>
    </row>
    <row r="1915" spans="1:4">
      <c r="A1915" s="248"/>
      <c r="B1915" s="249"/>
      <c r="C1915" s="248"/>
      <c r="D1915" s="248"/>
    </row>
    <row r="1916" spans="1:4">
      <c r="A1916" s="248"/>
      <c r="B1916" s="249"/>
      <c r="C1916" s="248"/>
      <c r="D1916" s="248"/>
    </row>
    <row r="1917" spans="1:4">
      <c r="A1917" s="248"/>
      <c r="B1917" s="249"/>
      <c r="C1917" s="248"/>
      <c r="D1917" s="248"/>
    </row>
    <row r="1918" spans="1:4">
      <c r="A1918" s="248"/>
      <c r="B1918" s="249"/>
      <c r="C1918" s="248"/>
      <c r="D1918" s="248"/>
    </row>
    <row r="1919" spans="1:4">
      <c r="A1919" s="248"/>
      <c r="B1919" s="249"/>
      <c r="C1919" s="248"/>
      <c r="D1919" s="248"/>
    </row>
    <row r="1920" spans="1:4">
      <c r="A1920" s="248"/>
      <c r="B1920" s="249"/>
      <c r="C1920" s="248"/>
      <c r="D1920" s="248"/>
    </row>
    <row r="1921" spans="1:4">
      <c r="A1921" s="248"/>
      <c r="B1921" s="249"/>
      <c r="C1921" s="248"/>
      <c r="D1921" s="248"/>
    </row>
    <row r="1922" spans="1:4">
      <c r="A1922" s="248"/>
      <c r="B1922" s="249"/>
      <c r="C1922" s="248"/>
      <c r="D1922" s="248"/>
    </row>
    <row r="1923" spans="1:4">
      <c r="A1923" s="246"/>
      <c r="B1923" s="246"/>
      <c r="C1923" s="246"/>
      <c r="D1923" s="247"/>
    </row>
    <row r="1924" spans="1:4">
      <c r="A1924" s="248"/>
      <c r="B1924" s="249"/>
      <c r="C1924" s="248"/>
      <c r="D1924" s="248"/>
    </row>
    <row r="1925" spans="1:4">
      <c r="A1925" s="248"/>
      <c r="B1925" s="249"/>
      <c r="C1925" s="248"/>
      <c r="D1925" s="248"/>
    </row>
    <row r="1926" spans="1:4">
      <c r="A1926" s="248"/>
      <c r="B1926" s="249"/>
      <c r="C1926" s="248"/>
      <c r="D1926" s="248"/>
    </row>
    <row r="1927" spans="1:4">
      <c r="A1927" s="248"/>
      <c r="B1927" s="249"/>
      <c r="C1927" s="248"/>
      <c r="D1927" s="248"/>
    </row>
    <row r="1928" spans="1:4">
      <c r="A1928" s="248"/>
      <c r="B1928" s="249"/>
      <c r="C1928" s="248"/>
      <c r="D1928" s="248"/>
    </row>
    <row r="1929" spans="1:4">
      <c r="A1929" s="248"/>
      <c r="B1929" s="249"/>
      <c r="C1929" s="248"/>
      <c r="D1929" s="248"/>
    </row>
    <row r="1930" spans="1:4">
      <c r="A1930" s="248"/>
      <c r="B1930" s="249"/>
      <c r="C1930" s="248"/>
      <c r="D1930" s="248"/>
    </row>
    <row r="1931" spans="1:4">
      <c r="A1931" s="246"/>
      <c r="B1931" s="246"/>
      <c r="C1931" s="246"/>
      <c r="D1931" s="247"/>
    </row>
    <row r="1932" spans="1:4">
      <c r="A1932" s="248"/>
      <c r="B1932" s="249"/>
      <c r="C1932" s="248"/>
      <c r="D1932" s="248"/>
    </row>
    <row r="1933" spans="1:4">
      <c r="A1933" s="248"/>
      <c r="B1933" s="249"/>
      <c r="C1933" s="248"/>
      <c r="D1933" s="248"/>
    </row>
    <row r="1934" spans="1:4">
      <c r="A1934" s="248"/>
      <c r="B1934" s="249"/>
      <c r="C1934" s="248"/>
      <c r="D1934" s="248"/>
    </row>
    <row r="1935" spans="1:4">
      <c r="A1935" s="246"/>
      <c r="B1935" s="246"/>
      <c r="C1935" s="246"/>
      <c r="D1935" s="247"/>
    </row>
    <row r="1936" spans="1:4">
      <c r="A1936" s="248"/>
      <c r="B1936" s="249"/>
      <c r="C1936" s="248"/>
      <c r="D1936" s="248"/>
    </row>
    <row r="1937" spans="1:4">
      <c r="A1937" s="248"/>
      <c r="B1937" s="249"/>
      <c r="C1937" s="248"/>
      <c r="D1937" s="248"/>
    </row>
    <row r="1938" spans="1:4">
      <c r="A1938" s="248"/>
      <c r="B1938" s="249"/>
      <c r="C1938" s="248"/>
      <c r="D1938" s="248"/>
    </row>
    <row r="1939" spans="1:4">
      <c r="A1939" s="248"/>
      <c r="B1939" s="249"/>
      <c r="C1939" s="248"/>
      <c r="D1939" s="248"/>
    </row>
    <row r="1940" spans="1:4">
      <c r="A1940" s="248"/>
      <c r="B1940" s="249"/>
      <c r="C1940" s="248"/>
      <c r="D1940" s="248"/>
    </row>
    <row r="1941" spans="1:4">
      <c r="A1941" s="248"/>
      <c r="B1941" s="249"/>
      <c r="C1941" s="248"/>
      <c r="D1941" s="248"/>
    </row>
    <row r="1942" spans="1:4">
      <c r="A1942" s="248"/>
      <c r="B1942" s="249"/>
      <c r="C1942" s="248"/>
      <c r="D1942" s="248"/>
    </row>
    <row r="1943" spans="1:4">
      <c r="A1943" s="248"/>
      <c r="B1943" s="249"/>
      <c r="C1943" s="248"/>
      <c r="D1943" s="248"/>
    </row>
    <row r="1944" spans="1:4">
      <c r="A1944" s="248"/>
      <c r="B1944" s="249"/>
      <c r="C1944" s="248"/>
      <c r="D1944" s="248"/>
    </row>
    <row r="1945" spans="1:4">
      <c r="A1945" s="248"/>
      <c r="B1945" s="249"/>
      <c r="C1945" s="248"/>
      <c r="D1945" s="248"/>
    </row>
    <row r="1946" spans="1:4">
      <c r="A1946" s="248"/>
      <c r="B1946" s="249"/>
      <c r="C1946" s="248"/>
      <c r="D1946" s="248"/>
    </row>
    <row r="1947" spans="1:4">
      <c r="A1947" s="248"/>
      <c r="B1947" s="249"/>
      <c r="C1947" s="248"/>
      <c r="D1947" s="248"/>
    </row>
    <row r="1948" spans="1:4">
      <c r="A1948" s="248"/>
      <c r="B1948" s="249"/>
      <c r="C1948" s="248"/>
      <c r="D1948" s="248"/>
    </row>
    <row r="1949" spans="1:4">
      <c r="A1949" s="248"/>
      <c r="B1949" s="249"/>
      <c r="C1949" s="248"/>
      <c r="D1949" s="248"/>
    </row>
    <row r="1950" spans="1:4">
      <c r="A1950" s="248"/>
      <c r="B1950" s="249"/>
      <c r="C1950" s="248"/>
      <c r="D1950" s="248"/>
    </row>
    <row r="1951" spans="1:4">
      <c r="A1951" s="248"/>
      <c r="B1951" s="249"/>
      <c r="C1951" s="248"/>
      <c r="D1951" s="248"/>
    </row>
    <row r="1952" spans="1:4">
      <c r="A1952" s="248"/>
      <c r="B1952" s="249"/>
      <c r="C1952" s="248"/>
      <c r="D1952" s="248"/>
    </row>
    <row r="1953" spans="1:4">
      <c r="A1953" s="248"/>
      <c r="B1953" s="249"/>
      <c r="C1953" s="248"/>
      <c r="D1953" s="248"/>
    </row>
    <row r="1954" spans="1:4">
      <c r="A1954" s="246"/>
      <c r="B1954" s="246"/>
      <c r="C1954" s="246"/>
      <c r="D1954" s="247"/>
    </row>
    <row r="1955" spans="1:4">
      <c r="A1955" s="246"/>
      <c r="B1955" s="246"/>
      <c r="C1955" s="246"/>
      <c r="D1955" s="247"/>
    </row>
    <row r="1956" spans="1:4">
      <c r="A1956" s="248"/>
      <c r="B1956" s="249"/>
      <c r="C1956" s="248"/>
      <c r="D1956" s="248"/>
    </row>
    <row r="1957" spans="1:4">
      <c r="A1957" s="248"/>
      <c r="B1957" s="249"/>
      <c r="C1957" s="248"/>
      <c r="D1957" s="248"/>
    </row>
    <row r="1958" spans="1:4">
      <c r="A1958" s="248"/>
      <c r="B1958" s="249"/>
      <c r="C1958" s="248"/>
      <c r="D1958" s="248"/>
    </row>
    <row r="1959" spans="1:4">
      <c r="A1959" s="248"/>
      <c r="B1959" s="249"/>
      <c r="C1959" s="248"/>
      <c r="D1959" s="248"/>
    </row>
    <row r="1960" spans="1:4">
      <c r="A1960" s="246"/>
      <c r="B1960" s="246"/>
      <c r="C1960" s="246"/>
      <c r="D1960" s="247"/>
    </row>
    <row r="1961" spans="1:4">
      <c r="A1961" s="248"/>
      <c r="B1961" s="249"/>
      <c r="C1961" s="248"/>
      <c r="D1961" s="248"/>
    </row>
    <row r="1962" spans="1:4">
      <c r="A1962" s="248"/>
      <c r="B1962" s="249"/>
      <c r="C1962" s="248"/>
      <c r="D1962" s="248"/>
    </row>
    <row r="1963" spans="1:4">
      <c r="A1963" s="248"/>
      <c r="B1963" s="249"/>
      <c r="C1963" s="248"/>
      <c r="D1963" s="248"/>
    </row>
    <row r="1964" spans="1:4">
      <c r="A1964" s="248"/>
      <c r="B1964" s="249"/>
      <c r="C1964" s="248"/>
      <c r="D1964" s="248"/>
    </row>
    <row r="1965" spans="1:4">
      <c r="A1965" s="248"/>
      <c r="B1965" s="249"/>
      <c r="C1965" s="248"/>
      <c r="D1965" s="248"/>
    </row>
    <row r="1966" spans="1:4">
      <c r="A1966" s="248"/>
      <c r="B1966" s="249"/>
      <c r="C1966" s="248"/>
      <c r="D1966" s="248"/>
    </row>
    <row r="1967" spans="1:4">
      <c r="A1967" s="248"/>
      <c r="B1967" s="249"/>
      <c r="C1967" s="248"/>
      <c r="D1967" s="248"/>
    </row>
    <row r="1968" spans="1:4">
      <c r="A1968" s="248"/>
      <c r="B1968" s="249"/>
      <c r="C1968" s="248"/>
      <c r="D1968" s="248"/>
    </row>
    <row r="1969" spans="1:4">
      <c r="A1969" s="248"/>
      <c r="B1969" s="249"/>
      <c r="C1969" s="248"/>
      <c r="D1969" s="248"/>
    </row>
    <row r="1970" spans="1:4">
      <c r="A1970" s="248"/>
      <c r="B1970" s="249"/>
      <c r="C1970" s="248"/>
      <c r="D1970" s="248"/>
    </row>
    <row r="1971" spans="1:4">
      <c r="A1971" s="248"/>
      <c r="B1971" s="249"/>
      <c r="C1971" s="248"/>
      <c r="D1971" s="248"/>
    </row>
    <row r="1972" spans="1:4">
      <c r="A1972" s="248"/>
      <c r="B1972" s="249"/>
      <c r="C1972" s="248"/>
      <c r="D1972" s="248"/>
    </row>
    <row r="1973" spans="1:4">
      <c r="A1973" s="248"/>
      <c r="B1973" s="249"/>
      <c r="C1973" s="248"/>
      <c r="D1973" s="248"/>
    </row>
    <row r="1974" spans="1:4">
      <c r="A1974" s="248"/>
      <c r="B1974" s="249"/>
      <c r="C1974" s="248"/>
      <c r="D1974" s="248"/>
    </row>
    <row r="1975" spans="1:4">
      <c r="A1975" s="248"/>
      <c r="B1975" s="249"/>
      <c r="C1975" s="248"/>
      <c r="D1975" s="248"/>
    </row>
    <row r="1976" spans="1:4">
      <c r="A1976" s="246"/>
      <c r="B1976" s="246"/>
      <c r="C1976" s="246"/>
      <c r="D1976" s="247"/>
    </row>
    <row r="1977" spans="1:4">
      <c r="A1977" s="248"/>
      <c r="B1977" s="249"/>
      <c r="C1977" s="248"/>
      <c r="D1977" s="248"/>
    </row>
    <row r="1978" spans="1:4">
      <c r="A1978" s="248"/>
      <c r="B1978" s="249"/>
      <c r="C1978" s="248"/>
      <c r="D1978" s="248"/>
    </row>
    <row r="1979" spans="1:4">
      <c r="A1979" s="248"/>
      <c r="B1979" s="249"/>
      <c r="C1979" s="248"/>
      <c r="D1979" s="248"/>
    </row>
    <row r="1980" spans="1:4">
      <c r="A1980" s="248"/>
      <c r="B1980" s="249"/>
      <c r="C1980" s="248"/>
      <c r="D1980" s="248"/>
    </row>
    <row r="1981" spans="1:4">
      <c r="A1981" s="246"/>
      <c r="B1981" s="246"/>
      <c r="C1981" s="246"/>
      <c r="D1981" s="247"/>
    </row>
    <row r="1982" spans="1:4">
      <c r="A1982" s="246"/>
      <c r="B1982" s="246"/>
      <c r="C1982" s="246"/>
      <c r="D1982" s="247"/>
    </row>
    <row r="1983" spans="1:4">
      <c r="A1983" s="248"/>
      <c r="B1983" s="249"/>
      <c r="C1983" s="248"/>
      <c r="D1983" s="248"/>
    </row>
    <row r="1984" spans="1:4">
      <c r="A1984" s="248"/>
      <c r="B1984" s="249"/>
      <c r="C1984" s="248"/>
      <c r="D1984" s="248"/>
    </row>
    <row r="1985" spans="1:4">
      <c r="A1985" s="248"/>
      <c r="B1985" s="249"/>
      <c r="C1985" s="248"/>
      <c r="D1985" s="248"/>
    </row>
    <row r="1986" spans="1:4">
      <c r="A1986" s="248"/>
      <c r="B1986" s="249"/>
      <c r="C1986" s="248"/>
      <c r="D1986" s="248"/>
    </row>
    <row r="1987" spans="1:4">
      <c r="A1987" s="248"/>
      <c r="B1987" s="249"/>
      <c r="C1987" s="248"/>
      <c r="D1987" s="248"/>
    </row>
    <row r="1988" spans="1:4">
      <c r="A1988" s="248"/>
      <c r="B1988" s="249"/>
      <c r="C1988" s="248"/>
      <c r="D1988" s="248"/>
    </row>
    <row r="1989" spans="1:4">
      <c r="A1989" s="248"/>
      <c r="B1989" s="249"/>
      <c r="C1989" s="248"/>
      <c r="D1989" s="248"/>
    </row>
    <row r="1990" spans="1:4">
      <c r="A1990" s="248"/>
      <c r="B1990" s="249"/>
      <c r="C1990" s="248"/>
      <c r="D1990" s="248"/>
    </row>
    <row r="1991" spans="1:4">
      <c r="A1991" s="248"/>
      <c r="B1991" s="249"/>
      <c r="C1991" s="248"/>
      <c r="D1991" s="248"/>
    </row>
    <row r="1992" spans="1:4">
      <c r="A1992" s="246"/>
      <c r="B1992" s="246"/>
      <c r="C1992" s="246"/>
      <c r="D1992" s="247"/>
    </row>
    <row r="1993" spans="1:4">
      <c r="A1993" s="248"/>
      <c r="B1993" s="249"/>
      <c r="C1993" s="248"/>
      <c r="D1993" s="248"/>
    </row>
    <row r="1994" spans="1:4">
      <c r="A1994" s="248"/>
      <c r="B1994" s="249"/>
      <c r="C1994" s="248"/>
      <c r="D1994" s="248"/>
    </row>
    <row r="1995" spans="1:4">
      <c r="A1995" s="248"/>
      <c r="B1995" s="249"/>
      <c r="C1995" s="248"/>
      <c r="D1995" s="248"/>
    </row>
    <row r="1996" spans="1:4">
      <c r="A1996" s="248"/>
      <c r="B1996" s="249"/>
      <c r="C1996" s="248"/>
      <c r="D1996" s="248"/>
    </row>
    <row r="1997" spans="1:4">
      <c r="A1997" s="248"/>
      <c r="B1997" s="249"/>
      <c r="C1997" s="248"/>
      <c r="D1997" s="248"/>
    </row>
    <row r="1998" spans="1:4">
      <c r="A1998" s="248"/>
      <c r="B1998" s="249"/>
      <c r="C1998" s="248"/>
      <c r="D1998" s="248"/>
    </row>
    <row r="1999" spans="1:4">
      <c r="A1999" s="248"/>
      <c r="B1999" s="249"/>
      <c r="C1999" s="248"/>
      <c r="D1999" s="248"/>
    </row>
    <row r="2000" spans="1:4">
      <c r="A2000" s="248"/>
      <c r="B2000" s="249"/>
      <c r="C2000" s="248"/>
      <c r="D2000" s="248"/>
    </row>
    <row r="2001" spans="1:4">
      <c r="A2001" s="248"/>
      <c r="B2001" s="249"/>
      <c r="C2001" s="248"/>
      <c r="D2001" s="248"/>
    </row>
    <row r="2002" spans="1:4">
      <c r="A2002" s="248"/>
      <c r="B2002" s="249"/>
      <c r="C2002" s="248"/>
      <c r="D2002" s="248"/>
    </row>
    <row r="2003" spans="1:4">
      <c r="A2003" s="248"/>
      <c r="B2003" s="249"/>
      <c r="C2003" s="248"/>
      <c r="D2003" s="248"/>
    </row>
    <row r="2004" spans="1:4">
      <c r="A2004" s="248"/>
      <c r="B2004" s="249"/>
      <c r="C2004" s="248"/>
      <c r="D2004" s="248"/>
    </row>
    <row r="2005" spans="1:4">
      <c r="A2005" s="248"/>
      <c r="B2005" s="249"/>
      <c r="C2005" s="248"/>
      <c r="D2005" s="248"/>
    </row>
    <row r="2006" spans="1:4">
      <c r="A2006" s="248"/>
      <c r="B2006" s="249"/>
      <c r="C2006" s="248"/>
      <c r="D2006" s="248"/>
    </row>
    <row r="2007" spans="1:4">
      <c r="A2007" s="248"/>
      <c r="B2007" s="249"/>
      <c r="C2007" s="248"/>
      <c r="D2007" s="248"/>
    </row>
    <row r="2008" spans="1:4">
      <c r="A2008" s="248"/>
      <c r="B2008" s="249"/>
      <c r="C2008" s="248"/>
      <c r="D2008" s="248"/>
    </row>
    <row r="2009" spans="1:4">
      <c r="A2009" s="248"/>
      <c r="B2009" s="249"/>
      <c r="C2009" s="248"/>
      <c r="D2009" s="248"/>
    </row>
    <row r="2010" spans="1:4">
      <c r="A2010" s="248"/>
      <c r="B2010" s="249"/>
      <c r="C2010" s="248"/>
      <c r="D2010" s="248"/>
    </row>
    <row r="2011" spans="1:4">
      <c r="A2011" s="248"/>
      <c r="B2011" s="249"/>
      <c r="C2011" s="248"/>
      <c r="D2011" s="248"/>
    </row>
    <row r="2012" spans="1:4">
      <c r="A2012" s="248"/>
      <c r="B2012" s="249"/>
      <c r="C2012" s="248"/>
      <c r="D2012" s="248"/>
    </row>
    <row r="2013" spans="1:4">
      <c r="A2013" s="248"/>
      <c r="B2013" s="249"/>
      <c r="C2013" s="248"/>
      <c r="D2013" s="248"/>
    </row>
    <row r="2014" spans="1:4">
      <c r="A2014" s="248"/>
      <c r="B2014" s="249"/>
      <c r="C2014" s="248"/>
      <c r="D2014" s="248"/>
    </row>
    <row r="2015" spans="1:4">
      <c r="A2015" s="248"/>
      <c r="B2015" s="249"/>
      <c r="C2015" s="248"/>
      <c r="D2015" s="248"/>
    </row>
    <row r="2016" spans="1:4">
      <c r="A2016" s="248"/>
      <c r="B2016" s="249"/>
      <c r="C2016" s="248"/>
      <c r="D2016" s="248"/>
    </row>
    <row r="2017" spans="1:4">
      <c r="A2017" s="248"/>
      <c r="B2017" s="249"/>
      <c r="C2017" s="248"/>
      <c r="D2017" s="248"/>
    </row>
    <row r="2018" spans="1:4">
      <c r="A2018" s="248"/>
      <c r="B2018" s="249"/>
      <c r="C2018" s="248"/>
      <c r="D2018" s="248"/>
    </row>
    <row r="2019" spans="1:4">
      <c r="A2019" s="248"/>
      <c r="B2019" s="249"/>
      <c r="C2019" s="248"/>
      <c r="D2019" s="248"/>
    </row>
    <row r="2020" spans="1:4">
      <c r="A2020" s="248"/>
      <c r="B2020" s="249"/>
      <c r="C2020" s="248"/>
      <c r="D2020" s="248"/>
    </row>
    <row r="2021" spans="1:4">
      <c r="A2021" s="248"/>
      <c r="B2021" s="249"/>
      <c r="C2021" s="248"/>
      <c r="D2021" s="248"/>
    </row>
    <row r="2022" spans="1:4">
      <c r="A2022" s="248"/>
      <c r="B2022" s="249"/>
      <c r="C2022" s="248"/>
      <c r="D2022" s="248"/>
    </row>
    <row r="2023" spans="1:4">
      <c r="A2023" s="248"/>
      <c r="B2023" s="249"/>
      <c r="C2023" s="248"/>
      <c r="D2023" s="248"/>
    </row>
    <row r="2024" spans="1:4">
      <c r="A2024" s="248"/>
      <c r="B2024" s="249"/>
      <c r="C2024" s="248"/>
      <c r="D2024" s="248"/>
    </row>
    <row r="2025" spans="1:4">
      <c r="A2025" s="248"/>
      <c r="B2025" s="249"/>
      <c r="C2025" s="248"/>
      <c r="D2025" s="248"/>
    </row>
    <row r="2026" spans="1:4">
      <c r="A2026" s="248"/>
      <c r="B2026" s="249"/>
      <c r="C2026" s="248"/>
      <c r="D2026" s="248"/>
    </row>
    <row r="2027" spans="1:4">
      <c r="A2027" s="248"/>
      <c r="B2027" s="249"/>
      <c r="C2027" s="248"/>
      <c r="D2027" s="248"/>
    </row>
    <row r="2028" spans="1:4">
      <c r="A2028" s="246"/>
      <c r="B2028" s="246"/>
      <c r="C2028" s="246"/>
      <c r="D2028" s="247"/>
    </row>
    <row r="2029" spans="1:4">
      <c r="A2029" s="246"/>
      <c r="B2029" s="246"/>
      <c r="C2029" s="246"/>
      <c r="D2029" s="247"/>
    </row>
    <row r="2030" spans="1:4">
      <c r="A2030" s="248"/>
      <c r="B2030" s="249"/>
      <c r="C2030" s="248"/>
      <c r="D2030" s="248"/>
    </row>
    <row r="2031" spans="1:4">
      <c r="A2031" s="248"/>
      <c r="B2031" s="249"/>
      <c r="C2031" s="248"/>
      <c r="D2031" s="248"/>
    </row>
    <row r="2032" spans="1:4">
      <c r="A2032" s="248"/>
      <c r="B2032" s="249"/>
      <c r="C2032" s="248"/>
      <c r="D2032" s="248"/>
    </row>
    <row r="2033" spans="1:4">
      <c r="A2033" s="248"/>
      <c r="B2033" s="249"/>
      <c r="C2033" s="248"/>
      <c r="D2033" s="248"/>
    </row>
    <row r="2034" spans="1:4">
      <c r="A2034" s="246"/>
      <c r="B2034" s="246"/>
      <c r="C2034" s="246"/>
      <c r="D2034" s="247"/>
    </row>
    <row r="2035" spans="1:4">
      <c r="A2035" s="248"/>
      <c r="B2035" s="249"/>
      <c r="C2035" s="248"/>
      <c r="D2035" s="248"/>
    </row>
    <row r="2036" spans="1:4">
      <c r="A2036" s="246"/>
      <c r="B2036" s="246"/>
      <c r="C2036" s="246"/>
      <c r="D2036" s="247"/>
    </row>
    <row r="2037" spans="1:4">
      <c r="A2037" s="246"/>
      <c r="B2037" s="246"/>
      <c r="C2037" s="246"/>
      <c r="D2037" s="247"/>
    </row>
    <row r="2038" spans="1:4">
      <c r="A2038" s="248"/>
      <c r="B2038" s="249"/>
      <c r="C2038" s="248"/>
      <c r="D2038" s="248"/>
    </row>
    <row r="2039" spans="1:4">
      <c r="A2039" s="246"/>
      <c r="B2039" s="246"/>
      <c r="C2039" s="246"/>
      <c r="D2039" s="247"/>
    </row>
    <row r="2040" spans="1:4">
      <c r="A2040" s="248"/>
      <c r="B2040" s="249"/>
      <c r="C2040" s="248"/>
      <c r="D2040" s="248"/>
    </row>
    <row r="2041" spans="1:4">
      <c r="A2041" s="246"/>
      <c r="B2041" s="246"/>
      <c r="C2041" s="246"/>
      <c r="D2041" s="247"/>
    </row>
    <row r="2042" spans="1:4">
      <c r="A2042" s="246"/>
      <c r="B2042" s="246"/>
      <c r="C2042" s="246"/>
      <c r="D2042" s="247"/>
    </row>
    <row r="2043" spans="1:4">
      <c r="A2043" s="248"/>
      <c r="B2043" s="249"/>
      <c r="C2043" s="248"/>
      <c r="D2043" s="248"/>
    </row>
    <row r="2044" spans="1:4">
      <c r="A2044" s="248"/>
      <c r="B2044" s="249"/>
      <c r="C2044" s="248"/>
      <c r="D2044" s="248"/>
    </row>
    <row r="2045" spans="1:4">
      <c r="A2045" s="248"/>
      <c r="B2045" s="249"/>
      <c r="C2045" s="248"/>
      <c r="D2045" s="248"/>
    </row>
    <row r="2046" spans="1:4">
      <c r="A2046" s="248"/>
      <c r="B2046" s="249"/>
      <c r="C2046" s="248"/>
      <c r="D2046" s="248"/>
    </row>
    <row r="2047" spans="1:4">
      <c r="A2047" s="248"/>
      <c r="B2047" s="249"/>
      <c r="C2047" s="248"/>
      <c r="D2047" s="248"/>
    </row>
    <row r="2048" spans="1:4">
      <c r="A2048" s="248"/>
      <c r="B2048" s="249"/>
      <c r="C2048" s="248"/>
      <c r="D2048" s="248"/>
    </row>
    <row r="2049" spans="1:4">
      <c r="A2049" s="248"/>
      <c r="B2049" s="249"/>
      <c r="C2049" s="248"/>
      <c r="D2049" s="248"/>
    </row>
    <row r="2050" spans="1:4">
      <c r="A2050" s="248"/>
      <c r="B2050" s="249"/>
      <c r="C2050" s="248"/>
      <c r="D2050" s="248"/>
    </row>
    <row r="2051" spans="1:4">
      <c r="A2051" s="248"/>
      <c r="B2051" s="249"/>
      <c r="C2051" s="248"/>
      <c r="D2051" s="248"/>
    </row>
    <row r="2052" spans="1:4">
      <c r="A2052" s="248"/>
      <c r="B2052" s="249"/>
      <c r="C2052" s="248"/>
      <c r="D2052" s="248"/>
    </row>
    <row r="2053" spans="1:4">
      <c r="A2053" s="248"/>
      <c r="B2053" s="249"/>
      <c r="C2053" s="248"/>
      <c r="D2053" s="248"/>
    </row>
    <row r="2054" spans="1:4">
      <c r="A2054" s="248"/>
      <c r="B2054" s="249"/>
      <c r="C2054" s="248"/>
      <c r="D2054" s="248"/>
    </row>
    <row r="2055" spans="1:4">
      <c r="A2055" s="248"/>
      <c r="B2055" s="249"/>
      <c r="C2055" s="248"/>
      <c r="D2055" s="248"/>
    </row>
    <row r="2056" spans="1:4">
      <c r="A2056" s="248"/>
      <c r="B2056" s="249"/>
      <c r="C2056" s="248"/>
      <c r="D2056" s="248"/>
    </row>
    <row r="2057" spans="1:4">
      <c r="A2057" s="246"/>
      <c r="B2057" s="246"/>
      <c r="C2057" s="246"/>
      <c r="D2057" s="247"/>
    </row>
    <row r="2058" spans="1:4">
      <c r="A2058" s="246"/>
      <c r="B2058" s="246"/>
      <c r="C2058" s="246"/>
      <c r="D2058" s="247"/>
    </row>
    <row r="2059" spans="1:4">
      <c r="A2059" s="248"/>
      <c r="B2059" s="249"/>
      <c r="C2059" s="248"/>
      <c r="D2059" s="248"/>
    </row>
    <row r="2060" spans="1:4">
      <c r="A2060" s="248"/>
      <c r="B2060" s="249"/>
      <c r="C2060" s="248"/>
      <c r="D2060" s="248"/>
    </row>
    <row r="2061" spans="1:4">
      <c r="A2061" s="248"/>
      <c r="B2061" s="249"/>
      <c r="C2061" s="248"/>
      <c r="D2061" s="248"/>
    </row>
    <row r="2062" spans="1:4">
      <c r="A2062" s="248"/>
      <c r="B2062" s="249"/>
      <c r="C2062" s="248"/>
      <c r="D2062" s="248"/>
    </row>
    <row r="2063" spans="1:4">
      <c r="A2063" s="248"/>
      <c r="B2063" s="249"/>
      <c r="C2063" s="248"/>
      <c r="D2063" s="248"/>
    </row>
    <row r="2064" spans="1:4">
      <c r="A2064" s="248"/>
      <c r="B2064" s="249"/>
      <c r="C2064" s="248"/>
      <c r="D2064" s="248"/>
    </row>
    <row r="2065" spans="1:4">
      <c r="A2065" s="248"/>
      <c r="B2065" s="249"/>
      <c r="C2065" s="248"/>
      <c r="D2065" s="248"/>
    </row>
    <row r="2066" spans="1:4">
      <c r="A2066" s="248"/>
      <c r="B2066" s="249"/>
      <c r="C2066" s="248"/>
      <c r="D2066" s="248"/>
    </row>
    <row r="2067" spans="1:4">
      <c r="A2067" s="248"/>
      <c r="B2067" s="249"/>
      <c r="C2067" s="248"/>
      <c r="D2067" s="248"/>
    </row>
    <row r="2068" spans="1:4">
      <c r="A2068" s="248"/>
      <c r="B2068" s="249"/>
      <c r="C2068" s="248"/>
      <c r="D2068" s="248"/>
    </row>
    <row r="2069" spans="1:4">
      <c r="A2069" s="248"/>
      <c r="B2069" s="249"/>
      <c r="C2069" s="248"/>
      <c r="D2069" s="248"/>
    </row>
    <row r="2070" spans="1:4">
      <c r="A2070" s="248"/>
      <c r="B2070" s="249"/>
      <c r="C2070" s="248"/>
      <c r="D2070" s="248"/>
    </row>
    <row r="2071" spans="1:4">
      <c r="A2071" s="248"/>
      <c r="B2071" s="249"/>
      <c r="C2071" s="248"/>
      <c r="D2071" s="248"/>
    </row>
    <row r="2072" spans="1:4">
      <c r="A2072" s="248"/>
      <c r="B2072" s="249"/>
      <c r="C2072" s="248"/>
      <c r="D2072" s="248"/>
    </row>
    <row r="2073" spans="1:4">
      <c r="A2073" s="248"/>
      <c r="B2073" s="249"/>
      <c r="C2073" s="248"/>
      <c r="D2073" s="248"/>
    </row>
    <row r="2074" spans="1:4">
      <c r="A2074" s="248"/>
      <c r="B2074" s="249"/>
      <c r="C2074" s="248"/>
      <c r="D2074" s="248"/>
    </row>
    <row r="2075" spans="1:4">
      <c r="A2075" s="248"/>
      <c r="B2075" s="249"/>
      <c r="C2075" s="248"/>
      <c r="D2075" s="248"/>
    </row>
    <row r="2076" spans="1:4">
      <c r="A2076" s="248"/>
      <c r="B2076" s="249"/>
      <c r="C2076" s="248"/>
      <c r="D2076" s="248"/>
    </row>
    <row r="2077" spans="1:4">
      <c r="A2077" s="248"/>
      <c r="B2077" s="249"/>
      <c r="C2077" s="248"/>
      <c r="D2077" s="248"/>
    </row>
    <row r="2078" spans="1:4">
      <c r="A2078" s="248"/>
      <c r="B2078" s="249"/>
      <c r="C2078" s="248"/>
      <c r="D2078" s="248"/>
    </row>
    <row r="2079" spans="1:4">
      <c r="A2079" s="248"/>
      <c r="B2079" s="249"/>
      <c r="C2079" s="248"/>
      <c r="D2079" s="248"/>
    </row>
    <row r="2080" spans="1:4">
      <c r="A2080" s="248"/>
      <c r="B2080" s="249"/>
      <c r="C2080" s="248"/>
      <c r="D2080" s="248"/>
    </row>
    <row r="2081" spans="1:4">
      <c r="A2081" s="248"/>
      <c r="B2081" s="249"/>
      <c r="C2081" s="248"/>
      <c r="D2081" s="248"/>
    </row>
    <row r="2082" spans="1:4">
      <c r="A2082" s="248"/>
      <c r="B2082" s="249"/>
      <c r="C2082" s="248"/>
      <c r="D2082" s="248"/>
    </row>
    <row r="2083" spans="1:4">
      <c r="A2083" s="248"/>
      <c r="B2083" s="249"/>
      <c r="C2083" s="248"/>
      <c r="D2083" s="248"/>
    </row>
    <row r="2084" spans="1:4">
      <c r="A2084" s="248"/>
      <c r="B2084" s="249"/>
      <c r="C2084" s="248"/>
      <c r="D2084" s="248"/>
    </row>
    <row r="2085" spans="1:4">
      <c r="A2085" s="248"/>
      <c r="B2085" s="249"/>
      <c r="C2085" s="248"/>
      <c r="D2085" s="248"/>
    </row>
    <row r="2086" spans="1:4">
      <c r="A2086" s="248"/>
      <c r="B2086" s="249"/>
      <c r="C2086" s="248"/>
      <c r="D2086" s="248"/>
    </row>
    <row r="2087" spans="1:4">
      <c r="A2087" s="248"/>
      <c r="B2087" s="249"/>
      <c r="C2087" s="248"/>
      <c r="D2087" s="248"/>
    </row>
    <row r="2088" spans="1:4">
      <c r="A2088" s="248"/>
      <c r="B2088" s="249"/>
      <c r="C2088" s="248"/>
      <c r="D2088" s="248"/>
    </row>
    <row r="2089" spans="1:4">
      <c r="A2089" s="248"/>
      <c r="B2089" s="249"/>
      <c r="C2089" s="248"/>
      <c r="D2089" s="248"/>
    </row>
    <row r="2090" spans="1:4">
      <c r="A2090" s="248"/>
      <c r="B2090" s="249"/>
      <c r="C2090" s="248"/>
      <c r="D2090" s="248"/>
    </row>
    <row r="2091" spans="1:4">
      <c r="A2091" s="248"/>
      <c r="B2091" s="249"/>
      <c r="C2091" s="248"/>
      <c r="D2091" s="248"/>
    </row>
    <row r="2092" spans="1:4">
      <c r="A2092" s="246"/>
      <c r="B2092" s="246"/>
      <c r="C2092" s="246"/>
      <c r="D2092" s="247"/>
    </row>
    <row r="2093" spans="1:4">
      <c r="A2093" s="248"/>
      <c r="B2093" s="249"/>
      <c r="C2093" s="248"/>
      <c r="D2093" s="248"/>
    </row>
    <row r="2094" spans="1:4">
      <c r="A2094" s="248"/>
      <c r="B2094" s="249"/>
      <c r="C2094" s="248"/>
      <c r="D2094" s="248"/>
    </row>
    <row r="2095" spans="1:4">
      <c r="A2095" s="248"/>
      <c r="B2095" s="249"/>
      <c r="C2095" s="248"/>
      <c r="D2095" s="248"/>
    </row>
    <row r="2096" spans="1:4">
      <c r="A2096" s="246"/>
      <c r="B2096" s="246"/>
      <c r="C2096" s="246"/>
      <c r="D2096" s="247"/>
    </row>
    <row r="2097" spans="1:4">
      <c r="A2097" s="248"/>
      <c r="B2097" s="249"/>
      <c r="C2097" s="248"/>
      <c r="D2097" s="248"/>
    </row>
    <row r="2098" spans="1:4">
      <c r="A2098" s="248"/>
      <c r="B2098" s="249"/>
      <c r="C2098" s="248"/>
      <c r="D2098" s="248"/>
    </row>
    <row r="2099" spans="1:4">
      <c r="A2099" s="248"/>
      <c r="B2099" s="249"/>
      <c r="C2099" s="248"/>
      <c r="D2099" s="248"/>
    </row>
    <row r="2100" spans="1:4">
      <c r="A2100" s="246"/>
      <c r="B2100" s="246"/>
      <c r="C2100" s="246"/>
      <c r="D2100" s="247"/>
    </row>
    <row r="2101" spans="1:4">
      <c r="A2101" s="246"/>
      <c r="B2101" s="246"/>
      <c r="C2101" s="246"/>
      <c r="D2101" s="247"/>
    </row>
    <row r="2102" spans="1:4">
      <c r="A2102" s="248"/>
      <c r="B2102" s="249"/>
      <c r="C2102" s="248"/>
      <c r="D2102" s="248"/>
    </row>
    <row r="2103" spans="1:4">
      <c r="A2103" s="248"/>
      <c r="B2103" s="249"/>
      <c r="C2103" s="248"/>
      <c r="D2103" s="248"/>
    </row>
    <row r="2104" spans="1:4">
      <c r="A2104" s="248"/>
      <c r="B2104" s="249"/>
      <c r="C2104" s="248"/>
      <c r="D2104" s="248"/>
    </row>
    <row r="2105" spans="1:4">
      <c r="A2105" s="248"/>
      <c r="B2105" s="249"/>
      <c r="C2105" s="248"/>
      <c r="D2105" s="248"/>
    </row>
    <row r="2106" spans="1:4">
      <c r="A2106" s="248"/>
      <c r="B2106" s="249"/>
      <c r="C2106" s="248"/>
      <c r="D2106" s="248"/>
    </row>
    <row r="2107" spans="1:4">
      <c r="A2107" s="248"/>
      <c r="B2107" s="249"/>
      <c r="C2107" s="248"/>
      <c r="D2107" s="248"/>
    </row>
    <row r="2108" spans="1:4">
      <c r="A2108" s="248"/>
      <c r="B2108" s="249"/>
      <c r="C2108" s="248"/>
      <c r="D2108" s="248"/>
    </row>
    <row r="2109" spans="1:4">
      <c r="A2109" s="248"/>
      <c r="B2109" s="249"/>
      <c r="C2109" s="248"/>
      <c r="D2109" s="248"/>
    </row>
    <row r="2110" spans="1:4">
      <c r="A2110" s="248"/>
      <c r="B2110" s="249"/>
      <c r="C2110" s="248"/>
      <c r="D2110" s="248"/>
    </row>
    <row r="2111" spans="1:4">
      <c r="A2111" s="248"/>
      <c r="B2111" s="249"/>
      <c r="C2111" s="248"/>
      <c r="D2111" s="248"/>
    </row>
    <row r="2112" spans="1:4">
      <c r="A2112" s="246"/>
      <c r="B2112" s="246"/>
      <c r="C2112" s="246"/>
      <c r="D2112" s="247"/>
    </row>
    <row r="2113" spans="1:4">
      <c r="A2113" s="248"/>
      <c r="B2113" s="249"/>
      <c r="C2113" s="248"/>
      <c r="D2113" s="248"/>
    </row>
    <row r="2114" spans="1:4">
      <c r="A2114" s="246"/>
      <c r="B2114" s="246"/>
      <c r="C2114" s="246"/>
      <c r="D2114" s="247"/>
    </row>
    <row r="2115" spans="1:4">
      <c r="A2115" s="248"/>
      <c r="B2115" s="249"/>
      <c r="C2115" s="248"/>
      <c r="D2115" s="248"/>
    </row>
    <row r="2116" spans="1:4">
      <c r="A2116" s="246"/>
      <c r="B2116" s="246"/>
      <c r="C2116" s="246"/>
      <c r="D2116" s="247"/>
    </row>
    <row r="2117" spans="1:4">
      <c r="A2117" s="248"/>
      <c r="B2117" s="249"/>
      <c r="C2117" s="248"/>
      <c r="D2117" s="248"/>
    </row>
    <row r="2118" spans="1:4">
      <c r="A2118" s="248"/>
      <c r="B2118" s="249"/>
      <c r="C2118" s="248"/>
      <c r="D2118" s="248"/>
    </row>
    <row r="2119" spans="1:4">
      <c r="A2119" s="248"/>
      <c r="B2119" s="249"/>
      <c r="C2119" s="248"/>
      <c r="D2119" s="248"/>
    </row>
    <row r="2120" spans="1:4">
      <c r="A2120" s="248"/>
      <c r="B2120" s="249"/>
      <c r="C2120" s="248"/>
      <c r="D2120" s="248"/>
    </row>
    <row r="2121" spans="1:4">
      <c r="A2121" s="246"/>
      <c r="B2121" s="246"/>
      <c r="C2121" s="246"/>
      <c r="D2121" s="247"/>
    </row>
    <row r="2122" spans="1:4">
      <c r="A2122" s="248"/>
      <c r="B2122" s="249"/>
      <c r="C2122" s="248"/>
      <c r="D2122" s="248"/>
    </row>
    <row r="2123" spans="1:4">
      <c r="A2123" s="246"/>
      <c r="B2123" s="246"/>
      <c r="C2123" s="246"/>
      <c r="D2123" s="247"/>
    </row>
    <row r="2124" spans="1:4">
      <c r="A2124" s="246"/>
      <c r="B2124" s="246"/>
      <c r="C2124" s="246"/>
      <c r="D2124" s="247"/>
    </row>
    <row r="2125" spans="1:4">
      <c r="A2125" s="248"/>
      <c r="B2125" s="249"/>
      <c r="C2125" s="248"/>
      <c r="D2125" s="248"/>
    </row>
    <row r="2126" spans="1:4">
      <c r="A2126" s="248"/>
      <c r="B2126" s="249"/>
      <c r="C2126" s="248"/>
      <c r="D2126" s="248"/>
    </row>
    <row r="2127" spans="1:4">
      <c r="A2127" s="246"/>
      <c r="B2127" s="246"/>
      <c r="C2127" s="246"/>
      <c r="D2127" s="247"/>
    </row>
    <row r="2128" spans="1:4">
      <c r="A2128" s="246"/>
      <c r="B2128" s="246"/>
      <c r="C2128" s="246"/>
      <c r="D2128" s="247"/>
    </row>
    <row r="2129" spans="1:4">
      <c r="A2129" s="248"/>
      <c r="B2129" s="249"/>
      <c r="C2129" s="248"/>
      <c r="D2129" s="248"/>
    </row>
    <row r="2130" spans="1:4">
      <c r="A2130" s="248"/>
      <c r="B2130" s="249"/>
      <c r="C2130" s="248"/>
      <c r="D2130" s="248"/>
    </row>
    <row r="2131" spans="1:4">
      <c r="A2131" s="248"/>
      <c r="B2131" s="249"/>
      <c r="C2131" s="248"/>
      <c r="D2131" s="248"/>
    </row>
    <row r="2132" spans="1:4">
      <c r="A2132" s="248"/>
      <c r="B2132" s="249"/>
      <c r="C2132" s="248"/>
      <c r="D2132" s="248"/>
    </row>
    <row r="2133" spans="1:4">
      <c r="A2133" s="248"/>
      <c r="B2133" s="249"/>
      <c r="C2133" s="248"/>
      <c r="D2133" s="248"/>
    </row>
    <row r="2134" spans="1:4">
      <c r="A2134" s="248"/>
      <c r="B2134" s="249"/>
      <c r="C2134" s="248"/>
      <c r="D2134" s="248"/>
    </row>
    <row r="2135" spans="1:4">
      <c r="A2135" s="248"/>
      <c r="B2135" s="249"/>
      <c r="C2135" s="248"/>
      <c r="D2135" s="248"/>
    </row>
    <row r="2136" spans="1:4">
      <c r="A2136" s="248"/>
      <c r="B2136" s="249"/>
      <c r="C2136" s="248"/>
      <c r="D2136" s="248"/>
    </row>
    <row r="2137" spans="1:4">
      <c r="A2137" s="248"/>
      <c r="B2137" s="249"/>
      <c r="C2137" s="248"/>
      <c r="D2137" s="248"/>
    </row>
    <row r="2138" spans="1:4">
      <c r="A2138" s="248"/>
      <c r="B2138" s="249"/>
      <c r="C2138" s="248"/>
      <c r="D2138" s="248"/>
    </row>
    <row r="2139" spans="1:4">
      <c r="A2139" s="248"/>
      <c r="B2139" s="249"/>
      <c r="C2139" s="248"/>
      <c r="D2139" s="248"/>
    </row>
    <row r="2140" spans="1:4">
      <c r="A2140" s="248"/>
      <c r="B2140" s="249"/>
      <c r="C2140" s="248"/>
      <c r="D2140" s="248"/>
    </row>
    <row r="2141" spans="1:4">
      <c r="A2141" s="248"/>
      <c r="B2141" s="249"/>
      <c r="C2141" s="248"/>
      <c r="D2141" s="248"/>
    </row>
    <row r="2142" spans="1:4">
      <c r="A2142" s="248"/>
      <c r="B2142" s="249"/>
      <c r="C2142" s="248"/>
      <c r="D2142" s="248"/>
    </row>
    <row r="2143" spans="1:4">
      <c r="A2143" s="246"/>
      <c r="B2143" s="246"/>
      <c r="C2143" s="246"/>
      <c r="D2143" s="247"/>
    </row>
    <row r="2144" spans="1:4">
      <c r="A2144" s="246"/>
      <c r="B2144" s="246"/>
      <c r="C2144" s="246"/>
      <c r="D2144" s="247"/>
    </row>
    <row r="2145" spans="1:4">
      <c r="A2145" s="246"/>
      <c r="B2145" s="246"/>
      <c r="C2145" s="246"/>
      <c r="D2145" s="247"/>
    </row>
    <row r="2146" spans="1:4">
      <c r="A2146" s="246"/>
      <c r="B2146" s="246"/>
      <c r="C2146" s="246"/>
      <c r="D2146" s="247"/>
    </row>
    <row r="2147" spans="1:4">
      <c r="A2147" s="248"/>
      <c r="B2147" s="249"/>
      <c r="C2147" s="248"/>
      <c r="D2147" s="248"/>
    </row>
    <row r="2148" spans="1:4">
      <c r="A2148" s="248"/>
      <c r="B2148" s="249"/>
      <c r="C2148" s="248"/>
      <c r="D2148" s="248"/>
    </row>
    <row r="2149" spans="1:4">
      <c r="A2149" s="248"/>
      <c r="B2149" s="249"/>
      <c r="C2149" s="248"/>
      <c r="D2149" s="248"/>
    </row>
    <row r="2150" spans="1:4">
      <c r="A2150" s="248"/>
      <c r="B2150" s="249"/>
      <c r="C2150" s="248"/>
      <c r="D2150" s="248"/>
    </row>
    <row r="2151" spans="1:4">
      <c r="A2151" s="248"/>
      <c r="B2151" s="249"/>
      <c r="C2151" s="248"/>
      <c r="D2151" s="248"/>
    </row>
    <row r="2152" spans="1:4">
      <c r="A2152" s="248"/>
      <c r="B2152" s="249"/>
      <c r="C2152" s="248"/>
      <c r="D2152" s="248"/>
    </row>
    <row r="2153" spans="1:4">
      <c r="A2153" s="248"/>
      <c r="B2153" s="249"/>
      <c r="C2153" s="248"/>
      <c r="D2153" s="248"/>
    </row>
    <row r="2154" spans="1:4">
      <c r="A2154" s="248"/>
      <c r="B2154" s="249"/>
      <c r="C2154" s="248"/>
      <c r="D2154" s="248"/>
    </row>
    <row r="2155" spans="1:4">
      <c r="A2155" s="248"/>
      <c r="B2155" s="249"/>
      <c r="C2155" s="248"/>
      <c r="D2155" s="248"/>
    </row>
    <row r="2156" spans="1:4">
      <c r="A2156" s="248"/>
      <c r="B2156" s="249"/>
      <c r="C2156" s="248"/>
      <c r="D2156" s="248"/>
    </row>
    <row r="2157" spans="1:4">
      <c r="A2157" s="248"/>
      <c r="B2157" s="249"/>
      <c r="C2157" s="248"/>
      <c r="D2157" s="248"/>
    </row>
    <row r="2158" spans="1:4">
      <c r="A2158" s="248"/>
      <c r="B2158" s="249"/>
      <c r="C2158" s="248"/>
      <c r="D2158" s="248"/>
    </row>
    <row r="2159" spans="1:4">
      <c r="A2159" s="246"/>
      <c r="B2159" s="246"/>
      <c r="C2159" s="246"/>
      <c r="D2159" s="247"/>
    </row>
    <row r="2160" spans="1:4">
      <c r="A2160" s="248"/>
      <c r="B2160" s="249"/>
      <c r="C2160" s="248"/>
      <c r="D2160" s="248"/>
    </row>
    <row r="2161" spans="1:4">
      <c r="A2161" s="246"/>
      <c r="B2161" s="246"/>
      <c r="C2161" s="246"/>
      <c r="D2161" s="247"/>
    </row>
    <row r="2162" spans="1:4">
      <c r="A2162" s="248"/>
      <c r="B2162" s="249"/>
      <c r="C2162" s="248"/>
      <c r="D2162" s="248"/>
    </row>
    <row r="2163" spans="1:4">
      <c r="A2163" s="246"/>
      <c r="B2163" s="246"/>
      <c r="C2163" s="246"/>
      <c r="D2163" s="247"/>
    </row>
    <row r="2164" spans="1:4">
      <c r="A2164" s="248"/>
      <c r="B2164" s="249"/>
      <c r="C2164" s="248"/>
      <c r="D2164" s="248"/>
    </row>
    <row r="2165" spans="1:4">
      <c r="A2165" s="248"/>
      <c r="B2165" s="249"/>
      <c r="C2165" s="248"/>
      <c r="D2165" s="248"/>
    </row>
    <row r="2166" spans="1:4">
      <c r="A2166" s="248"/>
      <c r="B2166" s="249"/>
      <c r="C2166" s="248"/>
      <c r="D2166" s="248"/>
    </row>
    <row r="2167" spans="1:4">
      <c r="A2167" s="246"/>
      <c r="B2167" s="246"/>
      <c r="C2167" s="246"/>
      <c r="D2167" s="247"/>
    </row>
    <row r="2168" spans="1:4">
      <c r="A2168" s="248"/>
      <c r="B2168" s="249"/>
      <c r="C2168" s="248"/>
      <c r="D2168" s="248"/>
    </row>
    <row r="2169" spans="1:4">
      <c r="A2169" s="248"/>
      <c r="B2169" s="249"/>
      <c r="C2169" s="248"/>
      <c r="D2169" s="248"/>
    </row>
    <row r="2170" spans="1:4">
      <c r="A2170" s="248"/>
      <c r="B2170" s="249"/>
      <c r="C2170" s="248"/>
      <c r="D2170" s="248"/>
    </row>
    <row r="2171" spans="1:4">
      <c r="A2171" s="248"/>
      <c r="B2171" s="249"/>
      <c r="C2171" s="248"/>
      <c r="D2171" s="248"/>
    </row>
    <row r="2172" spans="1:4">
      <c r="A2172" s="246"/>
      <c r="B2172" s="246"/>
      <c r="C2172" s="246"/>
      <c r="D2172" s="247"/>
    </row>
    <row r="2173" spans="1:4">
      <c r="A2173" s="248"/>
      <c r="B2173" s="249"/>
      <c r="C2173" s="248"/>
      <c r="D2173" s="248"/>
    </row>
    <row r="2174" spans="1:4">
      <c r="A2174" s="246"/>
      <c r="B2174" s="246"/>
      <c r="C2174" s="246"/>
      <c r="D2174" s="247"/>
    </row>
    <row r="2175" spans="1:4">
      <c r="A2175" s="248"/>
      <c r="B2175" s="249"/>
      <c r="C2175" s="248"/>
      <c r="D2175" s="248"/>
    </row>
    <row r="2176" spans="1:4">
      <c r="A2176" s="246"/>
      <c r="B2176" s="246"/>
      <c r="C2176" s="246"/>
      <c r="D2176" s="247"/>
    </row>
    <row r="2177" spans="1:4">
      <c r="A2177" s="248"/>
      <c r="B2177" s="249"/>
      <c r="C2177" s="248"/>
      <c r="D2177" s="248"/>
    </row>
    <row r="2178" spans="1:4">
      <c r="A2178" s="248"/>
      <c r="B2178" s="249"/>
      <c r="C2178" s="248"/>
      <c r="D2178" s="248"/>
    </row>
    <row r="2179" spans="1:4">
      <c r="A2179" s="246"/>
      <c r="B2179" s="246"/>
      <c r="C2179" s="246"/>
      <c r="D2179" s="247"/>
    </row>
    <row r="2180" spans="1:4">
      <c r="A2180" s="248"/>
      <c r="B2180" s="249"/>
      <c r="C2180" s="248"/>
      <c r="D2180" s="248"/>
    </row>
    <row r="2181" spans="1:4">
      <c r="A2181" s="248"/>
      <c r="B2181" s="249"/>
      <c r="C2181" s="248"/>
      <c r="D2181" s="248"/>
    </row>
    <row r="2182" spans="1:4">
      <c r="A2182" s="246"/>
      <c r="B2182" s="246"/>
      <c r="C2182" s="246"/>
      <c r="D2182" s="247"/>
    </row>
    <row r="2183" spans="1:4">
      <c r="A2183" s="248"/>
      <c r="B2183" s="249"/>
      <c r="C2183" s="248"/>
      <c r="D2183" s="248"/>
    </row>
    <row r="2184" spans="1:4">
      <c r="A2184" s="246"/>
      <c r="B2184" s="246"/>
      <c r="C2184" s="246"/>
      <c r="D2184" s="247"/>
    </row>
    <row r="2185" spans="1:4">
      <c r="A2185" s="248"/>
      <c r="B2185" s="249"/>
      <c r="C2185" s="248"/>
      <c r="D2185" s="248"/>
    </row>
    <row r="2186" spans="1:4">
      <c r="A2186" s="248"/>
      <c r="B2186" s="249"/>
      <c r="C2186" s="248"/>
      <c r="D2186" s="248"/>
    </row>
    <row r="2187" spans="1:4">
      <c r="A2187" s="248"/>
      <c r="B2187" s="249"/>
      <c r="C2187" s="248"/>
      <c r="D2187" s="248"/>
    </row>
    <row r="2188" spans="1:4">
      <c r="A2188" s="246"/>
      <c r="B2188" s="246"/>
      <c r="C2188" s="246"/>
      <c r="D2188" s="247"/>
    </row>
    <row r="2189" spans="1:4">
      <c r="A2189" s="248"/>
      <c r="B2189" s="249"/>
      <c r="C2189" s="248"/>
      <c r="D2189" s="248"/>
    </row>
    <row r="2190" spans="1:4">
      <c r="A2190" s="248"/>
      <c r="B2190" s="249"/>
      <c r="C2190" s="248"/>
      <c r="D2190" s="248"/>
    </row>
    <row r="2191" spans="1:4">
      <c r="A2191" s="248"/>
      <c r="B2191" s="249"/>
      <c r="C2191" s="248"/>
      <c r="D2191" s="248"/>
    </row>
    <row r="2192" spans="1:4">
      <c r="A2192" s="246"/>
      <c r="B2192" s="246"/>
      <c r="C2192" s="246"/>
      <c r="D2192" s="247"/>
    </row>
    <row r="2193" spans="1:4">
      <c r="A2193" s="248"/>
      <c r="B2193" s="249"/>
      <c r="C2193" s="248"/>
      <c r="D2193" s="248"/>
    </row>
    <row r="2194" spans="1:4">
      <c r="A2194" s="248"/>
      <c r="B2194" s="249"/>
      <c r="C2194" s="248"/>
      <c r="D2194" s="248"/>
    </row>
    <row r="2195" spans="1:4">
      <c r="A2195" s="246"/>
      <c r="B2195" s="246"/>
      <c r="C2195" s="246"/>
      <c r="D2195" s="247"/>
    </row>
    <row r="2196" spans="1:4">
      <c r="A2196" s="246"/>
      <c r="B2196" s="246"/>
      <c r="C2196" s="246"/>
      <c r="D2196" s="247"/>
    </row>
    <row r="2197" spans="1:4">
      <c r="A2197" s="248"/>
      <c r="B2197" s="249"/>
      <c r="C2197" s="248"/>
      <c r="D2197" s="248"/>
    </row>
    <row r="2198" spans="1:4">
      <c r="A2198" s="248"/>
      <c r="B2198" s="249"/>
      <c r="C2198" s="248"/>
      <c r="D2198" s="248"/>
    </row>
    <row r="2199" spans="1:4">
      <c r="A2199" s="248"/>
      <c r="B2199" s="249"/>
      <c r="C2199" s="248"/>
      <c r="D2199" s="248"/>
    </row>
    <row r="2200" spans="1:4">
      <c r="A2200" s="248"/>
      <c r="B2200" s="249"/>
      <c r="C2200" s="248"/>
      <c r="D2200" s="248"/>
    </row>
    <row r="2201" spans="1:4">
      <c r="A2201" s="248"/>
      <c r="B2201" s="249"/>
      <c r="C2201" s="248"/>
      <c r="D2201" s="248"/>
    </row>
    <row r="2202" spans="1:4">
      <c r="A2202" s="248"/>
      <c r="B2202" s="249"/>
      <c r="C2202" s="248"/>
      <c r="D2202" s="248"/>
    </row>
    <row r="2203" spans="1:4">
      <c r="A2203" s="248"/>
      <c r="B2203" s="249"/>
      <c r="C2203" s="248"/>
      <c r="D2203" s="248"/>
    </row>
    <row r="2204" spans="1:4">
      <c r="A2204" s="248"/>
      <c r="B2204" s="249"/>
      <c r="C2204" s="248"/>
      <c r="D2204" s="248"/>
    </row>
    <row r="2205" spans="1:4">
      <c r="A2205" s="248"/>
      <c r="B2205" s="249"/>
      <c r="C2205" s="248"/>
      <c r="D2205" s="248"/>
    </row>
    <row r="2206" spans="1:4">
      <c r="A2206" s="248"/>
      <c r="B2206" s="249"/>
      <c r="C2206" s="248"/>
      <c r="D2206" s="248"/>
    </row>
    <row r="2207" spans="1:4">
      <c r="A2207" s="248"/>
      <c r="B2207" s="249"/>
      <c r="C2207" s="248"/>
      <c r="D2207" s="248"/>
    </row>
    <row r="2208" spans="1:4">
      <c r="A2208" s="248"/>
      <c r="B2208" s="249"/>
      <c r="C2208" s="248"/>
      <c r="D2208" s="248"/>
    </row>
    <row r="2209" spans="1:4">
      <c r="A2209" s="248"/>
      <c r="B2209" s="249"/>
      <c r="C2209" s="248"/>
      <c r="D2209" s="248"/>
    </row>
    <row r="2210" spans="1:4">
      <c r="A2210" s="248"/>
      <c r="B2210" s="249"/>
      <c r="C2210" s="248"/>
      <c r="D2210" s="248"/>
    </row>
    <row r="2211" spans="1:4">
      <c r="A2211" s="248"/>
      <c r="B2211" s="249"/>
      <c r="C2211" s="248"/>
      <c r="D2211" s="248"/>
    </row>
    <row r="2212" spans="1:4">
      <c r="A2212" s="248"/>
      <c r="B2212" s="249"/>
      <c r="C2212" s="248"/>
      <c r="D2212" s="248"/>
    </row>
    <row r="2213" spans="1:4">
      <c r="A2213" s="248"/>
      <c r="B2213" s="249"/>
      <c r="C2213" s="248"/>
      <c r="D2213" s="248"/>
    </row>
    <row r="2214" spans="1:4">
      <c r="A2214" s="248"/>
      <c r="B2214" s="249"/>
      <c r="C2214" s="248"/>
      <c r="D2214" s="248"/>
    </row>
    <row r="2215" spans="1:4">
      <c r="A2215" s="248"/>
      <c r="B2215" s="249"/>
      <c r="C2215" s="248"/>
      <c r="D2215" s="248"/>
    </row>
    <row r="2216" spans="1:4">
      <c r="A2216" s="248"/>
      <c r="B2216" s="249"/>
      <c r="C2216" s="248"/>
      <c r="D2216" s="248"/>
    </row>
    <row r="2217" spans="1:4">
      <c r="A2217" s="248"/>
      <c r="B2217" s="249"/>
      <c r="C2217" s="248"/>
      <c r="D2217" s="248"/>
    </row>
    <row r="2218" spans="1:4">
      <c r="A2218" s="248"/>
      <c r="B2218" s="249"/>
      <c r="C2218" s="248"/>
      <c r="D2218" s="248"/>
    </row>
    <row r="2219" spans="1:4">
      <c r="A2219" s="248"/>
      <c r="B2219" s="249"/>
      <c r="C2219" s="248"/>
      <c r="D2219" s="248"/>
    </row>
    <row r="2220" spans="1:4">
      <c r="A2220" s="248"/>
      <c r="B2220" s="249"/>
      <c r="C2220" s="248"/>
      <c r="D2220" s="248"/>
    </row>
    <row r="2221" spans="1:4">
      <c r="A2221" s="248"/>
      <c r="B2221" s="249"/>
      <c r="C2221" s="248"/>
      <c r="D2221" s="248"/>
    </row>
    <row r="2222" spans="1:4">
      <c r="A2222" s="248"/>
      <c r="B2222" s="249"/>
      <c r="C2222" s="248"/>
      <c r="D2222" s="248"/>
    </row>
    <row r="2223" spans="1:4">
      <c r="A2223" s="248"/>
      <c r="B2223" s="249"/>
      <c r="C2223" s="248"/>
      <c r="D2223" s="248"/>
    </row>
    <row r="2224" spans="1:4">
      <c r="A2224" s="246"/>
      <c r="B2224" s="246"/>
      <c r="C2224" s="246"/>
      <c r="D2224" s="247"/>
    </row>
    <row r="2225" spans="1:4">
      <c r="A2225" s="248"/>
      <c r="B2225" s="249"/>
      <c r="C2225" s="248"/>
      <c r="D2225" s="248"/>
    </row>
    <row r="2226" spans="1:4">
      <c r="A2226" s="248"/>
      <c r="B2226" s="249"/>
      <c r="C2226" s="248"/>
      <c r="D2226" s="248"/>
    </row>
    <row r="2227" spans="1:4">
      <c r="A2227" s="248"/>
      <c r="B2227" s="249"/>
      <c r="C2227" s="248"/>
      <c r="D2227" s="248"/>
    </row>
    <row r="2228" spans="1:4">
      <c r="A2228" s="248"/>
      <c r="B2228" s="249"/>
      <c r="C2228" s="248"/>
      <c r="D2228" s="248"/>
    </row>
    <row r="2229" spans="1:4">
      <c r="A2229" s="248"/>
      <c r="B2229" s="249"/>
      <c r="C2229" s="248"/>
      <c r="D2229" s="248"/>
    </row>
    <row r="2230" spans="1:4">
      <c r="A2230" s="248"/>
      <c r="B2230" s="249"/>
      <c r="C2230" s="248"/>
      <c r="D2230" s="248"/>
    </row>
    <row r="2231" spans="1:4">
      <c r="A2231" s="248"/>
      <c r="B2231" s="249"/>
      <c r="C2231" s="248"/>
      <c r="D2231" s="248"/>
    </row>
    <row r="2232" spans="1:4">
      <c r="A2232" s="248"/>
      <c r="B2232" s="249"/>
      <c r="C2232" s="248"/>
      <c r="D2232" s="248"/>
    </row>
    <row r="2233" spans="1:4">
      <c r="A2233" s="246"/>
      <c r="B2233" s="246"/>
      <c r="C2233" s="246"/>
      <c r="D2233" s="247"/>
    </row>
    <row r="2234" spans="1:4">
      <c r="A2234" s="246"/>
      <c r="B2234" s="246"/>
      <c r="C2234" s="246"/>
      <c r="D2234" s="247"/>
    </row>
    <row r="2235" spans="1:4">
      <c r="A2235" s="248"/>
      <c r="B2235" s="249"/>
      <c r="C2235" s="248"/>
      <c r="D2235" s="248"/>
    </row>
    <row r="2236" spans="1:4">
      <c r="A2236" s="246"/>
      <c r="B2236" s="246"/>
      <c r="C2236" s="246"/>
      <c r="D2236" s="247"/>
    </row>
    <row r="2237" spans="1:4">
      <c r="A2237" s="248"/>
      <c r="B2237" s="249"/>
      <c r="C2237" s="248"/>
      <c r="D2237" s="248"/>
    </row>
    <row r="2238" spans="1:4">
      <c r="A2238" s="248"/>
      <c r="B2238" s="249"/>
      <c r="C2238" s="248"/>
      <c r="D2238" s="248"/>
    </row>
    <row r="2239" spans="1:4">
      <c r="A2239" s="248"/>
      <c r="B2239" s="249"/>
      <c r="C2239" s="248"/>
      <c r="D2239" s="248"/>
    </row>
    <row r="2240" spans="1:4">
      <c r="A2240" s="248"/>
      <c r="B2240" s="249"/>
      <c r="C2240" s="248"/>
      <c r="D2240" s="248"/>
    </row>
    <row r="2241" spans="1:4">
      <c r="A2241" s="248"/>
      <c r="B2241" s="249"/>
      <c r="C2241" s="248"/>
      <c r="D2241" s="248"/>
    </row>
    <row r="2242" spans="1:4">
      <c r="A2242" s="248"/>
      <c r="B2242" s="249"/>
      <c r="C2242" s="248"/>
      <c r="D2242" s="248"/>
    </row>
    <row r="2243" spans="1:4">
      <c r="A2243" s="248"/>
      <c r="B2243" s="249"/>
      <c r="C2243" s="248"/>
      <c r="D2243" s="248"/>
    </row>
    <row r="2244" spans="1:4">
      <c r="A2244" s="248"/>
      <c r="B2244" s="249"/>
      <c r="C2244" s="248"/>
      <c r="D2244" s="248"/>
    </row>
    <row r="2245" spans="1:4">
      <c r="A2245" s="248"/>
      <c r="B2245" s="249"/>
      <c r="C2245" s="248"/>
      <c r="D2245" s="248"/>
    </row>
    <row r="2246" spans="1:4">
      <c r="A2246" s="248"/>
      <c r="B2246" s="249"/>
      <c r="C2246" s="248"/>
      <c r="D2246" s="248"/>
    </row>
    <row r="2247" spans="1:4">
      <c r="A2247" s="246"/>
      <c r="B2247" s="246"/>
      <c r="C2247" s="246"/>
      <c r="D2247" s="247"/>
    </row>
    <row r="2248" spans="1:4">
      <c r="A2248" s="248"/>
      <c r="B2248" s="249"/>
      <c r="C2248" s="248"/>
      <c r="D2248" s="248"/>
    </row>
    <row r="2249" spans="1:4">
      <c r="A2249" s="248"/>
      <c r="B2249" s="249"/>
      <c r="C2249" s="248"/>
      <c r="D2249" s="248"/>
    </row>
    <row r="2250" spans="1:4">
      <c r="A2250" s="248"/>
      <c r="B2250" s="249"/>
      <c r="C2250" s="248"/>
      <c r="D2250" s="248"/>
    </row>
    <row r="2251" spans="1:4">
      <c r="A2251" s="248"/>
      <c r="B2251" s="249"/>
      <c r="C2251" s="248"/>
      <c r="D2251" s="248"/>
    </row>
    <row r="2252" spans="1:4">
      <c r="A2252" s="246"/>
      <c r="B2252" s="246"/>
      <c r="C2252" s="246"/>
      <c r="D2252" s="247"/>
    </row>
    <row r="2253" spans="1:4">
      <c r="A2253" s="248"/>
      <c r="B2253" s="249"/>
      <c r="C2253" s="248"/>
      <c r="D2253" s="248"/>
    </row>
    <row r="2254" spans="1:4">
      <c r="A2254" s="248"/>
      <c r="B2254" s="249"/>
      <c r="C2254" s="248"/>
      <c r="D2254" s="248"/>
    </row>
    <row r="2255" spans="1:4">
      <c r="A2255" s="248"/>
      <c r="B2255" s="249"/>
      <c r="C2255" s="248"/>
      <c r="D2255" s="248"/>
    </row>
    <row r="2256" spans="1:4">
      <c r="A2256" s="248"/>
      <c r="B2256" s="249"/>
      <c r="C2256" s="248"/>
      <c r="D2256" s="248"/>
    </row>
    <row r="2257" spans="1:4">
      <c r="A2257" s="248"/>
      <c r="B2257" s="249"/>
      <c r="C2257" s="248"/>
      <c r="D2257" s="248"/>
    </row>
    <row r="2258" spans="1:4">
      <c r="A2258" s="246"/>
      <c r="B2258" s="246"/>
      <c r="C2258" s="246"/>
      <c r="D2258" s="247"/>
    </row>
    <row r="2259" spans="1:4">
      <c r="A2259" s="246"/>
      <c r="B2259" s="246"/>
      <c r="C2259" s="246"/>
      <c r="D2259" s="247"/>
    </row>
    <row r="2260" spans="1:4">
      <c r="A2260" s="248"/>
      <c r="B2260" s="249"/>
      <c r="C2260" s="248"/>
      <c r="D2260" s="248"/>
    </row>
    <row r="2261" spans="1:4">
      <c r="A2261" s="246"/>
      <c r="B2261" s="246"/>
      <c r="C2261" s="246"/>
      <c r="D2261" s="247"/>
    </row>
    <row r="2262" spans="1:4">
      <c r="A2262" s="248"/>
      <c r="B2262" s="249"/>
      <c r="C2262" s="248"/>
      <c r="D2262" s="248"/>
    </row>
    <row r="2263" spans="1:4">
      <c r="A2263" s="248"/>
      <c r="B2263" s="249"/>
      <c r="C2263" s="248"/>
      <c r="D2263" s="248"/>
    </row>
    <row r="2264" spans="1:4">
      <c r="A2264" s="246"/>
      <c r="B2264" s="246"/>
      <c r="C2264" s="246"/>
      <c r="D2264" s="247"/>
    </row>
    <row r="2265" spans="1:4">
      <c r="A2265" s="248"/>
      <c r="B2265" s="249"/>
      <c r="C2265" s="248"/>
      <c r="D2265" s="248"/>
    </row>
    <row r="2266" spans="1:4">
      <c r="A2266" s="248"/>
      <c r="B2266" s="249"/>
      <c r="C2266" s="248"/>
      <c r="D2266" s="248"/>
    </row>
    <row r="2267" spans="1:4">
      <c r="A2267" s="248"/>
      <c r="B2267" s="249"/>
      <c r="C2267" s="248"/>
      <c r="D2267" s="248"/>
    </row>
    <row r="2268" spans="1:4">
      <c r="A2268" s="246"/>
      <c r="B2268" s="246"/>
      <c r="C2268" s="246"/>
      <c r="D2268" s="247"/>
    </row>
    <row r="2269" spans="1:4">
      <c r="A2269" s="248"/>
      <c r="B2269" s="249"/>
      <c r="C2269" s="248"/>
      <c r="D2269" s="248"/>
    </row>
    <row r="2270" spans="1:4">
      <c r="A2270" s="246"/>
      <c r="B2270" s="246"/>
      <c r="C2270" s="246"/>
      <c r="D2270" s="247"/>
    </row>
    <row r="2271" spans="1:4">
      <c r="A2271" s="248"/>
      <c r="B2271" s="249"/>
      <c r="C2271" s="248"/>
      <c r="D2271" s="248"/>
    </row>
    <row r="2272" spans="1:4">
      <c r="A2272" s="248"/>
      <c r="B2272" s="249"/>
      <c r="C2272" s="248"/>
      <c r="D2272" s="248"/>
    </row>
    <row r="2273" spans="1:4">
      <c r="A2273" s="248"/>
      <c r="B2273" s="249"/>
      <c r="C2273" s="248"/>
      <c r="D2273" s="248"/>
    </row>
    <row r="2274" spans="1:4">
      <c r="A2274" s="248"/>
      <c r="B2274" s="249"/>
      <c r="C2274" s="248"/>
      <c r="D2274" s="248"/>
    </row>
    <row r="2275" spans="1:4">
      <c r="A2275" s="248"/>
      <c r="B2275" s="249"/>
      <c r="C2275" s="248"/>
      <c r="D2275" s="248"/>
    </row>
    <row r="2276" spans="1:4">
      <c r="A2276" s="248"/>
      <c r="B2276" s="249"/>
      <c r="C2276" s="248"/>
      <c r="D2276" s="248"/>
    </row>
    <row r="2277" spans="1:4">
      <c r="A2277" s="246"/>
      <c r="B2277" s="246"/>
      <c r="C2277" s="246"/>
      <c r="D2277" s="247"/>
    </row>
    <row r="2278" spans="1:4">
      <c r="A2278" s="246"/>
      <c r="B2278" s="246"/>
      <c r="C2278" s="246"/>
      <c r="D2278" s="247"/>
    </row>
    <row r="2279" spans="1:4">
      <c r="A2279" s="248"/>
      <c r="B2279" s="249"/>
      <c r="C2279" s="248"/>
      <c r="D2279" s="248"/>
    </row>
    <row r="2280" spans="1:4">
      <c r="A2280" s="248"/>
      <c r="B2280" s="249"/>
      <c r="C2280" s="248"/>
      <c r="D2280" s="248"/>
    </row>
    <row r="2281" spans="1:4">
      <c r="A2281" s="248"/>
      <c r="B2281" s="249"/>
      <c r="C2281" s="248"/>
      <c r="D2281" s="248"/>
    </row>
    <row r="2282" spans="1:4">
      <c r="A2282" s="248"/>
      <c r="B2282" s="249"/>
      <c r="C2282" s="248"/>
      <c r="D2282" s="250"/>
    </row>
    <row r="2283" spans="1:4">
      <c r="A2283" s="248"/>
      <c r="B2283" s="249"/>
      <c r="C2283" s="248"/>
      <c r="D2283" s="248"/>
    </row>
    <row r="2284" spans="1:4">
      <c r="A2284" s="248"/>
      <c r="B2284" s="249"/>
      <c r="C2284" s="248"/>
      <c r="D2284" s="248"/>
    </row>
    <row r="2285" spans="1:4">
      <c r="A2285" s="248"/>
      <c r="B2285" s="249"/>
      <c r="C2285" s="248"/>
      <c r="D2285" s="248"/>
    </row>
    <row r="2286" spans="1:4">
      <c r="A2286" s="248"/>
      <c r="B2286" s="249"/>
      <c r="C2286" s="248"/>
      <c r="D2286" s="248"/>
    </row>
    <row r="2287" spans="1:4">
      <c r="A2287" s="248"/>
      <c r="B2287" s="249"/>
      <c r="C2287" s="248"/>
      <c r="D2287" s="248"/>
    </row>
    <row r="2288" spans="1:4">
      <c r="A2288" s="248"/>
      <c r="B2288" s="249"/>
      <c r="C2288" s="248"/>
      <c r="D2288" s="248"/>
    </row>
    <row r="2289" spans="1:4">
      <c r="A2289" s="248"/>
      <c r="B2289" s="249"/>
      <c r="C2289" s="248"/>
      <c r="D2289" s="248"/>
    </row>
    <row r="2290" spans="1:4">
      <c r="A2290" s="248"/>
      <c r="B2290" s="249"/>
      <c r="C2290" s="248"/>
      <c r="D2290" s="248"/>
    </row>
    <row r="2291" spans="1:4">
      <c r="A2291" s="248"/>
      <c r="B2291" s="249"/>
      <c r="C2291" s="248"/>
      <c r="D2291" s="248"/>
    </row>
    <row r="2292" spans="1:4">
      <c r="A2292" s="248"/>
      <c r="B2292" s="249"/>
      <c r="C2292" s="248"/>
      <c r="D2292" s="248"/>
    </row>
    <row r="2293" spans="1:4">
      <c r="A2293" s="248"/>
      <c r="B2293" s="249"/>
      <c r="C2293" s="248"/>
      <c r="D2293" s="248"/>
    </row>
    <row r="2294" spans="1:4">
      <c r="A2294" s="248"/>
      <c r="B2294" s="249"/>
      <c r="C2294" s="248"/>
      <c r="D2294" s="248"/>
    </row>
    <row r="2295" spans="1:4">
      <c r="A2295" s="248"/>
      <c r="B2295" s="249"/>
      <c r="C2295" s="248"/>
      <c r="D2295" s="248"/>
    </row>
    <row r="2296" spans="1:4">
      <c r="A2296" s="248"/>
      <c r="B2296" s="249"/>
      <c r="C2296" s="248"/>
      <c r="D2296" s="248"/>
    </row>
    <row r="2297" spans="1:4">
      <c r="A2297" s="248"/>
      <c r="B2297" s="249"/>
      <c r="C2297" s="248"/>
      <c r="D2297" s="248"/>
    </row>
    <row r="2298" spans="1:4">
      <c r="A2298" s="251"/>
      <c r="B2298" s="251"/>
      <c r="C2298" s="251"/>
      <c r="D2298" s="252"/>
    </row>
    <row r="2299" spans="1:4">
      <c r="A2299" s="246"/>
      <c r="B2299" s="246"/>
      <c r="C2299" s="246"/>
      <c r="D2299" s="247"/>
    </row>
    <row r="2300" spans="1:4">
      <c r="A2300" s="248"/>
      <c r="B2300" s="249"/>
      <c r="C2300" s="248"/>
      <c r="D2300" s="248"/>
    </row>
    <row r="2301" spans="1:4">
      <c r="A2301" s="246"/>
      <c r="B2301" s="246"/>
      <c r="C2301" s="246"/>
      <c r="D2301" s="247"/>
    </row>
    <row r="2302" spans="1:4">
      <c r="A2302" s="248"/>
      <c r="B2302" s="249"/>
      <c r="C2302" s="248"/>
      <c r="D2302" s="248"/>
    </row>
    <row r="2303" spans="1:4">
      <c r="A2303" s="248"/>
      <c r="B2303" s="249"/>
      <c r="C2303" s="248"/>
      <c r="D2303" s="248"/>
    </row>
    <row r="2304" spans="1:4">
      <c r="A2304" s="248"/>
      <c r="B2304" s="249"/>
      <c r="C2304" s="248"/>
      <c r="D2304" s="248"/>
    </row>
    <row r="2305" spans="1:4">
      <c r="A2305" s="248"/>
      <c r="B2305" s="249"/>
      <c r="C2305" s="248"/>
      <c r="D2305" s="248"/>
    </row>
    <row r="2306" spans="1:4">
      <c r="A2306" s="248"/>
      <c r="B2306" s="249"/>
      <c r="C2306" s="248"/>
      <c r="D2306" s="248"/>
    </row>
    <row r="2307" spans="1:4">
      <c r="A2307" s="248"/>
      <c r="B2307" s="249"/>
      <c r="C2307" s="248"/>
      <c r="D2307" s="248"/>
    </row>
    <row r="2308" spans="1:4">
      <c r="A2308" s="248"/>
      <c r="B2308" s="249"/>
      <c r="C2308" s="248"/>
      <c r="D2308" s="248"/>
    </row>
    <row r="2309" spans="1:4">
      <c r="A2309" s="248"/>
      <c r="B2309" s="249"/>
      <c r="C2309" s="248"/>
      <c r="D2309" s="248"/>
    </row>
    <row r="2310" spans="1:4">
      <c r="A2310" s="248"/>
      <c r="B2310" s="249"/>
      <c r="C2310" s="248"/>
      <c r="D2310" s="248"/>
    </row>
    <row r="2311" spans="1:4">
      <c r="A2311" s="248"/>
      <c r="B2311" s="249"/>
      <c r="C2311" s="248"/>
      <c r="D2311" s="248"/>
    </row>
    <row r="2312" spans="1:4">
      <c r="A2312" s="248"/>
      <c r="B2312" s="249"/>
      <c r="C2312" s="248"/>
      <c r="D2312" s="248"/>
    </row>
    <row r="2313" spans="1:4">
      <c r="A2313" s="246"/>
      <c r="B2313" s="246"/>
      <c r="C2313" s="246"/>
      <c r="D2313" s="247"/>
    </row>
    <row r="2314" spans="1:4">
      <c r="A2314" s="248"/>
      <c r="B2314" s="249"/>
      <c r="C2314" s="248"/>
      <c r="D2314" s="248"/>
    </row>
    <row r="2315" spans="1:4">
      <c r="A2315" s="251"/>
      <c r="B2315" s="251"/>
      <c r="C2315" s="251"/>
      <c r="D2315" s="252"/>
    </row>
    <row r="2316" spans="1:4">
      <c r="A2316" s="246"/>
      <c r="B2316" s="246"/>
      <c r="C2316" s="246"/>
      <c r="D2316" s="247"/>
    </row>
    <row r="2317" spans="1:4">
      <c r="A2317" s="253"/>
      <c r="B2317" s="253"/>
      <c r="C2317" s="253"/>
      <c r="D2317" s="254"/>
    </row>
    <row r="2318" spans="1:4">
      <c r="A2318" s="248"/>
      <c r="B2318" s="249"/>
      <c r="C2318" s="248"/>
      <c r="D2318" s="248"/>
    </row>
    <row r="2319" spans="1:4">
      <c r="A2319" s="248"/>
      <c r="B2319" s="249"/>
      <c r="C2319" s="248"/>
      <c r="D2319" s="248"/>
    </row>
    <row r="2320" spans="1:4">
      <c r="A2320" s="248"/>
      <c r="B2320" s="249"/>
      <c r="C2320" s="248"/>
      <c r="D2320" s="248"/>
    </row>
    <row r="2321" spans="1:4">
      <c r="A2321" s="248"/>
      <c r="B2321" s="249"/>
      <c r="C2321" s="248"/>
      <c r="D2321" s="248"/>
    </row>
    <row r="2322" spans="1:4">
      <c r="A2322" s="248"/>
      <c r="B2322" s="249"/>
      <c r="C2322" s="248"/>
      <c r="D2322" s="248"/>
    </row>
    <row r="2323" spans="1:4">
      <c r="A2323" s="248"/>
      <c r="B2323" s="249"/>
      <c r="C2323" s="248"/>
      <c r="D2323" s="248"/>
    </row>
    <row r="2324" spans="1:4">
      <c r="A2324" s="248"/>
      <c r="B2324" s="249"/>
      <c r="C2324" s="248"/>
      <c r="D2324" s="248"/>
    </row>
    <row r="2325" spans="1:4">
      <c r="A2325" s="248"/>
      <c r="B2325" s="249"/>
      <c r="C2325" s="248"/>
      <c r="D2325" s="248"/>
    </row>
    <row r="2326" spans="1:4">
      <c r="A2326" s="246"/>
      <c r="B2326" s="246"/>
      <c r="C2326" s="246"/>
      <c r="D2326" s="247"/>
    </row>
    <row r="2327" spans="1:4">
      <c r="A2327" s="248"/>
      <c r="B2327" s="249"/>
      <c r="C2327" s="248"/>
      <c r="D2327" s="248"/>
    </row>
    <row r="2328" spans="1:4">
      <c r="A2328" s="246"/>
      <c r="B2328" s="246"/>
      <c r="C2328" s="246"/>
      <c r="D2328" s="247"/>
    </row>
    <row r="2329" spans="1:4">
      <c r="A2329" s="248"/>
      <c r="B2329" s="249"/>
      <c r="C2329" s="248"/>
      <c r="D2329" s="248"/>
    </row>
    <row r="2330" spans="1:4">
      <c r="A2330" s="248"/>
      <c r="B2330" s="249"/>
      <c r="C2330" s="248"/>
      <c r="D2330" s="248"/>
    </row>
    <row r="2331" spans="1:4">
      <c r="A2331" s="248"/>
      <c r="B2331" s="249"/>
      <c r="C2331" s="248"/>
      <c r="D2331" s="248"/>
    </row>
    <row r="2332" spans="1:4">
      <c r="A2332" s="248"/>
      <c r="B2332" s="249"/>
      <c r="C2332" s="248"/>
      <c r="D2332" s="248"/>
    </row>
    <row r="2333" spans="1:4">
      <c r="A2333" s="248"/>
      <c r="B2333" s="249"/>
      <c r="C2333" s="248"/>
      <c r="D2333" s="248"/>
    </row>
    <row r="2334" spans="1:4">
      <c r="A2334" s="248"/>
      <c r="B2334" s="249"/>
      <c r="C2334" s="248"/>
      <c r="D2334" s="248"/>
    </row>
    <row r="2335" spans="1:4">
      <c r="A2335" s="246"/>
      <c r="B2335" s="246"/>
      <c r="C2335" s="246"/>
      <c r="D2335" s="247"/>
    </row>
    <row r="2336" spans="1:4">
      <c r="A2336" s="248"/>
      <c r="B2336" s="249"/>
      <c r="C2336" s="248"/>
      <c r="D2336" s="248"/>
    </row>
    <row r="2337" spans="1:4">
      <c r="A2337" s="248"/>
      <c r="B2337" s="249"/>
      <c r="C2337" s="248"/>
      <c r="D2337" s="248"/>
    </row>
    <row r="2338" spans="1:4">
      <c r="A2338" s="248"/>
      <c r="B2338" s="249"/>
      <c r="C2338" s="248"/>
      <c r="D2338" s="248"/>
    </row>
    <row r="2339" spans="1:4">
      <c r="A2339" s="248"/>
      <c r="B2339" s="249"/>
      <c r="C2339" s="248"/>
      <c r="D2339" s="248"/>
    </row>
    <row r="2340" spans="1:4">
      <c r="A2340" s="248"/>
      <c r="B2340" s="249"/>
      <c r="C2340" s="248"/>
      <c r="D2340" s="248"/>
    </row>
    <row r="2341" spans="1:4">
      <c r="A2341" s="246"/>
      <c r="B2341" s="246"/>
      <c r="C2341" s="246"/>
      <c r="D2341" s="247"/>
    </row>
    <row r="2342" spans="1:4">
      <c r="A2342" s="248"/>
      <c r="B2342" s="249"/>
      <c r="C2342" s="248"/>
      <c r="D2342" s="248"/>
    </row>
    <row r="2343" spans="1:4">
      <c r="A2343" s="246"/>
      <c r="B2343" s="246"/>
      <c r="C2343" s="246"/>
      <c r="D2343" s="247"/>
    </row>
    <row r="2344" spans="1:4">
      <c r="A2344" s="248"/>
      <c r="B2344" s="249"/>
      <c r="C2344" s="248"/>
      <c r="D2344" s="248"/>
    </row>
    <row r="2345" spans="1:4">
      <c r="A2345" s="248"/>
      <c r="B2345" s="249"/>
      <c r="C2345" s="248"/>
      <c r="D2345" s="248"/>
    </row>
    <row r="2346" spans="1:4">
      <c r="A2346" s="248"/>
      <c r="B2346" s="249"/>
      <c r="C2346" s="248"/>
      <c r="D2346" s="248"/>
    </row>
    <row r="2347" spans="1:4">
      <c r="A2347" s="251"/>
      <c r="B2347" s="251"/>
      <c r="C2347" s="251"/>
      <c r="D2347" s="252"/>
    </row>
    <row r="2348" spans="1:4">
      <c r="A2348" s="246"/>
      <c r="B2348" s="246"/>
      <c r="C2348" s="246"/>
      <c r="D2348" s="247"/>
    </row>
    <row r="2349" spans="1:4">
      <c r="A2349" s="248"/>
      <c r="B2349" s="249"/>
      <c r="C2349" s="248"/>
      <c r="D2349" s="248"/>
    </row>
    <row r="2350" spans="1:4">
      <c r="A2350" s="248"/>
      <c r="B2350" s="249"/>
      <c r="C2350" s="248"/>
      <c r="D2350" s="248"/>
    </row>
    <row r="2351" spans="1:4">
      <c r="A2351" s="248"/>
      <c r="B2351" s="249"/>
      <c r="C2351" s="248"/>
      <c r="D2351" s="248"/>
    </row>
    <row r="2352" spans="1:4">
      <c r="A2352" s="248"/>
      <c r="B2352" s="249"/>
      <c r="C2352" s="248"/>
      <c r="D2352" s="248"/>
    </row>
    <row r="2353" spans="1:4">
      <c r="A2353" s="248"/>
      <c r="B2353" s="249"/>
      <c r="C2353" s="248"/>
      <c r="D2353" s="248"/>
    </row>
    <row r="2354" spans="1:4">
      <c r="A2354" s="248"/>
      <c r="B2354" s="249"/>
      <c r="C2354" s="248"/>
      <c r="D2354" s="248"/>
    </row>
    <row r="2355" spans="1:4">
      <c r="A2355" s="248"/>
      <c r="B2355" s="249"/>
      <c r="C2355" s="248"/>
      <c r="D2355" s="248"/>
    </row>
    <row r="2356" spans="1:4">
      <c r="A2356" s="248"/>
      <c r="B2356" s="249"/>
      <c r="C2356" s="248"/>
      <c r="D2356" s="248"/>
    </row>
    <row r="2357" spans="1:4">
      <c r="A2357" s="248"/>
      <c r="B2357" s="249"/>
      <c r="C2357" s="248"/>
      <c r="D2357" s="248"/>
    </row>
    <row r="2358" spans="1:4">
      <c r="A2358" s="248"/>
      <c r="B2358" s="249"/>
      <c r="C2358" s="248"/>
      <c r="D2358" s="248"/>
    </row>
    <row r="2359" spans="1:4">
      <c r="A2359" s="248"/>
      <c r="B2359" s="249"/>
      <c r="C2359" s="248"/>
      <c r="D2359" s="248"/>
    </row>
    <row r="2360" spans="1:4">
      <c r="A2360" s="248"/>
      <c r="B2360" s="249"/>
      <c r="C2360" s="248"/>
      <c r="D2360" s="248"/>
    </row>
    <row r="2361" spans="1:4">
      <c r="A2361" s="248"/>
      <c r="B2361" s="249"/>
      <c r="C2361" s="248"/>
      <c r="D2361" s="248"/>
    </row>
    <row r="2362" spans="1:4">
      <c r="A2362" s="248"/>
      <c r="B2362" s="249"/>
      <c r="C2362" s="248"/>
      <c r="D2362" s="248"/>
    </row>
    <row r="2363" spans="1:4">
      <c r="A2363" s="248"/>
      <c r="B2363" s="249"/>
      <c r="C2363" s="248"/>
      <c r="D2363" s="248"/>
    </row>
    <row r="2364" spans="1:4">
      <c r="A2364" s="248"/>
      <c r="B2364" s="249"/>
      <c r="C2364" s="248"/>
      <c r="D2364" s="248"/>
    </row>
    <row r="2365" spans="1:4">
      <c r="A2365" s="251"/>
      <c r="B2365" s="251"/>
      <c r="C2365" s="251"/>
      <c r="D2365" s="252"/>
    </row>
    <row r="2366" spans="1:4">
      <c r="A2366" s="246"/>
      <c r="B2366" s="246"/>
      <c r="C2366" s="246"/>
      <c r="D2366" s="247"/>
    </row>
    <row r="2367" spans="1:4">
      <c r="A2367" s="248"/>
      <c r="B2367" s="249"/>
      <c r="C2367" s="248"/>
      <c r="D2367" s="248"/>
    </row>
    <row r="2368" spans="1:4">
      <c r="A2368" s="248"/>
      <c r="B2368" s="249"/>
      <c r="C2368" s="248"/>
      <c r="D2368" s="248"/>
    </row>
    <row r="2369" spans="1:4">
      <c r="A2369" s="246"/>
      <c r="B2369" s="246"/>
      <c r="C2369" s="246"/>
      <c r="D2369" s="247"/>
    </row>
    <row r="2370" spans="1:4">
      <c r="A2370" s="248"/>
      <c r="B2370" s="249"/>
      <c r="C2370" s="248"/>
      <c r="D2370" s="248"/>
    </row>
    <row r="2371" spans="1:4">
      <c r="A2371" s="248"/>
      <c r="B2371" s="249"/>
      <c r="C2371" s="248"/>
      <c r="D2371" s="248"/>
    </row>
    <row r="2372" spans="1:4">
      <c r="A2372" s="248"/>
      <c r="B2372" s="249"/>
      <c r="C2372" s="248"/>
      <c r="D2372" s="248"/>
    </row>
    <row r="2373" spans="1:4">
      <c r="A2373" s="248"/>
      <c r="B2373" s="249"/>
      <c r="C2373" s="248"/>
      <c r="D2373" s="248"/>
    </row>
    <row r="2374" spans="1:4">
      <c r="A2374" s="248"/>
      <c r="B2374" s="249"/>
      <c r="C2374" s="248"/>
      <c r="D2374" s="248"/>
    </row>
    <row r="2375" spans="1:4">
      <c r="A2375" s="248"/>
      <c r="B2375" s="249"/>
      <c r="C2375" s="248"/>
      <c r="D2375" s="248"/>
    </row>
    <row r="2376" spans="1:4">
      <c r="A2376" s="248"/>
      <c r="B2376" s="249"/>
      <c r="C2376" s="248"/>
      <c r="D2376" s="248"/>
    </row>
    <row r="2377" spans="1:4">
      <c r="A2377" s="248"/>
      <c r="B2377" s="249"/>
      <c r="C2377" s="248"/>
      <c r="D2377" s="248"/>
    </row>
    <row r="2378" spans="1:4">
      <c r="A2378" s="251"/>
      <c r="B2378" s="251"/>
      <c r="C2378" s="251"/>
      <c r="D2378" s="252"/>
    </row>
    <row r="2379" spans="1:4">
      <c r="A2379" s="246"/>
      <c r="B2379" s="246"/>
      <c r="C2379" s="246"/>
      <c r="D2379" s="247"/>
    </row>
    <row r="2380" spans="1:4">
      <c r="A2380" s="248"/>
      <c r="B2380" s="249"/>
      <c r="C2380" s="248"/>
      <c r="D2380" s="248"/>
    </row>
    <row r="2381" spans="1:4">
      <c r="A2381" s="248"/>
      <c r="B2381" s="249"/>
      <c r="C2381" s="248"/>
      <c r="D2381" s="248"/>
    </row>
    <row r="2382" spans="1:4">
      <c r="A2382" s="248"/>
      <c r="B2382" s="249"/>
      <c r="C2382" s="248"/>
      <c r="D2382" s="248"/>
    </row>
    <row r="2383" spans="1:4">
      <c r="A2383" s="251"/>
      <c r="B2383" s="251"/>
      <c r="C2383" s="251"/>
      <c r="D2383" s="252"/>
    </row>
    <row r="2384" spans="1:4">
      <c r="A2384" s="246"/>
      <c r="B2384" s="246"/>
      <c r="C2384" s="246"/>
      <c r="D2384" s="247"/>
    </row>
    <row r="2385" spans="1:4">
      <c r="A2385" s="248"/>
      <c r="B2385" s="249"/>
      <c r="C2385" s="248"/>
      <c r="D2385" s="248"/>
    </row>
    <row r="2386" spans="1:4">
      <c r="A2386" s="248"/>
      <c r="B2386" s="249"/>
      <c r="C2386" s="248"/>
      <c r="D2386" s="248"/>
    </row>
    <row r="2387" spans="1:4">
      <c r="A2387" s="248"/>
      <c r="B2387" s="249"/>
      <c r="C2387" s="248"/>
      <c r="D2387" s="248"/>
    </row>
    <row r="2388" spans="1:4">
      <c r="A2388" s="248"/>
      <c r="B2388" s="249"/>
      <c r="C2388" s="248"/>
      <c r="D2388" s="248"/>
    </row>
    <row r="2389" spans="1:4">
      <c r="A2389" s="248"/>
      <c r="B2389" s="249"/>
      <c r="C2389" s="248"/>
      <c r="D2389" s="248"/>
    </row>
    <row r="2390" spans="1:4">
      <c r="A2390" s="248"/>
      <c r="B2390" s="249"/>
      <c r="C2390" s="248"/>
      <c r="D2390" s="248"/>
    </row>
    <row r="2391" spans="1:4">
      <c r="A2391" s="248"/>
      <c r="B2391" s="249"/>
      <c r="C2391" s="248"/>
      <c r="D2391" s="248"/>
    </row>
    <row r="2392" spans="1:4">
      <c r="A2392" s="248"/>
      <c r="B2392" s="249"/>
      <c r="C2392" s="248"/>
      <c r="D2392" s="248"/>
    </row>
    <row r="2393" spans="1:4">
      <c r="A2393" s="246"/>
      <c r="B2393" s="246"/>
      <c r="C2393" s="246"/>
      <c r="D2393" s="247"/>
    </row>
    <row r="2394" spans="1:4">
      <c r="A2394" s="248"/>
      <c r="B2394" s="249"/>
      <c r="C2394" s="248"/>
      <c r="D2394" s="248"/>
    </row>
    <row r="2395" spans="1:4">
      <c r="A2395" s="248"/>
      <c r="B2395" s="249"/>
      <c r="C2395" s="248"/>
      <c r="D2395" s="248"/>
    </row>
    <row r="2396" spans="1:4">
      <c r="A2396" s="248"/>
      <c r="B2396" s="249"/>
      <c r="C2396" s="248"/>
      <c r="D2396" s="248"/>
    </row>
    <row r="2397" spans="1:4">
      <c r="A2397" s="248"/>
      <c r="B2397" s="249"/>
      <c r="C2397" s="248"/>
      <c r="D2397" s="248"/>
    </row>
    <row r="2398" spans="1:4">
      <c r="A2398" s="248"/>
      <c r="B2398" s="249"/>
      <c r="C2398" s="248"/>
      <c r="D2398" s="248"/>
    </row>
    <row r="2399" spans="1:4">
      <c r="A2399" s="248"/>
      <c r="B2399" s="249"/>
      <c r="C2399" s="248"/>
      <c r="D2399" s="248"/>
    </row>
    <row r="2400" spans="1:4">
      <c r="A2400" s="248"/>
      <c r="B2400" s="249"/>
      <c r="C2400" s="248"/>
      <c r="D2400" s="248"/>
    </row>
    <row r="2401" spans="1:4">
      <c r="A2401" s="248"/>
      <c r="B2401" s="249"/>
      <c r="C2401" s="248"/>
      <c r="D2401" s="248"/>
    </row>
    <row r="2402" spans="1:4">
      <c r="A2402" s="248"/>
      <c r="B2402" s="249"/>
      <c r="C2402" s="248"/>
      <c r="D2402" s="248"/>
    </row>
    <row r="2403" spans="1:4">
      <c r="A2403" s="248"/>
      <c r="B2403" s="249"/>
      <c r="C2403" s="248"/>
      <c r="D2403" s="248"/>
    </row>
    <row r="2404" spans="1:4">
      <c r="A2404" s="248"/>
      <c r="B2404" s="249"/>
      <c r="C2404" s="248"/>
      <c r="D2404" s="248"/>
    </row>
    <row r="2405" spans="1:4">
      <c r="A2405" s="248"/>
      <c r="B2405" s="249"/>
      <c r="C2405" s="248"/>
      <c r="D2405" s="248"/>
    </row>
    <row r="2406" spans="1:4">
      <c r="A2406" s="248"/>
      <c r="B2406" s="249"/>
      <c r="C2406" s="248"/>
      <c r="D2406" s="248"/>
    </row>
    <row r="2407" spans="1:4">
      <c r="A2407" s="248"/>
      <c r="B2407" s="249"/>
      <c r="C2407" s="248"/>
      <c r="D2407" s="248"/>
    </row>
    <row r="2408" spans="1:4">
      <c r="A2408" s="248"/>
      <c r="B2408" s="249"/>
      <c r="C2408" s="248"/>
      <c r="D2408" s="248"/>
    </row>
    <row r="2409" spans="1:4">
      <c r="A2409" s="248"/>
      <c r="B2409" s="249"/>
      <c r="C2409" s="248"/>
      <c r="D2409" s="248"/>
    </row>
    <row r="2410" spans="1:4">
      <c r="A2410" s="248"/>
      <c r="B2410" s="249"/>
      <c r="C2410" s="248"/>
      <c r="D2410" s="248"/>
    </row>
    <row r="2411" spans="1:4">
      <c r="A2411" s="248"/>
      <c r="B2411" s="249"/>
      <c r="C2411" s="248"/>
      <c r="D2411" s="248"/>
    </row>
    <row r="2412" spans="1:4">
      <c r="A2412" s="248"/>
      <c r="B2412" s="249"/>
      <c r="C2412" s="248"/>
      <c r="D2412" s="248"/>
    </row>
    <row r="2413" spans="1:4">
      <c r="A2413" s="246"/>
      <c r="B2413" s="246"/>
      <c r="C2413" s="246"/>
      <c r="D2413" s="247"/>
    </row>
    <row r="2414" spans="1:4">
      <c r="A2414" s="248"/>
      <c r="B2414" s="249"/>
      <c r="C2414" s="248"/>
      <c r="D2414" s="248"/>
    </row>
    <row r="2415" spans="1:4">
      <c r="A2415" s="248"/>
      <c r="B2415" s="249"/>
      <c r="C2415" s="248"/>
      <c r="D2415" s="248"/>
    </row>
    <row r="2416" spans="1:4">
      <c r="A2416" s="251"/>
      <c r="B2416" s="251"/>
      <c r="C2416" s="251"/>
      <c r="D2416" s="252"/>
    </row>
    <row r="2417" spans="1:4">
      <c r="A2417" s="246"/>
      <c r="B2417" s="246"/>
      <c r="C2417" s="246"/>
      <c r="D2417" s="247"/>
    </row>
    <row r="2418" spans="1:4">
      <c r="A2418" s="248"/>
      <c r="B2418" s="249"/>
      <c r="C2418" s="248"/>
      <c r="D2418" s="248"/>
    </row>
    <row r="2419" spans="1:4">
      <c r="A2419" s="248"/>
      <c r="B2419" s="249"/>
      <c r="C2419" s="248"/>
      <c r="D2419" s="248"/>
    </row>
    <row r="2420" spans="1:4">
      <c r="A2420" s="248"/>
      <c r="B2420" s="249"/>
      <c r="C2420" s="248"/>
      <c r="D2420" s="248"/>
    </row>
    <row r="2421" spans="1:4">
      <c r="A2421" s="248"/>
      <c r="B2421" s="249"/>
      <c r="C2421" s="248"/>
      <c r="D2421" s="248"/>
    </row>
    <row r="2422" spans="1:4">
      <c r="A2422" s="248"/>
      <c r="B2422" s="249"/>
      <c r="C2422" s="248"/>
      <c r="D2422" s="248"/>
    </row>
    <row r="2423" spans="1:4">
      <c r="A2423" s="248"/>
      <c r="B2423" s="249"/>
      <c r="C2423" s="248"/>
      <c r="D2423" s="248"/>
    </row>
    <row r="2424" spans="1:4">
      <c r="A2424" s="248"/>
      <c r="B2424" s="249"/>
      <c r="C2424" s="248"/>
      <c r="D2424" s="248"/>
    </row>
    <row r="2425" spans="1:4">
      <c r="A2425" s="248"/>
      <c r="B2425" s="249"/>
      <c r="C2425" s="248"/>
      <c r="D2425" s="248"/>
    </row>
    <row r="2426" spans="1:4">
      <c r="A2426" s="248"/>
      <c r="B2426" s="249"/>
      <c r="C2426" s="248"/>
      <c r="D2426" s="248"/>
    </row>
    <row r="2427" spans="1:4">
      <c r="A2427" s="248"/>
      <c r="B2427" s="249"/>
      <c r="C2427" s="248"/>
      <c r="D2427" s="248"/>
    </row>
    <row r="2428" spans="1:4">
      <c r="A2428" s="246"/>
      <c r="B2428" s="246"/>
      <c r="C2428" s="246"/>
      <c r="D2428" s="247"/>
    </row>
    <row r="2429" spans="1:4">
      <c r="A2429" s="248"/>
      <c r="B2429" s="249"/>
      <c r="C2429" s="248"/>
      <c r="D2429" s="248"/>
    </row>
    <row r="2430" spans="1:4">
      <c r="A2430" s="248"/>
      <c r="B2430" s="249"/>
      <c r="C2430" s="248"/>
      <c r="D2430" s="248"/>
    </row>
    <row r="2431" spans="1:4">
      <c r="A2431" s="246"/>
      <c r="B2431" s="246"/>
      <c r="C2431" s="246"/>
      <c r="D2431" s="247"/>
    </row>
    <row r="2432" spans="1:4">
      <c r="A2432" s="248"/>
      <c r="B2432" s="249"/>
      <c r="C2432" s="248"/>
      <c r="D2432" s="248"/>
    </row>
    <row r="2433" spans="1:4">
      <c r="A2433" s="251"/>
      <c r="B2433" s="251"/>
      <c r="C2433" s="251"/>
      <c r="D2433" s="252"/>
    </row>
    <row r="2434" spans="1:4">
      <c r="A2434" s="246"/>
      <c r="B2434" s="246"/>
      <c r="C2434" s="246"/>
      <c r="D2434" s="247"/>
    </row>
    <row r="2435" spans="1:4">
      <c r="A2435" s="248"/>
      <c r="B2435" s="249"/>
      <c r="C2435" s="248"/>
      <c r="D2435" s="248"/>
    </row>
    <row r="2436" spans="1:4">
      <c r="A2436" s="248"/>
      <c r="B2436" s="249"/>
      <c r="C2436" s="248"/>
      <c r="D2436" s="248"/>
    </row>
    <row r="2437" spans="1:4">
      <c r="A2437" s="248"/>
      <c r="B2437" s="249"/>
      <c r="C2437" s="248"/>
      <c r="D2437" s="248"/>
    </row>
    <row r="2438" spans="1:4">
      <c r="A2438" s="248"/>
      <c r="B2438" s="249"/>
      <c r="C2438" s="248"/>
      <c r="D2438" s="248"/>
    </row>
    <row r="2439" spans="1:4">
      <c r="A2439" s="248"/>
      <c r="B2439" s="249"/>
      <c r="C2439" s="248"/>
      <c r="D2439" s="248"/>
    </row>
    <row r="2440" spans="1:4">
      <c r="A2440" s="248"/>
      <c r="B2440" s="249"/>
      <c r="C2440" s="248"/>
      <c r="D2440" s="248"/>
    </row>
    <row r="2441" spans="1:4">
      <c r="A2441" s="251"/>
      <c r="B2441" s="251"/>
      <c r="C2441" s="251"/>
      <c r="D2441" s="252"/>
    </row>
    <row r="2442" spans="1:4">
      <c r="A2442" s="246"/>
      <c r="B2442" s="246"/>
      <c r="C2442" s="246"/>
      <c r="D2442" s="247"/>
    </row>
    <row r="2443" spans="1:4">
      <c r="A2443" s="248"/>
      <c r="B2443" s="249"/>
      <c r="C2443" s="248"/>
      <c r="D2443" s="248"/>
    </row>
    <row r="2444" spans="1:4">
      <c r="A2444" s="251"/>
      <c r="B2444" s="251"/>
      <c r="C2444" s="251"/>
      <c r="D2444" s="252"/>
    </row>
    <row r="2445" spans="1:4">
      <c r="A2445" s="246"/>
      <c r="B2445" s="246"/>
      <c r="C2445" s="246"/>
      <c r="D2445" s="247"/>
    </row>
    <row r="2446" spans="1:4">
      <c r="A2446" s="248"/>
      <c r="B2446" s="249"/>
      <c r="C2446" s="248"/>
      <c r="D2446" s="248"/>
    </row>
    <row r="2447" spans="1:4">
      <c r="A2447" s="248"/>
      <c r="B2447" s="249"/>
      <c r="C2447" s="248"/>
      <c r="D2447" s="248"/>
    </row>
    <row r="2448" spans="1:4">
      <c r="A2448" s="248"/>
      <c r="B2448" s="249"/>
      <c r="C2448" s="248"/>
      <c r="D2448" s="248"/>
    </row>
    <row r="2449" spans="1:4">
      <c r="A2449" s="248"/>
      <c r="B2449" s="249"/>
      <c r="C2449" s="248"/>
      <c r="D2449" s="248"/>
    </row>
    <row r="2450" spans="1:4">
      <c r="A2450" s="248"/>
      <c r="B2450" s="249"/>
      <c r="C2450" s="248"/>
      <c r="D2450" s="248"/>
    </row>
    <row r="2451" spans="1:4">
      <c r="A2451" s="248"/>
      <c r="B2451" s="249"/>
      <c r="C2451" s="248"/>
      <c r="D2451" s="248"/>
    </row>
    <row r="2452" spans="1:4">
      <c r="A2452" s="248"/>
      <c r="B2452" s="249"/>
      <c r="C2452" s="248"/>
      <c r="D2452" s="248"/>
    </row>
    <row r="2453" spans="1:4">
      <c r="A2453" s="248"/>
      <c r="B2453" s="249"/>
      <c r="C2453" s="248"/>
      <c r="D2453" s="248"/>
    </row>
    <row r="2454" spans="1:4">
      <c r="A2454" s="248"/>
      <c r="B2454" s="249"/>
      <c r="C2454" s="248"/>
      <c r="D2454" s="248"/>
    </row>
    <row r="2455" spans="1:4">
      <c r="A2455" s="251"/>
      <c r="B2455" s="251"/>
      <c r="C2455" s="251"/>
      <c r="D2455" s="252"/>
    </row>
    <row r="2456" spans="1:4">
      <c r="A2456" s="246"/>
      <c r="B2456" s="246"/>
      <c r="C2456" s="246"/>
      <c r="D2456" s="247"/>
    </row>
    <row r="2457" spans="1:4">
      <c r="A2457" s="248"/>
      <c r="B2457" s="249"/>
      <c r="C2457" s="248"/>
      <c r="D2457" s="248"/>
    </row>
    <row r="2458" spans="1:4">
      <c r="A2458" s="248"/>
      <c r="B2458" s="249"/>
      <c r="C2458" s="248"/>
      <c r="D2458" s="248"/>
    </row>
    <row r="2459" spans="1:4">
      <c r="A2459" s="248"/>
      <c r="B2459" s="249"/>
      <c r="C2459" s="248"/>
      <c r="D2459" s="248"/>
    </row>
    <row r="2460" spans="1:4">
      <c r="A2460" s="248"/>
      <c r="B2460" s="249"/>
      <c r="C2460" s="248"/>
      <c r="D2460" s="248"/>
    </row>
    <row r="2461" spans="1:4">
      <c r="A2461" s="248"/>
      <c r="B2461" s="249"/>
      <c r="C2461" s="248"/>
      <c r="D2461" s="248"/>
    </row>
    <row r="2462" spans="1:4">
      <c r="A2462" s="251"/>
      <c r="B2462" s="251"/>
      <c r="C2462" s="251"/>
      <c r="D2462" s="252"/>
    </row>
    <row r="2463" spans="1:4">
      <c r="A2463" s="246"/>
      <c r="B2463" s="246"/>
      <c r="C2463" s="246"/>
      <c r="D2463" s="247"/>
    </row>
    <row r="2464" spans="1:4">
      <c r="A2464" s="248"/>
      <c r="B2464" s="249"/>
      <c r="C2464" s="248"/>
      <c r="D2464" s="248"/>
    </row>
    <row r="2465" spans="1:4">
      <c r="A2465" s="248"/>
      <c r="B2465" s="249"/>
      <c r="C2465" s="248"/>
      <c r="D2465" s="248"/>
    </row>
    <row r="2466" spans="1:4">
      <c r="A2466" s="246"/>
      <c r="B2466" s="249"/>
      <c r="C2466" s="248"/>
      <c r="D2466" s="248"/>
    </row>
    <row r="2467" spans="1:4">
      <c r="A2467" s="255"/>
      <c r="B2467" s="255"/>
      <c r="C2467" s="255"/>
      <c r="D2467" s="256"/>
    </row>
    <row r="2468" spans="1:4">
      <c r="A2468" s="246"/>
      <c r="B2468" s="246"/>
      <c r="C2468" s="246"/>
      <c r="D2468" s="247"/>
    </row>
    <row r="2469" spans="1:4">
      <c r="A2469" s="248"/>
      <c r="B2469" s="249"/>
      <c r="C2469" s="248"/>
      <c r="D2469" s="248"/>
    </row>
    <row r="2470" spans="1:4">
      <c r="A2470" s="246"/>
      <c r="B2470" s="246"/>
      <c r="C2470" s="246"/>
      <c r="D2470" s="247"/>
    </row>
    <row r="2471" spans="1:4">
      <c r="A2471" s="248"/>
      <c r="B2471" s="249"/>
      <c r="C2471" s="248"/>
      <c r="D2471" s="248"/>
    </row>
    <row r="2472" spans="1:4">
      <c r="A2472" s="255"/>
      <c r="B2472" s="255"/>
      <c r="C2472" s="255"/>
      <c r="D2472" s="256"/>
    </row>
    <row r="2473" spans="1:4">
      <c r="A2473" s="246"/>
      <c r="B2473" s="246"/>
      <c r="C2473" s="246"/>
      <c r="D2473" s="247"/>
    </row>
    <row r="2474" spans="1:4">
      <c r="A2474" s="248"/>
      <c r="B2474" s="249"/>
      <c r="C2474" s="248"/>
      <c r="D2474" s="248"/>
    </row>
    <row r="2475" spans="1:4">
      <c r="A2475" s="246"/>
      <c r="B2475" s="246"/>
      <c r="C2475" s="246"/>
      <c r="D2475" s="247"/>
    </row>
    <row r="2476" spans="1:4">
      <c r="A2476" s="251"/>
      <c r="B2476" s="251"/>
      <c r="C2476" s="251"/>
      <c r="D2476" s="252"/>
    </row>
    <row r="2477" spans="1:4">
      <c r="A2477" s="255"/>
      <c r="B2477" s="255"/>
      <c r="C2477" s="255"/>
      <c r="D2477" s="256"/>
    </row>
    <row r="2478" spans="1:4">
      <c r="A2478" s="246"/>
      <c r="B2478" s="246"/>
      <c r="C2478" s="246"/>
      <c r="D2478" s="247"/>
    </row>
    <row r="2479" spans="1:4">
      <c r="A2479" s="248"/>
      <c r="B2479" s="249"/>
      <c r="C2479" s="248"/>
      <c r="D2479" s="248"/>
    </row>
    <row r="2480" spans="1:4">
      <c r="A2480" s="248"/>
      <c r="B2480" s="249"/>
      <c r="C2480" s="248"/>
      <c r="D2480" s="248"/>
    </row>
    <row r="2481" spans="1:4">
      <c r="A2481" s="248"/>
      <c r="B2481" s="249"/>
      <c r="C2481" s="248"/>
      <c r="D2481" s="248"/>
    </row>
    <row r="2482" spans="1:4">
      <c r="A2482" s="248"/>
      <c r="B2482" s="249"/>
      <c r="C2482" s="248"/>
      <c r="D2482" s="248"/>
    </row>
    <row r="2483" spans="1:4">
      <c r="A2483" s="246"/>
      <c r="B2483" s="246"/>
      <c r="C2483" s="246"/>
      <c r="D2483" s="247"/>
    </row>
    <row r="2484" spans="1:4">
      <c r="A2484" s="248"/>
      <c r="B2484" s="249"/>
      <c r="C2484" s="248"/>
      <c r="D2484" s="248"/>
    </row>
    <row r="2485" spans="1:4">
      <c r="A2485" s="248"/>
      <c r="B2485" s="249"/>
      <c r="C2485" s="248"/>
      <c r="D2485" s="248"/>
    </row>
    <row r="2486" spans="1:4">
      <c r="A2486" s="248"/>
      <c r="B2486" s="249"/>
      <c r="C2486" s="248"/>
      <c r="D2486" s="248"/>
    </row>
    <row r="2487" spans="1:4">
      <c r="A2487" s="248"/>
      <c r="B2487" s="249"/>
      <c r="C2487" s="248"/>
      <c r="D2487" s="248"/>
    </row>
    <row r="2488" spans="1:4">
      <c r="A2488" s="248"/>
      <c r="B2488" s="249"/>
      <c r="C2488" s="248"/>
      <c r="D2488" s="248"/>
    </row>
    <row r="2489" spans="1:4">
      <c r="A2489" s="248"/>
      <c r="B2489" s="249"/>
      <c r="C2489" s="248"/>
      <c r="D2489" s="248"/>
    </row>
    <row r="2490" spans="1:4">
      <c r="A2490" s="248"/>
      <c r="B2490" s="249"/>
      <c r="C2490" s="248"/>
      <c r="D2490" s="248"/>
    </row>
    <row r="2491" spans="1:4">
      <c r="A2491" s="248"/>
      <c r="B2491" s="249"/>
      <c r="C2491" s="248"/>
      <c r="D2491" s="248"/>
    </row>
    <row r="2492" spans="1:4">
      <c r="A2492" s="248"/>
      <c r="B2492" s="249"/>
      <c r="C2492" s="248"/>
      <c r="D2492" s="248"/>
    </row>
    <row r="2493" spans="1:4">
      <c r="A2493" s="246"/>
      <c r="B2493" s="246"/>
      <c r="C2493" s="246"/>
      <c r="D2493" s="247"/>
    </row>
    <row r="2494" spans="1:4">
      <c r="A2494" s="248"/>
      <c r="B2494" s="249"/>
      <c r="C2494" s="248"/>
      <c r="D2494" s="248"/>
    </row>
    <row r="2495" spans="1:4">
      <c r="A2495" s="248"/>
      <c r="B2495" s="249"/>
      <c r="C2495" s="248"/>
      <c r="D2495" s="248"/>
    </row>
    <row r="2496" spans="1:4">
      <c r="A2496" s="246"/>
      <c r="B2496" s="246"/>
      <c r="C2496" s="246"/>
      <c r="D2496" s="247"/>
    </row>
    <row r="2497" spans="1:4">
      <c r="A2497" s="248"/>
      <c r="B2497" s="249"/>
      <c r="C2497" s="248"/>
      <c r="D2497" s="248"/>
    </row>
    <row r="2498" spans="1:4">
      <c r="A2498" s="248"/>
      <c r="B2498" s="249"/>
      <c r="C2498" s="248"/>
      <c r="D2498" s="248"/>
    </row>
    <row r="2499" spans="1:4">
      <c r="A2499" s="246"/>
      <c r="B2499" s="246"/>
      <c r="C2499" s="246"/>
      <c r="D2499" s="247"/>
    </row>
    <row r="2500" spans="1:4">
      <c r="A2500" s="248"/>
      <c r="B2500" s="249"/>
      <c r="C2500" s="248"/>
      <c r="D2500" s="248"/>
    </row>
    <row r="2501" spans="1:4">
      <c r="A2501" s="248"/>
      <c r="B2501" s="249"/>
      <c r="C2501" s="248"/>
      <c r="D2501" s="248"/>
    </row>
    <row r="2502" spans="1:4">
      <c r="A2502" s="248"/>
      <c r="B2502" s="249"/>
      <c r="C2502" s="248"/>
      <c r="D2502" s="248"/>
    </row>
    <row r="2503" spans="1:4">
      <c r="A2503" s="246"/>
      <c r="B2503" s="246"/>
      <c r="C2503" s="246"/>
      <c r="D2503" s="247"/>
    </row>
    <row r="2504" spans="1:4">
      <c r="A2504" s="248"/>
      <c r="B2504" s="249"/>
      <c r="C2504" s="248"/>
      <c r="D2504" s="248"/>
    </row>
    <row r="2505" spans="1:4">
      <c r="A2505" s="248"/>
      <c r="B2505" s="249"/>
      <c r="C2505" s="248"/>
      <c r="D2505" s="248"/>
    </row>
    <row r="2506" spans="1:4">
      <c r="A2506" s="248"/>
      <c r="B2506" s="249"/>
      <c r="C2506" s="248"/>
      <c r="D2506" s="248"/>
    </row>
    <row r="2507" spans="1:4">
      <c r="A2507" s="248"/>
      <c r="B2507" s="249"/>
      <c r="C2507" s="248"/>
      <c r="D2507" s="248"/>
    </row>
    <row r="2508" spans="1:4">
      <c r="A2508" s="248"/>
      <c r="B2508" s="249"/>
      <c r="C2508" s="248"/>
      <c r="D2508" s="248"/>
    </row>
    <row r="2509" spans="1:4">
      <c r="A2509" s="248"/>
      <c r="B2509" s="249"/>
      <c r="C2509" s="248"/>
      <c r="D2509" s="248"/>
    </row>
    <row r="2510" spans="1:4">
      <c r="A2510" s="248"/>
      <c r="B2510" s="249"/>
      <c r="C2510" s="248"/>
      <c r="D2510" s="248"/>
    </row>
    <row r="2511" spans="1:4">
      <c r="A2511" s="246"/>
      <c r="B2511" s="246"/>
      <c r="C2511" s="246"/>
      <c r="D2511" s="247"/>
    </row>
    <row r="2512" spans="1:4">
      <c r="A2512" s="248"/>
      <c r="B2512" s="249"/>
      <c r="C2512" s="248"/>
      <c r="D2512" s="248"/>
    </row>
    <row r="2513" spans="1:4">
      <c r="A2513" s="246"/>
      <c r="B2513" s="246"/>
      <c r="C2513" s="246"/>
      <c r="D2513" s="247"/>
    </row>
    <row r="2514" spans="1:4">
      <c r="A2514" s="248"/>
      <c r="B2514" s="249"/>
      <c r="C2514" s="248"/>
      <c r="D2514" s="248"/>
    </row>
    <row r="2515" spans="1:4">
      <c r="A2515" s="248"/>
      <c r="B2515" s="249"/>
      <c r="C2515" s="248"/>
      <c r="D2515" s="248"/>
    </row>
    <row r="2516" spans="1:4">
      <c r="A2516" s="248"/>
      <c r="B2516" s="249"/>
      <c r="C2516" s="248"/>
      <c r="D2516" s="248"/>
    </row>
    <row r="2517" spans="1:4">
      <c r="A2517" s="248"/>
      <c r="B2517" s="249"/>
      <c r="C2517" s="248"/>
      <c r="D2517" s="248"/>
    </row>
    <row r="2518" spans="1:4">
      <c r="A2518" s="248"/>
      <c r="B2518" s="249"/>
      <c r="C2518" s="248"/>
      <c r="D2518" s="248"/>
    </row>
    <row r="2519" spans="1:4">
      <c r="A2519" s="248"/>
      <c r="B2519" s="249"/>
      <c r="C2519" s="248"/>
      <c r="D2519" s="248"/>
    </row>
    <row r="2520" spans="1:4">
      <c r="A2520" s="246"/>
      <c r="B2520" s="246"/>
      <c r="C2520" s="246"/>
      <c r="D2520" s="247"/>
    </row>
    <row r="2521" spans="1:4">
      <c r="A2521" s="248"/>
      <c r="B2521" s="249"/>
      <c r="C2521" s="248"/>
      <c r="D2521" s="248"/>
    </row>
    <row r="2522" spans="1:4">
      <c r="A2522" s="248"/>
      <c r="B2522" s="249"/>
      <c r="C2522" s="248"/>
      <c r="D2522" s="248"/>
    </row>
    <row r="2523" spans="1:4">
      <c r="A2523" s="248"/>
      <c r="B2523" s="249"/>
      <c r="C2523" s="248"/>
      <c r="D2523" s="248"/>
    </row>
    <row r="2524" spans="1:4">
      <c r="A2524" s="248"/>
      <c r="B2524" s="249"/>
      <c r="C2524" s="248"/>
      <c r="D2524" s="248"/>
    </row>
    <row r="2525" spans="1:4">
      <c r="A2525" s="246"/>
      <c r="B2525" s="246"/>
      <c r="C2525" s="246"/>
      <c r="D2525" s="247"/>
    </row>
    <row r="2526" spans="1:4">
      <c r="A2526" s="248"/>
      <c r="B2526" s="249"/>
      <c r="C2526" s="248"/>
      <c r="D2526" s="248"/>
    </row>
    <row r="2527" spans="1:4">
      <c r="A2527" s="246"/>
      <c r="B2527" s="246"/>
      <c r="C2527" s="246"/>
      <c r="D2527" s="247"/>
    </row>
    <row r="2528" spans="1:4">
      <c r="A2528" s="248"/>
      <c r="B2528" s="249"/>
      <c r="C2528" s="248"/>
      <c r="D2528" s="248"/>
    </row>
    <row r="2529" spans="1:4">
      <c r="A2529" s="246"/>
      <c r="B2529" s="246"/>
      <c r="C2529" s="246"/>
      <c r="D2529" s="247"/>
    </row>
    <row r="2530" spans="1:4">
      <c r="A2530" s="248"/>
      <c r="B2530" s="249"/>
      <c r="C2530" s="248"/>
      <c r="D2530" s="248"/>
    </row>
    <row r="2531" spans="1:4">
      <c r="A2531" s="246"/>
      <c r="B2531" s="246"/>
      <c r="C2531" s="246"/>
      <c r="D2531" s="247"/>
    </row>
    <row r="2532" spans="1:4">
      <c r="A2532" s="248"/>
      <c r="B2532" s="249"/>
      <c r="C2532" s="248"/>
      <c r="D2532" s="248"/>
    </row>
    <row r="2533" spans="1:4">
      <c r="A2533" s="248"/>
      <c r="B2533" s="249"/>
      <c r="C2533" s="248"/>
      <c r="D2533" s="248"/>
    </row>
    <row r="2534" spans="1:4">
      <c r="A2534" s="248"/>
      <c r="B2534" s="249"/>
      <c r="C2534" s="248"/>
      <c r="D2534" s="248"/>
    </row>
    <row r="2535" spans="1:4">
      <c r="A2535" s="248"/>
      <c r="B2535" s="249"/>
      <c r="C2535" s="248"/>
      <c r="D2535" s="248"/>
    </row>
    <row r="2536" spans="1:4">
      <c r="A2536" s="251"/>
      <c r="B2536" s="251"/>
      <c r="C2536" s="251"/>
      <c r="D2536" s="252"/>
    </row>
    <row r="2537" spans="1:4">
      <c r="A2537" s="246"/>
      <c r="B2537" s="246"/>
      <c r="C2537" s="246"/>
      <c r="D2537" s="247"/>
    </row>
    <row r="2538" spans="1:4">
      <c r="A2538" s="248"/>
      <c r="B2538" s="249"/>
      <c r="C2538" s="248"/>
      <c r="D2538" s="248"/>
    </row>
    <row r="2539" spans="1:4">
      <c r="A2539" s="248"/>
      <c r="B2539" s="249"/>
      <c r="C2539" s="248"/>
      <c r="D2539" s="248"/>
    </row>
    <row r="2540" spans="1:4">
      <c r="A2540" s="246"/>
      <c r="B2540" s="246"/>
      <c r="C2540" s="246"/>
      <c r="D2540" s="247"/>
    </row>
    <row r="2541" spans="1:4">
      <c r="A2541" s="248"/>
      <c r="B2541" s="249"/>
      <c r="C2541" s="248"/>
      <c r="D2541" s="248"/>
    </row>
    <row r="2542" spans="1:4">
      <c r="A2542" s="248"/>
      <c r="B2542" s="249"/>
      <c r="C2542" s="248"/>
      <c r="D2542" s="248"/>
    </row>
    <row r="2543" spans="1:4">
      <c r="A2543" s="246"/>
      <c r="B2543" s="246"/>
      <c r="C2543" s="246"/>
      <c r="D2543" s="247"/>
    </row>
    <row r="2544" spans="1:4">
      <c r="A2544" s="248"/>
      <c r="B2544" s="249"/>
      <c r="C2544" s="248"/>
      <c r="D2544" s="248"/>
    </row>
    <row r="2545" spans="1:4">
      <c r="A2545" s="246"/>
      <c r="B2545" s="246"/>
      <c r="C2545" s="246"/>
      <c r="D2545" s="247"/>
    </row>
    <row r="2546" spans="1:4">
      <c r="A2546" s="248"/>
      <c r="B2546" s="249"/>
      <c r="C2546" s="248"/>
      <c r="D2546" s="248"/>
    </row>
    <row r="2547" spans="1:4">
      <c r="A2547" s="246"/>
      <c r="B2547" s="246"/>
      <c r="C2547" s="246"/>
      <c r="D2547" s="247"/>
    </row>
    <row r="2548" spans="1:4">
      <c r="A2548" s="248"/>
      <c r="B2548" s="249"/>
      <c r="C2548" s="248"/>
      <c r="D2548" s="248"/>
    </row>
    <row r="2549" spans="1:4">
      <c r="A2549" s="246"/>
      <c r="B2549" s="246"/>
      <c r="C2549" s="246"/>
      <c r="D2549" s="247"/>
    </row>
    <row r="2550" spans="1:4">
      <c r="A2550" s="248"/>
      <c r="B2550" s="249"/>
      <c r="C2550" s="248"/>
      <c r="D2550" s="248"/>
    </row>
    <row r="2551" spans="1:4">
      <c r="A2551" s="248"/>
      <c r="B2551" s="249"/>
      <c r="C2551" s="248"/>
      <c r="D2551" s="248"/>
    </row>
    <row r="2552" spans="1:4">
      <c r="A2552" s="248"/>
      <c r="B2552" s="249"/>
      <c r="C2552" s="248"/>
      <c r="D2552" s="248"/>
    </row>
    <row r="2553" spans="1:4">
      <c r="A2553" s="255"/>
      <c r="B2553" s="255"/>
      <c r="C2553" s="255"/>
      <c r="D2553" s="256"/>
    </row>
    <row r="2554" spans="1:4">
      <c r="A2554" s="246"/>
      <c r="B2554" s="246"/>
      <c r="C2554" s="246"/>
      <c r="D2554" s="247"/>
    </row>
    <row r="2555" spans="1:4">
      <c r="A2555" s="248"/>
      <c r="B2555" s="249"/>
      <c r="C2555" s="248"/>
      <c r="D2555" s="248"/>
    </row>
    <row r="2556" spans="1:4">
      <c r="A2556" s="248"/>
      <c r="B2556" s="249"/>
      <c r="C2556" s="248"/>
      <c r="D2556" s="248"/>
    </row>
    <row r="2557" spans="1:4">
      <c r="A2557" s="255"/>
      <c r="B2557" s="255"/>
      <c r="C2557" s="255"/>
      <c r="D2557" s="256"/>
    </row>
    <row r="2558" spans="1:4">
      <c r="A2558" s="246"/>
      <c r="B2558" s="246"/>
      <c r="C2558" s="246"/>
      <c r="D2558" s="247"/>
    </row>
    <row r="2559" spans="1:4">
      <c r="A2559" s="248"/>
      <c r="B2559" s="249"/>
      <c r="C2559" s="248"/>
      <c r="D2559" s="248"/>
    </row>
    <row r="2560" spans="1:4">
      <c r="A2560" s="248"/>
      <c r="B2560" s="249"/>
      <c r="C2560" s="248"/>
      <c r="D2560" s="248"/>
    </row>
    <row r="2561" spans="1:4">
      <c r="A2561" s="246"/>
      <c r="B2561" s="246"/>
      <c r="C2561" s="246"/>
      <c r="D2561" s="247"/>
    </row>
    <row r="2562" spans="1:4">
      <c r="A2562" s="251"/>
      <c r="B2562" s="251"/>
      <c r="C2562" s="251"/>
      <c r="D2562" s="252"/>
    </row>
    <row r="2563" spans="1:4">
      <c r="A2563" s="255"/>
      <c r="B2563" s="255"/>
      <c r="C2563" s="255"/>
      <c r="D2563" s="256"/>
    </row>
    <row r="2564" spans="1:4">
      <c r="A2564" s="246"/>
      <c r="B2564" s="246"/>
      <c r="C2564" s="246"/>
      <c r="D2564" s="247"/>
    </row>
    <row r="2565" spans="1:4">
      <c r="A2565" s="248"/>
      <c r="B2565" s="249"/>
      <c r="C2565" s="248"/>
      <c r="D2565" s="248"/>
    </row>
    <row r="2566" spans="1:4">
      <c r="A2566" s="248"/>
      <c r="B2566" s="249"/>
      <c r="C2566" s="248"/>
      <c r="D2566" s="248"/>
    </row>
    <row r="2567" spans="1:4">
      <c r="A2567" s="248"/>
      <c r="B2567" s="249"/>
      <c r="C2567" s="248"/>
      <c r="D2567" s="248"/>
    </row>
    <row r="2568" spans="1:4">
      <c r="A2568" s="248"/>
      <c r="B2568" s="249"/>
      <c r="C2568" s="248"/>
      <c r="D2568" s="248"/>
    </row>
    <row r="2569" spans="1:4">
      <c r="A2569" s="248"/>
      <c r="B2569" s="249"/>
      <c r="C2569" s="248"/>
      <c r="D2569" s="248"/>
    </row>
    <row r="2570" spans="1:4">
      <c r="A2570" s="248"/>
      <c r="B2570" s="249"/>
      <c r="C2570" s="248"/>
      <c r="D2570" s="248"/>
    </row>
    <row r="2571" spans="1:4">
      <c r="A2571" s="248"/>
      <c r="B2571" s="249"/>
      <c r="C2571" s="248"/>
      <c r="D2571" s="248"/>
    </row>
    <row r="2572" spans="1:4">
      <c r="A2572" s="248"/>
      <c r="B2572" s="249"/>
      <c r="C2572" s="248"/>
      <c r="D2572" s="248"/>
    </row>
    <row r="2573" spans="1:4">
      <c r="A2573" s="246"/>
      <c r="B2573" s="246"/>
      <c r="C2573" s="246"/>
      <c r="D2573" s="247"/>
    </row>
    <row r="2574" spans="1:4">
      <c r="A2574" s="248"/>
      <c r="B2574" s="249"/>
      <c r="C2574" s="248"/>
      <c r="D2574" s="248"/>
    </row>
    <row r="2575" spans="1:4">
      <c r="A2575" s="248"/>
      <c r="B2575" s="249"/>
      <c r="C2575" s="248"/>
      <c r="D2575" s="248"/>
    </row>
    <row r="2576" spans="1:4">
      <c r="A2576" s="248"/>
      <c r="B2576" s="249"/>
      <c r="C2576" s="248"/>
      <c r="D2576" s="248"/>
    </row>
    <row r="2577" spans="1:4">
      <c r="A2577" s="248"/>
      <c r="B2577" s="249"/>
      <c r="C2577" s="248"/>
      <c r="D2577" s="248"/>
    </row>
    <row r="2578" spans="1:4">
      <c r="A2578" s="248"/>
      <c r="B2578" s="249"/>
      <c r="C2578" s="248"/>
      <c r="D2578" s="248"/>
    </row>
    <row r="2579" spans="1:4">
      <c r="A2579" s="248"/>
      <c r="B2579" s="249"/>
      <c r="C2579" s="248"/>
      <c r="D2579" s="248"/>
    </row>
    <row r="2580" spans="1:4">
      <c r="A2580" s="248"/>
      <c r="B2580" s="249"/>
      <c r="C2580" s="248"/>
      <c r="D2580" s="248"/>
    </row>
    <row r="2581" spans="1:4">
      <c r="A2581" s="248"/>
      <c r="B2581" s="249"/>
      <c r="C2581" s="248"/>
      <c r="D2581" s="248"/>
    </row>
    <row r="2582" spans="1:4">
      <c r="A2582" s="248"/>
      <c r="B2582" s="249"/>
      <c r="C2582" s="248"/>
      <c r="D2582" s="248"/>
    </row>
    <row r="2583" spans="1:4">
      <c r="A2583" s="248"/>
      <c r="B2583" s="249"/>
      <c r="C2583" s="248"/>
      <c r="D2583" s="248"/>
    </row>
    <row r="2584" spans="1:4">
      <c r="A2584" s="248"/>
      <c r="B2584" s="249"/>
      <c r="C2584" s="248"/>
      <c r="D2584" s="248"/>
    </row>
    <row r="2585" spans="1:4">
      <c r="A2585" s="248"/>
      <c r="B2585" s="249"/>
      <c r="C2585" s="248"/>
      <c r="D2585" s="248"/>
    </row>
    <row r="2586" spans="1:4">
      <c r="A2586" s="248"/>
      <c r="B2586" s="249"/>
      <c r="C2586" s="248"/>
      <c r="D2586" s="248"/>
    </row>
    <row r="2587" spans="1:4">
      <c r="A2587" s="246"/>
      <c r="B2587" s="246"/>
      <c r="C2587" s="246"/>
      <c r="D2587" s="247"/>
    </row>
    <row r="2588" spans="1:4">
      <c r="A2588" s="248"/>
      <c r="B2588" s="249"/>
      <c r="C2588" s="248"/>
      <c r="D2588" s="248"/>
    </row>
    <row r="2589" spans="1:4">
      <c r="A2589" s="248"/>
      <c r="B2589" s="249"/>
      <c r="C2589" s="248"/>
      <c r="D2589" s="248"/>
    </row>
    <row r="2590" spans="1:4">
      <c r="A2590" s="248"/>
      <c r="B2590" s="249"/>
      <c r="C2590" s="248"/>
      <c r="D2590" s="248"/>
    </row>
    <row r="2591" spans="1:4">
      <c r="A2591" s="248"/>
      <c r="B2591" s="249"/>
      <c r="C2591" s="248"/>
      <c r="D2591" s="248"/>
    </row>
    <row r="2592" spans="1:4">
      <c r="A2592" s="248"/>
      <c r="B2592" s="249"/>
      <c r="C2592" s="248"/>
      <c r="D2592" s="248"/>
    </row>
    <row r="2593" spans="1:4">
      <c r="A2593" s="248"/>
      <c r="B2593" s="249"/>
      <c r="C2593" s="248"/>
      <c r="D2593" s="248"/>
    </row>
    <row r="2594" spans="1:4">
      <c r="A2594" s="248"/>
      <c r="B2594" s="249"/>
      <c r="C2594" s="248"/>
      <c r="D2594" s="248"/>
    </row>
    <row r="2595" spans="1:4">
      <c r="A2595" s="248"/>
      <c r="B2595" s="249"/>
      <c r="C2595" s="248"/>
      <c r="D2595" s="248"/>
    </row>
    <row r="2596" spans="1:4">
      <c r="A2596" s="248"/>
      <c r="B2596" s="249"/>
      <c r="C2596" s="248"/>
      <c r="D2596" s="248"/>
    </row>
    <row r="2597" spans="1:4">
      <c r="A2597" s="248"/>
      <c r="B2597" s="249"/>
      <c r="C2597" s="248"/>
      <c r="D2597" s="248"/>
    </row>
    <row r="2598" spans="1:4">
      <c r="A2598" s="246"/>
      <c r="B2598" s="246"/>
      <c r="C2598" s="246"/>
      <c r="D2598" s="247"/>
    </row>
    <row r="2599" spans="1:4">
      <c r="A2599" s="248"/>
      <c r="B2599" s="249"/>
      <c r="C2599" s="248"/>
      <c r="D2599" s="248"/>
    </row>
    <row r="2600" spans="1:4">
      <c r="A2600" s="248"/>
      <c r="B2600" s="249"/>
      <c r="C2600" s="248"/>
      <c r="D2600" s="248"/>
    </row>
    <row r="2601" spans="1:4">
      <c r="A2601" s="248"/>
      <c r="B2601" s="249"/>
      <c r="C2601" s="248"/>
      <c r="D2601" s="248"/>
    </row>
    <row r="2602" spans="1:4">
      <c r="A2602" s="248"/>
      <c r="B2602" s="249"/>
      <c r="C2602" s="248"/>
      <c r="D2602" s="248"/>
    </row>
    <row r="2603" spans="1:4">
      <c r="A2603" s="248"/>
      <c r="B2603" s="249"/>
      <c r="C2603" s="248"/>
      <c r="D2603" s="248"/>
    </row>
    <row r="2604" spans="1:4">
      <c r="A2604" s="248"/>
      <c r="B2604" s="249"/>
      <c r="C2604" s="248"/>
      <c r="D2604" s="248"/>
    </row>
    <row r="2605" spans="1:4">
      <c r="A2605" s="248"/>
      <c r="B2605" s="249"/>
      <c r="C2605" s="248"/>
      <c r="D2605" s="248"/>
    </row>
    <row r="2606" spans="1:4">
      <c r="A2606" s="248"/>
      <c r="B2606" s="249"/>
      <c r="C2606" s="248"/>
      <c r="D2606" s="248"/>
    </row>
    <row r="2607" spans="1:4">
      <c r="A2607" s="248"/>
      <c r="B2607" s="249"/>
      <c r="C2607" s="248"/>
      <c r="D2607" s="248"/>
    </row>
    <row r="2608" spans="1:4">
      <c r="A2608" s="248"/>
      <c r="B2608" s="249"/>
      <c r="C2608" s="248"/>
      <c r="D2608" s="248"/>
    </row>
    <row r="2609" spans="1:4">
      <c r="A2609" s="248"/>
      <c r="B2609" s="249"/>
      <c r="C2609" s="248"/>
      <c r="D2609" s="248"/>
    </row>
    <row r="2610" spans="1:4">
      <c r="A2610" s="248"/>
      <c r="B2610" s="249"/>
      <c r="C2610" s="248"/>
      <c r="D2610" s="248"/>
    </row>
    <row r="2611" spans="1:4">
      <c r="A2611" s="248"/>
      <c r="B2611" s="249"/>
      <c r="C2611" s="248"/>
      <c r="D2611" s="248"/>
    </row>
    <row r="2612" spans="1:4">
      <c r="A2612" s="248"/>
      <c r="B2612" s="249"/>
      <c r="C2612" s="248"/>
      <c r="D2612" s="248"/>
    </row>
    <row r="2613" spans="1:4">
      <c r="A2613" s="248"/>
      <c r="B2613" s="249"/>
      <c r="C2613" s="248"/>
      <c r="D2613" s="248"/>
    </row>
    <row r="2614" spans="1:4">
      <c r="A2614" s="248"/>
      <c r="B2614" s="249"/>
      <c r="C2614" s="248"/>
      <c r="D2614" s="248"/>
    </row>
    <row r="2615" spans="1:4">
      <c r="A2615" s="248"/>
      <c r="B2615" s="249"/>
      <c r="C2615" s="248"/>
      <c r="D2615" s="248"/>
    </row>
    <row r="2616" spans="1:4">
      <c r="A2616" s="248"/>
      <c r="B2616" s="249"/>
      <c r="C2616" s="248"/>
      <c r="D2616" s="248"/>
    </row>
    <row r="2617" spans="1:4">
      <c r="A2617" s="248"/>
      <c r="B2617" s="249"/>
      <c r="C2617" s="248"/>
      <c r="D2617" s="248"/>
    </row>
    <row r="2618" spans="1:4">
      <c r="A2618" s="246"/>
      <c r="B2618" s="246"/>
      <c r="C2618" s="246"/>
      <c r="D2618" s="247"/>
    </row>
    <row r="2619" spans="1:4">
      <c r="A2619" s="248"/>
      <c r="B2619" s="249"/>
      <c r="C2619" s="248"/>
      <c r="D2619" s="248"/>
    </row>
    <row r="2620" spans="1:4">
      <c r="A2620" s="248"/>
      <c r="B2620" s="249"/>
      <c r="C2620" s="248"/>
      <c r="D2620" s="248"/>
    </row>
    <row r="2621" spans="1:4">
      <c r="A2621" s="248"/>
      <c r="B2621" s="249"/>
      <c r="C2621" s="248"/>
      <c r="D2621" s="248"/>
    </row>
    <row r="2622" spans="1:4">
      <c r="A2622" s="248"/>
      <c r="B2622" s="249"/>
      <c r="C2622" s="248"/>
      <c r="D2622" s="248"/>
    </row>
    <row r="2623" spans="1:4">
      <c r="A2623" s="248"/>
      <c r="B2623" s="249"/>
      <c r="C2623" s="248"/>
      <c r="D2623" s="248"/>
    </row>
    <row r="2624" spans="1:4">
      <c r="A2624" s="248"/>
      <c r="B2624" s="249"/>
      <c r="C2624" s="248"/>
      <c r="D2624" s="248"/>
    </row>
    <row r="2625" spans="1:4">
      <c r="A2625" s="248"/>
      <c r="B2625" s="249"/>
      <c r="C2625" s="248"/>
      <c r="D2625" s="248"/>
    </row>
    <row r="2626" spans="1:4">
      <c r="A2626" s="246"/>
      <c r="B2626" s="246"/>
      <c r="C2626" s="246"/>
      <c r="D2626" s="247"/>
    </row>
    <row r="2627" spans="1:4">
      <c r="A2627" s="248"/>
      <c r="B2627" s="249"/>
      <c r="C2627" s="248"/>
      <c r="D2627" s="248"/>
    </row>
    <row r="2628" spans="1:4">
      <c r="A2628" s="248"/>
      <c r="B2628" s="249"/>
      <c r="C2628" s="248"/>
      <c r="D2628" s="248"/>
    </row>
    <row r="2629" spans="1:4">
      <c r="A2629" s="248"/>
      <c r="B2629" s="249"/>
      <c r="C2629" s="248"/>
      <c r="D2629" s="248"/>
    </row>
    <row r="2630" spans="1:4">
      <c r="A2630" s="248"/>
      <c r="B2630" s="249"/>
      <c r="C2630" s="248"/>
      <c r="D2630" s="248"/>
    </row>
    <row r="2631" spans="1:4">
      <c r="A2631" s="248"/>
      <c r="B2631" s="249"/>
      <c r="C2631" s="248"/>
      <c r="D2631" s="248"/>
    </row>
    <row r="2632" spans="1:4">
      <c r="A2632" s="248"/>
      <c r="B2632" s="249"/>
      <c r="C2632" s="248"/>
      <c r="D2632" s="248"/>
    </row>
    <row r="2633" spans="1:4">
      <c r="A2633" s="248"/>
      <c r="B2633" s="249"/>
      <c r="C2633" s="248"/>
      <c r="D2633" s="248"/>
    </row>
    <row r="2634" spans="1:4">
      <c r="A2634" s="248"/>
      <c r="B2634" s="249"/>
      <c r="C2634" s="248"/>
      <c r="D2634" s="248"/>
    </row>
    <row r="2635" spans="1:4">
      <c r="A2635" s="246"/>
      <c r="B2635" s="246"/>
      <c r="C2635" s="246"/>
      <c r="D2635" s="247"/>
    </row>
    <row r="2636" spans="1:4">
      <c r="A2636" s="248"/>
      <c r="B2636" s="249"/>
      <c r="C2636" s="248"/>
      <c r="D2636" s="248"/>
    </row>
    <row r="2637" spans="1:4">
      <c r="A2637" s="248"/>
      <c r="B2637" s="249"/>
      <c r="C2637" s="248"/>
      <c r="D2637" s="248"/>
    </row>
    <row r="2638" spans="1:4">
      <c r="A2638" s="248"/>
      <c r="B2638" s="249"/>
      <c r="C2638" s="248"/>
      <c r="D2638" s="248"/>
    </row>
    <row r="2639" spans="1:4">
      <c r="A2639" s="248"/>
      <c r="B2639" s="249"/>
      <c r="C2639" s="248"/>
      <c r="D2639" s="248"/>
    </row>
    <row r="2640" spans="1:4">
      <c r="A2640" s="248"/>
      <c r="B2640" s="249"/>
      <c r="C2640" s="248"/>
      <c r="D2640" s="248"/>
    </row>
    <row r="2641" spans="1:4">
      <c r="A2641" s="248"/>
      <c r="B2641" s="249"/>
      <c r="C2641" s="248"/>
      <c r="D2641" s="248"/>
    </row>
    <row r="2642" spans="1:4">
      <c r="A2642" s="248"/>
      <c r="B2642" s="249"/>
      <c r="C2642" s="248"/>
      <c r="D2642" s="248"/>
    </row>
    <row r="2643" spans="1:4">
      <c r="A2643" s="246"/>
      <c r="B2643" s="246"/>
      <c r="C2643" s="246"/>
      <c r="D2643" s="247"/>
    </row>
    <row r="2644" spans="1:4">
      <c r="A2644" s="246"/>
      <c r="B2644" s="246"/>
      <c r="C2644" s="246"/>
      <c r="D2644" s="247"/>
    </row>
    <row r="2645" spans="1:4">
      <c r="A2645" s="248"/>
      <c r="B2645" s="249"/>
      <c r="C2645" s="248"/>
      <c r="D2645" s="248"/>
    </row>
    <row r="2646" spans="1:4">
      <c r="A2646" s="248"/>
      <c r="B2646" s="249"/>
      <c r="C2646" s="248"/>
      <c r="D2646" s="248"/>
    </row>
    <row r="2647" spans="1:4">
      <c r="A2647" s="248"/>
      <c r="B2647" s="249"/>
      <c r="C2647" s="248"/>
      <c r="D2647" s="248"/>
    </row>
    <row r="2648" spans="1:4">
      <c r="A2648" s="248"/>
      <c r="B2648" s="249"/>
      <c r="C2648" s="248"/>
      <c r="D2648" s="248"/>
    </row>
    <row r="2649" spans="1:4">
      <c r="A2649" s="248"/>
      <c r="B2649" s="249"/>
      <c r="C2649" s="248"/>
      <c r="D2649" s="248"/>
    </row>
    <row r="2650" spans="1:4">
      <c r="A2650" s="248"/>
      <c r="B2650" s="249"/>
      <c r="C2650" s="248"/>
      <c r="D2650" s="248"/>
    </row>
    <row r="2651" spans="1:4">
      <c r="A2651" s="246"/>
      <c r="B2651" s="246"/>
      <c r="C2651" s="246"/>
      <c r="D2651" s="247"/>
    </row>
    <row r="2652" spans="1:4">
      <c r="A2652" s="248"/>
      <c r="B2652" s="249"/>
      <c r="C2652" s="248"/>
      <c r="D2652" s="248"/>
    </row>
    <row r="2653" spans="1:4">
      <c r="A2653" s="248"/>
      <c r="B2653" s="249"/>
      <c r="C2653" s="248"/>
      <c r="D2653" s="248"/>
    </row>
    <row r="2654" spans="1:4">
      <c r="A2654" s="248"/>
      <c r="B2654" s="249"/>
      <c r="C2654" s="248"/>
      <c r="D2654" s="248"/>
    </row>
    <row r="2655" spans="1:4">
      <c r="A2655" s="248"/>
      <c r="B2655" s="249"/>
      <c r="C2655" s="248"/>
      <c r="D2655" s="248"/>
    </row>
    <row r="2656" spans="1:4">
      <c r="A2656" s="248"/>
      <c r="B2656" s="249"/>
      <c r="C2656" s="248"/>
      <c r="D2656" s="248"/>
    </row>
    <row r="2657" spans="1:4">
      <c r="A2657" s="246"/>
      <c r="B2657" s="246"/>
      <c r="C2657" s="246"/>
      <c r="D2657" s="247"/>
    </row>
    <row r="2658" spans="1:4">
      <c r="A2658" s="248"/>
      <c r="B2658" s="249"/>
      <c r="C2658" s="248"/>
      <c r="D2658" s="248"/>
    </row>
    <row r="2659" spans="1:4">
      <c r="A2659" s="248"/>
      <c r="B2659" s="249"/>
      <c r="C2659" s="248"/>
      <c r="D2659" s="248"/>
    </row>
    <row r="2660" spans="1:4">
      <c r="A2660" s="248"/>
      <c r="B2660" s="249"/>
      <c r="C2660" s="248"/>
      <c r="D2660" s="248"/>
    </row>
    <row r="2661" spans="1:4">
      <c r="A2661" s="248"/>
      <c r="B2661" s="249"/>
      <c r="C2661" s="248"/>
      <c r="D2661" s="248"/>
    </row>
    <row r="2662" spans="1:4">
      <c r="A2662" s="248"/>
      <c r="B2662" s="249"/>
      <c r="C2662" s="248"/>
      <c r="D2662" s="248"/>
    </row>
    <row r="2663" spans="1:4">
      <c r="A2663" s="248"/>
      <c r="B2663" s="249"/>
      <c r="C2663" s="248"/>
      <c r="D2663" s="248"/>
    </row>
    <row r="2664" spans="1:4">
      <c r="A2664" s="251"/>
      <c r="B2664" s="251"/>
      <c r="C2664" s="251"/>
      <c r="D2664" s="252"/>
    </row>
    <row r="2665" spans="1:4">
      <c r="A2665" s="246"/>
      <c r="B2665" s="246"/>
      <c r="C2665" s="246"/>
      <c r="D2665" s="247"/>
    </row>
    <row r="2666" spans="1:4">
      <c r="A2666" s="246"/>
      <c r="B2666" s="246"/>
      <c r="C2666" s="246"/>
      <c r="D2666" s="247"/>
    </row>
    <row r="2667" spans="1:4">
      <c r="A2667" s="248"/>
      <c r="B2667" s="249"/>
      <c r="C2667" s="248"/>
      <c r="D2667" s="250"/>
    </row>
    <row r="2668" spans="1:4">
      <c r="A2668" s="251"/>
      <c r="B2668" s="251"/>
      <c r="C2668" s="251"/>
      <c r="D2668" s="252"/>
    </row>
    <row r="2669" spans="1:4">
      <c r="A2669" s="246"/>
      <c r="B2669" s="246"/>
      <c r="C2669" s="246"/>
      <c r="D2669" s="247"/>
    </row>
    <row r="2670" spans="1:4">
      <c r="A2670" s="248"/>
      <c r="B2670" s="249"/>
      <c r="C2670" s="248"/>
      <c r="D2670" s="248"/>
    </row>
    <row r="2671" spans="1:4">
      <c r="A2671" s="248"/>
      <c r="B2671" s="249"/>
      <c r="C2671" s="248"/>
      <c r="D2671" s="248"/>
    </row>
    <row r="2672" spans="1:4">
      <c r="A2672" s="248"/>
      <c r="B2672" s="249"/>
      <c r="C2672" s="248"/>
      <c r="D2672" s="248"/>
    </row>
    <row r="2673" spans="1:4">
      <c r="A2673" s="248"/>
      <c r="B2673" s="249"/>
      <c r="C2673" s="248"/>
      <c r="D2673" s="248"/>
    </row>
    <row r="2674" spans="1:4">
      <c r="A2674" s="248"/>
      <c r="B2674" s="249"/>
      <c r="C2674" s="248"/>
      <c r="D2674" s="248"/>
    </row>
    <row r="2675" spans="1:4">
      <c r="A2675" s="246"/>
      <c r="B2675" s="246"/>
      <c r="C2675" s="246"/>
      <c r="D2675" s="247"/>
    </row>
    <row r="2676" spans="1:4">
      <c r="A2676" s="248"/>
      <c r="B2676" s="249"/>
      <c r="C2676" s="248"/>
      <c r="D2676" s="248"/>
    </row>
    <row r="2677" spans="1:4">
      <c r="A2677" s="248"/>
      <c r="B2677" s="249"/>
      <c r="C2677" s="248"/>
      <c r="D2677" s="248"/>
    </row>
    <row r="2678" spans="1:4">
      <c r="A2678" s="248"/>
      <c r="B2678" s="249"/>
      <c r="C2678" s="248"/>
      <c r="D2678" s="248"/>
    </row>
    <row r="2679" spans="1:4">
      <c r="A2679" s="248"/>
      <c r="B2679" s="249"/>
      <c r="C2679" s="248"/>
      <c r="D2679" s="248"/>
    </row>
    <row r="2680" spans="1:4">
      <c r="A2680" s="248"/>
      <c r="B2680" s="249"/>
      <c r="C2680" s="248"/>
      <c r="D2680" s="248"/>
    </row>
    <row r="2681" spans="1:4">
      <c r="A2681" s="248"/>
      <c r="B2681" s="249"/>
      <c r="C2681" s="248"/>
      <c r="D2681" s="248"/>
    </row>
    <row r="2682" spans="1:4">
      <c r="A2682" s="248"/>
      <c r="B2682" s="249"/>
      <c r="C2682" s="248"/>
      <c r="D2682" s="248"/>
    </row>
    <row r="2683" spans="1:4">
      <c r="A2683" s="246"/>
      <c r="B2683" s="246"/>
      <c r="C2683" s="246"/>
      <c r="D2683" s="247"/>
    </row>
    <row r="2684" spans="1:4">
      <c r="A2684" s="248"/>
      <c r="B2684" s="249"/>
      <c r="C2684" s="248"/>
      <c r="D2684" s="248"/>
    </row>
    <row r="2685" spans="1:4">
      <c r="A2685" s="246"/>
      <c r="B2685" s="246"/>
      <c r="C2685" s="246"/>
      <c r="D2685" s="247"/>
    </row>
    <row r="2686" spans="1:4">
      <c r="A2686" s="248"/>
      <c r="B2686" s="249"/>
      <c r="C2686" s="248"/>
      <c r="D2686" s="248"/>
    </row>
    <row r="2687" spans="1:4">
      <c r="A2687" s="248"/>
      <c r="B2687" s="249"/>
      <c r="C2687" s="248"/>
      <c r="D2687" s="248"/>
    </row>
    <row r="2688" spans="1:4">
      <c r="A2688" s="246"/>
      <c r="B2688" s="246"/>
      <c r="C2688" s="246"/>
      <c r="D2688" s="247"/>
    </row>
    <row r="2689" spans="1:4">
      <c r="A2689" s="248"/>
      <c r="B2689" s="249"/>
      <c r="C2689" s="248"/>
      <c r="D2689" s="248"/>
    </row>
    <row r="2690" spans="1:4">
      <c r="A2690" s="248"/>
      <c r="B2690" s="249"/>
      <c r="C2690" s="248"/>
      <c r="D2690" s="248"/>
    </row>
    <row r="2691" spans="1:4">
      <c r="A2691" s="248"/>
      <c r="B2691" s="249"/>
      <c r="C2691" s="248"/>
      <c r="D2691" s="248"/>
    </row>
    <row r="2692" spans="1:4">
      <c r="A2692" s="248"/>
      <c r="B2692" s="249"/>
      <c r="C2692" s="248"/>
      <c r="D2692" s="248"/>
    </row>
    <row r="2693" spans="1:4">
      <c r="A2693" s="248"/>
      <c r="B2693" s="249"/>
      <c r="C2693" s="248"/>
      <c r="D2693" s="248"/>
    </row>
    <row r="2694" spans="1:4">
      <c r="A2694" s="246"/>
      <c r="B2694" s="246"/>
      <c r="C2694" s="246"/>
      <c r="D2694" s="247"/>
    </row>
    <row r="2695" spans="1:4">
      <c r="A2695" s="248"/>
      <c r="B2695" s="249"/>
      <c r="C2695" s="248"/>
      <c r="D2695" s="248"/>
    </row>
    <row r="2696" spans="1:4">
      <c r="A2696" s="248"/>
      <c r="B2696" s="249"/>
      <c r="C2696" s="248"/>
      <c r="D2696" s="248"/>
    </row>
    <row r="2697" spans="1:4">
      <c r="A2697" s="248"/>
      <c r="B2697" s="249"/>
      <c r="C2697" s="248"/>
      <c r="D2697" s="248"/>
    </row>
    <row r="2698" spans="1:4">
      <c r="A2698" s="248"/>
      <c r="B2698" s="249"/>
      <c r="C2698" s="248"/>
      <c r="D2698" s="248"/>
    </row>
    <row r="2699" spans="1:4">
      <c r="A2699" s="248"/>
      <c r="B2699" s="249"/>
      <c r="C2699" s="248"/>
      <c r="D2699" s="248"/>
    </row>
    <row r="2700" spans="1:4">
      <c r="A2700" s="248"/>
      <c r="B2700" s="249"/>
      <c r="C2700" s="248"/>
      <c r="D2700" s="248"/>
    </row>
    <row r="2701" spans="1:4">
      <c r="A2701" s="248"/>
      <c r="B2701" s="249"/>
      <c r="C2701" s="248"/>
      <c r="D2701" s="248"/>
    </row>
    <row r="2702" spans="1:4">
      <c r="A2702" s="248"/>
      <c r="B2702" s="249"/>
      <c r="C2702" s="248"/>
      <c r="D2702" s="248"/>
    </row>
    <row r="2703" spans="1:4">
      <c r="A2703" s="248"/>
      <c r="B2703" s="249"/>
      <c r="C2703" s="248"/>
      <c r="D2703" s="248"/>
    </row>
    <row r="2704" spans="1:4">
      <c r="A2704" s="248"/>
      <c r="B2704" s="249"/>
      <c r="C2704" s="248"/>
      <c r="D2704" s="248"/>
    </row>
    <row r="2705" spans="1:4">
      <c r="A2705" s="248"/>
      <c r="B2705" s="249"/>
      <c r="C2705" s="248"/>
      <c r="D2705" s="248"/>
    </row>
    <row r="2706" spans="1:4">
      <c r="A2706" s="248"/>
      <c r="B2706" s="249"/>
      <c r="C2706" s="248"/>
      <c r="D2706" s="248"/>
    </row>
    <row r="2707" spans="1:4">
      <c r="A2707" s="248"/>
      <c r="B2707" s="249"/>
      <c r="C2707" s="248"/>
      <c r="D2707" s="248"/>
    </row>
    <row r="2708" spans="1:4">
      <c r="A2708" s="248"/>
      <c r="B2708" s="249"/>
      <c r="C2708" s="248"/>
      <c r="D2708" s="248"/>
    </row>
    <row r="2709" spans="1:4">
      <c r="A2709" s="248"/>
      <c r="B2709" s="249"/>
      <c r="C2709" s="248"/>
      <c r="D2709" s="248"/>
    </row>
    <row r="2710" spans="1:4">
      <c r="A2710" s="248"/>
      <c r="B2710" s="249"/>
      <c r="C2710" s="248"/>
      <c r="D2710" s="248"/>
    </row>
    <row r="2711" spans="1:4">
      <c r="A2711" s="248"/>
      <c r="B2711" s="249"/>
      <c r="C2711" s="248"/>
      <c r="D2711" s="248"/>
    </row>
    <row r="2712" spans="1:4">
      <c r="A2712" s="248"/>
      <c r="B2712" s="249"/>
      <c r="C2712" s="248"/>
      <c r="D2712" s="248"/>
    </row>
    <row r="2713" spans="1:4">
      <c r="A2713" s="248"/>
      <c r="B2713" s="249"/>
      <c r="C2713" s="248"/>
      <c r="D2713" s="248"/>
    </row>
    <row r="2714" spans="1:4">
      <c r="A2714" s="248"/>
      <c r="B2714" s="249"/>
      <c r="C2714" s="248"/>
      <c r="D2714" s="248"/>
    </row>
    <row r="2715" spans="1:4">
      <c r="A2715" s="248"/>
      <c r="B2715" s="249"/>
      <c r="C2715" s="248"/>
      <c r="D2715" s="248"/>
    </row>
    <row r="2716" spans="1:4">
      <c r="A2716" s="248"/>
      <c r="B2716" s="249"/>
      <c r="C2716" s="248"/>
      <c r="D2716" s="248"/>
    </row>
    <row r="2717" spans="1:4">
      <c r="A2717" s="248"/>
      <c r="B2717" s="249"/>
      <c r="C2717" s="248"/>
      <c r="D2717" s="248"/>
    </row>
    <row r="2718" spans="1:4">
      <c r="A2718" s="248"/>
      <c r="B2718" s="249"/>
      <c r="C2718" s="248"/>
      <c r="D2718" s="248"/>
    </row>
    <row r="2719" spans="1:4">
      <c r="A2719" s="248"/>
      <c r="B2719" s="249"/>
      <c r="C2719" s="248"/>
      <c r="D2719" s="248"/>
    </row>
    <row r="2720" spans="1:4">
      <c r="A2720" s="248"/>
      <c r="B2720" s="249"/>
      <c r="C2720" s="248"/>
      <c r="D2720" s="248"/>
    </row>
    <row r="2721" spans="1:4">
      <c r="A2721" s="248"/>
      <c r="B2721" s="249"/>
      <c r="C2721" s="248"/>
      <c r="D2721" s="248"/>
    </row>
    <row r="2722" spans="1:4">
      <c r="A2722" s="246"/>
      <c r="B2722" s="246"/>
      <c r="C2722" s="246"/>
      <c r="D2722" s="247"/>
    </row>
    <row r="2723" spans="1:4">
      <c r="A2723" s="248"/>
      <c r="B2723" s="249"/>
      <c r="C2723" s="248"/>
      <c r="D2723" s="248"/>
    </row>
    <row r="2724" spans="1:4">
      <c r="A2724" s="248"/>
      <c r="B2724" s="249"/>
      <c r="C2724" s="248"/>
      <c r="D2724" s="248"/>
    </row>
    <row r="2725" spans="1:4">
      <c r="A2725" s="248"/>
      <c r="B2725" s="249"/>
      <c r="C2725" s="248"/>
      <c r="D2725" s="248"/>
    </row>
    <row r="2726" spans="1:4">
      <c r="A2726" s="248"/>
      <c r="B2726" s="249"/>
      <c r="C2726" s="248"/>
      <c r="D2726" s="248"/>
    </row>
    <row r="2727" spans="1:4">
      <c r="A2727" s="248"/>
      <c r="B2727" s="249"/>
      <c r="C2727" s="248"/>
      <c r="D2727" s="248"/>
    </row>
    <row r="2728" spans="1:4">
      <c r="A2728" s="248"/>
      <c r="B2728" s="249"/>
      <c r="C2728" s="248"/>
      <c r="D2728" s="248"/>
    </row>
    <row r="2729" spans="1:4">
      <c r="A2729" s="248"/>
      <c r="B2729" s="249"/>
      <c r="C2729" s="248"/>
      <c r="D2729" s="248"/>
    </row>
    <row r="2730" spans="1:4">
      <c r="A2730" s="246"/>
      <c r="B2730" s="246"/>
      <c r="C2730" s="246"/>
      <c r="D2730" s="247"/>
    </row>
    <row r="2731" spans="1:4">
      <c r="A2731" s="248"/>
      <c r="B2731" s="249"/>
      <c r="C2731" s="248"/>
      <c r="D2731" s="248"/>
    </row>
    <row r="2732" spans="1:4">
      <c r="A2732" s="248"/>
      <c r="B2732" s="249"/>
      <c r="C2732" s="248"/>
      <c r="D2732" s="248"/>
    </row>
    <row r="2733" spans="1:4">
      <c r="A2733" s="251"/>
      <c r="B2733" s="251"/>
      <c r="C2733" s="251"/>
      <c r="D2733" s="252"/>
    </row>
    <row r="2734" spans="1:4">
      <c r="A2734" s="246"/>
      <c r="B2734" s="246"/>
      <c r="C2734" s="246"/>
      <c r="D2734" s="247"/>
    </row>
    <row r="2735" spans="1:4">
      <c r="A2735" s="248"/>
      <c r="B2735" s="249"/>
      <c r="C2735" s="248"/>
      <c r="D2735" s="248"/>
    </row>
    <row r="2736" spans="1:4">
      <c r="A2736" s="248"/>
      <c r="B2736" s="249"/>
      <c r="C2736" s="248"/>
      <c r="D2736" s="248"/>
    </row>
    <row r="2737" spans="1:4">
      <c r="A2737" s="248"/>
      <c r="B2737" s="249"/>
      <c r="C2737" s="248"/>
      <c r="D2737" s="248"/>
    </row>
    <row r="2738" spans="1:4">
      <c r="A2738" s="248"/>
      <c r="B2738" s="249"/>
      <c r="C2738" s="248"/>
      <c r="D2738" s="248"/>
    </row>
    <row r="2739" spans="1:4">
      <c r="A2739" s="248"/>
      <c r="B2739" s="249"/>
      <c r="C2739" s="248"/>
      <c r="D2739" s="248"/>
    </row>
    <row r="2740" spans="1:4">
      <c r="A2740" s="248"/>
      <c r="B2740" s="249"/>
      <c r="C2740" s="248"/>
      <c r="D2740" s="248"/>
    </row>
    <row r="2741" spans="1:4">
      <c r="A2741" s="248"/>
      <c r="B2741" s="249"/>
      <c r="C2741" s="248"/>
      <c r="D2741" s="248"/>
    </row>
    <row r="2742" spans="1:4">
      <c r="A2742" s="246"/>
      <c r="B2742" s="246"/>
      <c r="C2742" s="246"/>
      <c r="D2742" s="247"/>
    </row>
    <row r="2743" spans="1:4">
      <c r="A2743" s="248"/>
      <c r="B2743" s="249"/>
      <c r="C2743" s="248"/>
      <c r="D2743" s="248"/>
    </row>
    <row r="2744" spans="1:4">
      <c r="A2744" s="248"/>
      <c r="B2744" s="249"/>
      <c r="C2744" s="248"/>
      <c r="D2744" s="248"/>
    </row>
    <row r="2745" spans="1:4">
      <c r="A2745" s="248"/>
      <c r="B2745" s="249"/>
      <c r="C2745" s="248"/>
      <c r="D2745" s="248"/>
    </row>
    <row r="2746" spans="1:4">
      <c r="A2746" s="248"/>
      <c r="B2746" s="249"/>
      <c r="C2746" s="248"/>
      <c r="D2746" s="248"/>
    </row>
    <row r="2747" spans="1:4">
      <c r="A2747" s="248"/>
      <c r="B2747" s="249"/>
      <c r="C2747" s="248"/>
      <c r="D2747" s="248"/>
    </row>
    <row r="2748" spans="1:4">
      <c r="A2748" s="246"/>
      <c r="B2748" s="246"/>
      <c r="C2748" s="246"/>
      <c r="D2748" s="247"/>
    </row>
    <row r="2749" spans="1:4">
      <c r="A2749" s="248"/>
      <c r="B2749" s="249"/>
      <c r="C2749" s="248"/>
      <c r="D2749" s="248"/>
    </row>
    <row r="2750" spans="1:4">
      <c r="A2750" s="248"/>
      <c r="B2750" s="249"/>
      <c r="C2750" s="248"/>
      <c r="D2750" s="248"/>
    </row>
    <row r="2751" spans="1:4">
      <c r="A2751" s="246"/>
      <c r="B2751" s="246"/>
      <c r="C2751" s="246"/>
      <c r="D2751" s="247"/>
    </row>
    <row r="2752" spans="1:4">
      <c r="A2752" s="248"/>
      <c r="B2752" s="249"/>
      <c r="C2752" s="248"/>
      <c r="D2752" s="248"/>
    </row>
    <row r="2753" spans="1:4">
      <c r="A2753" s="246"/>
      <c r="B2753" s="246"/>
      <c r="C2753" s="246"/>
      <c r="D2753" s="247"/>
    </row>
    <row r="2754" spans="1:4">
      <c r="A2754" s="248"/>
      <c r="B2754" s="249"/>
      <c r="C2754" s="248"/>
      <c r="D2754" s="248"/>
    </row>
    <row r="2755" spans="1:4">
      <c r="A2755" s="248"/>
      <c r="B2755" s="249"/>
      <c r="C2755" s="248"/>
      <c r="D2755" s="248"/>
    </row>
    <row r="2756" spans="1:4">
      <c r="A2756" s="248"/>
      <c r="B2756" s="249"/>
      <c r="C2756" s="248"/>
      <c r="D2756" s="248"/>
    </row>
    <row r="2757" spans="1:4">
      <c r="A2757" s="246"/>
      <c r="B2757" s="246"/>
      <c r="C2757" s="246"/>
      <c r="D2757" s="247"/>
    </row>
    <row r="2758" spans="1:4">
      <c r="A2758" s="248"/>
      <c r="B2758" s="249"/>
      <c r="C2758" s="248"/>
      <c r="D2758" s="248"/>
    </row>
    <row r="2759" spans="1:4">
      <c r="A2759" s="248"/>
      <c r="B2759" s="249"/>
      <c r="C2759" s="248"/>
      <c r="D2759" s="248"/>
    </row>
    <row r="2760" spans="1:4">
      <c r="A2760" s="248"/>
      <c r="B2760" s="249"/>
      <c r="C2760" s="248"/>
      <c r="D2760" s="248"/>
    </row>
    <row r="2761" spans="1:4">
      <c r="A2761" s="248"/>
      <c r="B2761" s="249"/>
      <c r="C2761" s="248"/>
      <c r="D2761" s="248"/>
    </row>
    <row r="2762" spans="1:4">
      <c r="A2762" s="248"/>
      <c r="B2762" s="249"/>
      <c r="C2762" s="248"/>
      <c r="D2762" s="248"/>
    </row>
    <row r="2763" spans="1:4">
      <c r="A2763" s="248"/>
      <c r="B2763" s="249"/>
      <c r="C2763" s="248"/>
      <c r="D2763" s="248"/>
    </row>
    <row r="2764" spans="1:4">
      <c r="A2764" s="248"/>
      <c r="B2764" s="249"/>
      <c r="C2764" s="248"/>
      <c r="D2764" s="248"/>
    </row>
    <row r="2765" spans="1:4">
      <c r="A2765" s="248"/>
      <c r="B2765" s="249"/>
      <c r="C2765" s="248"/>
      <c r="D2765" s="248"/>
    </row>
    <row r="2766" spans="1:4">
      <c r="A2766" s="248"/>
      <c r="B2766" s="249"/>
      <c r="C2766" s="248"/>
      <c r="D2766" s="248"/>
    </row>
    <row r="2767" spans="1:4">
      <c r="A2767" s="248"/>
      <c r="B2767" s="249"/>
      <c r="C2767" s="248"/>
      <c r="D2767" s="248"/>
    </row>
    <row r="2768" spans="1:4">
      <c r="A2768" s="248"/>
      <c r="B2768" s="249"/>
      <c r="C2768" s="248"/>
      <c r="D2768" s="248"/>
    </row>
    <row r="2769" spans="1:4">
      <c r="A2769" s="248"/>
      <c r="B2769" s="249"/>
      <c r="C2769" s="248"/>
      <c r="D2769" s="248"/>
    </row>
    <row r="2770" spans="1:4">
      <c r="A2770" s="248"/>
      <c r="B2770" s="249"/>
      <c r="C2770" s="248"/>
      <c r="D2770" s="248"/>
    </row>
    <row r="2771" spans="1:4">
      <c r="A2771" s="248"/>
      <c r="B2771" s="249"/>
      <c r="C2771" s="248"/>
      <c r="D2771" s="248"/>
    </row>
    <row r="2772" spans="1:4">
      <c r="A2772" s="246"/>
      <c r="B2772" s="246"/>
      <c r="C2772" s="246"/>
      <c r="D2772" s="247"/>
    </row>
    <row r="2773" spans="1:4">
      <c r="A2773" s="248"/>
      <c r="B2773" s="249"/>
      <c r="C2773" s="248"/>
      <c r="D2773" s="248"/>
    </row>
    <row r="2774" spans="1:4">
      <c r="A2774" s="248"/>
      <c r="B2774" s="249"/>
      <c r="C2774" s="248"/>
      <c r="D2774" s="248"/>
    </row>
    <row r="2775" spans="1:4">
      <c r="A2775" s="248"/>
      <c r="B2775" s="249"/>
      <c r="C2775" s="248"/>
      <c r="D2775" s="248"/>
    </row>
    <row r="2776" spans="1:4">
      <c r="A2776" s="248"/>
      <c r="B2776" s="249"/>
      <c r="C2776" s="248"/>
      <c r="D2776" s="248"/>
    </row>
    <row r="2777" spans="1:4">
      <c r="A2777" s="248"/>
      <c r="B2777" s="249"/>
      <c r="C2777" s="248"/>
      <c r="D2777" s="248"/>
    </row>
    <row r="2778" spans="1:4">
      <c r="A2778" s="248"/>
      <c r="B2778" s="249"/>
      <c r="C2778" s="248"/>
      <c r="D2778" s="248"/>
    </row>
    <row r="2779" spans="1:4">
      <c r="A2779" s="248"/>
      <c r="B2779" s="249"/>
      <c r="C2779" s="248"/>
      <c r="D2779" s="248"/>
    </row>
    <row r="2780" spans="1:4">
      <c r="A2780" s="248"/>
      <c r="B2780" s="249"/>
      <c r="C2780" s="248"/>
      <c r="D2780" s="248"/>
    </row>
    <row r="2781" spans="1:4">
      <c r="A2781" s="248"/>
      <c r="B2781" s="249"/>
      <c r="C2781" s="248"/>
      <c r="D2781" s="248"/>
    </row>
    <row r="2782" spans="1:4">
      <c r="A2782" s="248"/>
      <c r="B2782" s="249"/>
      <c r="C2782" s="248"/>
      <c r="D2782" s="248"/>
    </row>
    <row r="2783" spans="1:4">
      <c r="A2783" s="248"/>
      <c r="B2783" s="249"/>
      <c r="C2783" s="248"/>
      <c r="D2783" s="248"/>
    </row>
    <row r="2784" spans="1:4">
      <c r="A2784" s="248"/>
      <c r="B2784" s="249"/>
      <c r="C2784" s="248"/>
      <c r="D2784" s="248"/>
    </row>
    <row r="2785" spans="1:4">
      <c r="A2785" s="248"/>
      <c r="B2785" s="249"/>
      <c r="C2785" s="248"/>
      <c r="D2785" s="248"/>
    </row>
    <row r="2786" spans="1:4">
      <c r="A2786" s="246"/>
      <c r="B2786" s="246"/>
      <c r="C2786" s="246"/>
      <c r="D2786" s="247"/>
    </row>
    <row r="2787" spans="1:4">
      <c r="A2787" s="248"/>
      <c r="B2787" s="249"/>
      <c r="C2787" s="248"/>
      <c r="D2787" s="248"/>
    </row>
    <row r="2788" spans="1:4">
      <c r="A2788" s="248"/>
      <c r="B2788" s="249"/>
      <c r="C2788" s="248"/>
      <c r="D2788" s="248"/>
    </row>
    <row r="2789" spans="1:4">
      <c r="A2789" s="248"/>
      <c r="B2789" s="249"/>
      <c r="C2789" s="248"/>
      <c r="D2789" s="248"/>
    </row>
    <row r="2790" spans="1:4">
      <c r="A2790" s="248"/>
      <c r="B2790" s="249"/>
      <c r="C2790" s="248"/>
      <c r="D2790" s="248"/>
    </row>
    <row r="2791" spans="1:4">
      <c r="A2791" s="248"/>
      <c r="B2791" s="249"/>
      <c r="C2791" s="248"/>
      <c r="D2791" s="248"/>
    </row>
    <row r="2792" spans="1:4">
      <c r="A2792" s="248"/>
      <c r="B2792" s="249"/>
      <c r="C2792" s="248"/>
      <c r="D2792" s="248"/>
    </row>
    <row r="2793" spans="1:4">
      <c r="A2793" s="248"/>
      <c r="B2793" s="249"/>
      <c r="C2793" s="248"/>
      <c r="D2793" s="248"/>
    </row>
    <row r="2794" spans="1:4">
      <c r="A2794" s="248"/>
      <c r="B2794" s="249"/>
      <c r="C2794" s="248"/>
      <c r="D2794" s="248"/>
    </row>
    <row r="2795" spans="1:4">
      <c r="A2795" s="248"/>
      <c r="B2795" s="249"/>
      <c r="C2795" s="248"/>
      <c r="D2795" s="248"/>
    </row>
    <row r="2796" spans="1:4">
      <c r="A2796" s="246"/>
      <c r="B2796" s="246"/>
      <c r="C2796" s="246"/>
      <c r="D2796" s="247"/>
    </row>
    <row r="2797" spans="1:4">
      <c r="A2797" s="248"/>
      <c r="B2797" s="249"/>
      <c r="C2797" s="248"/>
      <c r="D2797" s="248"/>
    </row>
    <row r="2798" spans="1:4">
      <c r="A2798" s="248"/>
      <c r="B2798" s="249"/>
      <c r="C2798" s="248"/>
      <c r="D2798" s="248"/>
    </row>
    <row r="2799" spans="1:4">
      <c r="A2799" s="246"/>
      <c r="B2799" s="246"/>
      <c r="C2799" s="246"/>
      <c r="D2799" s="247"/>
    </row>
    <row r="2800" spans="1:4">
      <c r="A2800" s="248"/>
      <c r="B2800" s="249"/>
      <c r="C2800" s="248"/>
      <c r="D2800" s="248"/>
    </row>
    <row r="2801" spans="1:4">
      <c r="A2801" s="248"/>
      <c r="B2801" s="249"/>
      <c r="C2801" s="248"/>
      <c r="D2801" s="248"/>
    </row>
    <row r="2802" spans="1:4">
      <c r="A2802" s="248"/>
      <c r="B2802" s="249"/>
      <c r="C2802" s="248"/>
      <c r="D2802" s="248"/>
    </row>
    <row r="2803" spans="1:4">
      <c r="A2803" s="248"/>
      <c r="B2803" s="249"/>
      <c r="C2803" s="248"/>
      <c r="D2803" s="248"/>
    </row>
    <row r="2804" spans="1:4">
      <c r="A2804" s="248"/>
      <c r="B2804" s="249"/>
      <c r="C2804" s="248"/>
      <c r="D2804" s="248"/>
    </row>
    <row r="2805" spans="1:4">
      <c r="A2805" s="248"/>
      <c r="B2805" s="249"/>
      <c r="C2805" s="248"/>
      <c r="D2805" s="248"/>
    </row>
    <row r="2806" spans="1:4">
      <c r="A2806" s="248"/>
      <c r="B2806" s="249"/>
      <c r="C2806" s="248"/>
      <c r="D2806" s="248"/>
    </row>
    <row r="2807" spans="1:4">
      <c r="A2807" s="248"/>
      <c r="B2807" s="249"/>
      <c r="C2807" s="248"/>
      <c r="D2807" s="248"/>
    </row>
    <row r="2808" spans="1:4">
      <c r="A2808" s="246"/>
      <c r="B2808" s="246"/>
      <c r="C2808" s="246"/>
      <c r="D2808" s="247"/>
    </row>
    <row r="2809" spans="1:4">
      <c r="A2809" s="248"/>
      <c r="B2809" s="249"/>
      <c r="C2809" s="248"/>
      <c r="D2809" s="248"/>
    </row>
    <row r="2810" spans="1:4">
      <c r="A2810" s="248"/>
      <c r="B2810" s="249"/>
      <c r="C2810" s="248"/>
      <c r="D2810" s="248"/>
    </row>
    <row r="2811" spans="1:4">
      <c r="A2811" s="246"/>
      <c r="B2811" s="246"/>
      <c r="C2811" s="246"/>
      <c r="D2811" s="247"/>
    </row>
    <row r="2812" spans="1:4">
      <c r="A2812" s="248"/>
      <c r="B2812" s="249"/>
      <c r="C2812" s="248"/>
      <c r="D2812" s="248"/>
    </row>
    <row r="2813" spans="1:4">
      <c r="A2813" s="248"/>
      <c r="B2813" s="249"/>
      <c r="C2813" s="248"/>
      <c r="D2813" s="248"/>
    </row>
    <row r="2814" spans="1:4">
      <c r="A2814" s="248"/>
      <c r="B2814" s="249"/>
      <c r="C2814" s="248"/>
      <c r="D2814" s="248"/>
    </row>
    <row r="2815" spans="1:4">
      <c r="A2815" s="248"/>
      <c r="B2815" s="249"/>
      <c r="C2815" s="248"/>
      <c r="D2815" s="248"/>
    </row>
    <row r="2816" spans="1:4">
      <c r="A2816" s="248"/>
      <c r="B2816" s="249"/>
      <c r="C2816" s="248"/>
      <c r="D2816" s="248"/>
    </row>
    <row r="2817" spans="1:4">
      <c r="A2817" s="248"/>
      <c r="B2817" s="249"/>
      <c r="C2817" s="248"/>
      <c r="D2817" s="248"/>
    </row>
    <row r="2818" spans="1:4">
      <c r="A2818" s="248"/>
      <c r="B2818" s="249"/>
      <c r="C2818" s="248"/>
      <c r="D2818" s="248"/>
    </row>
    <row r="2819" spans="1:4">
      <c r="A2819" s="248"/>
      <c r="B2819" s="249"/>
      <c r="C2819" s="248"/>
      <c r="D2819" s="248"/>
    </row>
    <row r="2820" spans="1:4">
      <c r="A2820" s="246"/>
      <c r="B2820" s="246"/>
      <c r="C2820" s="246"/>
      <c r="D2820" s="247"/>
    </row>
    <row r="2821" spans="1:4">
      <c r="A2821" s="248"/>
      <c r="B2821" s="249"/>
      <c r="C2821" s="248"/>
      <c r="D2821" s="248"/>
    </row>
    <row r="2822" spans="1:4">
      <c r="A2822" s="251"/>
      <c r="B2822" s="251"/>
      <c r="C2822" s="251"/>
      <c r="D2822" s="252"/>
    </row>
    <row r="2823" spans="1:4">
      <c r="A2823" s="246"/>
      <c r="B2823" s="246"/>
      <c r="C2823" s="246"/>
      <c r="D2823" s="247"/>
    </row>
    <row r="2824" spans="1:4">
      <c r="A2824" s="248"/>
      <c r="B2824" s="249"/>
      <c r="C2824" s="248"/>
      <c r="D2824" s="248"/>
    </row>
    <row r="2825" spans="1:4">
      <c r="A2825" s="248"/>
      <c r="B2825" s="249"/>
      <c r="C2825" s="248"/>
      <c r="D2825" s="248"/>
    </row>
    <row r="2826" spans="1:4">
      <c r="A2826" s="248"/>
      <c r="B2826" s="249"/>
      <c r="C2826" s="248"/>
      <c r="D2826" s="248"/>
    </row>
    <row r="2827" spans="1:4">
      <c r="A2827" s="248"/>
      <c r="B2827" s="249"/>
      <c r="C2827" s="248"/>
      <c r="D2827" s="248"/>
    </row>
    <row r="2828" spans="1:4">
      <c r="A2828" s="248"/>
      <c r="B2828" s="249"/>
      <c r="C2828" s="248"/>
      <c r="D2828" s="248"/>
    </row>
    <row r="2829" spans="1:4">
      <c r="A2829" s="248"/>
      <c r="B2829" s="249"/>
      <c r="C2829" s="248"/>
      <c r="D2829" s="248"/>
    </row>
    <row r="2830" spans="1:4">
      <c r="A2830" s="248"/>
      <c r="B2830" s="249"/>
      <c r="C2830" s="248"/>
      <c r="D2830" s="248"/>
    </row>
    <row r="2831" spans="1:4">
      <c r="A2831" s="248"/>
      <c r="B2831" s="249"/>
      <c r="C2831" s="248"/>
      <c r="D2831" s="248"/>
    </row>
    <row r="2832" spans="1:4">
      <c r="A2832" s="248"/>
      <c r="B2832" s="249"/>
      <c r="C2832" s="248"/>
      <c r="D2832" s="248"/>
    </row>
    <row r="2833" spans="1:4">
      <c r="A2833" s="248"/>
      <c r="B2833" s="249"/>
      <c r="C2833" s="248"/>
      <c r="D2833" s="248"/>
    </row>
    <row r="2834" spans="1:4">
      <c r="A2834" s="248"/>
      <c r="B2834" s="249"/>
      <c r="C2834" s="248"/>
      <c r="D2834" s="248"/>
    </row>
    <row r="2835" spans="1:4">
      <c r="A2835" s="248"/>
      <c r="B2835" s="249"/>
      <c r="C2835" s="248"/>
      <c r="D2835" s="248"/>
    </row>
    <row r="2836" spans="1:4">
      <c r="A2836" s="248"/>
      <c r="B2836" s="249"/>
      <c r="C2836" s="248"/>
      <c r="D2836" s="248"/>
    </row>
    <row r="2837" spans="1:4">
      <c r="A2837" s="251"/>
      <c r="B2837" s="251"/>
      <c r="C2837" s="251"/>
      <c r="D2837" s="252"/>
    </row>
    <row r="2838" spans="1:4">
      <c r="A2838" s="246"/>
      <c r="B2838" s="246"/>
      <c r="C2838" s="246"/>
      <c r="D2838" s="247"/>
    </row>
    <row r="2839" spans="1:4">
      <c r="A2839" s="248"/>
      <c r="B2839" s="249"/>
      <c r="C2839" s="248"/>
      <c r="D2839" s="248"/>
    </row>
    <row r="2840" spans="1:4">
      <c r="A2840" s="248"/>
      <c r="B2840" s="249"/>
      <c r="C2840" s="248"/>
      <c r="D2840" s="248"/>
    </row>
    <row r="2841" spans="1:4">
      <c r="A2841" s="248"/>
      <c r="B2841" s="249"/>
      <c r="C2841" s="248"/>
      <c r="D2841" s="248"/>
    </row>
    <row r="2842" spans="1:4">
      <c r="A2842" s="246"/>
      <c r="B2842" s="246"/>
      <c r="C2842" s="246"/>
      <c r="D2842" s="247"/>
    </row>
    <row r="2843" spans="1:4">
      <c r="A2843" s="248"/>
      <c r="B2843" s="249"/>
      <c r="C2843" s="248"/>
      <c r="D2843" s="248"/>
    </row>
    <row r="2844" spans="1:4">
      <c r="A2844" s="248"/>
      <c r="B2844" s="249"/>
      <c r="C2844" s="248"/>
      <c r="D2844" s="248"/>
    </row>
    <row r="2845" spans="1:4">
      <c r="A2845" s="248"/>
      <c r="B2845" s="249"/>
      <c r="C2845" s="248"/>
      <c r="D2845" s="248"/>
    </row>
    <row r="2846" spans="1:4">
      <c r="A2846" s="248"/>
      <c r="B2846" s="249"/>
      <c r="C2846" s="248"/>
      <c r="D2846" s="248"/>
    </row>
    <row r="2847" spans="1:4">
      <c r="A2847" s="248"/>
      <c r="B2847" s="249"/>
      <c r="C2847" s="248"/>
      <c r="D2847" s="248"/>
    </row>
    <row r="2848" spans="1:4">
      <c r="A2848" s="248"/>
      <c r="B2848" s="249"/>
      <c r="C2848" s="248"/>
      <c r="D2848" s="248"/>
    </row>
    <row r="2849" spans="1:4">
      <c r="A2849" s="248"/>
      <c r="B2849" s="249"/>
      <c r="C2849" s="248"/>
      <c r="D2849" s="248"/>
    </row>
    <row r="2850" spans="1:4">
      <c r="A2850" s="248"/>
      <c r="B2850" s="249"/>
      <c r="C2850" s="248"/>
      <c r="D2850" s="248"/>
    </row>
    <row r="2851" spans="1:4">
      <c r="A2851" s="248"/>
      <c r="B2851" s="249"/>
      <c r="C2851" s="248"/>
      <c r="D2851" s="248"/>
    </row>
    <row r="2852" spans="1:4">
      <c r="A2852" s="248"/>
      <c r="B2852" s="249"/>
      <c r="C2852" s="248"/>
      <c r="D2852" s="248"/>
    </row>
    <row r="2853" spans="1:4">
      <c r="A2853" s="248"/>
      <c r="B2853" s="249"/>
      <c r="C2853" s="248"/>
      <c r="D2853" s="248"/>
    </row>
    <row r="2854" spans="1:4">
      <c r="A2854" s="248"/>
      <c r="B2854" s="249"/>
      <c r="C2854" s="248"/>
      <c r="D2854" s="248"/>
    </row>
    <row r="2855" spans="1:4">
      <c r="A2855" s="248"/>
      <c r="B2855" s="249"/>
      <c r="C2855" s="248"/>
      <c r="D2855" s="248"/>
    </row>
    <row r="2856" spans="1:4">
      <c r="A2856" s="248"/>
      <c r="B2856" s="249"/>
      <c r="C2856" s="248"/>
      <c r="D2856" s="248"/>
    </row>
    <row r="2857" spans="1:4">
      <c r="A2857" s="248"/>
      <c r="B2857" s="249"/>
      <c r="C2857" s="248"/>
      <c r="D2857" s="248"/>
    </row>
    <row r="2858" spans="1:4">
      <c r="A2858" s="246"/>
      <c r="B2858" s="246"/>
      <c r="C2858" s="246"/>
      <c r="D2858" s="247"/>
    </row>
    <row r="2859" spans="1:4">
      <c r="A2859" s="248"/>
      <c r="B2859" s="249"/>
      <c r="C2859" s="248"/>
      <c r="D2859" s="248"/>
    </row>
    <row r="2860" spans="1:4">
      <c r="A2860" s="246"/>
      <c r="B2860" s="246"/>
      <c r="C2860" s="246"/>
      <c r="D2860" s="247"/>
    </row>
    <row r="2861" spans="1:4">
      <c r="A2861" s="248"/>
      <c r="B2861" s="249"/>
      <c r="C2861" s="248"/>
      <c r="D2861" s="248"/>
    </row>
    <row r="2862" spans="1:4">
      <c r="A2862" s="248"/>
      <c r="B2862" s="249"/>
      <c r="C2862" s="248"/>
      <c r="D2862" s="248"/>
    </row>
    <row r="2863" spans="1:4">
      <c r="A2863" s="248"/>
      <c r="B2863" s="249"/>
      <c r="C2863" s="248"/>
      <c r="D2863" s="248"/>
    </row>
    <row r="2864" spans="1:4">
      <c r="A2864" s="248"/>
      <c r="B2864" s="249"/>
      <c r="C2864" s="248"/>
      <c r="D2864" s="248"/>
    </row>
    <row r="2865" spans="1:4">
      <c r="A2865" s="248"/>
      <c r="B2865" s="249"/>
      <c r="C2865" s="248"/>
      <c r="D2865" s="248"/>
    </row>
    <row r="2866" spans="1:4">
      <c r="A2866" s="248"/>
      <c r="B2866" s="249"/>
      <c r="C2866" s="248"/>
      <c r="D2866" s="248"/>
    </row>
    <row r="2867" spans="1:4">
      <c r="A2867" s="248"/>
      <c r="B2867" s="249"/>
      <c r="C2867" s="248"/>
      <c r="D2867" s="248"/>
    </row>
    <row r="2868" spans="1:4">
      <c r="A2868" s="248"/>
      <c r="B2868" s="249"/>
      <c r="C2868" s="248"/>
      <c r="D2868" s="248"/>
    </row>
    <row r="2869" spans="1:4">
      <c r="A2869" s="251"/>
      <c r="B2869" s="251"/>
      <c r="C2869" s="251"/>
      <c r="D2869" s="252"/>
    </row>
    <row r="2870" spans="1:4">
      <c r="A2870" s="246"/>
      <c r="B2870" s="246"/>
      <c r="C2870" s="246"/>
      <c r="D2870" s="247"/>
    </row>
    <row r="2871" spans="1:4">
      <c r="A2871" s="248"/>
      <c r="B2871" s="249"/>
      <c r="C2871" s="248"/>
      <c r="D2871" s="248"/>
    </row>
    <row r="2872" spans="1:4">
      <c r="A2872" s="248"/>
      <c r="B2872" s="249"/>
      <c r="C2872" s="248"/>
      <c r="D2872" s="248"/>
    </row>
    <row r="2873" spans="1:4">
      <c r="A2873" s="248"/>
      <c r="B2873" s="249"/>
      <c r="C2873" s="248"/>
      <c r="D2873" s="248"/>
    </row>
    <row r="2874" spans="1:4">
      <c r="A2874" s="248"/>
      <c r="B2874" s="249"/>
      <c r="C2874" s="248"/>
      <c r="D2874" s="248"/>
    </row>
    <row r="2875" spans="1:4">
      <c r="A2875" s="246"/>
      <c r="B2875" s="246"/>
      <c r="C2875" s="246"/>
      <c r="D2875" s="247"/>
    </row>
    <row r="2876" spans="1:4">
      <c r="A2876" s="248"/>
      <c r="B2876" s="249"/>
      <c r="C2876" s="248"/>
      <c r="D2876" s="248"/>
    </row>
    <row r="2877" spans="1:4">
      <c r="A2877" s="248"/>
      <c r="B2877" s="249"/>
      <c r="C2877" s="248"/>
      <c r="D2877" s="248"/>
    </row>
    <row r="2878" spans="1:4">
      <c r="A2878" s="248"/>
      <c r="B2878" s="249"/>
      <c r="C2878" s="248"/>
      <c r="D2878" s="248"/>
    </row>
    <row r="2879" spans="1:4">
      <c r="A2879" s="248"/>
      <c r="B2879" s="249"/>
      <c r="C2879" s="248"/>
      <c r="D2879" s="248"/>
    </row>
    <row r="2880" spans="1:4">
      <c r="A2880" s="248"/>
      <c r="B2880" s="249"/>
      <c r="C2880" s="248"/>
      <c r="D2880" s="248"/>
    </row>
    <row r="2881" spans="1:4">
      <c r="A2881" s="248"/>
      <c r="B2881" s="249"/>
      <c r="C2881" s="248"/>
      <c r="D2881" s="248"/>
    </row>
    <row r="2882" spans="1:4">
      <c r="A2882" s="248"/>
      <c r="B2882" s="249"/>
      <c r="C2882" s="248"/>
      <c r="D2882" s="248"/>
    </row>
    <row r="2883" spans="1:4">
      <c r="A2883" s="246"/>
      <c r="B2883" s="246"/>
      <c r="C2883" s="246"/>
      <c r="D2883" s="247"/>
    </row>
    <row r="2884" spans="1:4">
      <c r="A2884" s="248"/>
      <c r="B2884" s="249"/>
      <c r="C2884" s="248"/>
      <c r="D2884" s="248"/>
    </row>
    <row r="2885" spans="1:4">
      <c r="A2885" s="248"/>
      <c r="B2885" s="249"/>
      <c r="C2885" s="248"/>
      <c r="D2885" s="248"/>
    </row>
    <row r="2886" spans="1:4">
      <c r="A2886" s="248"/>
      <c r="B2886" s="249"/>
      <c r="C2886" s="248"/>
      <c r="D2886" s="248"/>
    </row>
    <row r="2887" spans="1:4">
      <c r="A2887" s="246"/>
      <c r="B2887" s="246"/>
      <c r="C2887" s="246"/>
      <c r="D2887" s="247"/>
    </row>
    <row r="2888" spans="1:4">
      <c r="A2888" s="248"/>
      <c r="B2888" s="249"/>
      <c r="C2888" s="248"/>
      <c r="D2888" s="248"/>
    </row>
    <row r="2889" spans="1:4">
      <c r="A2889" s="248"/>
      <c r="B2889" s="249"/>
      <c r="C2889" s="248"/>
      <c r="D2889" s="248"/>
    </row>
    <row r="2890" spans="1:4">
      <c r="A2890" s="248"/>
      <c r="B2890" s="249"/>
      <c r="C2890" s="248"/>
      <c r="D2890" s="248"/>
    </row>
    <row r="2891" spans="1:4">
      <c r="A2891" s="248"/>
      <c r="B2891" s="249"/>
      <c r="C2891" s="248"/>
      <c r="D2891" s="248"/>
    </row>
    <row r="2892" spans="1:4">
      <c r="A2892" s="248"/>
      <c r="B2892" s="249"/>
      <c r="C2892" s="248"/>
      <c r="D2892" s="248"/>
    </row>
    <row r="2893" spans="1:4">
      <c r="A2893" s="248"/>
      <c r="B2893" s="249"/>
      <c r="C2893" s="248"/>
      <c r="D2893" s="248"/>
    </row>
    <row r="2894" spans="1:4">
      <c r="A2894" s="248"/>
      <c r="B2894" s="249"/>
      <c r="C2894" s="248"/>
      <c r="D2894" s="248"/>
    </row>
    <row r="2895" spans="1:4">
      <c r="A2895" s="248"/>
      <c r="B2895" s="249"/>
      <c r="C2895" s="248"/>
      <c r="D2895" s="248"/>
    </row>
    <row r="2896" spans="1:4">
      <c r="A2896" s="248"/>
      <c r="B2896" s="249"/>
      <c r="C2896" s="248"/>
      <c r="D2896" s="248"/>
    </row>
    <row r="2897" spans="1:4">
      <c r="A2897" s="246"/>
      <c r="B2897" s="246"/>
      <c r="C2897" s="246"/>
      <c r="D2897" s="247"/>
    </row>
    <row r="2898" spans="1:4">
      <c r="A2898" s="248"/>
      <c r="B2898" s="249"/>
      <c r="C2898" s="248"/>
      <c r="D2898" s="248"/>
    </row>
    <row r="2899" spans="1:4">
      <c r="A2899" s="246"/>
      <c r="B2899" s="246"/>
      <c r="C2899" s="246"/>
      <c r="D2899" s="247"/>
    </row>
    <row r="2900" spans="1:4">
      <c r="A2900" s="248"/>
      <c r="B2900" s="249"/>
      <c r="C2900" s="248"/>
      <c r="D2900" s="248"/>
    </row>
    <row r="2901" spans="1:4">
      <c r="A2901" s="248"/>
      <c r="B2901" s="249"/>
      <c r="C2901" s="248"/>
      <c r="D2901" s="248"/>
    </row>
    <row r="2902" spans="1:4">
      <c r="A2902" s="248"/>
      <c r="B2902" s="249"/>
      <c r="C2902" s="248"/>
      <c r="D2902" s="248"/>
    </row>
    <row r="2903" spans="1:4">
      <c r="A2903" s="251"/>
      <c r="B2903" s="251"/>
      <c r="C2903" s="251"/>
      <c r="D2903" s="252"/>
    </row>
    <row r="2904" spans="1:4">
      <c r="A2904" s="246"/>
      <c r="B2904" s="246"/>
      <c r="C2904" s="246"/>
      <c r="D2904" s="247"/>
    </row>
    <row r="2905" spans="1:4">
      <c r="A2905" s="248"/>
      <c r="B2905" s="249"/>
      <c r="C2905" s="248"/>
      <c r="D2905" s="248"/>
    </row>
    <row r="2906" spans="1:4">
      <c r="A2906" s="246"/>
      <c r="B2906" s="246"/>
      <c r="C2906" s="246"/>
      <c r="D2906" s="247"/>
    </row>
    <row r="2907" spans="1:4">
      <c r="A2907" s="248"/>
      <c r="B2907" s="249"/>
      <c r="C2907" s="248"/>
      <c r="D2907" s="248"/>
    </row>
    <row r="2908" spans="1:4">
      <c r="A2908" s="248"/>
      <c r="B2908" s="249"/>
      <c r="C2908" s="248"/>
      <c r="D2908" s="248"/>
    </row>
    <row r="2909" spans="1:4">
      <c r="A2909" s="248"/>
      <c r="B2909" s="249"/>
      <c r="C2909" s="248"/>
      <c r="D2909" s="248"/>
    </row>
    <row r="2910" spans="1:4">
      <c r="A2910" s="246"/>
      <c r="B2910" s="246"/>
      <c r="C2910" s="246"/>
      <c r="D2910" s="247"/>
    </row>
    <row r="2911" spans="1:4">
      <c r="A2911" s="248"/>
      <c r="B2911" s="249"/>
      <c r="C2911" s="248"/>
      <c r="D2911" s="248"/>
    </row>
    <row r="2912" spans="1:4">
      <c r="A2912" s="248"/>
      <c r="B2912" s="249"/>
      <c r="C2912" s="248"/>
      <c r="D2912" s="248"/>
    </row>
    <row r="2913" spans="1:4">
      <c r="A2913" s="248"/>
      <c r="B2913" s="249"/>
      <c r="C2913" s="248"/>
      <c r="D2913" s="248"/>
    </row>
    <row r="2914" spans="1:4">
      <c r="A2914" s="248"/>
      <c r="B2914" s="249"/>
      <c r="C2914" s="248"/>
      <c r="D2914" s="248"/>
    </row>
    <row r="2915" spans="1:4">
      <c r="A2915" s="251"/>
      <c r="B2915" s="251"/>
      <c r="C2915" s="251"/>
      <c r="D2915" s="252"/>
    </row>
    <row r="2916" spans="1:4">
      <c r="A2916" s="246"/>
      <c r="B2916" s="246"/>
      <c r="C2916" s="246"/>
      <c r="D2916" s="247"/>
    </row>
    <row r="2917" spans="1:4">
      <c r="A2917" s="248"/>
      <c r="B2917" s="249"/>
      <c r="C2917" s="248"/>
      <c r="D2917" s="248"/>
    </row>
    <row r="2918" spans="1:4">
      <c r="A2918" s="248"/>
      <c r="B2918" s="249"/>
      <c r="C2918" s="248"/>
      <c r="D2918" s="248"/>
    </row>
    <row r="2919" spans="1:4">
      <c r="A2919" s="246"/>
      <c r="B2919" s="246"/>
      <c r="C2919" s="246"/>
      <c r="D2919" s="247"/>
    </row>
    <row r="2920" spans="1:4">
      <c r="A2920" s="248"/>
      <c r="B2920" s="249"/>
      <c r="C2920" s="248"/>
      <c r="D2920" s="248"/>
    </row>
    <row r="2921" spans="1:4">
      <c r="A2921" s="248"/>
      <c r="B2921" s="249"/>
      <c r="C2921" s="248"/>
      <c r="D2921" s="248"/>
    </row>
    <row r="2922" spans="1:4">
      <c r="A2922" s="248"/>
      <c r="B2922" s="249"/>
      <c r="C2922" s="248"/>
      <c r="D2922" s="248"/>
    </row>
    <row r="2923" spans="1:4">
      <c r="A2923" s="248"/>
      <c r="B2923" s="249"/>
      <c r="C2923" s="248"/>
      <c r="D2923" s="248"/>
    </row>
    <row r="2924" spans="1:4">
      <c r="A2924" s="248"/>
      <c r="B2924" s="249"/>
      <c r="C2924" s="248"/>
      <c r="D2924" s="248"/>
    </row>
    <row r="2925" spans="1:4">
      <c r="A2925" s="248"/>
      <c r="B2925" s="249"/>
      <c r="C2925" s="248"/>
      <c r="D2925" s="248"/>
    </row>
    <row r="2926" spans="1:4">
      <c r="A2926" s="246"/>
      <c r="B2926" s="246"/>
      <c r="C2926" s="246"/>
      <c r="D2926" s="247"/>
    </row>
    <row r="2927" spans="1:4">
      <c r="A2927" s="248"/>
      <c r="B2927" s="249"/>
      <c r="C2927" s="248"/>
      <c r="D2927" s="248"/>
    </row>
    <row r="2928" spans="1:4">
      <c r="A2928" s="248"/>
      <c r="B2928" s="249"/>
      <c r="C2928" s="248"/>
      <c r="D2928" s="248"/>
    </row>
    <row r="2929" spans="1:4">
      <c r="A2929" s="248"/>
      <c r="B2929" s="249"/>
      <c r="C2929" s="248"/>
      <c r="D2929" s="248"/>
    </row>
    <row r="2930" spans="1:4">
      <c r="A2930" s="251"/>
      <c r="B2930" s="251"/>
      <c r="C2930" s="251"/>
      <c r="D2930" s="252"/>
    </row>
    <row r="2931" spans="1:4">
      <c r="A2931" s="246"/>
      <c r="B2931" s="246"/>
      <c r="C2931" s="246"/>
      <c r="D2931" s="247"/>
    </row>
    <row r="2932" spans="1:4">
      <c r="A2932" s="248"/>
      <c r="B2932" s="249"/>
      <c r="C2932" s="248"/>
      <c r="D2932" s="248"/>
    </row>
    <row r="2933" spans="1:4">
      <c r="A2933" s="248"/>
      <c r="B2933" s="249"/>
      <c r="C2933" s="248"/>
      <c r="D2933" s="248"/>
    </row>
    <row r="2934" spans="1:4">
      <c r="A2934" s="248"/>
      <c r="B2934" s="249"/>
      <c r="C2934" s="248"/>
      <c r="D2934" s="248"/>
    </row>
    <row r="2935" spans="1:4">
      <c r="A2935" s="248"/>
      <c r="B2935" s="249"/>
      <c r="C2935" s="248"/>
      <c r="D2935" s="248"/>
    </row>
    <row r="2936" spans="1:4">
      <c r="A2936" s="246"/>
      <c r="B2936" s="246"/>
      <c r="C2936" s="246"/>
      <c r="D2936" s="247"/>
    </row>
    <row r="2937" spans="1:4">
      <c r="A2937" s="248"/>
      <c r="B2937" s="249"/>
      <c r="C2937" s="248"/>
      <c r="D2937" s="248"/>
    </row>
    <row r="2938" spans="1:4">
      <c r="A2938" s="248"/>
      <c r="B2938" s="249"/>
      <c r="C2938" s="248"/>
      <c r="D2938" s="248"/>
    </row>
    <row r="2939" spans="1:4">
      <c r="A2939" s="248"/>
      <c r="B2939" s="249"/>
      <c r="C2939" s="248"/>
      <c r="D2939" s="248"/>
    </row>
    <row r="2940" spans="1:4">
      <c r="A2940" s="251"/>
      <c r="B2940" s="251"/>
      <c r="C2940" s="251"/>
      <c r="D2940" s="252"/>
    </row>
    <row r="2941" spans="1:4">
      <c r="A2941" s="246"/>
      <c r="B2941" s="246"/>
      <c r="C2941" s="246"/>
      <c r="D2941" s="247"/>
    </row>
    <row r="2942" spans="1:4">
      <c r="A2942" s="248"/>
      <c r="B2942" s="249"/>
      <c r="C2942" s="248"/>
      <c r="D2942" s="248"/>
    </row>
    <row r="2943" spans="1:4">
      <c r="A2943" s="248"/>
      <c r="B2943" s="249"/>
      <c r="C2943" s="248"/>
      <c r="D2943" s="248"/>
    </row>
    <row r="2944" spans="1:4">
      <c r="A2944" s="248"/>
      <c r="B2944" s="249"/>
      <c r="C2944" s="248"/>
      <c r="D2944" s="248"/>
    </row>
    <row r="2945" spans="1:4">
      <c r="A2945" s="248"/>
      <c r="B2945" s="249"/>
      <c r="C2945" s="248"/>
      <c r="D2945" s="248"/>
    </row>
    <row r="2946" spans="1:4">
      <c r="A2946" s="248"/>
      <c r="B2946" s="249"/>
      <c r="C2946" s="248"/>
      <c r="D2946" s="248"/>
    </row>
    <row r="2947" spans="1:4">
      <c r="A2947" s="248"/>
      <c r="B2947" s="249"/>
      <c r="C2947" s="248"/>
      <c r="D2947" s="248"/>
    </row>
    <row r="2948" spans="1:4">
      <c r="A2948" s="248"/>
      <c r="B2948" s="249"/>
      <c r="C2948" s="248"/>
      <c r="D2948" s="248"/>
    </row>
    <row r="2949" spans="1:4">
      <c r="A2949" s="248"/>
      <c r="B2949" s="249"/>
      <c r="C2949" s="248"/>
      <c r="D2949" s="248"/>
    </row>
    <row r="2950" spans="1:4">
      <c r="A2950" s="248"/>
      <c r="B2950" s="249"/>
      <c r="C2950" s="248"/>
      <c r="D2950" s="248"/>
    </row>
    <row r="2951" spans="1:4">
      <c r="A2951" s="248"/>
      <c r="B2951" s="249"/>
      <c r="C2951" s="248"/>
      <c r="D2951" s="248"/>
    </row>
    <row r="2952" spans="1:4">
      <c r="A2952" s="248"/>
      <c r="B2952" s="249"/>
      <c r="C2952" s="248"/>
      <c r="D2952" s="248"/>
    </row>
    <row r="2953" spans="1:4">
      <c r="A2953" s="248"/>
      <c r="B2953" s="249"/>
      <c r="C2953" s="248"/>
      <c r="D2953" s="248"/>
    </row>
    <row r="2954" spans="1:4">
      <c r="A2954" s="248"/>
      <c r="B2954" s="249"/>
      <c r="C2954" s="248"/>
      <c r="D2954" s="248"/>
    </row>
    <row r="2955" spans="1:4">
      <c r="A2955" s="248"/>
      <c r="B2955" s="249"/>
      <c r="C2955" s="248"/>
      <c r="D2955" s="248"/>
    </row>
    <row r="2956" spans="1:4">
      <c r="A2956" s="248"/>
      <c r="B2956" s="249"/>
      <c r="C2956" s="248"/>
      <c r="D2956" s="248"/>
    </row>
    <row r="2957" spans="1:4">
      <c r="A2957" s="248"/>
      <c r="B2957" s="249"/>
      <c r="C2957" s="248"/>
      <c r="D2957" s="248"/>
    </row>
    <row r="2958" spans="1:4">
      <c r="A2958" s="246"/>
      <c r="B2958" s="246"/>
      <c r="C2958" s="246"/>
      <c r="D2958" s="247"/>
    </row>
    <row r="2959" spans="1:4">
      <c r="A2959" s="248"/>
      <c r="B2959" s="249"/>
      <c r="C2959" s="248"/>
      <c r="D2959" s="248"/>
    </row>
    <row r="2960" spans="1:4">
      <c r="A2960" s="248"/>
      <c r="B2960" s="249"/>
      <c r="C2960" s="248"/>
      <c r="D2960" s="248"/>
    </row>
    <row r="2961" spans="1:4">
      <c r="A2961" s="248"/>
      <c r="B2961" s="249"/>
      <c r="C2961" s="248"/>
      <c r="D2961" s="248"/>
    </row>
    <row r="2962" spans="1:4">
      <c r="A2962" s="248"/>
      <c r="B2962" s="249"/>
      <c r="C2962" s="248"/>
      <c r="D2962" s="248"/>
    </row>
    <row r="2963" spans="1:4">
      <c r="A2963" s="248"/>
      <c r="B2963" s="249"/>
      <c r="C2963" s="248"/>
      <c r="D2963" s="248"/>
    </row>
    <row r="2964" spans="1:4">
      <c r="A2964" s="248"/>
      <c r="B2964" s="249"/>
      <c r="C2964" s="248"/>
      <c r="D2964" s="248"/>
    </row>
    <row r="2965" spans="1:4">
      <c r="A2965" s="248"/>
      <c r="B2965" s="249"/>
      <c r="C2965" s="248"/>
      <c r="D2965" s="248"/>
    </row>
    <row r="2966" spans="1:4">
      <c r="A2966" s="246"/>
      <c r="B2966" s="246"/>
      <c r="C2966" s="246"/>
      <c r="D2966" s="247"/>
    </row>
    <row r="2967" spans="1:4">
      <c r="A2967" s="248"/>
      <c r="B2967" s="249"/>
      <c r="C2967" s="248"/>
      <c r="D2967" s="248"/>
    </row>
    <row r="2968" spans="1:4">
      <c r="A2968" s="246"/>
      <c r="B2968" s="246"/>
      <c r="C2968" s="246"/>
      <c r="D2968" s="247"/>
    </row>
    <row r="2969" spans="1:4">
      <c r="A2969" s="248"/>
      <c r="B2969" s="249"/>
      <c r="C2969" s="248"/>
      <c r="D2969" s="248"/>
    </row>
    <row r="2970" spans="1:4">
      <c r="A2970" s="248"/>
      <c r="B2970" s="249"/>
      <c r="C2970" s="248"/>
      <c r="D2970" s="248"/>
    </row>
    <row r="2971" spans="1:4">
      <c r="A2971" s="248"/>
      <c r="B2971" s="249"/>
      <c r="C2971" s="248"/>
      <c r="D2971" s="248"/>
    </row>
    <row r="2972" spans="1:4">
      <c r="A2972" s="248"/>
      <c r="B2972" s="249"/>
      <c r="C2972" s="248"/>
      <c r="D2972" s="248"/>
    </row>
    <row r="2973" spans="1:4">
      <c r="A2973" s="248"/>
      <c r="B2973" s="249"/>
      <c r="C2973" s="248"/>
      <c r="D2973" s="248"/>
    </row>
    <row r="2974" spans="1:4">
      <c r="A2974" s="248"/>
      <c r="B2974" s="249"/>
      <c r="C2974" s="248"/>
      <c r="D2974" s="248"/>
    </row>
    <row r="2975" spans="1:4">
      <c r="A2975" s="248"/>
      <c r="B2975" s="249"/>
      <c r="C2975" s="248"/>
      <c r="D2975" s="248"/>
    </row>
    <row r="2976" spans="1:4">
      <c r="A2976" s="248"/>
      <c r="B2976" s="249"/>
      <c r="C2976" s="248"/>
      <c r="D2976" s="248"/>
    </row>
    <row r="2977" spans="1:4">
      <c r="A2977" s="248"/>
      <c r="B2977" s="249"/>
      <c r="C2977" s="248"/>
      <c r="D2977" s="248"/>
    </row>
    <row r="2978" spans="1:4">
      <c r="A2978" s="248"/>
      <c r="B2978" s="249"/>
      <c r="C2978" s="248"/>
      <c r="D2978" s="248"/>
    </row>
    <row r="2979" spans="1:4">
      <c r="A2979" s="248"/>
      <c r="B2979" s="249"/>
      <c r="C2979" s="248"/>
      <c r="D2979" s="248"/>
    </row>
    <row r="2980" spans="1:4">
      <c r="A2980" s="248"/>
      <c r="B2980" s="249"/>
      <c r="C2980" s="248"/>
      <c r="D2980" s="248"/>
    </row>
    <row r="2981" spans="1:4">
      <c r="A2981" s="248"/>
      <c r="B2981" s="249"/>
      <c r="C2981" s="248"/>
      <c r="D2981" s="248"/>
    </row>
    <row r="2982" spans="1:4">
      <c r="A2982" s="248"/>
      <c r="B2982" s="249"/>
      <c r="C2982" s="248"/>
      <c r="D2982" s="248"/>
    </row>
    <row r="2983" spans="1:4">
      <c r="A2983" s="248"/>
      <c r="B2983" s="249"/>
      <c r="C2983" s="248"/>
      <c r="D2983" s="248"/>
    </row>
    <row r="2984" spans="1:4">
      <c r="A2984" s="248"/>
      <c r="B2984" s="249"/>
      <c r="C2984" s="248"/>
      <c r="D2984" s="248"/>
    </row>
    <row r="2985" spans="1:4">
      <c r="A2985" s="248"/>
      <c r="B2985" s="249"/>
      <c r="C2985" s="248"/>
      <c r="D2985" s="248"/>
    </row>
    <row r="2986" spans="1:4">
      <c r="A2986" s="248"/>
      <c r="B2986" s="249"/>
      <c r="C2986" s="248"/>
      <c r="D2986" s="248"/>
    </row>
    <row r="2987" spans="1:4">
      <c r="A2987" s="246"/>
      <c r="B2987" s="246"/>
      <c r="C2987" s="246"/>
      <c r="D2987" s="247"/>
    </row>
    <row r="2988" spans="1:4">
      <c r="A2988" s="248"/>
      <c r="B2988" s="249"/>
      <c r="C2988" s="248"/>
      <c r="D2988" s="248"/>
    </row>
    <row r="2989" spans="1:4">
      <c r="A2989" s="248"/>
      <c r="B2989" s="249"/>
      <c r="C2989" s="248"/>
      <c r="D2989" s="248"/>
    </row>
    <row r="2990" spans="1:4">
      <c r="A2990" s="248"/>
      <c r="B2990" s="249"/>
      <c r="C2990" s="248"/>
      <c r="D2990" s="248"/>
    </row>
    <row r="2991" spans="1:4">
      <c r="A2991" s="248"/>
      <c r="B2991" s="249"/>
      <c r="C2991" s="248"/>
      <c r="D2991" s="248"/>
    </row>
    <row r="2992" spans="1:4">
      <c r="A2992" s="248"/>
      <c r="B2992" s="249"/>
      <c r="C2992" s="248"/>
      <c r="D2992" s="248"/>
    </row>
    <row r="2993" spans="1:4">
      <c r="A2993" s="248"/>
      <c r="B2993" s="249"/>
      <c r="C2993" s="248"/>
      <c r="D2993" s="248"/>
    </row>
    <row r="2994" spans="1:4">
      <c r="A2994" s="248"/>
      <c r="B2994" s="249"/>
      <c r="C2994" s="248"/>
      <c r="D2994" s="248"/>
    </row>
    <row r="2995" spans="1:4">
      <c r="A2995" s="248"/>
      <c r="B2995" s="249"/>
      <c r="C2995" s="248"/>
      <c r="D2995" s="248"/>
    </row>
    <row r="2996" spans="1:4">
      <c r="A2996" s="248"/>
      <c r="B2996" s="249"/>
      <c r="C2996" s="248"/>
      <c r="D2996" s="248"/>
    </row>
    <row r="2997" spans="1:4">
      <c r="A2997" s="248"/>
      <c r="B2997" s="249"/>
      <c r="C2997" s="248"/>
      <c r="D2997" s="248"/>
    </row>
    <row r="2998" spans="1:4">
      <c r="A2998" s="248"/>
      <c r="B2998" s="249"/>
      <c r="C2998" s="248"/>
      <c r="D2998" s="248"/>
    </row>
    <row r="2999" spans="1:4">
      <c r="A2999" s="248"/>
      <c r="B2999" s="249"/>
      <c r="C2999" s="248"/>
      <c r="D2999" s="248"/>
    </row>
    <row r="3000" spans="1:4">
      <c r="A3000" s="248"/>
      <c r="B3000" s="249"/>
      <c r="C3000" s="248"/>
      <c r="D3000" s="248"/>
    </row>
    <row r="3001" spans="1:4">
      <c r="A3001" s="248"/>
      <c r="B3001" s="249"/>
      <c r="C3001" s="248"/>
      <c r="D3001" s="248"/>
    </row>
    <row r="3002" spans="1:4">
      <c r="A3002" s="248"/>
      <c r="B3002" s="249"/>
      <c r="C3002" s="248"/>
      <c r="D3002" s="248"/>
    </row>
    <row r="3003" spans="1:4">
      <c r="A3003" s="248"/>
      <c r="B3003" s="249"/>
      <c r="C3003" s="248"/>
      <c r="D3003" s="248"/>
    </row>
    <row r="3004" spans="1:4">
      <c r="A3004" s="248"/>
      <c r="B3004" s="249"/>
      <c r="C3004" s="248"/>
      <c r="D3004" s="248"/>
    </row>
    <row r="3005" spans="1:4">
      <c r="A3005" s="248"/>
      <c r="B3005" s="249"/>
      <c r="C3005" s="248"/>
      <c r="D3005" s="248"/>
    </row>
    <row r="3006" spans="1:4">
      <c r="A3006" s="248"/>
      <c r="B3006" s="249"/>
      <c r="C3006" s="248"/>
      <c r="D3006" s="248"/>
    </row>
    <row r="3007" spans="1:4">
      <c r="A3007" s="248"/>
      <c r="B3007" s="249"/>
      <c r="C3007" s="248"/>
      <c r="D3007" s="248"/>
    </row>
    <row r="3008" spans="1:4">
      <c r="A3008" s="248"/>
      <c r="B3008" s="249"/>
      <c r="C3008" s="248"/>
      <c r="D3008" s="248"/>
    </row>
    <row r="3009" spans="1:4">
      <c r="A3009" s="248"/>
      <c r="B3009" s="249"/>
      <c r="C3009" s="248"/>
      <c r="D3009" s="248"/>
    </row>
    <row r="3010" spans="1:4">
      <c r="A3010" s="246"/>
      <c r="B3010" s="246"/>
      <c r="C3010" s="246"/>
      <c r="D3010" s="247"/>
    </row>
    <row r="3011" spans="1:4">
      <c r="A3011" s="248"/>
      <c r="B3011" s="249"/>
      <c r="C3011" s="248"/>
      <c r="D3011" s="248"/>
    </row>
    <row r="3012" spans="1:4">
      <c r="A3012" s="248"/>
      <c r="B3012" s="249"/>
      <c r="C3012" s="248"/>
      <c r="D3012" s="248"/>
    </row>
    <row r="3013" spans="1:4">
      <c r="A3013" s="248"/>
      <c r="B3013" s="249"/>
      <c r="C3013" s="248"/>
      <c r="D3013" s="248"/>
    </row>
    <row r="3014" spans="1:4">
      <c r="A3014" s="248"/>
      <c r="B3014" s="249"/>
      <c r="C3014" s="248"/>
      <c r="D3014" s="248"/>
    </row>
    <row r="3015" spans="1:4">
      <c r="A3015" s="246"/>
      <c r="B3015" s="246"/>
      <c r="C3015" s="246"/>
      <c r="D3015" s="247"/>
    </row>
    <row r="3016" spans="1:4">
      <c r="A3016" s="248"/>
      <c r="B3016" s="249"/>
      <c r="C3016" s="248"/>
      <c r="D3016" s="248"/>
    </row>
    <row r="3017" spans="1:4">
      <c r="A3017" s="248"/>
      <c r="B3017" s="249"/>
      <c r="C3017" s="248"/>
      <c r="D3017" s="248"/>
    </row>
    <row r="3018" spans="1:4">
      <c r="A3018" s="248"/>
      <c r="B3018" s="249"/>
      <c r="C3018" s="248"/>
      <c r="D3018" s="248"/>
    </row>
    <row r="3019" spans="1:4">
      <c r="A3019" s="248"/>
      <c r="B3019" s="249"/>
      <c r="C3019" s="248"/>
      <c r="D3019" s="248"/>
    </row>
    <row r="3020" spans="1:4">
      <c r="A3020" s="248"/>
      <c r="B3020" s="249"/>
      <c r="C3020" s="248"/>
      <c r="D3020" s="248"/>
    </row>
    <row r="3021" spans="1:4">
      <c r="A3021" s="248"/>
      <c r="B3021" s="249"/>
      <c r="C3021" s="248"/>
      <c r="D3021" s="248"/>
    </row>
    <row r="3022" spans="1:4">
      <c r="A3022" s="248"/>
      <c r="B3022" s="249"/>
      <c r="C3022" s="248"/>
      <c r="D3022" s="248"/>
    </row>
    <row r="3023" spans="1:4">
      <c r="A3023" s="248"/>
      <c r="B3023" s="249"/>
      <c r="C3023" s="248"/>
      <c r="D3023" s="248"/>
    </row>
    <row r="3024" spans="1:4">
      <c r="A3024" s="248"/>
      <c r="B3024" s="249"/>
      <c r="C3024" s="248"/>
      <c r="D3024" s="248"/>
    </row>
    <row r="3025" spans="1:4">
      <c r="A3025" s="248"/>
      <c r="B3025" s="249"/>
      <c r="C3025" s="248"/>
      <c r="D3025" s="248"/>
    </row>
    <row r="3026" spans="1:4">
      <c r="A3026" s="248"/>
      <c r="B3026" s="249"/>
      <c r="C3026" s="248"/>
      <c r="D3026" s="248"/>
    </row>
    <row r="3027" spans="1:4">
      <c r="A3027" s="248"/>
      <c r="B3027" s="249"/>
      <c r="C3027" s="248"/>
      <c r="D3027" s="248"/>
    </row>
    <row r="3028" spans="1:4">
      <c r="A3028" s="246"/>
      <c r="B3028" s="246"/>
      <c r="C3028" s="246"/>
      <c r="D3028" s="247"/>
    </row>
    <row r="3029" spans="1:4">
      <c r="A3029" s="248"/>
      <c r="B3029" s="249"/>
      <c r="C3029" s="248"/>
      <c r="D3029" s="248"/>
    </row>
    <row r="3030" spans="1:4">
      <c r="A3030" s="248"/>
      <c r="B3030" s="249"/>
      <c r="C3030" s="248"/>
      <c r="D3030" s="248"/>
    </row>
    <row r="3031" spans="1:4">
      <c r="A3031" s="248"/>
      <c r="B3031" s="249"/>
      <c r="C3031" s="248"/>
      <c r="D3031" s="248"/>
    </row>
    <row r="3032" spans="1:4">
      <c r="A3032" s="248"/>
      <c r="B3032" s="249"/>
      <c r="C3032" s="248"/>
      <c r="D3032" s="248"/>
    </row>
    <row r="3033" spans="1:4">
      <c r="A3033" s="248"/>
      <c r="B3033" s="249"/>
      <c r="C3033" s="248"/>
      <c r="D3033" s="248"/>
    </row>
    <row r="3034" spans="1:4">
      <c r="A3034" s="248"/>
      <c r="B3034" s="249"/>
      <c r="C3034" s="248"/>
      <c r="D3034" s="248"/>
    </row>
    <row r="3035" spans="1:4">
      <c r="A3035" s="248"/>
      <c r="B3035" s="249"/>
      <c r="C3035" s="248"/>
      <c r="D3035" s="248"/>
    </row>
    <row r="3036" spans="1:4">
      <c r="A3036" s="248"/>
      <c r="B3036" s="249"/>
      <c r="C3036" s="248"/>
      <c r="D3036" s="248"/>
    </row>
    <row r="3037" spans="1:4">
      <c r="A3037" s="246"/>
      <c r="B3037" s="246"/>
      <c r="C3037" s="246"/>
      <c r="D3037" s="247"/>
    </row>
    <row r="3038" spans="1:4">
      <c r="A3038" s="248"/>
      <c r="B3038" s="249"/>
      <c r="C3038" s="248"/>
      <c r="D3038" s="248"/>
    </row>
    <row r="3039" spans="1:4">
      <c r="A3039" s="248"/>
      <c r="B3039" s="249"/>
      <c r="C3039" s="248"/>
      <c r="D3039" s="248"/>
    </row>
    <row r="3040" spans="1:4">
      <c r="A3040" s="248"/>
      <c r="B3040" s="249"/>
      <c r="C3040" s="248"/>
      <c r="D3040" s="248"/>
    </row>
    <row r="3041" spans="1:4">
      <c r="A3041" s="248"/>
      <c r="B3041" s="249"/>
      <c r="C3041" s="248"/>
      <c r="D3041" s="248"/>
    </row>
    <row r="3042" spans="1:4">
      <c r="A3042" s="251"/>
      <c r="B3042" s="251"/>
      <c r="C3042" s="251"/>
      <c r="D3042" s="252"/>
    </row>
    <row r="3043" spans="1:4">
      <c r="A3043" s="246"/>
      <c r="B3043" s="246"/>
      <c r="C3043" s="246"/>
      <c r="D3043" s="247"/>
    </row>
    <row r="3044" spans="1:4">
      <c r="A3044" s="248"/>
      <c r="B3044" s="249"/>
      <c r="C3044" s="248"/>
      <c r="D3044" s="248"/>
    </row>
    <row r="3045" spans="1:4">
      <c r="A3045" s="248"/>
      <c r="B3045" s="249"/>
      <c r="C3045" s="248"/>
      <c r="D3045" s="248"/>
    </row>
    <row r="3046" spans="1:4">
      <c r="A3046" s="248"/>
      <c r="B3046" s="249"/>
      <c r="C3046" s="248"/>
      <c r="D3046" s="248"/>
    </row>
    <row r="3047" spans="1:4">
      <c r="A3047" s="246"/>
      <c r="B3047" s="246"/>
      <c r="C3047" s="246"/>
      <c r="D3047" s="247"/>
    </row>
    <row r="3048" spans="1:4">
      <c r="A3048" s="248"/>
      <c r="B3048" s="249"/>
      <c r="C3048" s="248"/>
      <c r="D3048" s="248"/>
    </row>
    <row r="3049" spans="1:4">
      <c r="A3049" s="248"/>
      <c r="B3049" s="249"/>
      <c r="C3049" s="248"/>
      <c r="D3049" s="248"/>
    </row>
    <row r="3050" spans="1:4">
      <c r="A3050" s="248"/>
      <c r="B3050" s="249"/>
      <c r="C3050" s="248"/>
      <c r="D3050" s="248"/>
    </row>
    <row r="3051" spans="1:4">
      <c r="A3051" s="248"/>
      <c r="B3051" s="249"/>
      <c r="C3051" s="248"/>
      <c r="D3051" s="248"/>
    </row>
    <row r="3052" spans="1:4">
      <c r="A3052" s="248"/>
      <c r="B3052" s="249"/>
      <c r="C3052" s="248"/>
      <c r="D3052" s="248"/>
    </row>
    <row r="3053" spans="1:4">
      <c r="A3053" s="248"/>
      <c r="B3053" s="249"/>
      <c r="C3053" s="248"/>
      <c r="D3053" s="248"/>
    </row>
    <row r="3054" spans="1:4">
      <c r="A3054" s="248"/>
      <c r="B3054" s="249"/>
      <c r="C3054" s="248"/>
      <c r="D3054" s="248"/>
    </row>
    <row r="3055" spans="1:4">
      <c r="A3055" s="248"/>
      <c r="B3055" s="249"/>
      <c r="C3055" s="248"/>
      <c r="D3055" s="248"/>
    </row>
    <row r="3056" spans="1:4">
      <c r="A3056" s="248"/>
      <c r="B3056" s="249"/>
      <c r="C3056" s="248"/>
      <c r="D3056" s="248"/>
    </row>
    <row r="3057" spans="1:4">
      <c r="A3057" s="248"/>
      <c r="B3057" s="249"/>
      <c r="C3057" s="248"/>
      <c r="D3057" s="248"/>
    </row>
    <row r="3058" spans="1:4">
      <c r="A3058" s="248"/>
      <c r="B3058" s="249"/>
      <c r="C3058" s="248"/>
      <c r="D3058" s="248"/>
    </row>
    <row r="3059" spans="1:4">
      <c r="A3059" s="248"/>
      <c r="B3059" s="249"/>
      <c r="C3059" s="248"/>
      <c r="D3059" s="248"/>
    </row>
    <row r="3060" spans="1:4">
      <c r="A3060" s="248"/>
      <c r="B3060" s="249"/>
      <c r="C3060" s="248"/>
      <c r="D3060" s="248"/>
    </row>
    <row r="3061" spans="1:4">
      <c r="A3061" s="248"/>
      <c r="B3061" s="249"/>
      <c r="C3061" s="248"/>
      <c r="D3061" s="248"/>
    </row>
    <row r="3062" spans="1:4">
      <c r="A3062" s="248"/>
      <c r="B3062" s="249"/>
      <c r="C3062" s="248"/>
      <c r="D3062" s="248"/>
    </row>
    <row r="3063" spans="1:4">
      <c r="A3063" s="248"/>
      <c r="B3063" s="249"/>
      <c r="C3063" s="248"/>
      <c r="D3063" s="248"/>
    </row>
    <row r="3064" spans="1:4">
      <c r="A3064" s="246"/>
      <c r="B3064" s="246"/>
      <c r="C3064" s="246"/>
      <c r="D3064" s="247"/>
    </row>
    <row r="3065" spans="1:4">
      <c r="A3065" s="248"/>
      <c r="B3065" s="249"/>
      <c r="C3065" s="248"/>
      <c r="D3065" s="248"/>
    </row>
    <row r="3066" spans="1:4">
      <c r="A3066" s="248"/>
      <c r="B3066" s="249"/>
      <c r="C3066" s="248"/>
      <c r="D3066" s="248"/>
    </row>
    <row r="3067" spans="1:4">
      <c r="A3067" s="251"/>
      <c r="B3067" s="251"/>
      <c r="C3067" s="251"/>
      <c r="D3067" s="252"/>
    </row>
    <row r="3068" spans="1:4">
      <c r="A3068" s="246"/>
      <c r="B3068" s="246"/>
      <c r="C3068" s="246"/>
      <c r="D3068" s="247"/>
    </row>
    <row r="3069" spans="1:4">
      <c r="A3069" s="248"/>
      <c r="B3069" s="249"/>
      <c r="C3069" s="248"/>
      <c r="D3069" s="248"/>
    </row>
    <row r="3070" spans="1:4">
      <c r="A3070" s="248"/>
      <c r="B3070" s="249"/>
      <c r="C3070" s="248"/>
      <c r="D3070" s="248"/>
    </row>
    <row r="3071" spans="1:4">
      <c r="A3071" s="248"/>
      <c r="B3071" s="249"/>
      <c r="C3071" s="248"/>
      <c r="D3071" s="248"/>
    </row>
    <row r="3072" spans="1:4">
      <c r="A3072" s="246"/>
      <c r="B3072" s="246"/>
      <c r="C3072" s="246"/>
      <c r="D3072" s="247"/>
    </row>
    <row r="3073" spans="1:4">
      <c r="A3073" s="248"/>
      <c r="B3073" s="249"/>
      <c r="C3073" s="248"/>
      <c r="D3073" s="248"/>
    </row>
    <row r="3074" spans="1:4">
      <c r="A3074" s="248"/>
      <c r="B3074" s="249"/>
      <c r="C3074" s="248"/>
      <c r="D3074" s="248"/>
    </row>
    <row r="3075" spans="1:4">
      <c r="A3075" s="246"/>
      <c r="B3075" s="246"/>
      <c r="C3075" s="246"/>
      <c r="D3075" s="247"/>
    </row>
    <row r="3076" spans="1:4">
      <c r="A3076" s="248"/>
      <c r="B3076" s="249"/>
      <c r="C3076" s="248"/>
      <c r="D3076" s="248"/>
    </row>
    <row r="3077" spans="1:4">
      <c r="A3077" s="248"/>
      <c r="B3077" s="249"/>
      <c r="C3077" s="248"/>
      <c r="D3077" s="248"/>
    </row>
    <row r="3078" spans="1:4">
      <c r="A3078" s="248"/>
      <c r="B3078" s="249"/>
      <c r="C3078" s="248"/>
      <c r="D3078" s="248"/>
    </row>
    <row r="3079" spans="1:4">
      <c r="A3079" s="248"/>
      <c r="B3079" s="249"/>
      <c r="C3079" s="248"/>
      <c r="D3079" s="248"/>
    </row>
    <row r="3080" spans="1:4">
      <c r="A3080" s="248"/>
      <c r="B3080" s="249"/>
      <c r="C3080" s="248"/>
      <c r="D3080" s="248"/>
    </row>
    <row r="3081" spans="1:4">
      <c r="A3081" s="248"/>
      <c r="B3081" s="249"/>
      <c r="C3081" s="248"/>
      <c r="D3081" s="248"/>
    </row>
    <row r="3082" spans="1:4">
      <c r="A3082" s="248"/>
      <c r="B3082" s="249"/>
      <c r="C3082" s="248"/>
      <c r="D3082" s="248"/>
    </row>
    <row r="3083" spans="1:4">
      <c r="A3083" s="248"/>
      <c r="B3083" s="249"/>
      <c r="C3083" s="248"/>
      <c r="D3083" s="248"/>
    </row>
    <row r="3084" spans="1:4">
      <c r="A3084" s="248"/>
      <c r="B3084" s="249"/>
      <c r="C3084" s="248"/>
      <c r="D3084" s="248"/>
    </row>
    <row r="3085" spans="1:4">
      <c r="A3085" s="248"/>
      <c r="B3085" s="249"/>
      <c r="C3085" s="248"/>
      <c r="D3085" s="248"/>
    </row>
    <row r="3086" spans="1:4">
      <c r="A3086" s="248"/>
      <c r="B3086" s="249"/>
      <c r="C3086" s="248"/>
      <c r="D3086" s="248"/>
    </row>
    <row r="3087" spans="1:4">
      <c r="A3087" s="248"/>
      <c r="B3087" s="249"/>
      <c r="C3087" s="248"/>
      <c r="D3087" s="248"/>
    </row>
    <row r="3088" spans="1:4">
      <c r="A3088" s="248"/>
      <c r="B3088" s="249"/>
      <c r="C3088" s="248"/>
      <c r="D3088" s="248"/>
    </row>
    <row r="3089" spans="1:4">
      <c r="A3089" s="248"/>
      <c r="B3089" s="249"/>
      <c r="C3089" s="248"/>
      <c r="D3089" s="248"/>
    </row>
    <row r="3090" spans="1:4">
      <c r="A3090" s="248"/>
      <c r="B3090" s="249"/>
      <c r="C3090" s="248"/>
      <c r="D3090" s="248"/>
    </row>
    <row r="3091" spans="1:4">
      <c r="A3091" s="248"/>
      <c r="B3091" s="249"/>
      <c r="C3091" s="248"/>
      <c r="D3091" s="248"/>
    </row>
    <row r="3092" spans="1:4">
      <c r="A3092" s="248"/>
      <c r="B3092" s="249"/>
      <c r="C3092" s="248"/>
      <c r="D3092" s="248"/>
    </row>
    <row r="3093" spans="1:4">
      <c r="A3093" s="248"/>
      <c r="B3093" s="249"/>
      <c r="C3093" s="248"/>
      <c r="D3093" s="248"/>
    </row>
    <row r="3094" spans="1:4">
      <c r="A3094" s="248"/>
      <c r="B3094" s="249"/>
      <c r="C3094" s="248"/>
      <c r="D3094" s="248"/>
    </row>
    <row r="3095" spans="1:4">
      <c r="A3095" s="248"/>
      <c r="B3095" s="249"/>
      <c r="C3095" s="248"/>
      <c r="D3095" s="248"/>
    </row>
    <row r="3096" spans="1:4">
      <c r="A3096" s="248"/>
      <c r="B3096" s="249"/>
      <c r="C3096" s="248"/>
      <c r="D3096" s="248"/>
    </row>
    <row r="3097" spans="1:4">
      <c r="A3097" s="248"/>
      <c r="B3097" s="249"/>
      <c r="C3097" s="248"/>
      <c r="D3097" s="248"/>
    </row>
    <row r="3098" spans="1:4">
      <c r="A3098" s="248"/>
      <c r="B3098" s="249"/>
      <c r="C3098" s="248"/>
      <c r="D3098" s="248"/>
    </row>
    <row r="3099" spans="1:4">
      <c r="A3099" s="248"/>
      <c r="B3099" s="249"/>
      <c r="C3099" s="248"/>
      <c r="D3099" s="248"/>
    </row>
    <row r="3100" spans="1:4">
      <c r="A3100" s="248"/>
      <c r="B3100" s="249"/>
      <c r="C3100" s="248"/>
      <c r="D3100" s="248"/>
    </row>
    <row r="3101" spans="1:4">
      <c r="A3101" s="248"/>
      <c r="B3101" s="249"/>
      <c r="C3101" s="248"/>
      <c r="D3101" s="248"/>
    </row>
    <row r="3102" spans="1:4">
      <c r="A3102" s="248"/>
      <c r="B3102" s="249"/>
      <c r="C3102" s="248"/>
      <c r="D3102" s="248"/>
    </row>
    <row r="3103" spans="1:4">
      <c r="A3103" s="248"/>
      <c r="B3103" s="249"/>
      <c r="C3103" s="248"/>
      <c r="D3103" s="248"/>
    </row>
    <row r="3104" spans="1:4">
      <c r="A3104" s="248"/>
      <c r="B3104" s="249"/>
      <c r="C3104" s="248"/>
      <c r="D3104" s="248"/>
    </row>
    <row r="3105" spans="1:4">
      <c r="A3105" s="248"/>
      <c r="B3105" s="249"/>
      <c r="C3105" s="248"/>
      <c r="D3105" s="248"/>
    </row>
    <row r="3106" spans="1:4">
      <c r="A3106" s="248"/>
      <c r="B3106" s="249"/>
      <c r="C3106" s="248"/>
      <c r="D3106" s="248"/>
    </row>
    <row r="3107" spans="1:4">
      <c r="A3107" s="248"/>
      <c r="B3107" s="249"/>
      <c r="C3107" s="248"/>
      <c r="D3107" s="248"/>
    </row>
    <row r="3108" spans="1:4">
      <c r="A3108" s="248"/>
      <c r="B3108" s="249"/>
      <c r="C3108" s="248"/>
      <c r="D3108" s="248"/>
    </row>
    <row r="3109" spans="1:4">
      <c r="A3109" s="248"/>
      <c r="B3109" s="249"/>
      <c r="C3109" s="248"/>
      <c r="D3109" s="248"/>
    </row>
    <row r="3110" spans="1:4">
      <c r="A3110" s="248"/>
      <c r="B3110" s="249"/>
      <c r="C3110" s="248"/>
      <c r="D3110" s="248"/>
    </row>
    <row r="3111" spans="1:4">
      <c r="A3111" s="248"/>
      <c r="B3111" s="249"/>
      <c r="C3111" s="248"/>
      <c r="D3111" s="248"/>
    </row>
    <row r="3112" spans="1:4">
      <c r="A3112" s="248"/>
      <c r="B3112" s="249"/>
      <c r="C3112" s="248"/>
      <c r="D3112" s="248"/>
    </row>
    <row r="3113" spans="1:4">
      <c r="A3113" s="248"/>
      <c r="B3113" s="249"/>
      <c r="C3113" s="248"/>
      <c r="D3113" s="248"/>
    </row>
    <row r="3114" spans="1:4">
      <c r="A3114" s="248"/>
      <c r="B3114" s="249"/>
      <c r="C3114" s="248"/>
      <c r="D3114" s="248"/>
    </row>
    <row r="3115" spans="1:4">
      <c r="A3115" s="255"/>
      <c r="B3115" s="255"/>
      <c r="C3115" s="255"/>
      <c r="D3115" s="256"/>
    </row>
    <row r="3116" spans="1:4">
      <c r="A3116" s="246"/>
      <c r="B3116" s="246"/>
      <c r="C3116" s="246"/>
      <c r="D3116" s="247"/>
    </row>
    <row r="3117" spans="1:4">
      <c r="A3117" s="248"/>
      <c r="B3117" s="249"/>
      <c r="C3117" s="248"/>
      <c r="D3117" s="248"/>
    </row>
    <row r="3118" spans="1:4">
      <c r="A3118" s="248"/>
      <c r="B3118" s="249"/>
      <c r="C3118" s="248"/>
      <c r="D3118" s="248"/>
    </row>
    <row r="3119" spans="1:4">
      <c r="A3119" s="248"/>
      <c r="B3119" s="249"/>
      <c r="C3119" s="248"/>
      <c r="D3119" s="248"/>
    </row>
    <row r="3120" spans="1:4">
      <c r="A3120" s="248"/>
      <c r="B3120" s="249"/>
      <c r="C3120" s="248"/>
      <c r="D3120" s="248"/>
    </row>
    <row r="3121" spans="1:4">
      <c r="A3121" s="246"/>
      <c r="B3121" s="246"/>
      <c r="C3121" s="246"/>
      <c r="D3121" s="247"/>
    </row>
    <row r="3122" spans="1:4">
      <c r="A3122" s="251"/>
      <c r="B3122" s="251"/>
      <c r="C3122" s="251"/>
      <c r="D3122" s="252"/>
    </row>
    <row r="3123" spans="1:4">
      <c r="A3123" s="251"/>
      <c r="B3123" s="251"/>
      <c r="C3123" s="251"/>
      <c r="D3123" s="252"/>
    </row>
    <row r="3124" spans="1:4">
      <c r="A3124" s="246"/>
      <c r="B3124" s="246"/>
      <c r="C3124" s="246"/>
      <c r="D3124" s="247"/>
    </row>
    <row r="3125" spans="1:4">
      <c r="A3125" s="248"/>
      <c r="B3125" s="249"/>
      <c r="C3125" s="248"/>
      <c r="D3125" s="248"/>
    </row>
    <row r="3126" spans="1:4">
      <c r="A3126" s="248"/>
      <c r="B3126" s="249"/>
      <c r="C3126" s="248"/>
      <c r="D3126" s="248"/>
    </row>
    <row r="3127" spans="1:4">
      <c r="A3127" s="251"/>
      <c r="B3127" s="251"/>
      <c r="C3127" s="251"/>
      <c r="D3127" s="252"/>
    </row>
    <row r="3128" spans="1:4">
      <c r="A3128" s="246"/>
      <c r="B3128" s="246"/>
      <c r="C3128" s="246"/>
      <c r="D3128" s="247"/>
    </row>
    <row r="3129" spans="1:4">
      <c r="A3129" s="248"/>
      <c r="B3129" s="249"/>
      <c r="C3129" s="248"/>
      <c r="D3129" s="248"/>
    </row>
    <row r="3130" spans="1:4">
      <c r="A3130" s="248"/>
      <c r="B3130" s="249"/>
      <c r="C3130" s="248"/>
      <c r="D3130" s="248"/>
    </row>
    <row r="3131" spans="1:4">
      <c r="A3131" s="248"/>
      <c r="B3131" s="249"/>
      <c r="C3131" s="248"/>
      <c r="D3131" s="248"/>
    </row>
    <row r="3132" spans="1:4">
      <c r="A3132" s="248"/>
      <c r="B3132" s="249"/>
      <c r="C3132" s="248"/>
      <c r="D3132" s="248"/>
    </row>
    <row r="3133" spans="1:4">
      <c r="A3133" s="248"/>
      <c r="B3133" s="249"/>
      <c r="C3133" s="248"/>
      <c r="D3133" s="248"/>
    </row>
    <row r="3134" spans="1:4">
      <c r="A3134" s="248"/>
      <c r="B3134" s="249"/>
      <c r="C3134" s="248"/>
      <c r="D3134" s="248"/>
    </row>
    <row r="3135" spans="1:4">
      <c r="A3135" s="246"/>
      <c r="B3135" s="246"/>
      <c r="C3135" s="246"/>
      <c r="D3135" s="247"/>
    </row>
    <row r="3136" spans="1:4">
      <c r="A3136" s="248"/>
      <c r="B3136" s="249"/>
      <c r="C3136" s="248"/>
      <c r="D3136" s="248"/>
    </row>
    <row r="3137" spans="1:4">
      <c r="A3137" s="248"/>
      <c r="B3137" s="249"/>
      <c r="C3137" s="248"/>
      <c r="D3137" s="248"/>
    </row>
    <row r="3138" spans="1:4">
      <c r="A3138" s="248"/>
      <c r="B3138" s="249"/>
      <c r="C3138" s="248"/>
      <c r="D3138" s="248"/>
    </row>
    <row r="3139" spans="1:4">
      <c r="A3139" s="248"/>
      <c r="B3139" s="249"/>
      <c r="C3139" s="248"/>
      <c r="D3139" s="248"/>
    </row>
    <row r="3140" spans="1:4">
      <c r="A3140" s="248"/>
      <c r="B3140" s="249"/>
      <c r="C3140" s="248"/>
      <c r="D3140" s="248"/>
    </row>
    <row r="3141" spans="1:4">
      <c r="A3141" s="248"/>
      <c r="B3141" s="249"/>
      <c r="C3141" s="248"/>
      <c r="D3141" s="248"/>
    </row>
    <row r="3142" spans="1:4">
      <c r="A3142" s="248"/>
      <c r="B3142" s="249"/>
      <c r="C3142" s="248"/>
      <c r="D3142" s="248"/>
    </row>
    <row r="3143" spans="1:4">
      <c r="A3143" s="248"/>
      <c r="B3143" s="249"/>
      <c r="C3143" s="248"/>
      <c r="D3143" s="248"/>
    </row>
    <row r="3144" spans="1:4">
      <c r="A3144" s="248"/>
      <c r="B3144" s="249"/>
      <c r="C3144" s="248"/>
      <c r="D3144" s="248"/>
    </row>
    <row r="3145" spans="1:4">
      <c r="A3145" s="248"/>
      <c r="B3145" s="249"/>
      <c r="C3145" s="248"/>
      <c r="D3145" s="248"/>
    </row>
    <row r="3146" spans="1:4">
      <c r="A3146" s="248"/>
      <c r="B3146" s="249"/>
      <c r="C3146" s="248"/>
      <c r="D3146" s="248"/>
    </row>
    <row r="3147" spans="1:4">
      <c r="A3147" s="248"/>
      <c r="B3147" s="249"/>
      <c r="C3147" s="248"/>
      <c r="D3147" s="248"/>
    </row>
    <row r="3148" spans="1:4">
      <c r="A3148" s="248"/>
      <c r="B3148" s="249"/>
      <c r="C3148" s="248"/>
      <c r="D3148" s="248"/>
    </row>
    <row r="3149" spans="1:4">
      <c r="A3149" s="248"/>
      <c r="B3149" s="249"/>
      <c r="C3149" s="248"/>
      <c r="D3149" s="248"/>
    </row>
    <row r="3150" spans="1:4">
      <c r="A3150" s="248"/>
      <c r="B3150" s="249"/>
      <c r="C3150" s="248"/>
      <c r="D3150" s="248"/>
    </row>
    <row r="3151" spans="1:4">
      <c r="A3151" s="248"/>
      <c r="B3151" s="249"/>
      <c r="C3151" s="248"/>
      <c r="D3151" s="248"/>
    </row>
    <row r="3152" spans="1:4">
      <c r="A3152" s="246"/>
      <c r="B3152" s="246"/>
      <c r="C3152" s="246"/>
      <c r="D3152" s="247"/>
    </row>
    <row r="3153" spans="1:4">
      <c r="A3153" s="248"/>
      <c r="B3153" s="249"/>
      <c r="C3153" s="248"/>
      <c r="D3153" s="248"/>
    </row>
    <row r="3154" spans="1:4">
      <c r="A3154" s="248"/>
      <c r="B3154" s="249"/>
      <c r="C3154" s="248"/>
      <c r="D3154" s="248"/>
    </row>
    <row r="3155" spans="1:4">
      <c r="A3155" s="248"/>
      <c r="B3155" s="249"/>
      <c r="C3155" s="248"/>
      <c r="D3155" s="248"/>
    </row>
    <row r="3156" spans="1:4">
      <c r="A3156" s="248"/>
      <c r="B3156" s="249"/>
      <c r="C3156" s="248"/>
      <c r="D3156" s="248"/>
    </row>
    <row r="3157" spans="1:4">
      <c r="A3157" s="248"/>
      <c r="B3157" s="249"/>
      <c r="C3157" s="248"/>
      <c r="D3157" s="248"/>
    </row>
    <row r="3158" spans="1:4">
      <c r="A3158" s="248"/>
      <c r="B3158" s="249"/>
      <c r="C3158" s="248"/>
      <c r="D3158" s="248"/>
    </row>
    <row r="3159" spans="1:4">
      <c r="A3159" s="248"/>
      <c r="B3159" s="249"/>
      <c r="C3159" s="248"/>
      <c r="D3159" s="248"/>
    </row>
    <row r="3160" spans="1:4">
      <c r="A3160" s="248"/>
      <c r="B3160" s="249"/>
      <c r="C3160" s="248"/>
      <c r="D3160" s="248"/>
    </row>
    <row r="3161" spans="1:4">
      <c r="A3161" s="248"/>
      <c r="B3161" s="249"/>
      <c r="C3161" s="248"/>
      <c r="D3161" s="248"/>
    </row>
    <row r="3162" spans="1:4">
      <c r="A3162" s="248"/>
      <c r="B3162" s="249"/>
      <c r="C3162" s="248"/>
      <c r="D3162" s="248"/>
    </row>
    <row r="3163" spans="1:4">
      <c r="A3163" s="248"/>
      <c r="B3163" s="249"/>
      <c r="C3163" s="248"/>
      <c r="D3163" s="248"/>
    </row>
    <row r="3164" spans="1:4">
      <c r="A3164" s="248"/>
      <c r="B3164" s="249"/>
      <c r="C3164" s="248"/>
      <c r="D3164" s="248"/>
    </row>
    <row r="3165" spans="1:4">
      <c r="A3165" s="248"/>
      <c r="B3165" s="249"/>
      <c r="C3165" s="248"/>
      <c r="D3165" s="248"/>
    </row>
    <row r="3166" spans="1:4">
      <c r="A3166" s="248"/>
      <c r="B3166" s="249"/>
      <c r="C3166" s="248"/>
      <c r="D3166" s="248"/>
    </row>
    <row r="3167" spans="1:4">
      <c r="A3167" s="248"/>
      <c r="B3167" s="249"/>
      <c r="C3167" s="248"/>
      <c r="D3167" s="248"/>
    </row>
    <row r="3168" spans="1:4">
      <c r="A3168" s="246"/>
      <c r="B3168" s="246"/>
      <c r="C3168" s="246"/>
      <c r="D3168" s="247"/>
    </row>
    <row r="3169" spans="1:4">
      <c r="A3169" s="248"/>
      <c r="B3169" s="249"/>
      <c r="C3169" s="248"/>
      <c r="D3169" s="248"/>
    </row>
    <row r="3170" spans="1:4">
      <c r="A3170" s="248"/>
      <c r="B3170" s="249"/>
      <c r="C3170" s="248"/>
      <c r="D3170" s="248"/>
    </row>
    <row r="3171" spans="1:4">
      <c r="A3171" s="248"/>
      <c r="B3171" s="249"/>
      <c r="C3171" s="248"/>
      <c r="D3171" s="248"/>
    </row>
    <row r="3172" spans="1:4">
      <c r="A3172" s="246"/>
      <c r="B3172" s="246"/>
      <c r="C3172" s="246"/>
      <c r="D3172" s="247"/>
    </row>
    <row r="3173" spans="1:4">
      <c r="A3173" s="248"/>
      <c r="B3173" s="249"/>
      <c r="C3173" s="248"/>
      <c r="D3173" s="248"/>
    </row>
    <row r="3174" spans="1:4">
      <c r="A3174" s="248"/>
      <c r="B3174" s="249"/>
      <c r="C3174" s="248"/>
      <c r="D3174" s="248"/>
    </row>
    <row r="3175" spans="1:4">
      <c r="A3175" s="248"/>
      <c r="B3175" s="249"/>
      <c r="C3175" s="248"/>
      <c r="D3175" s="248"/>
    </row>
    <row r="3176" spans="1:4">
      <c r="A3176" s="248"/>
      <c r="B3176" s="249"/>
      <c r="C3176" s="248"/>
      <c r="D3176" s="248"/>
    </row>
    <row r="3177" spans="1:4">
      <c r="A3177" s="248"/>
      <c r="B3177" s="249"/>
      <c r="C3177" s="248"/>
      <c r="D3177" s="248"/>
    </row>
    <row r="3178" spans="1:4">
      <c r="A3178" s="248"/>
      <c r="B3178" s="249"/>
      <c r="C3178" s="248"/>
      <c r="D3178" s="248"/>
    </row>
    <row r="3179" spans="1:4">
      <c r="A3179" s="246"/>
      <c r="B3179" s="246"/>
      <c r="C3179" s="246"/>
      <c r="D3179" s="247"/>
    </row>
    <row r="3180" spans="1:4">
      <c r="A3180" s="248"/>
      <c r="B3180" s="249"/>
      <c r="C3180" s="248"/>
      <c r="D3180" s="248"/>
    </row>
    <row r="3181" spans="1:4">
      <c r="A3181" s="246"/>
      <c r="B3181" s="246"/>
      <c r="C3181" s="246"/>
      <c r="D3181" s="247"/>
    </row>
    <row r="3182" spans="1:4">
      <c r="A3182" s="248"/>
      <c r="B3182" s="249"/>
      <c r="C3182" s="248"/>
      <c r="D3182" s="248"/>
    </row>
    <row r="3183" spans="1:4">
      <c r="A3183" s="248"/>
      <c r="B3183" s="249"/>
      <c r="C3183" s="248"/>
      <c r="D3183" s="248"/>
    </row>
    <row r="3184" spans="1:4">
      <c r="A3184" s="248"/>
      <c r="B3184" s="249"/>
      <c r="C3184" s="248"/>
      <c r="D3184" s="248"/>
    </row>
    <row r="3185" spans="1:4">
      <c r="A3185" s="248"/>
      <c r="B3185" s="249"/>
      <c r="C3185" s="248"/>
      <c r="D3185" s="248"/>
    </row>
    <row r="3186" spans="1:4">
      <c r="A3186" s="246"/>
      <c r="B3186" s="246"/>
      <c r="C3186" s="246"/>
      <c r="D3186" s="247"/>
    </row>
    <row r="3187" spans="1:4">
      <c r="A3187" s="248"/>
      <c r="B3187" s="249"/>
      <c r="C3187" s="248"/>
      <c r="D3187" s="248"/>
    </row>
    <row r="3188" spans="1:4">
      <c r="A3188" s="248"/>
      <c r="B3188" s="249"/>
      <c r="C3188" s="248"/>
      <c r="D3188" s="248"/>
    </row>
    <row r="3189" spans="1:4">
      <c r="A3189" s="248"/>
      <c r="B3189" s="249"/>
      <c r="C3189" s="248"/>
      <c r="D3189" s="248"/>
    </row>
    <row r="3190" spans="1:4">
      <c r="A3190" s="246"/>
      <c r="B3190" s="246"/>
      <c r="C3190" s="246"/>
      <c r="D3190" s="247"/>
    </row>
    <row r="3191" spans="1:4">
      <c r="A3191" s="248"/>
      <c r="B3191" s="249"/>
      <c r="C3191" s="248"/>
      <c r="D3191" s="248"/>
    </row>
    <row r="3192" spans="1:4">
      <c r="A3192" s="248"/>
      <c r="B3192" s="249"/>
      <c r="C3192" s="248"/>
      <c r="D3192" s="248"/>
    </row>
    <row r="3193" spans="1:4">
      <c r="A3193" s="248"/>
      <c r="B3193" s="249"/>
      <c r="C3193" s="248"/>
      <c r="D3193" s="248"/>
    </row>
    <row r="3194" spans="1:4">
      <c r="A3194" s="248"/>
      <c r="B3194" s="249"/>
      <c r="C3194" s="248"/>
      <c r="D3194" s="248"/>
    </row>
    <row r="3195" spans="1:4">
      <c r="A3195" s="248"/>
      <c r="B3195" s="249"/>
      <c r="C3195" s="248"/>
      <c r="D3195" s="248"/>
    </row>
    <row r="3196" spans="1:4">
      <c r="A3196" s="248"/>
      <c r="B3196" s="249"/>
      <c r="C3196" s="248"/>
      <c r="D3196" s="248"/>
    </row>
    <row r="3197" spans="1:4">
      <c r="A3197" s="248"/>
      <c r="B3197" s="249"/>
      <c r="C3197" s="248"/>
      <c r="D3197" s="248"/>
    </row>
    <row r="3198" spans="1:4">
      <c r="A3198" s="248"/>
      <c r="B3198" s="249"/>
      <c r="C3198" s="248"/>
      <c r="D3198" s="248"/>
    </row>
    <row r="3199" spans="1:4">
      <c r="A3199" s="248"/>
      <c r="B3199" s="249"/>
      <c r="C3199" s="248"/>
      <c r="D3199" s="248"/>
    </row>
    <row r="3200" spans="1:4">
      <c r="A3200" s="248"/>
      <c r="B3200" s="249"/>
      <c r="C3200" s="248"/>
      <c r="D3200" s="248"/>
    </row>
    <row r="3201" spans="1:4">
      <c r="A3201" s="248"/>
      <c r="B3201" s="249"/>
      <c r="C3201" s="248"/>
      <c r="D3201" s="248"/>
    </row>
    <row r="3202" spans="1:4">
      <c r="A3202" s="246"/>
      <c r="B3202" s="246"/>
      <c r="C3202" s="246"/>
      <c r="D3202" s="247"/>
    </row>
    <row r="3203" spans="1:4">
      <c r="A3203" s="248"/>
      <c r="B3203" s="249"/>
      <c r="C3203" s="248"/>
      <c r="D3203" s="248"/>
    </row>
    <row r="3204" spans="1:4">
      <c r="A3204" s="248"/>
      <c r="B3204" s="249"/>
      <c r="C3204" s="248"/>
      <c r="D3204" s="248"/>
    </row>
    <row r="3205" spans="1:4">
      <c r="A3205" s="248"/>
      <c r="B3205" s="249"/>
      <c r="C3205" s="248"/>
      <c r="D3205" s="248"/>
    </row>
    <row r="3206" spans="1:4">
      <c r="A3206" s="248"/>
      <c r="B3206" s="249"/>
      <c r="C3206" s="248"/>
      <c r="D3206" s="248"/>
    </row>
    <row r="3207" spans="1:4">
      <c r="A3207" s="248"/>
      <c r="B3207" s="249"/>
      <c r="C3207" s="248"/>
      <c r="D3207" s="248"/>
    </row>
    <row r="3208" spans="1:4">
      <c r="A3208" s="248"/>
      <c r="B3208" s="249"/>
      <c r="C3208" s="248"/>
      <c r="D3208" s="248"/>
    </row>
    <row r="3209" spans="1:4">
      <c r="A3209" s="248"/>
      <c r="B3209" s="249"/>
      <c r="C3209" s="248"/>
      <c r="D3209" s="248"/>
    </row>
    <row r="3210" spans="1:4">
      <c r="A3210" s="248"/>
      <c r="B3210" s="249"/>
      <c r="C3210" s="248"/>
      <c r="D3210" s="248"/>
    </row>
    <row r="3211" spans="1:4">
      <c r="A3211" s="248"/>
      <c r="B3211" s="249"/>
      <c r="C3211" s="248"/>
      <c r="D3211" s="248"/>
    </row>
    <row r="3212" spans="1:4">
      <c r="A3212" s="246"/>
      <c r="B3212" s="246"/>
      <c r="C3212" s="246"/>
      <c r="D3212" s="247"/>
    </row>
    <row r="3213" spans="1:4">
      <c r="A3213" s="248"/>
      <c r="B3213" s="249"/>
      <c r="C3213" s="248"/>
      <c r="D3213" s="248"/>
    </row>
    <row r="3214" spans="1:4">
      <c r="A3214" s="248"/>
      <c r="B3214" s="249"/>
      <c r="C3214" s="248"/>
      <c r="D3214" s="248"/>
    </row>
    <row r="3215" spans="1:4">
      <c r="A3215" s="248"/>
      <c r="B3215" s="249"/>
      <c r="C3215" s="248"/>
      <c r="D3215" s="248"/>
    </row>
    <row r="3216" spans="1:4">
      <c r="A3216" s="248"/>
      <c r="B3216" s="249"/>
      <c r="C3216" s="248"/>
      <c r="D3216" s="248"/>
    </row>
    <row r="3217" spans="1:4">
      <c r="A3217" s="248"/>
      <c r="B3217" s="249"/>
      <c r="C3217" s="248"/>
      <c r="D3217" s="248"/>
    </row>
    <row r="3218" spans="1:4">
      <c r="A3218" s="248"/>
      <c r="B3218" s="249"/>
      <c r="C3218" s="248"/>
      <c r="D3218" s="248"/>
    </row>
    <row r="3219" spans="1:4">
      <c r="A3219" s="248"/>
      <c r="B3219" s="249"/>
      <c r="C3219" s="248"/>
      <c r="D3219" s="248"/>
    </row>
    <row r="3220" spans="1:4">
      <c r="A3220" s="248"/>
      <c r="B3220" s="249"/>
      <c r="C3220" s="248"/>
      <c r="D3220" s="248"/>
    </row>
    <row r="3221" spans="1:4">
      <c r="A3221" s="248"/>
      <c r="B3221" s="249"/>
      <c r="C3221" s="248"/>
      <c r="D3221" s="248"/>
    </row>
    <row r="3222" spans="1:4">
      <c r="A3222" s="248"/>
      <c r="B3222" s="249"/>
      <c r="C3222" s="248"/>
      <c r="D3222" s="248"/>
    </row>
    <row r="3223" spans="1:4">
      <c r="A3223" s="248"/>
      <c r="B3223" s="249"/>
      <c r="C3223" s="248"/>
      <c r="D3223" s="248"/>
    </row>
    <row r="3224" spans="1:4">
      <c r="A3224" s="248"/>
      <c r="B3224" s="249"/>
      <c r="C3224" s="248"/>
      <c r="D3224" s="248"/>
    </row>
    <row r="3225" spans="1:4">
      <c r="A3225" s="248"/>
      <c r="B3225" s="249"/>
      <c r="C3225" s="248"/>
      <c r="D3225" s="248"/>
    </row>
    <row r="3226" spans="1:4">
      <c r="A3226" s="248"/>
      <c r="B3226" s="249"/>
      <c r="C3226" s="248"/>
      <c r="D3226" s="248"/>
    </row>
    <row r="3227" spans="1:4">
      <c r="A3227" s="248"/>
      <c r="B3227" s="249"/>
      <c r="C3227" s="248"/>
      <c r="D3227" s="248"/>
    </row>
    <row r="3228" spans="1:4">
      <c r="A3228" s="248"/>
      <c r="B3228" s="249"/>
      <c r="C3228" s="248"/>
      <c r="D3228" s="248"/>
    </row>
    <row r="3229" spans="1:4">
      <c r="A3229" s="246"/>
      <c r="B3229" s="246"/>
      <c r="C3229" s="246"/>
      <c r="D3229" s="247"/>
    </row>
    <row r="3230" spans="1:4">
      <c r="A3230" s="248"/>
      <c r="B3230" s="249"/>
      <c r="C3230" s="248"/>
      <c r="D3230" s="248"/>
    </row>
    <row r="3231" spans="1:4">
      <c r="A3231" s="248"/>
      <c r="B3231" s="249"/>
      <c r="C3231" s="248"/>
      <c r="D3231" s="248"/>
    </row>
    <row r="3232" spans="1:4">
      <c r="A3232" s="248"/>
      <c r="B3232" s="249"/>
      <c r="C3232" s="248"/>
      <c r="D3232" s="248"/>
    </row>
    <row r="3233" spans="1:4">
      <c r="A3233" s="246"/>
      <c r="B3233" s="246"/>
      <c r="C3233" s="246"/>
      <c r="D3233" s="247"/>
    </row>
    <row r="3234" spans="1:4">
      <c r="A3234" s="248"/>
      <c r="B3234" s="249"/>
      <c r="C3234" s="248"/>
      <c r="D3234" s="248"/>
    </row>
    <row r="3235" spans="1:4">
      <c r="A3235" s="248"/>
      <c r="B3235" s="249"/>
      <c r="C3235" s="248"/>
      <c r="D3235" s="248"/>
    </row>
    <row r="3236" spans="1:4">
      <c r="A3236" s="248"/>
      <c r="B3236" s="249"/>
      <c r="C3236" s="248"/>
      <c r="D3236" s="248"/>
    </row>
    <row r="3237" spans="1:4">
      <c r="A3237" s="248"/>
      <c r="B3237" s="249"/>
      <c r="C3237" s="248"/>
      <c r="D3237" s="248"/>
    </row>
    <row r="3238" spans="1:4">
      <c r="A3238" s="248"/>
      <c r="B3238" s="249"/>
      <c r="C3238" s="248"/>
      <c r="D3238" s="248"/>
    </row>
    <row r="3239" spans="1:4">
      <c r="A3239" s="246"/>
      <c r="B3239" s="246"/>
      <c r="C3239" s="246"/>
      <c r="D3239" s="247"/>
    </row>
    <row r="3240" spans="1:4">
      <c r="A3240" s="248"/>
      <c r="B3240" s="249"/>
      <c r="C3240" s="248"/>
      <c r="D3240" s="248"/>
    </row>
    <row r="3241" spans="1:4">
      <c r="A3241" s="248"/>
      <c r="B3241" s="249"/>
      <c r="C3241" s="248"/>
      <c r="D3241" s="248"/>
    </row>
    <row r="3242" spans="1:4">
      <c r="A3242" s="248"/>
      <c r="B3242" s="249"/>
      <c r="C3242" s="248"/>
      <c r="D3242" s="248"/>
    </row>
    <row r="3243" spans="1:4">
      <c r="A3243" s="248"/>
      <c r="B3243" s="249"/>
      <c r="C3243" s="248"/>
      <c r="D3243" s="248"/>
    </row>
    <row r="3244" spans="1:4">
      <c r="A3244" s="248"/>
      <c r="B3244" s="249"/>
      <c r="C3244" s="248"/>
      <c r="D3244" s="248"/>
    </row>
    <row r="3245" spans="1:4">
      <c r="A3245" s="248"/>
      <c r="B3245" s="249"/>
      <c r="C3245" s="248"/>
      <c r="D3245" s="248"/>
    </row>
    <row r="3246" spans="1:4">
      <c r="A3246" s="248"/>
      <c r="B3246" s="249"/>
      <c r="C3246" s="248"/>
      <c r="D3246" s="248"/>
    </row>
    <row r="3247" spans="1:4">
      <c r="A3247" s="248"/>
      <c r="B3247" s="249"/>
      <c r="C3247" s="248"/>
      <c r="D3247" s="248"/>
    </row>
    <row r="3248" spans="1:4">
      <c r="A3248" s="248"/>
      <c r="B3248" s="249"/>
      <c r="C3248" s="248"/>
      <c r="D3248" s="248"/>
    </row>
    <row r="3249" spans="1:4">
      <c r="A3249" s="248"/>
      <c r="B3249" s="249"/>
      <c r="C3249" s="248"/>
      <c r="D3249" s="248"/>
    </row>
    <row r="3250" spans="1:4">
      <c r="A3250" s="246"/>
      <c r="B3250" s="246"/>
      <c r="C3250" s="246"/>
      <c r="D3250" s="247"/>
    </row>
    <row r="3251" spans="1:4">
      <c r="A3251" s="248"/>
      <c r="B3251" s="249"/>
      <c r="C3251" s="248"/>
      <c r="D3251" s="248"/>
    </row>
    <row r="3252" spans="1:4">
      <c r="A3252" s="248"/>
      <c r="B3252" s="249"/>
      <c r="C3252" s="248"/>
      <c r="D3252" s="248"/>
    </row>
    <row r="3253" spans="1:4">
      <c r="A3253" s="248"/>
      <c r="B3253" s="249"/>
      <c r="C3253" s="248"/>
      <c r="D3253" s="248"/>
    </row>
    <row r="3254" spans="1:4">
      <c r="A3254" s="248"/>
      <c r="B3254" s="249"/>
      <c r="C3254" s="248"/>
      <c r="D3254" s="248"/>
    </row>
    <row r="3255" spans="1:4">
      <c r="A3255" s="248"/>
      <c r="B3255" s="249"/>
      <c r="C3255" s="248"/>
      <c r="D3255" s="248"/>
    </row>
    <row r="3256" spans="1:4">
      <c r="A3256" s="248"/>
      <c r="B3256" s="249"/>
      <c r="C3256" s="248"/>
      <c r="D3256" s="248"/>
    </row>
    <row r="3257" spans="1:4">
      <c r="A3257" s="248"/>
      <c r="B3257" s="249"/>
      <c r="C3257" s="248"/>
      <c r="D3257" s="248"/>
    </row>
    <row r="3258" spans="1:4">
      <c r="A3258" s="251"/>
      <c r="B3258" s="251"/>
      <c r="C3258" s="251"/>
      <c r="D3258" s="252"/>
    </row>
    <row r="3259" spans="1:4">
      <c r="A3259" s="246"/>
      <c r="B3259" s="246"/>
      <c r="C3259" s="246"/>
      <c r="D3259" s="247"/>
    </row>
    <row r="3260" spans="1:4">
      <c r="A3260" s="248"/>
      <c r="B3260" s="249"/>
      <c r="C3260" s="248"/>
      <c r="D3260" s="248"/>
    </row>
    <row r="3261" spans="1:4">
      <c r="A3261" s="248"/>
      <c r="B3261" s="249"/>
      <c r="C3261" s="248"/>
      <c r="D3261" s="248"/>
    </row>
    <row r="3262" spans="1:4">
      <c r="A3262" s="246"/>
      <c r="B3262" s="246"/>
      <c r="C3262" s="246"/>
      <c r="D3262" s="247"/>
    </row>
    <row r="3263" spans="1:4">
      <c r="A3263" s="248"/>
      <c r="B3263" s="249"/>
      <c r="C3263" s="248"/>
      <c r="D3263" s="248"/>
    </row>
    <row r="3264" spans="1:4">
      <c r="A3264" s="248"/>
      <c r="B3264" s="249"/>
      <c r="C3264" s="248"/>
      <c r="D3264" s="248"/>
    </row>
    <row r="3265" spans="1:4">
      <c r="A3265" s="248"/>
      <c r="B3265" s="249"/>
      <c r="C3265" s="248"/>
      <c r="D3265" s="248"/>
    </row>
    <row r="3266" spans="1:4">
      <c r="A3266" s="248"/>
      <c r="B3266" s="249"/>
      <c r="C3266" s="248"/>
      <c r="D3266" s="248"/>
    </row>
    <row r="3267" spans="1:4">
      <c r="A3267" s="246"/>
      <c r="B3267" s="246"/>
      <c r="C3267" s="246"/>
      <c r="D3267" s="247"/>
    </row>
    <row r="3268" spans="1:4">
      <c r="A3268" s="248"/>
      <c r="B3268" s="249"/>
      <c r="C3268" s="248"/>
      <c r="D3268" s="248"/>
    </row>
    <row r="3269" spans="1:4">
      <c r="A3269" s="248"/>
      <c r="B3269" s="249"/>
      <c r="C3269" s="248"/>
      <c r="D3269" s="248"/>
    </row>
    <row r="3270" spans="1:4">
      <c r="A3270" s="248"/>
      <c r="B3270" s="249"/>
      <c r="C3270" s="248"/>
      <c r="D3270" s="248"/>
    </row>
    <row r="3271" spans="1:4">
      <c r="A3271" s="248"/>
      <c r="B3271" s="249"/>
      <c r="C3271" s="248"/>
      <c r="D3271" s="248"/>
    </row>
    <row r="3272" spans="1:4">
      <c r="A3272" s="246"/>
      <c r="B3272" s="246"/>
      <c r="C3272" s="246"/>
      <c r="D3272" s="247"/>
    </row>
    <row r="3273" spans="1:4">
      <c r="A3273" s="248"/>
      <c r="B3273" s="249"/>
      <c r="C3273" s="248"/>
      <c r="D3273" s="248"/>
    </row>
    <row r="3274" spans="1:4">
      <c r="A3274" s="246"/>
      <c r="B3274" s="246"/>
      <c r="C3274" s="246"/>
      <c r="D3274" s="247"/>
    </row>
    <row r="3275" spans="1:4">
      <c r="A3275" s="248"/>
      <c r="B3275" s="249"/>
      <c r="C3275" s="248"/>
      <c r="D3275" s="248"/>
    </row>
    <row r="3276" spans="1:4">
      <c r="A3276" s="248"/>
      <c r="B3276" s="249"/>
      <c r="C3276" s="248"/>
      <c r="D3276" s="248"/>
    </row>
    <row r="3277" spans="1:4">
      <c r="A3277" s="248"/>
      <c r="B3277" s="249"/>
      <c r="C3277" s="248"/>
      <c r="D3277" s="248"/>
    </row>
    <row r="3278" spans="1:4">
      <c r="A3278" s="248"/>
      <c r="B3278" s="249"/>
      <c r="C3278" s="248"/>
      <c r="D3278" s="248"/>
    </row>
    <row r="3279" spans="1:4">
      <c r="A3279" s="248"/>
      <c r="B3279" s="249"/>
      <c r="C3279" s="248"/>
      <c r="D3279" s="248"/>
    </row>
    <row r="3280" spans="1:4">
      <c r="A3280" s="248"/>
      <c r="B3280" s="249"/>
      <c r="C3280" s="248"/>
      <c r="D3280" s="248"/>
    </row>
    <row r="3281" spans="1:4">
      <c r="A3281" s="248"/>
      <c r="B3281" s="249"/>
      <c r="C3281" s="248"/>
      <c r="D3281" s="248"/>
    </row>
    <row r="3282" spans="1:4">
      <c r="A3282" s="248"/>
      <c r="B3282" s="249"/>
      <c r="C3282" s="248"/>
      <c r="D3282" s="248"/>
    </row>
    <row r="3283" spans="1:4">
      <c r="A3283" s="248"/>
      <c r="B3283" s="249"/>
      <c r="C3283" s="248"/>
      <c r="D3283" s="248"/>
    </row>
    <row r="3284" spans="1:4">
      <c r="A3284" s="246"/>
      <c r="B3284" s="246"/>
      <c r="C3284" s="246"/>
      <c r="D3284" s="247"/>
    </row>
    <row r="3285" spans="1:4">
      <c r="A3285" s="248"/>
      <c r="B3285" s="249"/>
      <c r="C3285" s="248"/>
      <c r="D3285" s="248"/>
    </row>
    <row r="3286" spans="1:4">
      <c r="A3286" s="248"/>
      <c r="B3286" s="249"/>
      <c r="C3286" s="248"/>
      <c r="D3286" s="248"/>
    </row>
    <row r="3287" spans="1:4">
      <c r="A3287" s="248"/>
      <c r="B3287" s="249"/>
      <c r="C3287" s="248"/>
      <c r="D3287" s="248"/>
    </row>
    <row r="3288" spans="1:4">
      <c r="A3288" s="248"/>
      <c r="B3288" s="249"/>
      <c r="C3288" s="248"/>
      <c r="D3288" s="248"/>
    </row>
    <row r="3289" spans="1:4">
      <c r="A3289" s="248"/>
      <c r="B3289" s="249"/>
      <c r="C3289" s="248"/>
      <c r="D3289" s="248"/>
    </row>
    <row r="3290" spans="1:4">
      <c r="A3290" s="248"/>
      <c r="B3290" s="249"/>
      <c r="C3290" s="248"/>
      <c r="D3290" s="248"/>
    </row>
    <row r="3291" spans="1:4">
      <c r="A3291" s="248"/>
      <c r="B3291" s="249"/>
      <c r="C3291" s="248"/>
      <c r="D3291" s="248"/>
    </row>
    <row r="3292" spans="1:4">
      <c r="A3292" s="248"/>
      <c r="B3292" s="249"/>
      <c r="C3292" s="248"/>
      <c r="D3292" s="248"/>
    </row>
    <row r="3293" spans="1:4">
      <c r="A3293" s="248"/>
      <c r="B3293" s="249"/>
      <c r="C3293" s="248"/>
      <c r="D3293" s="248"/>
    </row>
    <row r="3294" spans="1:4">
      <c r="A3294" s="248"/>
      <c r="B3294" s="249"/>
      <c r="C3294" s="248"/>
      <c r="D3294" s="248"/>
    </row>
    <row r="3295" spans="1:4">
      <c r="A3295" s="248"/>
      <c r="B3295" s="249"/>
      <c r="C3295" s="248"/>
      <c r="D3295" s="248"/>
    </row>
    <row r="3296" spans="1:4">
      <c r="A3296" s="248"/>
      <c r="B3296" s="249"/>
      <c r="C3296" s="248"/>
      <c r="D3296" s="248"/>
    </row>
    <row r="3297" spans="1:4">
      <c r="A3297" s="248"/>
      <c r="B3297" s="249"/>
      <c r="C3297" s="248"/>
      <c r="D3297" s="248"/>
    </row>
    <row r="3298" spans="1:4">
      <c r="A3298" s="248"/>
      <c r="B3298" s="249"/>
      <c r="C3298" s="248"/>
      <c r="D3298" s="248"/>
    </row>
    <row r="3299" spans="1:4">
      <c r="A3299" s="248"/>
      <c r="B3299" s="249"/>
      <c r="C3299" s="248"/>
      <c r="D3299" s="248"/>
    </row>
    <row r="3300" spans="1:4">
      <c r="A3300" s="246"/>
      <c r="B3300" s="246"/>
      <c r="C3300" s="246"/>
      <c r="D3300" s="247"/>
    </row>
    <row r="3301" spans="1:4">
      <c r="A3301" s="248"/>
      <c r="B3301" s="249"/>
      <c r="C3301" s="248"/>
      <c r="D3301" s="248"/>
    </row>
    <row r="3302" spans="1:4">
      <c r="A3302" s="248"/>
      <c r="B3302" s="249"/>
      <c r="C3302" s="248"/>
      <c r="D3302" s="248"/>
    </row>
    <row r="3303" spans="1:4">
      <c r="A3303" s="248"/>
      <c r="B3303" s="249"/>
      <c r="C3303" s="248"/>
      <c r="D3303" s="248"/>
    </row>
    <row r="3304" spans="1:4">
      <c r="A3304" s="248"/>
      <c r="B3304" s="249"/>
      <c r="C3304" s="248"/>
      <c r="D3304" s="248"/>
    </row>
    <row r="3305" spans="1:4">
      <c r="A3305" s="248"/>
      <c r="B3305" s="249"/>
      <c r="C3305" s="248"/>
      <c r="D3305" s="248"/>
    </row>
    <row r="3306" spans="1:4">
      <c r="A3306" s="248"/>
      <c r="B3306" s="249"/>
      <c r="C3306" s="248"/>
      <c r="D3306" s="248"/>
    </row>
    <row r="3307" spans="1:4">
      <c r="A3307" s="248"/>
      <c r="B3307" s="249"/>
      <c r="C3307" s="248"/>
      <c r="D3307" s="248"/>
    </row>
    <row r="3308" spans="1:4">
      <c r="A3308" s="248"/>
      <c r="B3308" s="249"/>
      <c r="C3308" s="248"/>
      <c r="D3308" s="248"/>
    </row>
    <row r="3309" spans="1:4">
      <c r="A3309" s="248"/>
      <c r="B3309" s="249"/>
      <c r="C3309" s="248"/>
      <c r="D3309" s="248"/>
    </row>
    <row r="3310" spans="1:4">
      <c r="A3310" s="248"/>
      <c r="B3310" s="249"/>
      <c r="C3310" s="248"/>
      <c r="D3310" s="248"/>
    </row>
    <row r="3311" spans="1:4">
      <c r="A3311" s="248"/>
      <c r="B3311" s="249"/>
      <c r="C3311" s="248"/>
      <c r="D3311" s="248"/>
    </row>
    <row r="3312" spans="1:4">
      <c r="A3312" s="248"/>
      <c r="B3312" s="249"/>
      <c r="C3312" s="248"/>
      <c r="D3312" s="248"/>
    </row>
    <row r="3313" spans="1:4">
      <c r="A3313" s="248"/>
      <c r="B3313" s="249"/>
      <c r="C3313" s="248"/>
      <c r="D3313" s="248"/>
    </row>
    <row r="3314" spans="1:4">
      <c r="A3314" s="248"/>
      <c r="B3314" s="249"/>
      <c r="C3314" s="248"/>
      <c r="D3314" s="248"/>
    </row>
    <row r="3315" spans="1:4">
      <c r="A3315" s="248"/>
      <c r="B3315" s="249"/>
      <c r="C3315" s="248"/>
      <c r="D3315" s="248"/>
    </row>
    <row r="3316" spans="1:4">
      <c r="A3316" s="248"/>
      <c r="B3316" s="249"/>
      <c r="C3316" s="248"/>
      <c r="D3316" s="248"/>
    </row>
    <row r="3317" spans="1:4">
      <c r="A3317" s="248"/>
      <c r="B3317" s="249"/>
      <c r="C3317" s="248"/>
      <c r="D3317" s="248"/>
    </row>
    <row r="3318" spans="1:4">
      <c r="A3318" s="248"/>
      <c r="B3318" s="249"/>
      <c r="C3318" s="248"/>
      <c r="D3318" s="248"/>
    </row>
    <row r="3319" spans="1:4">
      <c r="A3319" s="248"/>
      <c r="B3319" s="249"/>
      <c r="C3319" s="248"/>
      <c r="D3319" s="248"/>
    </row>
    <row r="3320" spans="1:4">
      <c r="A3320" s="248"/>
      <c r="B3320" s="249"/>
      <c r="C3320" s="248"/>
      <c r="D3320" s="248"/>
    </row>
    <row r="3321" spans="1:4">
      <c r="A3321" s="248"/>
      <c r="B3321" s="249"/>
      <c r="C3321" s="248"/>
      <c r="D3321" s="248"/>
    </row>
    <row r="3322" spans="1:4">
      <c r="A3322" s="246"/>
      <c r="B3322" s="246"/>
      <c r="C3322" s="246"/>
      <c r="D3322" s="247"/>
    </row>
    <row r="3323" spans="1:4">
      <c r="A3323" s="248"/>
      <c r="B3323" s="249"/>
      <c r="C3323" s="248"/>
      <c r="D3323" s="248"/>
    </row>
    <row r="3324" spans="1:4">
      <c r="A3324" s="248"/>
      <c r="B3324" s="249"/>
      <c r="C3324" s="248"/>
      <c r="D3324" s="248"/>
    </row>
    <row r="3325" spans="1:4">
      <c r="A3325" s="248"/>
      <c r="B3325" s="249"/>
      <c r="C3325" s="248"/>
      <c r="D3325" s="248"/>
    </row>
    <row r="3326" spans="1:4">
      <c r="A3326" s="248"/>
      <c r="B3326" s="249"/>
      <c r="C3326" s="248"/>
      <c r="D3326" s="248"/>
    </row>
    <row r="3327" spans="1:4">
      <c r="A3327" s="248"/>
      <c r="B3327" s="249"/>
      <c r="C3327" s="248"/>
      <c r="D3327" s="248"/>
    </row>
    <row r="3328" spans="1:4">
      <c r="A3328" s="246"/>
      <c r="B3328" s="246"/>
      <c r="C3328" s="246"/>
      <c r="D3328" s="247"/>
    </row>
    <row r="3329" spans="1:4">
      <c r="A3329" s="248"/>
      <c r="B3329" s="249"/>
      <c r="C3329" s="248"/>
      <c r="D3329" s="248"/>
    </row>
    <row r="3330" spans="1:4">
      <c r="A3330" s="248"/>
      <c r="B3330" s="249"/>
      <c r="C3330" s="248"/>
      <c r="D3330" s="248"/>
    </row>
    <row r="3331" spans="1:4">
      <c r="A3331" s="246"/>
      <c r="B3331" s="246"/>
      <c r="C3331" s="246"/>
      <c r="D3331" s="247"/>
    </row>
    <row r="3332" spans="1:4">
      <c r="A3332" s="248"/>
      <c r="B3332" s="249"/>
      <c r="C3332" s="248"/>
      <c r="D3332" s="248"/>
    </row>
    <row r="3333" spans="1:4">
      <c r="A3333" s="248"/>
      <c r="B3333" s="249"/>
      <c r="C3333" s="248"/>
      <c r="D3333" s="248"/>
    </row>
    <row r="3334" spans="1:4">
      <c r="A3334" s="248"/>
      <c r="B3334" s="249"/>
      <c r="C3334" s="248"/>
      <c r="D3334" s="248"/>
    </row>
    <row r="3335" spans="1:4">
      <c r="A3335" s="246"/>
      <c r="B3335" s="246"/>
      <c r="C3335" s="246"/>
      <c r="D3335" s="247"/>
    </row>
    <row r="3336" spans="1:4">
      <c r="A3336" s="248"/>
      <c r="B3336" s="249"/>
      <c r="C3336" s="248"/>
      <c r="D3336" s="248"/>
    </row>
    <row r="3337" spans="1:4">
      <c r="A3337" s="251"/>
      <c r="B3337" s="251"/>
      <c r="C3337" s="251"/>
      <c r="D3337" s="252"/>
    </row>
    <row r="3338" spans="1:4">
      <c r="A3338" s="246"/>
      <c r="B3338" s="246"/>
      <c r="C3338" s="246"/>
      <c r="D3338" s="247"/>
    </row>
    <row r="3339" spans="1:4">
      <c r="A3339" s="248"/>
      <c r="B3339" s="249"/>
      <c r="C3339" s="248"/>
      <c r="D3339" s="248"/>
    </row>
    <row r="3340" spans="1:4">
      <c r="A3340" s="248"/>
      <c r="B3340" s="249"/>
      <c r="C3340" s="248"/>
      <c r="D3340" s="248"/>
    </row>
    <row r="3341" spans="1:4">
      <c r="A3341" s="248"/>
      <c r="B3341" s="249"/>
      <c r="C3341" s="248"/>
      <c r="D3341" s="248"/>
    </row>
    <row r="3342" spans="1:4">
      <c r="A3342" s="248"/>
      <c r="B3342" s="249"/>
      <c r="C3342" s="248"/>
      <c r="D3342" s="248"/>
    </row>
    <row r="3343" spans="1:4">
      <c r="A3343" s="248"/>
      <c r="B3343" s="249"/>
      <c r="C3343" s="248"/>
      <c r="D3343" s="248"/>
    </row>
    <row r="3344" spans="1:4">
      <c r="A3344" s="248"/>
      <c r="B3344" s="249"/>
      <c r="C3344" s="248"/>
      <c r="D3344" s="248"/>
    </row>
    <row r="3345" spans="1:4">
      <c r="A3345" s="248"/>
      <c r="B3345" s="249"/>
      <c r="C3345" s="248"/>
      <c r="D3345" s="248"/>
    </row>
    <row r="3346" spans="1:4">
      <c r="A3346" s="248"/>
      <c r="B3346" s="249"/>
      <c r="C3346" s="248"/>
      <c r="D3346" s="248"/>
    </row>
    <row r="3347" spans="1:4">
      <c r="A3347" s="248"/>
      <c r="B3347" s="249"/>
      <c r="C3347" s="248"/>
      <c r="D3347" s="248"/>
    </row>
    <row r="3348" spans="1:4">
      <c r="A3348" s="248"/>
      <c r="B3348" s="249"/>
      <c r="C3348" s="248"/>
      <c r="D3348" s="248"/>
    </row>
    <row r="3349" spans="1:4">
      <c r="A3349" s="248"/>
      <c r="B3349" s="249"/>
      <c r="C3349" s="248"/>
      <c r="D3349" s="248"/>
    </row>
    <row r="3350" spans="1:4">
      <c r="A3350" s="246"/>
      <c r="B3350" s="246"/>
      <c r="C3350" s="246"/>
      <c r="D3350" s="247"/>
    </row>
    <row r="3351" spans="1:4">
      <c r="A3351" s="248"/>
      <c r="B3351" s="249"/>
      <c r="C3351" s="248"/>
      <c r="D3351" s="248"/>
    </row>
    <row r="3352" spans="1:4">
      <c r="A3352" s="248"/>
      <c r="B3352" s="249"/>
      <c r="C3352" s="248"/>
      <c r="D3352" s="248"/>
    </row>
    <row r="3353" spans="1:4">
      <c r="A3353" s="248"/>
      <c r="B3353" s="249"/>
      <c r="C3353" s="248"/>
      <c r="D3353" s="248"/>
    </row>
    <row r="3354" spans="1:4">
      <c r="A3354" s="248"/>
      <c r="B3354" s="249"/>
      <c r="C3354" s="248"/>
      <c r="D3354" s="248"/>
    </row>
    <row r="3355" spans="1:4">
      <c r="A3355" s="248"/>
      <c r="B3355" s="249"/>
      <c r="C3355" s="248"/>
      <c r="D3355" s="248"/>
    </row>
    <row r="3356" spans="1:4">
      <c r="A3356" s="248"/>
      <c r="B3356" s="249"/>
      <c r="C3356" s="248"/>
      <c r="D3356" s="248"/>
    </row>
    <row r="3357" spans="1:4">
      <c r="A3357" s="248"/>
      <c r="B3357" s="249"/>
      <c r="C3357" s="248"/>
      <c r="D3357" s="248"/>
    </row>
    <row r="3358" spans="1:4">
      <c r="A3358" s="248"/>
      <c r="B3358" s="249"/>
      <c r="C3358" s="248"/>
      <c r="D3358" s="248"/>
    </row>
    <row r="3359" spans="1:4">
      <c r="A3359" s="248"/>
      <c r="B3359" s="249"/>
      <c r="C3359" s="248"/>
      <c r="D3359" s="248"/>
    </row>
    <row r="3360" spans="1:4">
      <c r="A3360" s="248"/>
      <c r="B3360" s="249"/>
      <c r="C3360" s="248"/>
      <c r="D3360" s="248"/>
    </row>
    <row r="3361" spans="1:4">
      <c r="A3361" s="248"/>
      <c r="B3361" s="249"/>
      <c r="C3361" s="248"/>
      <c r="D3361" s="248"/>
    </row>
    <row r="3362" spans="1:4">
      <c r="A3362" s="248"/>
      <c r="B3362" s="249"/>
      <c r="C3362" s="248"/>
      <c r="D3362" s="248"/>
    </row>
    <row r="3363" spans="1:4">
      <c r="A3363" s="248"/>
      <c r="B3363" s="249"/>
      <c r="C3363" s="248"/>
      <c r="D3363" s="248"/>
    </row>
    <row r="3364" spans="1:4">
      <c r="A3364" s="248"/>
      <c r="B3364" s="249"/>
      <c r="C3364" s="248"/>
      <c r="D3364" s="248"/>
    </row>
    <row r="3365" spans="1:4">
      <c r="A3365" s="248"/>
      <c r="B3365" s="249"/>
      <c r="C3365" s="248"/>
      <c r="D3365" s="248"/>
    </row>
    <row r="3366" spans="1:4">
      <c r="A3366" s="248"/>
      <c r="B3366" s="249"/>
      <c r="C3366" s="248"/>
      <c r="D3366" s="248"/>
    </row>
    <row r="3367" spans="1:4">
      <c r="A3367" s="248"/>
      <c r="B3367" s="249"/>
      <c r="C3367" s="248"/>
      <c r="D3367" s="248"/>
    </row>
    <row r="3368" spans="1:4">
      <c r="A3368" s="248"/>
      <c r="B3368" s="249"/>
      <c r="C3368" s="248"/>
      <c r="D3368" s="248"/>
    </row>
    <row r="3369" spans="1:4">
      <c r="A3369" s="248"/>
      <c r="B3369" s="249"/>
      <c r="C3369" s="248"/>
      <c r="D3369" s="248"/>
    </row>
    <row r="3370" spans="1:4">
      <c r="A3370" s="248"/>
      <c r="B3370" s="249"/>
      <c r="C3370" s="248"/>
      <c r="D3370" s="248"/>
    </row>
    <row r="3371" spans="1:4">
      <c r="A3371" s="248"/>
      <c r="B3371" s="249"/>
      <c r="C3371" s="248"/>
      <c r="D3371" s="248"/>
    </row>
    <row r="3372" spans="1:4">
      <c r="A3372" s="248"/>
      <c r="B3372" s="249"/>
      <c r="C3372" s="248"/>
      <c r="D3372" s="248"/>
    </row>
    <row r="3373" spans="1:4">
      <c r="A3373" s="246"/>
      <c r="B3373" s="246"/>
      <c r="C3373" s="246"/>
      <c r="D3373" s="247"/>
    </row>
    <row r="3374" spans="1:4">
      <c r="A3374" s="248"/>
      <c r="B3374" s="249"/>
      <c r="C3374" s="248"/>
      <c r="D3374" s="248"/>
    </row>
    <row r="3375" spans="1:4">
      <c r="A3375" s="248"/>
      <c r="B3375" s="249"/>
      <c r="C3375" s="248"/>
      <c r="D3375" s="248"/>
    </row>
    <row r="3376" spans="1:4">
      <c r="A3376" s="248"/>
      <c r="B3376" s="249"/>
      <c r="C3376" s="248"/>
      <c r="D3376" s="248"/>
    </row>
    <row r="3377" spans="1:4">
      <c r="A3377" s="248"/>
      <c r="B3377" s="249"/>
      <c r="C3377" s="248"/>
      <c r="D3377" s="248"/>
    </row>
    <row r="3378" spans="1:4">
      <c r="A3378" s="248"/>
      <c r="B3378" s="249"/>
      <c r="C3378" s="248"/>
      <c r="D3378" s="248"/>
    </row>
    <row r="3379" spans="1:4">
      <c r="A3379" s="246"/>
      <c r="B3379" s="246"/>
      <c r="C3379" s="246"/>
      <c r="D3379" s="247"/>
    </row>
    <row r="3380" spans="1:4">
      <c r="A3380" s="248"/>
      <c r="B3380" s="249"/>
      <c r="C3380" s="248"/>
      <c r="D3380" s="248"/>
    </row>
    <row r="3381" spans="1:4">
      <c r="A3381" s="248"/>
      <c r="B3381" s="249"/>
      <c r="C3381" s="248"/>
      <c r="D3381" s="248"/>
    </row>
    <row r="3382" spans="1:4">
      <c r="A3382" s="248"/>
      <c r="B3382" s="249"/>
      <c r="C3382" s="248"/>
      <c r="D3382" s="248"/>
    </row>
    <row r="3383" spans="1:4">
      <c r="A3383" s="248"/>
      <c r="B3383" s="249"/>
      <c r="C3383" s="248"/>
      <c r="D3383" s="248"/>
    </row>
    <row r="3384" spans="1:4">
      <c r="A3384" s="248"/>
      <c r="B3384" s="249"/>
      <c r="C3384" s="248"/>
      <c r="D3384" s="248"/>
    </row>
    <row r="3385" spans="1:4">
      <c r="A3385" s="248"/>
      <c r="B3385" s="249"/>
      <c r="C3385" s="248"/>
      <c r="D3385" s="248"/>
    </row>
    <row r="3386" spans="1:4">
      <c r="A3386" s="246"/>
      <c r="B3386" s="246"/>
      <c r="C3386" s="246"/>
      <c r="D3386" s="247"/>
    </row>
    <row r="3387" spans="1:4">
      <c r="A3387" s="248"/>
      <c r="B3387" s="249"/>
      <c r="C3387" s="248"/>
      <c r="D3387" s="248"/>
    </row>
    <row r="3388" spans="1:4">
      <c r="A3388" s="248"/>
      <c r="B3388" s="249"/>
      <c r="C3388" s="248"/>
      <c r="D3388" s="248"/>
    </row>
    <row r="3389" spans="1:4">
      <c r="A3389" s="248"/>
      <c r="B3389" s="249"/>
      <c r="C3389" s="248"/>
      <c r="D3389" s="248"/>
    </row>
    <row r="3390" spans="1:4">
      <c r="A3390" s="248"/>
      <c r="B3390" s="249"/>
      <c r="C3390" s="248"/>
      <c r="D3390" s="248"/>
    </row>
    <row r="3391" spans="1:4">
      <c r="A3391" s="246"/>
      <c r="B3391" s="246"/>
      <c r="C3391" s="246"/>
      <c r="D3391" s="247"/>
    </row>
    <row r="3392" spans="1:4">
      <c r="A3392" s="248"/>
      <c r="B3392" s="249"/>
      <c r="C3392" s="248"/>
      <c r="D3392" s="248"/>
    </row>
    <row r="3393" spans="1:4">
      <c r="A3393" s="248"/>
      <c r="B3393" s="249"/>
      <c r="C3393" s="248"/>
      <c r="D3393" s="248"/>
    </row>
    <row r="3394" spans="1:4">
      <c r="A3394" s="248"/>
      <c r="B3394" s="249"/>
      <c r="C3394" s="248"/>
      <c r="D3394" s="248"/>
    </row>
    <row r="3395" spans="1:4">
      <c r="A3395" s="248"/>
      <c r="B3395" s="249"/>
      <c r="C3395" s="248"/>
      <c r="D3395" s="248"/>
    </row>
    <row r="3396" spans="1:4">
      <c r="A3396" s="246"/>
      <c r="B3396" s="246"/>
      <c r="C3396" s="246"/>
      <c r="D3396" s="247"/>
    </row>
    <row r="3397" spans="1:4">
      <c r="A3397" s="248"/>
      <c r="B3397" s="249"/>
      <c r="C3397" s="248"/>
      <c r="D3397" s="248"/>
    </row>
    <row r="3398" spans="1:4">
      <c r="A3398" s="248"/>
      <c r="B3398" s="249"/>
      <c r="C3398" s="248"/>
      <c r="D3398" s="248"/>
    </row>
    <row r="3399" spans="1:4">
      <c r="A3399" s="246"/>
      <c r="B3399" s="246"/>
      <c r="C3399" s="246"/>
      <c r="D3399" s="247"/>
    </row>
    <row r="3400" spans="1:4">
      <c r="A3400" s="248"/>
      <c r="B3400" s="249"/>
      <c r="C3400" s="248"/>
      <c r="D3400" s="248"/>
    </row>
    <row r="3401" spans="1:4">
      <c r="A3401" s="248"/>
      <c r="B3401" s="249"/>
      <c r="C3401" s="248"/>
      <c r="D3401" s="248"/>
    </row>
    <row r="3402" spans="1:4">
      <c r="A3402" s="248"/>
      <c r="B3402" s="249"/>
      <c r="C3402" s="248"/>
      <c r="D3402" s="248"/>
    </row>
    <row r="3403" spans="1:4">
      <c r="A3403" s="248"/>
      <c r="B3403" s="249"/>
      <c r="C3403" s="248"/>
      <c r="D3403" s="248"/>
    </row>
    <row r="3404" spans="1:4">
      <c r="A3404" s="246"/>
      <c r="B3404" s="246"/>
      <c r="C3404" s="246"/>
      <c r="D3404" s="247"/>
    </row>
    <row r="3405" spans="1:4">
      <c r="A3405" s="248"/>
      <c r="B3405" s="249"/>
      <c r="C3405" s="248"/>
      <c r="D3405" s="248"/>
    </row>
    <row r="3406" spans="1:4">
      <c r="A3406" s="246"/>
      <c r="B3406" s="246"/>
      <c r="C3406" s="246"/>
      <c r="D3406" s="247"/>
    </row>
    <row r="3407" spans="1:4">
      <c r="A3407" s="248"/>
      <c r="B3407" s="249"/>
      <c r="C3407" s="248"/>
      <c r="D3407" s="248"/>
    </row>
    <row r="3408" spans="1:4">
      <c r="A3408" s="246"/>
      <c r="B3408" s="246"/>
      <c r="C3408" s="246"/>
      <c r="D3408" s="247"/>
    </row>
    <row r="3409" spans="1:4">
      <c r="A3409" s="248"/>
      <c r="B3409" s="249"/>
      <c r="C3409" s="248"/>
      <c r="D3409" s="248"/>
    </row>
    <row r="3410" spans="1:4">
      <c r="A3410" s="248"/>
      <c r="B3410" s="249"/>
      <c r="C3410" s="248"/>
      <c r="D3410" s="248"/>
    </row>
    <row r="3411" spans="1:4">
      <c r="A3411" s="248"/>
      <c r="B3411" s="249"/>
      <c r="C3411" s="248"/>
      <c r="D3411" s="248"/>
    </row>
    <row r="3412" spans="1:4">
      <c r="A3412" s="248"/>
      <c r="B3412" s="249"/>
      <c r="C3412" s="248"/>
      <c r="D3412" s="248"/>
    </row>
    <row r="3413" spans="1:4">
      <c r="A3413" s="248"/>
      <c r="B3413" s="249"/>
      <c r="C3413" s="248"/>
      <c r="D3413" s="248"/>
    </row>
    <row r="3414" spans="1:4">
      <c r="A3414" s="248"/>
      <c r="B3414" s="249"/>
      <c r="C3414" s="248"/>
      <c r="D3414" s="248"/>
    </row>
    <row r="3415" spans="1:4">
      <c r="A3415" s="248"/>
      <c r="B3415" s="249"/>
      <c r="C3415" s="248"/>
      <c r="D3415" s="248"/>
    </row>
    <row r="3416" spans="1:4">
      <c r="A3416" s="248"/>
      <c r="B3416" s="249"/>
      <c r="C3416" s="248"/>
      <c r="D3416" s="248"/>
    </row>
    <row r="3417" spans="1:4">
      <c r="A3417" s="248"/>
      <c r="B3417" s="249"/>
      <c r="C3417" s="248"/>
      <c r="D3417" s="248"/>
    </row>
    <row r="3418" spans="1:4">
      <c r="A3418" s="248"/>
      <c r="B3418" s="249"/>
      <c r="C3418" s="248"/>
      <c r="D3418" s="248"/>
    </row>
    <row r="3419" spans="1:4">
      <c r="A3419" s="248"/>
      <c r="B3419" s="249"/>
      <c r="C3419" s="248"/>
      <c r="D3419" s="248"/>
    </row>
    <row r="3420" spans="1:4">
      <c r="A3420" s="248"/>
      <c r="B3420" s="249"/>
      <c r="C3420" s="248"/>
      <c r="D3420" s="248"/>
    </row>
    <row r="3421" spans="1:4">
      <c r="A3421" s="248"/>
      <c r="B3421" s="249"/>
      <c r="C3421" s="248"/>
      <c r="D3421" s="248"/>
    </row>
    <row r="3422" spans="1:4">
      <c r="A3422" s="248"/>
      <c r="B3422" s="249"/>
      <c r="C3422" s="248"/>
      <c r="D3422" s="248"/>
    </row>
    <row r="3423" spans="1:4">
      <c r="A3423" s="248"/>
      <c r="B3423" s="249"/>
      <c r="C3423" s="248"/>
      <c r="D3423" s="248"/>
    </row>
    <row r="3424" spans="1:4">
      <c r="A3424" s="246"/>
      <c r="B3424" s="246"/>
      <c r="C3424" s="246"/>
      <c r="D3424" s="247"/>
    </row>
    <row r="3425" spans="1:4">
      <c r="A3425" s="248"/>
      <c r="B3425" s="249"/>
      <c r="C3425" s="248"/>
      <c r="D3425" s="248"/>
    </row>
    <row r="3426" spans="1:4">
      <c r="A3426" s="248"/>
      <c r="B3426" s="249"/>
      <c r="C3426" s="248"/>
      <c r="D3426" s="248"/>
    </row>
    <row r="3427" spans="1:4">
      <c r="A3427" s="248"/>
      <c r="B3427" s="249"/>
      <c r="C3427" s="248"/>
      <c r="D3427" s="248"/>
    </row>
    <row r="3428" spans="1:4">
      <c r="A3428" s="248"/>
      <c r="B3428" s="249"/>
      <c r="C3428" s="248"/>
      <c r="D3428" s="248"/>
    </row>
    <row r="3429" spans="1:4">
      <c r="A3429" s="251"/>
      <c r="B3429" s="251"/>
      <c r="C3429" s="251"/>
      <c r="D3429" s="252"/>
    </row>
    <row r="3430" spans="1:4">
      <c r="A3430" s="246"/>
      <c r="B3430" s="246"/>
      <c r="C3430" s="246"/>
      <c r="D3430" s="247"/>
    </row>
    <row r="3431" spans="1:4">
      <c r="A3431" s="248"/>
      <c r="B3431" s="249"/>
      <c r="C3431" s="248"/>
      <c r="D3431" s="248"/>
    </row>
    <row r="3432" spans="1:4">
      <c r="A3432" s="248"/>
      <c r="B3432" s="249"/>
      <c r="C3432" s="248"/>
      <c r="D3432" s="248"/>
    </row>
    <row r="3433" spans="1:4">
      <c r="A3433" s="248"/>
      <c r="B3433" s="249"/>
      <c r="C3433" s="248"/>
      <c r="D3433" s="248"/>
    </row>
    <row r="3434" spans="1:4">
      <c r="A3434" s="248"/>
      <c r="B3434" s="249"/>
      <c r="C3434" s="248"/>
      <c r="D3434" s="248"/>
    </row>
    <row r="3435" spans="1:4">
      <c r="A3435" s="248"/>
      <c r="B3435" s="249"/>
      <c r="C3435" s="248"/>
      <c r="D3435" s="248"/>
    </row>
    <row r="3436" spans="1:4">
      <c r="A3436" s="248"/>
      <c r="B3436" s="249"/>
      <c r="C3436" s="248"/>
      <c r="D3436" s="248"/>
    </row>
    <row r="3437" spans="1:4">
      <c r="A3437" s="248"/>
      <c r="B3437" s="249"/>
      <c r="C3437" s="248"/>
      <c r="D3437" s="248"/>
    </row>
    <row r="3438" spans="1:4">
      <c r="A3438" s="248"/>
      <c r="B3438" s="249"/>
      <c r="C3438" s="248"/>
      <c r="D3438" s="248"/>
    </row>
    <row r="3439" spans="1:4">
      <c r="A3439" s="248"/>
      <c r="B3439" s="249"/>
      <c r="C3439" s="248"/>
      <c r="D3439" s="248"/>
    </row>
    <row r="3440" spans="1:4">
      <c r="A3440" s="248"/>
      <c r="B3440" s="249"/>
      <c r="C3440" s="248"/>
      <c r="D3440" s="248"/>
    </row>
    <row r="3441" spans="1:4">
      <c r="A3441" s="248"/>
      <c r="B3441" s="249"/>
      <c r="C3441" s="248"/>
      <c r="D3441" s="248"/>
    </row>
    <row r="3442" spans="1:4">
      <c r="A3442" s="248"/>
      <c r="B3442" s="249"/>
      <c r="C3442" s="248"/>
      <c r="D3442" s="248"/>
    </row>
    <row r="3443" spans="1:4">
      <c r="A3443" s="248"/>
      <c r="B3443" s="249"/>
      <c r="C3443" s="248"/>
      <c r="D3443" s="248"/>
    </row>
    <row r="3444" spans="1:4">
      <c r="A3444" s="248"/>
      <c r="B3444" s="249"/>
      <c r="C3444" s="248"/>
      <c r="D3444" s="248"/>
    </row>
    <row r="3445" spans="1:4">
      <c r="A3445" s="248"/>
      <c r="B3445" s="249"/>
      <c r="C3445" s="248"/>
      <c r="D3445" s="248"/>
    </row>
    <row r="3446" spans="1:4">
      <c r="A3446" s="248"/>
      <c r="B3446" s="249"/>
      <c r="C3446" s="248"/>
      <c r="D3446" s="248"/>
    </row>
    <row r="3447" spans="1:4">
      <c r="A3447" s="248"/>
      <c r="B3447" s="249"/>
      <c r="C3447" s="248"/>
      <c r="D3447" s="248"/>
    </row>
    <row r="3448" spans="1:4">
      <c r="A3448" s="248"/>
      <c r="B3448" s="249"/>
      <c r="C3448" s="248"/>
      <c r="D3448" s="248"/>
    </row>
    <row r="3449" spans="1:4">
      <c r="A3449" s="248"/>
      <c r="B3449" s="249"/>
      <c r="C3449" s="248"/>
      <c r="D3449" s="248"/>
    </row>
    <row r="3450" spans="1:4">
      <c r="A3450" s="248"/>
      <c r="B3450" s="249"/>
      <c r="C3450" s="248"/>
      <c r="D3450" s="248"/>
    </row>
    <row r="3451" spans="1:4">
      <c r="A3451" s="248"/>
      <c r="B3451" s="249"/>
      <c r="C3451" s="248"/>
      <c r="D3451" s="248"/>
    </row>
    <row r="3452" spans="1:4">
      <c r="A3452" s="248"/>
      <c r="B3452" s="249"/>
      <c r="C3452" s="248"/>
      <c r="D3452" s="248"/>
    </row>
    <row r="3453" spans="1:4">
      <c r="A3453" s="248"/>
      <c r="B3453" s="249"/>
      <c r="C3453" s="248"/>
      <c r="D3453" s="248"/>
    </row>
    <row r="3454" spans="1:4">
      <c r="A3454" s="248"/>
      <c r="B3454" s="249"/>
      <c r="C3454" s="248"/>
      <c r="D3454" s="248"/>
    </row>
    <row r="3455" spans="1:4">
      <c r="A3455" s="248"/>
      <c r="B3455" s="249"/>
      <c r="C3455" s="248"/>
      <c r="D3455" s="248"/>
    </row>
    <row r="3456" spans="1:4">
      <c r="A3456" s="248"/>
      <c r="B3456" s="249"/>
      <c r="C3456" s="248"/>
      <c r="D3456" s="248"/>
    </row>
    <row r="3457" spans="1:4">
      <c r="A3457" s="248"/>
      <c r="B3457" s="249"/>
      <c r="C3457" s="248"/>
      <c r="D3457" s="248"/>
    </row>
    <row r="3458" spans="1:4">
      <c r="A3458" s="248"/>
      <c r="B3458" s="249"/>
      <c r="C3458" s="248"/>
      <c r="D3458" s="248"/>
    </row>
    <row r="3459" spans="1:4">
      <c r="A3459" s="248"/>
      <c r="B3459" s="249"/>
      <c r="C3459" s="248"/>
      <c r="D3459" s="248"/>
    </row>
    <row r="3460" spans="1:4">
      <c r="A3460" s="248"/>
      <c r="B3460" s="249"/>
      <c r="C3460" s="248"/>
      <c r="D3460" s="248"/>
    </row>
    <row r="3461" spans="1:4">
      <c r="A3461" s="248"/>
      <c r="B3461" s="249"/>
      <c r="C3461" s="248"/>
      <c r="D3461" s="248"/>
    </row>
    <row r="3462" spans="1:4">
      <c r="A3462" s="246"/>
      <c r="B3462" s="246"/>
      <c r="C3462" s="246"/>
      <c r="D3462" s="247"/>
    </row>
    <row r="3463" spans="1:4">
      <c r="A3463" s="248"/>
      <c r="B3463" s="249"/>
      <c r="C3463" s="248"/>
      <c r="D3463" s="248"/>
    </row>
    <row r="3464" spans="1:4">
      <c r="A3464" s="251"/>
      <c r="B3464" s="251"/>
      <c r="C3464" s="251"/>
      <c r="D3464" s="252"/>
    </row>
    <row r="3465" spans="1:4">
      <c r="A3465" s="246"/>
      <c r="B3465" s="246"/>
      <c r="C3465" s="246"/>
      <c r="D3465" s="247"/>
    </row>
    <row r="3466" spans="1:4">
      <c r="A3466" s="248"/>
      <c r="B3466" s="249"/>
      <c r="C3466" s="248"/>
      <c r="D3466" s="248"/>
    </row>
    <row r="3467" spans="1:4">
      <c r="A3467" s="248"/>
      <c r="B3467" s="249"/>
      <c r="C3467" s="248"/>
      <c r="D3467" s="248"/>
    </row>
    <row r="3468" spans="1:4">
      <c r="A3468" s="248"/>
      <c r="B3468" s="249"/>
      <c r="C3468" s="248"/>
      <c r="D3468" s="248"/>
    </row>
    <row r="3469" spans="1:4">
      <c r="A3469" s="248"/>
      <c r="B3469" s="249"/>
      <c r="C3469" s="248"/>
      <c r="D3469" s="248"/>
    </row>
    <row r="3470" spans="1:4">
      <c r="A3470" s="246"/>
      <c r="B3470" s="246"/>
      <c r="C3470" s="246"/>
      <c r="D3470" s="247"/>
    </row>
    <row r="3471" spans="1:4">
      <c r="A3471" s="248"/>
      <c r="B3471" s="249"/>
      <c r="C3471" s="248"/>
      <c r="D3471" s="248"/>
    </row>
    <row r="3472" spans="1:4">
      <c r="A3472" s="248"/>
      <c r="B3472" s="249"/>
      <c r="C3472" s="248"/>
      <c r="D3472" s="248"/>
    </row>
    <row r="3473" spans="1:4">
      <c r="A3473" s="248"/>
      <c r="B3473" s="249"/>
      <c r="C3473" s="248"/>
      <c r="D3473" s="248"/>
    </row>
    <row r="3474" spans="1:4">
      <c r="A3474" s="248"/>
      <c r="B3474" s="249"/>
      <c r="C3474" s="248"/>
      <c r="D3474" s="248"/>
    </row>
    <row r="3475" spans="1:4">
      <c r="A3475" s="248"/>
      <c r="B3475" s="249"/>
      <c r="C3475" s="248"/>
      <c r="D3475" s="248"/>
    </row>
    <row r="3476" spans="1:4">
      <c r="A3476" s="248"/>
      <c r="B3476" s="249"/>
      <c r="C3476" s="248"/>
      <c r="D3476" s="248"/>
    </row>
    <row r="3477" spans="1:4">
      <c r="A3477" s="248"/>
      <c r="B3477" s="249"/>
      <c r="C3477" s="248"/>
      <c r="D3477" s="248"/>
    </row>
    <row r="3478" spans="1:4">
      <c r="A3478" s="248"/>
      <c r="B3478" s="249"/>
      <c r="C3478" s="248"/>
      <c r="D3478" s="248"/>
    </row>
    <row r="3479" spans="1:4">
      <c r="A3479" s="246"/>
      <c r="B3479" s="246"/>
      <c r="C3479" s="246"/>
      <c r="D3479" s="247"/>
    </row>
    <row r="3480" spans="1:4">
      <c r="A3480" s="248"/>
      <c r="B3480" s="249"/>
      <c r="C3480" s="248"/>
      <c r="D3480" s="248"/>
    </row>
    <row r="3481" spans="1:4">
      <c r="A3481" s="248"/>
      <c r="B3481" s="249"/>
      <c r="C3481" s="248"/>
      <c r="D3481" s="248"/>
    </row>
    <row r="3482" spans="1:4">
      <c r="A3482" s="246"/>
      <c r="B3482" s="246"/>
      <c r="C3482" s="246"/>
      <c r="D3482" s="247"/>
    </row>
    <row r="3483" spans="1:4">
      <c r="A3483" s="248"/>
      <c r="B3483" s="249"/>
      <c r="C3483" s="248"/>
      <c r="D3483" s="248"/>
    </row>
    <row r="3484" spans="1:4">
      <c r="A3484" s="248"/>
      <c r="B3484" s="249"/>
      <c r="C3484" s="248"/>
      <c r="D3484" s="248"/>
    </row>
    <row r="3485" spans="1:4">
      <c r="A3485" s="248"/>
      <c r="B3485" s="249"/>
      <c r="C3485" s="248"/>
      <c r="D3485" s="248"/>
    </row>
    <row r="3486" spans="1:4">
      <c r="A3486" s="246"/>
      <c r="B3486" s="246"/>
      <c r="C3486" s="246"/>
      <c r="D3486" s="247"/>
    </row>
    <row r="3487" spans="1:4">
      <c r="A3487" s="248"/>
      <c r="B3487" s="249"/>
      <c r="C3487" s="248"/>
      <c r="D3487" s="248"/>
    </row>
    <row r="3488" spans="1:4">
      <c r="A3488" s="248"/>
      <c r="B3488" s="249"/>
      <c r="C3488" s="248"/>
      <c r="D3488" s="248"/>
    </row>
    <row r="3489" spans="1:4">
      <c r="A3489" s="248"/>
      <c r="B3489" s="249"/>
      <c r="C3489" s="248"/>
      <c r="D3489" s="248"/>
    </row>
    <row r="3490" spans="1:4">
      <c r="A3490" s="248"/>
      <c r="B3490" s="249"/>
      <c r="C3490" s="248"/>
      <c r="D3490" s="248"/>
    </row>
    <row r="3491" spans="1:4">
      <c r="A3491" s="248"/>
      <c r="B3491" s="249"/>
      <c r="C3491" s="248"/>
      <c r="D3491" s="248"/>
    </row>
    <row r="3492" spans="1:4">
      <c r="A3492" s="248"/>
      <c r="B3492" s="249"/>
      <c r="C3492" s="248"/>
      <c r="D3492" s="248"/>
    </row>
    <row r="3493" spans="1:4">
      <c r="A3493" s="248"/>
      <c r="B3493" s="249"/>
      <c r="C3493" s="248"/>
      <c r="D3493" s="248"/>
    </row>
    <row r="3494" spans="1:4">
      <c r="A3494" s="248"/>
      <c r="B3494" s="249"/>
      <c r="C3494" s="248"/>
      <c r="D3494" s="248"/>
    </row>
    <row r="3495" spans="1:4">
      <c r="A3495" s="248"/>
      <c r="B3495" s="249"/>
      <c r="C3495" s="248"/>
      <c r="D3495" s="248"/>
    </row>
    <row r="3496" spans="1:4">
      <c r="A3496" s="248"/>
      <c r="B3496" s="249"/>
      <c r="C3496" s="248"/>
      <c r="D3496" s="248"/>
    </row>
    <row r="3497" spans="1:4">
      <c r="A3497" s="248"/>
      <c r="B3497" s="249"/>
      <c r="C3497" s="248"/>
      <c r="D3497" s="248"/>
    </row>
    <row r="3498" spans="1:4">
      <c r="A3498" s="248"/>
      <c r="B3498" s="249"/>
      <c r="C3498" s="248"/>
      <c r="D3498" s="248"/>
    </row>
    <row r="3499" spans="1:4">
      <c r="A3499" s="248"/>
      <c r="B3499" s="249"/>
      <c r="C3499" s="248"/>
      <c r="D3499" s="248"/>
    </row>
    <row r="3500" spans="1:4">
      <c r="A3500" s="248"/>
      <c r="B3500" s="249"/>
      <c r="C3500" s="248"/>
      <c r="D3500" s="248"/>
    </row>
    <row r="3501" spans="1:4">
      <c r="A3501" s="246"/>
      <c r="B3501" s="246"/>
      <c r="C3501" s="246"/>
      <c r="D3501" s="247"/>
    </row>
    <row r="3502" spans="1:4">
      <c r="A3502" s="248"/>
      <c r="B3502" s="249"/>
      <c r="C3502" s="248"/>
      <c r="D3502" s="248"/>
    </row>
    <row r="3503" spans="1:4">
      <c r="A3503" s="248"/>
      <c r="B3503" s="249"/>
      <c r="C3503" s="248"/>
      <c r="D3503" s="248"/>
    </row>
    <row r="3504" spans="1:4">
      <c r="A3504" s="248"/>
      <c r="B3504" s="249"/>
      <c r="C3504" s="248"/>
      <c r="D3504" s="248"/>
    </row>
    <row r="3505" spans="1:4">
      <c r="A3505" s="248"/>
      <c r="B3505" s="249"/>
      <c r="C3505" s="248"/>
      <c r="D3505" s="248"/>
    </row>
    <row r="3506" spans="1:4">
      <c r="A3506" s="248"/>
      <c r="B3506" s="249"/>
      <c r="C3506" s="248"/>
      <c r="D3506" s="248"/>
    </row>
    <row r="3507" spans="1:4">
      <c r="A3507" s="246"/>
      <c r="B3507" s="246"/>
      <c r="C3507" s="246"/>
      <c r="D3507" s="247"/>
    </row>
    <row r="3508" spans="1:4">
      <c r="A3508" s="248"/>
      <c r="B3508" s="249"/>
      <c r="C3508" s="248"/>
      <c r="D3508" s="248"/>
    </row>
    <row r="3509" spans="1:4">
      <c r="A3509" s="248"/>
      <c r="B3509" s="249"/>
      <c r="C3509" s="248"/>
      <c r="D3509" s="248"/>
    </row>
    <row r="3510" spans="1:4">
      <c r="A3510" s="248"/>
      <c r="B3510" s="249"/>
      <c r="C3510" s="248"/>
      <c r="D3510" s="248"/>
    </row>
    <row r="3511" spans="1:4">
      <c r="A3511" s="248"/>
      <c r="B3511" s="249"/>
      <c r="C3511" s="248"/>
      <c r="D3511" s="248"/>
    </row>
    <row r="3512" spans="1:4">
      <c r="A3512" s="248"/>
      <c r="B3512" s="249"/>
      <c r="C3512" s="248"/>
      <c r="D3512" s="248"/>
    </row>
    <row r="3513" spans="1:4">
      <c r="A3513" s="246"/>
      <c r="B3513" s="246"/>
      <c r="C3513" s="246"/>
      <c r="D3513" s="247"/>
    </row>
    <row r="3514" spans="1:4">
      <c r="A3514" s="248"/>
      <c r="B3514" s="249"/>
      <c r="C3514" s="248"/>
      <c r="D3514" s="248"/>
    </row>
    <row r="3515" spans="1:4">
      <c r="A3515" s="248"/>
      <c r="B3515" s="249"/>
      <c r="C3515" s="248"/>
      <c r="D3515" s="248"/>
    </row>
    <row r="3516" spans="1:4">
      <c r="A3516" s="248"/>
      <c r="B3516" s="249"/>
      <c r="C3516" s="248"/>
      <c r="D3516" s="248"/>
    </row>
    <row r="3517" spans="1:4">
      <c r="A3517" s="248"/>
      <c r="B3517" s="249"/>
      <c r="C3517" s="248"/>
      <c r="D3517" s="248"/>
    </row>
    <row r="3518" spans="1:4">
      <c r="A3518" s="248"/>
      <c r="B3518" s="249"/>
      <c r="C3518" s="248"/>
      <c r="D3518" s="248"/>
    </row>
    <row r="3519" spans="1:4">
      <c r="A3519" s="248"/>
      <c r="B3519" s="249"/>
      <c r="C3519" s="248"/>
      <c r="D3519" s="248"/>
    </row>
    <row r="3520" spans="1:4">
      <c r="A3520" s="248"/>
      <c r="B3520" s="249"/>
      <c r="C3520" s="248"/>
      <c r="D3520" s="248"/>
    </row>
    <row r="3521" spans="1:4">
      <c r="A3521" s="248"/>
      <c r="B3521" s="249"/>
      <c r="C3521" s="248"/>
      <c r="D3521" s="248"/>
    </row>
    <row r="3522" spans="1:4">
      <c r="A3522" s="248"/>
      <c r="B3522" s="249"/>
      <c r="C3522" s="248"/>
      <c r="D3522" s="248"/>
    </row>
    <row r="3523" spans="1:4">
      <c r="A3523" s="248"/>
      <c r="B3523" s="249"/>
      <c r="C3523" s="248"/>
      <c r="D3523" s="248"/>
    </row>
    <row r="3524" spans="1:4">
      <c r="A3524" s="246"/>
      <c r="B3524" s="246"/>
      <c r="C3524" s="246"/>
      <c r="D3524" s="247"/>
    </row>
    <row r="3525" spans="1:4">
      <c r="A3525" s="248"/>
      <c r="B3525" s="249"/>
      <c r="C3525" s="248"/>
      <c r="D3525" s="248"/>
    </row>
    <row r="3526" spans="1:4">
      <c r="A3526" s="248"/>
      <c r="B3526" s="249"/>
      <c r="C3526" s="248"/>
      <c r="D3526" s="248"/>
    </row>
    <row r="3527" spans="1:4">
      <c r="A3527" s="246"/>
      <c r="B3527" s="246"/>
      <c r="C3527" s="246"/>
      <c r="D3527" s="247"/>
    </row>
    <row r="3528" spans="1:4">
      <c r="A3528" s="248"/>
      <c r="B3528" s="249"/>
      <c r="C3528" s="248"/>
      <c r="D3528" s="248"/>
    </row>
    <row r="3529" spans="1:4">
      <c r="A3529" s="248"/>
      <c r="B3529" s="249"/>
      <c r="C3529" s="248"/>
      <c r="D3529" s="248"/>
    </row>
    <row r="3530" spans="1:4">
      <c r="A3530" s="248"/>
      <c r="B3530" s="249"/>
      <c r="C3530" s="248"/>
      <c r="D3530" s="248"/>
    </row>
    <row r="3531" spans="1:4">
      <c r="A3531" s="248"/>
      <c r="B3531" s="249"/>
      <c r="C3531" s="248"/>
      <c r="D3531" s="248"/>
    </row>
    <row r="3532" spans="1:4">
      <c r="A3532" s="246"/>
      <c r="B3532" s="246"/>
      <c r="C3532" s="246"/>
      <c r="D3532" s="247"/>
    </row>
    <row r="3533" spans="1:4">
      <c r="A3533" s="248"/>
      <c r="B3533" s="249"/>
      <c r="C3533" s="248"/>
      <c r="D3533" s="248"/>
    </row>
    <row r="3534" spans="1:4">
      <c r="A3534" s="248"/>
      <c r="B3534" s="249"/>
      <c r="C3534" s="248"/>
      <c r="D3534" s="248"/>
    </row>
    <row r="3535" spans="1:4">
      <c r="A3535" s="248"/>
      <c r="B3535" s="249"/>
      <c r="C3535" s="248"/>
      <c r="D3535" s="248"/>
    </row>
    <row r="3536" spans="1:4">
      <c r="A3536" s="248"/>
      <c r="B3536" s="249"/>
      <c r="C3536" s="248"/>
      <c r="D3536" s="248"/>
    </row>
    <row r="3537" spans="1:4">
      <c r="A3537" s="248"/>
      <c r="B3537" s="249"/>
      <c r="C3537" s="248"/>
      <c r="D3537" s="248"/>
    </row>
    <row r="3538" spans="1:4">
      <c r="A3538" s="248"/>
      <c r="B3538" s="249"/>
      <c r="C3538" s="248"/>
      <c r="D3538" s="248"/>
    </row>
    <row r="3539" spans="1:4">
      <c r="A3539" s="248"/>
      <c r="B3539" s="249"/>
      <c r="C3539" s="248"/>
      <c r="D3539" s="248"/>
    </row>
    <row r="3540" spans="1:4">
      <c r="A3540" s="248"/>
      <c r="B3540" s="249"/>
      <c r="C3540" s="248"/>
      <c r="D3540" s="248"/>
    </row>
    <row r="3541" spans="1:4">
      <c r="A3541" s="248"/>
      <c r="B3541" s="249"/>
      <c r="C3541" s="248"/>
      <c r="D3541" s="248"/>
    </row>
    <row r="3542" spans="1:4">
      <c r="A3542" s="248"/>
      <c r="B3542" s="249"/>
      <c r="C3542" s="248"/>
      <c r="D3542" s="248"/>
    </row>
    <row r="3543" spans="1:4">
      <c r="A3543" s="248"/>
      <c r="B3543" s="249"/>
      <c r="C3543" s="248"/>
      <c r="D3543" s="248"/>
    </row>
    <row r="3544" spans="1:4">
      <c r="A3544" s="248"/>
      <c r="B3544" s="249"/>
      <c r="C3544" s="248"/>
      <c r="D3544" s="248"/>
    </row>
    <row r="3545" spans="1:4">
      <c r="A3545" s="248"/>
      <c r="B3545" s="249"/>
      <c r="C3545" s="248"/>
      <c r="D3545" s="248"/>
    </row>
    <row r="3546" spans="1:4">
      <c r="A3546" s="248"/>
      <c r="B3546" s="249"/>
      <c r="C3546" s="248"/>
      <c r="D3546" s="248"/>
    </row>
    <row r="3547" spans="1:4">
      <c r="A3547" s="248"/>
      <c r="B3547" s="249"/>
      <c r="C3547" s="248"/>
      <c r="D3547" s="248"/>
    </row>
    <row r="3548" spans="1:4">
      <c r="A3548" s="248"/>
      <c r="B3548" s="249"/>
      <c r="C3548" s="248"/>
      <c r="D3548" s="248"/>
    </row>
    <row r="3549" spans="1:4">
      <c r="A3549" s="246"/>
      <c r="B3549" s="246"/>
      <c r="C3549" s="246"/>
      <c r="D3549" s="247"/>
    </row>
    <row r="3550" spans="1:4">
      <c r="A3550" s="248"/>
      <c r="B3550" s="249"/>
      <c r="C3550" s="248"/>
      <c r="D3550" s="248"/>
    </row>
    <row r="3551" spans="1:4">
      <c r="A3551" s="248"/>
      <c r="B3551" s="249"/>
      <c r="C3551" s="248"/>
      <c r="D3551" s="248"/>
    </row>
    <row r="3552" spans="1:4">
      <c r="A3552" s="248"/>
      <c r="B3552" s="249"/>
      <c r="C3552" s="248"/>
      <c r="D3552" s="248"/>
    </row>
    <row r="3553" spans="1:4">
      <c r="A3553" s="248"/>
      <c r="B3553" s="249"/>
      <c r="C3553" s="248"/>
      <c r="D3553" s="248"/>
    </row>
    <row r="3554" spans="1:4">
      <c r="A3554" s="248"/>
      <c r="B3554" s="249"/>
      <c r="C3554" s="248"/>
      <c r="D3554" s="248"/>
    </row>
    <row r="3555" spans="1:4">
      <c r="A3555" s="248"/>
      <c r="B3555" s="249"/>
      <c r="C3555" s="248"/>
      <c r="D3555" s="248"/>
    </row>
    <row r="3556" spans="1:4">
      <c r="A3556" s="246"/>
      <c r="B3556" s="246"/>
      <c r="C3556" s="246"/>
      <c r="D3556" s="247"/>
    </row>
    <row r="3557" spans="1:4">
      <c r="A3557" s="248"/>
      <c r="B3557" s="249"/>
      <c r="C3557" s="248"/>
      <c r="D3557" s="248"/>
    </row>
    <row r="3558" spans="1:4">
      <c r="A3558" s="246"/>
      <c r="B3558" s="246"/>
      <c r="C3558" s="246"/>
      <c r="D3558" s="247"/>
    </row>
    <row r="3559" spans="1:4">
      <c r="A3559" s="248"/>
      <c r="B3559" s="249"/>
      <c r="C3559" s="248"/>
      <c r="D3559" s="248"/>
    </row>
    <row r="3560" spans="1:4">
      <c r="A3560" s="248"/>
      <c r="B3560" s="249"/>
      <c r="C3560" s="248"/>
      <c r="D3560" s="248"/>
    </row>
    <row r="3561" spans="1:4">
      <c r="A3561" s="248"/>
      <c r="B3561" s="249"/>
      <c r="C3561" s="248"/>
      <c r="D3561" s="248"/>
    </row>
    <row r="3562" spans="1:4">
      <c r="A3562" s="248"/>
      <c r="B3562" s="249"/>
      <c r="C3562" s="248"/>
      <c r="D3562" s="248"/>
    </row>
    <row r="3563" spans="1:4">
      <c r="A3563" s="248"/>
      <c r="B3563" s="249"/>
      <c r="C3563" s="248"/>
      <c r="D3563" s="248"/>
    </row>
    <row r="3564" spans="1:4">
      <c r="A3564" s="248"/>
      <c r="B3564" s="249"/>
      <c r="C3564" s="248"/>
      <c r="D3564" s="248"/>
    </row>
    <row r="3565" spans="1:4">
      <c r="A3565" s="248"/>
      <c r="B3565" s="249"/>
      <c r="C3565" s="248"/>
      <c r="D3565" s="248"/>
    </row>
    <row r="3566" spans="1:4">
      <c r="A3566" s="248"/>
      <c r="B3566" s="249"/>
      <c r="C3566" s="248"/>
      <c r="D3566" s="248"/>
    </row>
    <row r="3567" spans="1:4">
      <c r="A3567" s="248"/>
      <c r="B3567" s="249"/>
      <c r="C3567" s="248"/>
      <c r="D3567" s="248"/>
    </row>
    <row r="3568" spans="1:4">
      <c r="A3568" s="248"/>
      <c r="B3568" s="249"/>
      <c r="C3568" s="248"/>
      <c r="D3568" s="248"/>
    </row>
    <row r="3569" spans="1:4">
      <c r="A3569" s="248"/>
      <c r="B3569" s="249"/>
      <c r="C3569" s="248"/>
      <c r="D3569" s="248"/>
    </row>
    <row r="3570" spans="1:4">
      <c r="A3570" s="248"/>
      <c r="B3570" s="249"/>
      <c r="C3570" s="248"/>
      <c r="D3570" s="248"/>
    </row>
    <row r="3571" spans="1:4">
      <c r="A3571" s="248"/>
      <c r="B3571" s="249"/>
      <c r="C3571" s="248"/>
      <c r="D3571" s="248"/>
    </row>
    <row r="3572" spans="1:4">
      <c r="A3572" s="248"/>
      <c r="B3572" s="249"/>
      <c r="C3572" s="248"/>
      <c r="D3572" s="248"/>
    </row>
    <row r="3573" spans="1:4">
      <c r="A3573" s="248"/>
      <c r="B3573" s="249"/>
      <c r="C3573" s="248"/>
      <c r="D3573" s="248"/>
    </row>
    <row r="3574" spans="1:4">
      <c r="A3574" s="246"/>
      <c r="B3574" s="246"/>
      <c r="C3574" s="246"/>
      <c r="D3574" s="247"/>
    </row>
    <row r="3575" spans="1:4">
      <c r="A3575" s="248"/>
      <c r="B3575" s="249"/>
      <c r="C3575" s="248"/>
      <c r="D3575" s="248"/>
    </row>
    <row r="3576" spans="1:4">
      <c r="A3576" s="248"/>
      <c r="B3576" s="249"/>
      <c r="C3576" s="248"/>
      <c r="D3576" s="248"/>
    </row>
    <row r="3577" spans="1:4">
      <c r="A3577" s="248"/>
      <c r="B3577" s="249"/>
      <c r="C3577" s="248"/>
      <c r="D3577" s="248"/>
    </row>
    <row r="3578" spans="1:4">
      <c r="A3578" s="248"/>
      <c r="B3578" s="249"/>
      <c r="C3578" s="248"/>
      <c r="D3578" s="248"/>
    </row>
    <row r="3579" spans="1:4">
      <c r="A3579" s="248"/>
      <c r="B3579" s="249"/>
      <c r="C3579" s="248"/>
      <c r="D3579" s="248"/>
    </row>
    <row r="3580" spans="1:4">
      <c r="A3580" s="248"/>
      <c r="B3580" s="249"/>
      <c r="C3580" s="248"/>
      <c r="D3580" s="248"/>
    </row>
    <row r="3581" spans="1:4">
      <c r="A3581" s="248"/>
      <c r="B3581" s="249"/>
      <c r="C3581" s="248"/>
      <c r="D3581" s="248"/>
    </row>
    <row r="3582" spans="1:4">
      <c r="A3582" s="246"/>
      <c r="B3582" s="246"/>
      <c r="C3582" s="246"/>
      <c r="D3582" s="247"/>
    </row>
    <row r="3583" spans="1:4">
      <c r="A3583" s="248"/>
      <c r="B3583" s="249"/>
      <c r="C3583" s="248"/>
      <c r="D3583" s="248"/>
    </row>
    <row r="3584" spans="1:4">
      <c r="A3584" s="248"/>
      <c r="B3584" s="249"/>
      <c r="C3584" s="248"/>
      <c r="D3584" s="248"/>
    </row>
    <row r="3585" spans="1:4">
      <c r="A3585" s="248"/>
      <c r="B3585" s="249"/>
      <c r="C3585" s="248"/>
      <c r="D3585" s="248"/>
    </row>
    <row r="3586" spans="1:4">
      <c r="A3586" s="248"/>
      <c r="B3586" s="249"/>
      <c r="C3586" s="248"/>
      <c r="D3586" s="248"/>
    </row>
    <row r="3587" spans="1:4">
      <c r="A3587" s="248"/>
      <c r="B3587" s="249"/>
      <c r="C3587" s="248"/>
      <c r="D3587" s="248"/>
    </row>
    <row r="3588" spans="1:4">
      <c r="A3588" s="248"/>
      <c r="B3588" s="249"/>
      <c r="C3588" s="248"/>
      <c r="D3588" s="248"/>
    </row>
    <row r="3589" spans="1:4">
      <c r="A3589" s="248"/>
      <c r="B3589" s="249"/>
      <c r="C3589" s="248"/>
      <c r="D3589" s="248"/>
    </row>
    <row r="3590" spans="1:4">
      <c r="A3590" s="248"/>
      <c r="B3590" s="249"/>
      <c r="C3590" s="248"/>
      <c r="D3590" s="248"/>
    </row>
    <row r="3591" spans="1:4">
      <c r="A3591" s="248"/>
      <c r="B3591" s="249"/>
      <c r="C3591" s="248"/>
      <c r="D3591" s="248"/>
    </row>
    <row r="3592" spans="1:4">
      <c r="A3592" s="248"/>
      <c r="B3592" s="249"/>
      <c r="C3592" s="248"/>
      <c r="D3592" s="248"/>
    </row>
    <row r="3593" spans="1:4">
      <c r="A3593" s="246"/>
      <c r="B3593" s="246"/>
      <c r="C3593" s="246"/>
      <c r="D3593" s="247"/>
    </row>
    <row r="3594" spans="1:4">
      <c r="A3594" s="248"/>
      <c r="B3594" s="249"/>
      <c r="C3594" s="248"/>
      <c r="D3594" s="248"/>
    </row>
    <row r="3595" spans="1:4">
      <c r="A3595" s="248"/>
      <c r="B3595" s="249"/>
      <c r="C3595" s="248"/>
      <c r="D3595" s="248"/>
    </row>
    <row r="3596" spans="1:4">
      <c r="A3596" s="248"/>
      <c r="B3596" s="249"/>
      <c r="C3596" s="248"/>
      <c r="D3596" s="248"/>
    </row>
    <row r="3597" spans="1:4">
      <c r="A3597" s="248"/>
      <c r="B3597" s="249"/>
      <c r="C3597" s="248"/>
      <c r="D3597" s="248"/>
    </row>
    <row r="3598" spans="1:4">
      <c r="A3598" s="248"/>
      <c r="B3598" s="249"/>
      <c r="C3598" s="248"/>
      <c r="D3598" s="248"/>
    </row>
    <row r="3599" spans="1:4">
      <c r="A3599" s="248"/>
      <c r="B3599" s="249"/>
      <c r="C3599" s="248"/>
      <c r="D3599" s="248"/>
    </row>
    <row r="3600" spans="1:4">
      <c r="A3600" s="248"/>
      <c r="B3600" s="249"/>
      <c r="C3600" s="248"/>
      <c r="D3600" s="248"/>
    </row>
    <row r="3601" spans="1:4">
      <c r="A3601" s="248"/>
      <c r="B3601" s="249"/>
      <c r="C3601" s="248"/>
      <c r="D3601" s="248"/>
    </row>
    <row r="3602" spans="1:4">
      <c r="A3602" s="248"/>
      <c r="B3602" s="249"/>
      <c r="C3602" s="248"/>
      <c r="D3602" s="248"/>
    </row>
    <row r="3603" spans="1:4">
      <c r="A3603" s="248"/>
      <c r="B3603" s="249"/>
      <c r="C3603" s="248"/>
      <c r="D3603" s="248"/>
    </row>
    <row r="3604" spans="1:4">
      <c r="A3604" s="248"/>
      <c r="B3604" s="249"/>
      <c r="C3604" s="248"/>
      <c r="D3604" s="248"/>
    </row>
    <row r="3605" spans="1:4">
      <c r="A3605" s="248"/>
      <c r="B3605" s="249"/>
      <c r="C3605" s="248"/>
      <c r="D3605" s="248"/>
    </row>
    <row r="3606" spans="1:4">
      <c r="A3606" s="248"/>
      <c r="B3606" s="249"/>
      <c r="C3606" s="248"/>
      <c r="D3606" s="248"/>
    </row>
    <row r="3607" spans="1:4">
      <c r="A3607" s="248"/>
      <c r="B3607" s="249"/>
      <c r="C3607" s="248"/>
      <c r="D3607" s="248"/>
    </row>
    <row r="3608" spans="1:4">
      <c r="A3608" s="248"/>
      <c r="B3608" s="249"/>
      <c r="C3608" s="248"/>
      <c r="D3608" s="248"/>
    </row>
    <row r="3609" spans="1:4">
      <c r="A3609" s="248"/>
      <c r="B3609" s="249"/>
      <c r="C3609" s="248"/>
      <c r="D3609" s="248"/>
    </row>
    <row r="3610" spans="1:4">
      <c r="A3610" s="248"/>
      <c r="B3610" s="249"/>
      <c r="C3610" s="248"/>
      <c r="D3610" s="248"/>
    </row>
    <row r="3611" spans="1:4">
      <c r="A3611" s="248"/>
      <c r="B3611" s="249"/>
      <c r="C3611" s="248"/>
      <c r="D3611" s="248"/>
    </row>
    <row r="3612" spans="1:4">
      <c r="A3612" s="248"/>
      <c r="B3612" s="249"/>
      <c r="C3612" s="248"/>
      <c r="D3612" s="248"/>
    </row>
    <row r="3613" spans="1:4">
      <c r="A3613" s="248"/>
      <c r="B3613" s="249"/>
      <c r="C3613" s="248"/>
      <c r="D3613" s="248"/>
    </row>
    <row r="3614" spans="1:4">
      <c r="A3614" s="248"/>
      <c r="B3614" s="249"/>
      <c r="C3614" s="248"/>
      <c r="D3614" s="248"/>
    </row>
    <row r="3615" spans="1:4">
      <c r="A3615" s="248"/>
      <c r="B3615" s="249"/>
      <c r="C3615" s="248"/>
      <c r="D3615" s="248"/>
    </row>
    <row r="3616" spans="1:4">
      <c r="A3616" s="248"/>
      <c r="B3616" s="249"/>
      <c r="C3616" s="248"/>
      <c r="D3616" s="248"/>
    </row>
    <row r="3617" spans="1:4">
      <c r="A3617" s="248"/>
      <c r="B3617" s="249"/>
      <c r="C3617" s="248"/>
      <c r="D3617" s="248"/>
    </row>
    <row r="3618" spans="1:4">
      <c r="A3618" s="248"/>
      <c r="B3618" s="249"/>
      <c r="C3618" s="248"/>
      <c r="D3618" s="248"/>
    </row>
    <row r="3619" spans="1:4">
      <c r="A3619" s="248"/>
      <c r="B3619" s="249"/>
      <c r="C3619" s="248"/>
      <c r="D3619" s="248"/>
    </row>
    <row r="3620" spans="1:4">
      <c r="A3620" s="246"/>
      <c r="B3620" s="246"/>
      <c r="C3620" s="246"/>
      <c r="D3620" s="247"/>
    </row>
    <row r="3621" spans="1:4">
      <c r="A3621" s="248"/>
      <c r="B3621" s="249"/>
      <c r="C3621" s="248"/>
      <c r="D3621" s="248"/>
    </row>
    <row r="3622" spans="1:4">
      <c r="A3622" s="246"/>
      <c r="B3622" s="246"/>
      <c r="C3622" s="246"/>
      <c r="D3622" s="247"/>
    </row>
    <row r="3623" spans="1:4">
      <c r="A3623" s="248"/>
      <c r="B3623" s="249"/>
      <c r="C3623" s="248"/>
      <c r="D3623" s="248"/>
    </row>
    <row r="3624" spans="1:4">
      <c r="A3624" s="248"/>
      <c r="B3624" s="249"/>
      <c r="C3624" s="248"/>
      <c r="D3624" s="248"/>
    </row>
    <row r="3625" spans="1:4">
      <c r="A3625" s="248"/>
      <c r="B3625" s="249"/>
      <c r="C3625" s="248"/>
      <c r="D3625" s="248"/>
    </row>
    <row r="3626" spans="1:4">
      <c r="A3626" s="248"/>
      <c r="B3626" s="249"/>
      <c r="C3626" s="248"/>
      <c r="D3626" s="248"/>
    </row>
    <row r="3627" spans="1:4">
      <c r="A3627" s="248"/>
      <c r="B3627" s="249"/>
      <c r="C3627" s="248"/>
      <c r="D3627" s="248"/>
    </row>
    <row r="3628" spans="1:4">
      <c r="A3628" s="248"/>
      <c r="B3628" s="249"/>
      <c r="C3628" s="248"/>
      <c r="D3628" s="248"/>
    </row>
    <row r="3629" spans="1:4">
      <c r="A3629" s="246"/>
      <c r="B3629" s="246"/>
      <c r="C3629" s="246"/>
      <c r="D3629" s="247"/>
    </row>
    <row r="3630" spans="1:4">
      <c r="A3630" s="248"/>
      <c r="B3630" s="249"/>
      <c r="C3630" s="248"/>
      <c r="D3630" s="248"/>
    </row>
    <row r="3631" spans="1:4">
      <c r="A3631" s="248"/>
      <c r="B3631" s="249"/>
      <c r="C3631" s="248"/>
      <c r="D3631" s="248"/>
    </row>
    <row r="3632" spans="1:4">
      <c r="A3632" s="248"/>
      <c r="B3632" s="249"/>
      <c r="C3632" s="248"/>
      <c r="D3632" s="248"/>
    </row>
    <row r="3633" spans="1:4">
      <c r="A3633" s="248"/>
      <c r="B3633" s="249"/>
      <c r="C3633" s="248"/>
      <c r="D3633" s="248"/>
    </row>
    <row r="3634" spans="1:4">
      <c r="A3634" s="248"/>
      <c r="B3634" s="249"/>
      <c r="C3634" s="248"/>
      <c r="D3634" s="248"/>
    </row>
    <row r="3635" spans="1:4">
      <c r="A3635" s="246"/>
      <c r="B3635" s="246"/>
      <c r="C3635" s="246"/>
      <c r="D3635" s="247"/>
    </row>
    <row r="3636" spans="1:4">
      <c r="A3636" s="248"/>
      <c r="B3636" s="249"/>
      <c r="C3636" s="248"/>
      <c r="D3636" s="248"/>
    </row>
    <row r="3637" spans="1:4">
      <c r="A3637" s="248"/>
      <c r="B3637" s="249"/>
      <c r="C3637" s="248"/>
      <c r="D3637" s="248"/>
    </row>
    <row r="3638" spans="1:4">
      <c r="A3638" s="248"/>
      <c r="B3638" s="249"/>
      <c r="C3638" s="248"/>
      <c r="D3638" s="248"/>
    </row>
    <row r="3639" spans="1:4">
      <c r="A3639" s="248"/>
      <c r="B3639" s="249"/>
      <c r="C3639" s="248"/>
      <c r="D3639" s="248"/>
    </row>
    <row r="3640" spans="1:4">
      <c r="A3640" s="248"/>
      <c r="B3640" s="249"/>
      <c r="C3640" s="248"/>
      <c r="D3640" s="248"/>
    </row>
    <row r="3641" spans="1:4">
      <c r="A3641" s="248"/>
      <c r="B3641" s="249"/>
      <c r="C3641" s="248"/>
      <c r="D3641" s="248"/>
    </row>
    <row r="3642" spans="1:4">
      <c r="A3642" s="248"/>
      <c r="B3642" s="249"/>
      <c r="C3642" s="248"/>
      <c r="D3642" s="248"/>
    </row>
    <row r="3643" spans="1:4">
      <c r="A3643" s="248"/>
      <c r="B3643" s="249"/>
      <c r="C3643" s="248"/>
      <c r="D3643" s="248"/>
    </row>
    <row r="3644" spans="1:4">
      <c r="A3644" s="248"/>
      <c r="B3644" s="249"/>
      <c r="C3644" s="248"/>
      <c r="D3644" s="248"/>
    </row>
    <row r="3645" spans="1:4">
      <c r="A3645" s="246"/>
      <c r="B3645" s="246"/>
      <c r="C3645" s="246"/>
      <c r="D3645" s="247"/>
    </row>
    <row r="3646" spans="1:4">
      <c r="A3646" s="248"/>
      <c r="B3646" s="249"/>
      <c r="C3646" s="248"/>
      <c r="D3646" s="248"/>
    </row>
    <row r="3647" spans="1:4">
      <c r="A3647" s="248"/>
      <c r="B3647" s="249"/>
      <c r="C3647" s="248"/>
      <c r="D3647" s="248"/>
    </row>
    <row r="3648" spans="1:4">
      <c r="A3648" s="248"/>
      <c r="B3648" s="249"/>
      <c r="C3648" s="248"/>
      <c r="D3648" s="248"/>
    </row>
    <row r="3649" spans="1:4">
      <c r="A3649" s="248"/>
      <c r="B3649" s="249"/>
      <c r="C3649" s="248"/>
      <c r="D3649" s="248"/>
    </row>
    <row r="3650" spans="1:4">
      <c r="A3650" s="248"/>
      <c r="B3650" s="249"/>
      <c r="C3650" s="248"/>
      <c r="D3650" s="248"/>
    </row>
    <row r="3651" spans="1:4">
      <c r="A3651" s="248"/>
      <c r="B3651" s="249"/>
      <c r="C3651" s="248"/>
      <c r="D3651" s="248"/>
    </row>
    <row r="3652" spans="1:4">
      <c r="A3652" s="248"/>
      <c r="B3652" s="249"/>
      <c r="C3652" s="248"/>
      <c r="D3652" s="248"/>
    </row>
    <row r="3653" spans="1:4">
      <c r="A3653" s="246"/>
      <c r="B3653" s="246"/>
      <c r="C3653" s="246"/>
      <c r="D3653" s="247"/>
    </row>
    <row r="3654" spans="1:4">
      <c r="A3654" s="248"/>
      <c r="B3654" s="249"/>
      <c r="C3654" s="248"/>
      <c r="D3654" s="248"/>
    </row>
    <row r="3655" spans="1:4">
      <c r="A3655" s="248"/>
      <c r="B3655" s="249"/>
      <c r="C3655" s="248"/>
      <c r="D3655" s="248"/>
    </row>
    <row r="3656" spans="1:4">
      <c r="A3656" s="248"/>
      <c r="B3656" s="249"/>
      <c r="C3656" s="248"/>
      <c r="D3656" s="248"/>
    </row>
    <row r="3657" spans="1:4">
      <c r="A3657" s="248"/>
      <c r="B3657" s="249"/>
      <c r="C3657" s="248"/>
      <c r="D3657" s="248"/>
    </row>
    <row r="3658" spans="1:4">
      <c r="A3658" s="248"/>
      <c r="B3658" s="249"/>
      <c r="C3658" s="248"/>
      <c r="D3658" s="248"/>
    </row>
    <row r="3659" spans="1:4">
      <c r="A3659" s="248"/>
      <c r="B3659" s="249"/>
      <c r="C3659" s="248"/>
      <c r="D3659" s="248"/>
    </row>
    <row r="3660" spans="1:4">
      <c r="A3660" s="248"/>
      <c r="B3660" s="249"/>
      <c r="C3660" s="248"/>
      <c r="D3660" s="248"/>
    </row>
    <row r="3661" spans="1:4">
      <c r="A3661" s="248"/>
      <c r="B3661" s="249"/>
      <c r="C3661" s="248"/>
      <c r="D3661" s="248"/>
    </row>
    <row r="3662" spans="1:4">
      <c r="A3662" s="248"/>
      <c r="B3662" s="249"/>
      <c r="C3662" s="248"/>
      <c r="D3662" s="248"/>
    </row>
    <row r="3663" spans="1:4">
      <c r="A3663" s="248"/>
      <c r="B3663" s="249"/>
      <c r="C3663" s="248"/>
      <c r="D3663" s="248"/>
    </row>
    <row r="3664" spans="1:4">
      <c r="A3664" s="248"/>
      <c r="B3664" s="249"/>
      <c r="C3664" s="248"/>
      <c r="D3664" s="248"/>
    </row>
    <row r="3665" spans="1:4">
      <c r="A3665" s="248"/>
      <c r="B3665" s="249"/>
      <c r="C3665" s="248"/>
      <c r="D3665" s="248"/>
    </row>
    <row r="3666" spans="1:4">
      <c r="A3666" s="248"/>
      <c r="B3666" s="249"/>
      <c r="C3666" s="248"/>
      <c r="D3666" s="248"/>
    </row>
    <row r="3667" spans="1:4">
      <c r="A3667" s="248"/>
      <c r="B3667" s="249"/>
      <c r="C3667" s="248"/>
      <c r="D3667" s="248"/>
    </row>
    <row r="3668" spans="1:4">
      <c r="A3668" s="248"/>
      <c r="B3668" s="249"/>
      <c r="C3668" s="248"/>
      <c r="D3668" s="248"/>
    </row>
    <row r="3669" spans="1:4">
      <c r="A3669" s="248"/>
      <c r="B3669" s="249"/>
      <c r="C3669" s="248"/>
      <c r="D3669" s="248"/>
    </row>
    <row r="3670" spans="1:4">
      <c r="A3670" s="248"/>
      <c r="B3670" s="249"/>
      <c r="C3670" s="248"/>
      <c r="D3670" s="248"/>
    </row>
    <row r="3671" spans="1:4">
      <c r="A3671" s="248"/>
      <c r="B3671" s="249"/>
      <c r="C3671" s="248"/>
      <c r="D3671" s="248"/>
    </row>
    <row r="3672" spans="1:4">
      <c r="A3672" s="248"/>
      <c r="B3672" s="249"/>
      <c r="C3672" s="248"/>
      <c r="D3672" s="248"/>
    </row>
    <row r="3673" spans="1:4">
      <c r="A3673" s="248"/>
      <c r="B3673" s="249"/>
      <c r="C3673" s="248"/>
      <c r="D3673" s="248"/>
    </row>
    <row r="3674" spans="1:4">
      <c r="A3674" s="248"/>
      <c r="B3674" s="249"/>
      <c r="C3674" s="248"/>
      <c r="D3674" s="248"/>
    </row>
    <row r="3675" spans="1:4">
      <c r="A3675" s="248"/>
      <c r="B3675" s="249"/>
      <c r="C3675" s="248"/>
      <c r="D3675" s="248"/>
    </row>
    <row r="3676" spans="1:4">
      <c r="A3676" s="246"/>
      <c r="B3676" s="246"/>
      <c r="C3676" s="246"/>
      <c r="D3676" s="247"/>
    </row>
    <row r="3677" spans="1:4">
      <c r="A3677" s="248"/>
      <c r="B3677" s="249"/>
      <c r="C3677" s="248"/>
      <c r="D3677" s="248"/>
    </row>
    <row r="3678" spans="1:4">
      <c r="A3678" s="248"/>
      <c r="B3678" s="249"/>
      <c r="C3678" s="248"/>
      <c r="D3678" s="248"/>
    </row>
    <row r="3679" spans="1:4">
      <c r="A3679" s="248"/>
      <c r="B3679" s="249"/>
      <c r="C3679" s="248"/>
      <c r="D3679" s="248"/>
    </row>
    <row r="3680" spans="1:4">
      <c r="A3680" s="248"/>
      <c r="B3680" s="249"/>
      <c r="C3680" s="248"/>
      <c r="D3680" s="248"/>
    </row>
    <row r="3681" spans="1:4">
      <c r="A3681" s="248"/>
      <c r="B3681" s="249"/>
      <c r="C3681" s="248"/>
      <c r="D3681" s="248"/>
    </row>
    <row r="3682" spans="1:4">
      <c r="A3682" s="248"/>
      <c r="B3682" s="249"/>
      <c r="C3682" s="248"/>
      <c r="D3682" s="248"/>
    </row>
    <row r="3683" spans="1:4">
      <c r="A3683" s="248"/>
      <c r="B3683" s="249"/>
      <c r="C3683" s="248"/>
      <c r="D3683" s="248"/>
    </row>
    <row r="3684" spans="1:4">
      <c r="A3684" s="248"/>
      <c r="B3684" s="249"/>
      <c r="C3684" s="248"/>
      <c r="D3684" s="248"/>
    </row>
    <row r="3685" spans="1:4">
      <c r="A3685" s="248"/>
      <c r="B3685" s="249"/>
      <c r="C3685" s="248"/>
      <c r="D3685" s="248"/>
    </row>
    <row r="3686" spans="1:4">
      <c r="A3686" s="248"/>
      <c r="B3686" s="249"/>
      <c r="C3686" s="248"/>
      <c r="D3686" s="248"/>
    </row>
    <row r="3687" spans="1:4">
      <c r="A3687" s="248"/>
      <c r="B3687" s="249"/>
      <c r="C3687" s="248"/>
      <c r="D3687" s="248"/>
    </row>
    <row r="3688" spans="1:4">
      <c r="A3688" s="248"/>
      <c r="B3688" s="249"/>
      <c r="C3688" s="248"/>
      <c r="D3688" s="248"/>
    </row>
    <row r="3689" spans="1:4">
      <c r="A3689" s="248"/>
      <c r="B3689" s="249"/>
      <c r="C3689" s="248"/>
      <c r="D3689" s="248"/>
    </row>
    <row r="3690" spans="1:4">
      <c r="A3690" s="246"/>
      <c r="B3690" s="246"/>
      <c r="C3690" s="246"/>
      <c r="D3690" s="247"/>
    </row>
    <row r="3691" spans="1:4">
      <c r="A3691" s="248"/>
      <c r="B3691" s="249"/>
      <c r="C3691" s="248"/>
      <c r="D3691" s="248"/>
    </row>
    <row r="3692" spans="1:4">
      <c r="A3692" s="248"/>
      <c r="B3692" s="249"/>
      <c r="C3692" s="248"/>
      <c r="D3692" s="248"/>
    </row>
    <row r="3693" spans="1:4">
      <c r="A3693" s="248"/>
      <c r="B3693" s="249"/>
      <c r="C3693" s="248"/>
      <c r="D3693" s="248"/>
    </row>
    <row r="3694" spans="1:4">
      <c r="A3694" s="248"/>
      <c r="B3694" s="249"/>
      <c r="C3694" s="248"/>
      <c r="D3694" s="248"/>
    </row>
    <row r="3695" spans="1:4">
      <c r="A3695" s="248"/>
      <c r="B3695" s="249"/>
      <c r="C3695" s="248"/>
      <c r="D3695" s="248"/>
    </row>
    <row r="3696" spans="1:4">
      <c r="A3696" s="248"/>
      <c r="B3696" s="249"/>
      <c r="C3696" s="248"/>
      <c r="D3696" s="248"/>
    </row>
    <row r="3697" spans="1:4">
      <c r="A3697" s="248"/>
      <c r="B3697" s="249"/>
      <c r="C3697" s="248"/>
      <c r="D3697" s="248"/>
    </row>
    <row r="3698" spans="1:4">
      <c r="A3698" s="248"/>
      <c r="B3698" s="249"/>
      <c r="C3698" s="248"/>
      <c r="D3698" s="248"/>
    </row>
    <row r="3699" spans="1:4">
      <c r="A3699" s="248"/>
      <c r="B3699" s="249"/>
      <c r="C3699" s="248"/>
      <c r="D3699" s="248"/>
    </row>
    <row r="3700" spans="1:4">
      <c r="A3700" s="248"/>
      <c r="B3700" s="249"/>
      <c r="C3700" s="248"/>
      <c r="D3700" s="248"/>
    </row>
    <row r="3701" spans="1:4">
      <c r="A3701" s="248"/>
      <c r="B3701" s="249"/>
      <c r="C3701" s="248"/>
      <c r="D3701" s="248"/>
    </row>
    <row r="3702" spans="1:4">
      <c r="A3702" s="248"/>
      <c r="B3702" s="249"/>
      <c r="C3702" s="248"/>
      <c r="D3702" s="248"/>
    </row>
    <row r="3703" spans="1:4">
      <c r="A3703" s="248"/>
      <c r="B3703" s="249"/>
      <c r="C3703" s="248"/>
      <c r="D3703" s="248"/>
    </row>
    <row r="3704" spans="1:4">
      <c r="A3704" s="248"/>
      <c r="B3704" s="249"/>
      <c r="C3704" s="248"/>
      <c r="D3704" s="248"/>
    </row>
    <row r="3705" spans="1:4">
      <c r="A3705" s="248"/>
      <c r="B3705" s="249"/>
      <c r="C3705" s="248"/>
      <c r="D3705" s="248"/>
    </row>
    <row r="3706" spans="1:4">
      <c r="A3706" s="248"/>
      <c r="B3706" s="249"/>
      <c r="C3706" s="248"/>
      <c r="D3706" s="248"/>
    </row>
    <row r="3707" spans="1:4">
      <c r="A3707" s="246"/>
      <c r="B3707" s="246"/>
      <c r="C3707" s="246"/>
      <c r="D3707" s="247"/>
    </row>
    <row r="3708" spans="1:4">
      <c r="A3708" s="248"/>
      <c r="B3708" s="249"/>
      <c r="C3708" s="248"/>
      <c r="D3708" s="248"/>
    </row>
    <row r="3709" spans="1:4">
      <c r="A3709" s="248"/>
      <c r="B3709" s="249"/>
      <c r="C3709" s="248"/>
      <c r="D3709" s="248"/>
    </row>
    <row r="3710" spans="1:4">
      <c r="A3710" s="248"/>
      <c r="B3710" s="249"/>
      <c r="C3710" s="248"/>
      <c r="D3710" s="248"/>
    </row>
    <row r="3711" spans="1:4">
      <c r="A3711" s="248"/>
      <c r="B3711" s="249"/>
      <c r="C3711" s="248"/>
      <c r="D3711" s="248"/>
    </row>
    <row r="3712" spans="1:4">
      <c r="A3712" s="248"/>
      <c r="B3712" s="249"/>
      <c r="C3712" s="248"/>
      <c r="D3712" s="248"/>
    </row>
    <row r="3713" spans="1:4">
      <c r="A3713" s="248"/>
      <c r="B3713" s="249"/>
      <c r="C3713" s="248"/>
      <c r="D3713" s="248"/>
    </row>
    <row r="3714" spans="1:4">
      <c r="A3714" s="248"/>
      <c r="B3714" s="249"/>
      <c r="C3714" s="248"/>
      <c r="D3714" s="248"/>
    </row>
    <row r="3715" spans="1:4">
      <c r="A3715" s="248"/>
      <c r="B3715" s="249"/>
      <c r="C3715" s="248"/>
      <c r="D3715" s="248"/>
    </row>
    <row r="3716" spans="1:4">
      <c r="A3716" s="248"/>
      <c r="B3716" s="249"/>
      <c r="C3716" s="248"/>
      <c r="D3716" s="248"/>
    </row>
    <row r="3717" spans="1:4">
      <c r="A3717" s="248"/>
      <c r="B3717" s="249"/>
      <c r="C3717" s="248"/>
      <c r="D3717" s="248"/>
    </row>
    <row r="3718" spans="1:4">
      <c r="A3718" s="248"/>
      <c r="B3718" s="249"/>
      <c r="C3718" s="248"/>
      <c r="D3718" s="248"/>
    </row>
    <row r="3719" spans="1:4">
      <c r="A3719" s="248"/>
      <c r="B3719" s="249"/>
      <c r="C3719" s="248"/>
      <c r="D3719" s="248"/>
    </row>
    <row r="3720" spans="1:4">
      <c r="A3720" s="248"/>
      <c r="B3720" s="249"/>
      <c r="C3720" s="248"/>
      <c r="D3720" s="248"/>
    </row>
    <row r="3721" spans="1:4">
      <c r="A3721" s="248"/>
      <c r="B3721" s="249"/>
      <c r="C3721" s="248"/>
      <c r="D3721" s="248"/>
    </row>
    <row r="3722" spans="1:4">
      <c r="A3722" s="248"/>
      <c r="B3722" s="249"/>
      <c r="C3722" s="248"/>
      <c r="D3722" s="248"/>
    </row>
    <row r="3723" spans="1:4">
      <c r="A3723" s="248"/>
      <c r="B3723" s="249"/>
      <c r="C3723" s="248"/>
      <c r="D3723" s="248"/>
    </row>
    <row r="3724" spans="1:4">
      <c r="A3724" s="248"/>
      <c r="B3724" s="249"/>
      <c r="C3724" s="248"/>
      <c r="D3724" s="248"/>
    </row>
    <row r="3725" spans="1:4">
      <c r="A3725" s="248"/>
      <c r="B3725" s="249"/>
      <c r="C3725" s="248"/>
      <c r="D3725" s="248"/>
    </row>
    <row r="3726" spans="1:4">
      <c r="A3726" s="248"/>
      <c r="B3726" s="249"/>
      <c r="C3726" s="248"/>
      <c r="D3726" s="248"/>
    </row>
    <row r="3727" spans="1:4">
      <c r="A3727" s="248"/>
      <c r="B3727" s="249"/>
      <c r="C3727" s="248"/>
      <c r="D3727" s="248"/>
    </row>
    <row r="3728" spans="1:4">
      <c r="A3728" s="246"/>
      <c r="B3728" s="246"/>
      <c r="C3728" s="246"/>
      <c r="D3728" s="247"/>
    </row>
    <row r="3729" spans="1:4">
      <c r="A3729" s="248"/>
      <c r="B3729" s="249"/>
      <c r="C3729" s="248"/>
      <c r="D3729" s="248"/>
    </row>
    <row r="3730" spans="1:4">
      <c r="A3730" s="248"/>
      <c r="B3730" s="249"/>
      <c r="C3730" s="248"/>
      <c r="D3730" s="248"/>
    </row>
    <row r="3731" spans="1:4">
      <c r="A3731" s="248"/>
      <c r="B3731" s="249"/>
      <c r="C3731" s="248"/>
      <c r="D3731" s="248"/>
    </row>
    <row r="3732" spans="1:4">
      <c r="A3732" s="248"/>
      <c r="B3732" s="249"/>
      <c r="C3732" s="248"/>
      <c r="D3732" s="248"/>
    </row>
    <row r="3733" spans="1:4">
      <c r="A3733" s="248"/>
      <c r="B3733" s="249"/>
      <c r="C3733" s="248"/>
      <c r="D3733" s="248"/>
    </row>
    <row r="3734" spans="1:4">
      <c r="A3734" s="248"/>
      <c r="B3734" s="249"/>
      <c r="C3734" s="248"/>
      <c r="D3734" s="248"/>
    </row>
    <row r="3735" spans="1:4">
      <c r="A3735" s="248"/>
      <c r="B3735" s="249"/>
      <c r="C3735" s="248"/>
      <c r="D3735" s="248"/>
    </row>
    <row r="3736" spans="1:4">
      <c r="A3736" s="248"/>
      <c r="B3736" s="249"/>
      <c r="C3736" s="248"/>
      <c r="D3736" s="248"/>
    </row>
    <row r="3737" spans="1:4">
      <c r="A3737" s="248"/>
      <c r="B3737" s="249"/>
      <c r="C3737" s="248"/>
      <c r="D3737" s="248"/>
    </row>
    <row r="3738" spans="1:4">
      <c r="A3738" s="248"/>
      <c r="B3738" s="249"/>
      <c r="C3738" s="248"/>
      <c r="D3738" s="248"/>
    </row>
    <row r="3739" spans="1:4">
      <c r="A3739" s="248"/>
      <c r="B3739" s="249"/>
      <c r="C3739" s="248"/>
      <c r="D3739" s="248"/>
    </row>
    <row r="3740" spans="1:4">
      <c r="A3740" s="246"/>
      <c r="B3740" s="246"/>
      <c r="C3740" s="246"/>
      <c r="D3740" s="247"/>
    </row>
    <row r="3741" spans="1:4">
      <c r="A3741" s="248"/>
      <c r="B3741" s="249"/>
      <c r="C3741" s="248"/>
      <c r="D3741" s="248"/>
    </row>
    <row r="3742" spans="1:4">
      <c r="A3742" s="248"/>
      <c r="B3742" s="249"/>
      <c r="C3742" s="248"/>
      <c r="D3742" s="248"/>
    </row>
    <row r="3743" spans="1:4">
      <c r="A3743" s="246"/>
      <c r="B3743" s="246"/>
      <c r="C3743" s="246"/>
      <c r="D3743" s="247"/>
    </row>
    <row r="3744" spans="1:4">
      <c r="A3744" s="248"/>
      <c r="B3744" s="249"/>
      <c r="C3744" s="248"/>
      <c r="D3744" s="248"/>
    </row>
    <row r="3745" spans="1:4">
      <c r="A3745" s="248"/>
      <c r="B3745" s="249"/>
      <c r="C3745" s="248"/>
      <c r="D3745" s="248"/>
    </row>
    <row r="3746" spans="1:4">
      <c r="A3746" s="248"/>
      <c r="B3746" s="249"/>
      <c r="C3746" s="248"/>
      <c r="D3746" s="248"/>
    </row>
    <row r="3747" spans="1:4">
      <c r="A3747" s="248"/>
      <c r="B3747" s="249"/>
      <c r="C3747" s="248"/>
      <c r="D3747" s="248"/>
    </row>
    <row r="3748" spans="1:4">
      <c r="A3748" s="248"/>
      <c r="B3748" s="249"/>
      <c r="C3748" s="248"/>
      <c r="D3748" s="248"/>
    </row>
    <row r="3749" spans="1:4">
      <c r="A3749" s="248"/>
      <c r="B3749" s="249"/>
      <c r="C3749" s="248"/>
      <c r="D3749" s="248"/>
    </row>
    <row r="3750" spans="1:4">
      <c r="A3750" s="248"/>
      <c r="B3750" s="249"/>
      <c r="C3750" s="248"/>
      <c r="D3750" s="248"/>
    </row>
    <row r="3751" spans="1:4">
      <c r="A3751" s="248"/>
      <c r="B3751" s="249"/>
      <c r="C3751" s="248"/>
      <c r="D3751" s="248"/>
    </row>
    <row r="3752" spans="1:4">
      <c r="A3752" s="248"/>
      <c r="B3752" s="249"/>
      <c r="C3752" s="248"/>
      <c r="D3752" s="248"/>
    </row>
    <row r="3753" spans="1:4">
      <c r="A3753" s="248"/>
      <c r="B3753" s="249"/>
      <c r="C3753" s="248"/>
      <c r="D3753" s="248"/>
    </row>
    <row r="3754" spans="1:4">
      <c r="A3754" s="248"/>
      <c r="B3754" s="249"/>
      <c r="C3754" s="248"/>
      <c r="D3754" s="248"/>
    </row>
    <row r="3755" spans="1:4">
      <c r="A3755" s="248"/>
      <c r="B3755" s="249"/>
      <c r="C3755" s="248"/>
      <c r="D3755" s="248"/>
    </row>
    <row r="3756" spans="1:4">
      <c r="A3756" s="248"/>
      <c r="B3756" s="249"/>
      <c r="C3756" s="248"/>
      <c r="D3756" s="248"/>
    </row>
    <row r="3757" spans="1:4">
      <c r="A3757" s="248"/>
      <c r="B3757" s="249"/>
      <c r="C3757" s="248"/>
      <c r="D3757" s="248"/>
    </row>
    <row r="3758" spans="1:4">
      <c r="A3758" s="248"/>
      <c r="B3758" s="249"/>
      <c r="C3758" s="248"/>
      <c r="D3758" s="248"/>
    </row>
    <row r="3759" spans="1:4">
      <c r="A3759" s="246"/>
      <c r="B3759" s="246"/>
      <c r="C3759" s="246"/>
      <c r="D3759" s="247"/>
    </row>
    <row r="3760" spans="1:4">
      <c r="A3760" s="248"/>
      <c r="B3760" s="249"/>
      <c r="C3760" s="248"/>
      <c r="D3760" s="248"/>
    </row>
    <row r="3761" spans="1:4">
      <c r="A3761" s="248"/>
      <c r="B3761" s="249"/>
      <c r="C3761" s="248"/>
      <c r="D3761" s="248"/>
    </row>
    <row r="3762" spans="1:4">
      <c r="A3762" s="248"/>
      <c r="B3762" s="249"/>
      <c r="C3762" s="248"/>
      <c r="D3762" s="248"/>
    </row>
    <row r="3763" spans="1:4">
      <c r="A3763" s="248"/>
      <c r="B3763" s="249"/>
      <c r="C3763" s="248"/>
      <c r="D3763" s="248"/>
    </row>
    <row r="3764" spans="1:4">
      <c r="A3764" s="248"/>
      <c r="B3764" s="249"/>
      <c r="C3764" s="248"/>
      <c r="D3764" s="248"/>
    </row>
    <row r="3765" spans="1:4">
      <c r="A3765" s="248"/>
      <c r="B3765" s="249"/>
      <c r="C3765" s="248"/>
      <c r="D3765" s="248"/>
    </row>
    <row r="3766" spans="1:4">
      <c r="A3766" s="246"/>
      <c r="B3766" s="246"/>
      <c r="C3766" s="246"/>
      <c r="D3766" s="247"/>
    </row>
    <row r="3767" spans="1:4">
      <c r="A3767" s="248"/>
      <c r="B3767" s="249"/>
      <c r="C3767" s="248"/>
      <c r="D3767" s="248"/>
    </row>
    <row r="3768" spans="1:4">
      <c r="A3768" s="248"/>
      <c r="B3768" s="249"/>
      <c r="C3768" s="248"/>
      <c r="D3768" s="248"/>
    </row>
    <row r="3769" spans="1:4">
      <c r="A3769" s="248"/>
      <c r="B3769" s="249"/>
      <c r="C3769" s="248"/>
      <c r="D3769" s="248"/>
    </row>
    <row r="3770" spans="1:4">
      <c r="A3770" s="248"/>
      <c r="B3770" s="249"/>
      <c r="C3770" s="248"/>
      <c r="D3770" s="248"/>
    </row>
    <row r="3771" spans="1:4">
      <c r="A3771" s="248"/>
      <c r="B3771" s="249"/>
      <c r="C3771" s="248"/>
      <c r="D3771" s="248"/>
    </row>
    <row r="3772" spans="1:4">
      <c r="A3772" s="248"/>
      <c r="B3772" s="249"/>
      <c r="C3772" s="248"/>
      <c r="D3772" s="248"/>
    </row>
    <row r="3773" spans="1:4">
      <c r="A3773" s="248"/>
      <c r="B3773" s="249"/>
      <c r="C3773" s="248"/>
      <c r="D3773" s="248"/>
    </row>
    <row r="3774" spans="1:4">
      <c r="A3774" s="248"/>
      <c r="B3774" s="249"/>
      <c r="C3774" s="248"/>
      <c r="D3774" s="248"/>
    </row>
    <row r="3775" spans="1:4">
      <c r="A3775" s="248"/>
      <c r="B3775" s="249"/>
      <c r="C3775" s="248"/>
      <c r="D3775" s="248"/>
    </row>
    <row r="3776" spans="1:4">
      <c r="A3776" s="248"/>
      <c r="B3776" s="249"/>
      <c r="C3776" s="248"/>
      <c r="D3776" s="248"/>
    </row>
    <row r="3777" spans="1:4">
      <c r="A3777" s="248"/>
      <c r="B3777" s="249"/>
      <c r="C3777" s="248"/>
      <c r="D3777" s="248"/>
    </row>
    <row r="3778" spans="1:4">
      <c r="A3778" s="246"/>
      <c r="B3778" s="246"/>
      <c r="C3778" s="246"/>
      <c r="D3778" s="247"/>
    </row>
    <row r="3779" spans="1:4">
      <c r="A3779" s="248"/>
      <c r="B3779" s="249"/>
      <c r="C3779" s="248"/>
      <c r="D3779" s="248"/>
    </row>
    <row r="3780" spans="1:4">
      <c r="A3780" s="248"/>
      <c r="B3780" s="249"/>
      <c r="C3780" s="248"/>
      <c r="D3780" s="248"/>
    </row>
    <row r="3781" spans="1:4">
      <c r="A3781" s="248"/>
      <c r="B3781" s="249"/>
      <c r="C3781" s="248"/>
      <c r="D3781" s="248"/>
    </row>
    <row r="3782" spans="1:4">
      <c r="A3782" s="248"/>
      <c r="B3782" s="249"/>
      <c r="C3782" s="248"/>
      <c r="D3782" s="248"/>
    </row>
    <row r="3783" spans="1:4">
      <c r="A3783" s="248"/>
      <c r="B3783" s="249"/>
      <c r="C3783" s="248"/>
      <c r="D3783" s="248"/>
    </row>
    <row r="3784" spans="1:4">
      <c r="A3784" s="248"/>
      <c r="B3784" s="249"/>
      <c r="C3784" s="248"/>
      <c r="D3784" s="248"/>
    </row>
    <row r="3785" spans="1:4">
      <c r="A3785" s="248"/>
      <c r="B3785" s="249"/>
      <c r="C3785" s="248"/>
      <c r="D3785" s="248"/>
    </row>
    <row r="3786" spans="1:4">
      <c r="A3786" s="248"/>
      <c r="B3786" s="249"/>
      <c r="C3786" s="248"/>
      <c r="D3786" s="248"/>
    </row>
    <row r="3787" spans="1:4">
      <c r="A3787" s="248"/>
      <c r="B3787" s="249"/>
      <c r="C3787" s="248"/>
      <c r="D3787" s="248"/>
    </row>
    <row r="3788" spans="1:4">
      <c r="A3788" s="248"/>
      <c r="B3788" s="249"/>
      <c r="C3788" s="248"/>
      <c r="D3788" s="248"/>
    </row>
    <row r="3789" spans="1:4">
      <c r="A3789" s="246"/>
      <c r="B3789" s="246"/>
      <c r="C3789" s="246"/>
      <c r="D3789" s="247"/>
    </row>
    <row r="3790" spans="1:4">
      <c r="A3790" s="248"/>
      <c r="B3790" s="249"/>
      <c r="C3790" s="248"/>
      <c r="D3790" s="248"/>
    </row>
    <row r="3791" spans="1:4">
      <c r="A3791" s="248"/>
      <c r="B3791" s="249"/>
      <c r="C3791" s="248"/>
      <c r="D3791" s="248"/>
    </row>
    <row r="3792" spans="1:4">
      <c r="A3792" s="248"/>
      <c r="B3792" s="249"/>
      <c r="C3792" s="248"/>
      <c r="D3792" s="248"/>
    </row>
    <row r="3793" spans="1:4">
      <c r="A3793" s="248"/>
      <c r="B3793" s="249"/>
      <c r="C3793" s="248"/>
      <c r="D3793" s="248"/>
    </row>
    <row r="3794" spans="1:4">
      <c r="A3794" s="248"/>
      <c r="B3794" s="249"/>
      <c r="C3794" s="248"/>
      <c r="D3794" s="248"/>
    </row>
    <row r="3795" spans="1:4">
      <c r="A3795" s="248"/>
      <c r="B3795" s="249"/>
      <c r="C3795" s="248"/>
      <c r="D3795" s="248"/>
    </row>
    <row r="3796" spans="1:4">
      <c r="A3796" s="246"/>
      <c r="B3796" s="246"/>
      <c r="C3796" s="246"/>
      <c r="D3796" s="247"/>
    </row>
    <row r="3797" spans="1:4">
      <c r="A3797" s="248"/>
      <c r="B3797" s="249"/>
      <c r="C3797" s="248"/>
      <c r="D3797" s="248"/>
    </row>
    <row r="3798" spans="1:4">
      <c r="A3798" s="248"/>
      <c r="B3798" s="249"/>
      <c r="C3798" s="248"/>
      <c r="D3798" s="248"/>
    </row>
    <row r="3799" spans="1:4">
      <c r="A3799" s="248"/>
      <c r="B3799" s="249"/>
      <c r="C3799" s="248"/>
      <c r="D3799" s="248"/>
    </row>
    <row r="3800" spans="1:4">
      <c r="A3800" s="248"/>
      <c r="B3800" s="249"/>
      <c r="C3800" s="248"/>
      <c r="D3800" s="248"/>
    </row>
    <row r="3801" spans="1:4">
      <c r="A3801" s="248"/>
      <c r="B3801" s="249"/>
      <c r="C3801" s="248"/>
      <c r="D3801" s="248"/>
    </row>
    <row r="3802" spans="1:4">
      <c r="A3802" s="248"/>
      <c r="B3802" s="249"/>
      <c r="C3802" s="248"/>
      <c r="D3802" s="248"/>
    </row>
    <row r="3803" spans="1:4">
      <c r="A3803" s="246"/>
      <c r="B3803" s="246"/>
      <c r="C3803" s="246"/>
      <c r="D3803" s="247"/>
    </row>
    <row r="3804" spans="1:4">
      <c r="A3804" s="248"/>
      <c r="B3804" s="249"/>
      <c r="C3804" s="248"/>
      <c r="D3804" s="248"/>
    </row>
    <row r="3805" spans="1:4">
      <c r="A3805" s="248"/>
      <c r="B3805" s="249"/>
      <c r="C3805" s="248"/>
      <c r="D3805" s="248"/>
    </row>
    <row r="3806" spans="1:4">
      <c r="A3806" s="248"/>
      <c r="B3806" s="249"/>
      <c r="C3806" s="248"/>
      <c r="D3806" s="248"/>
    </row>
    <row r="3807" spans="1:4">
      <c r="A3807" s="248"/>
      <c r="B3807" s="249"/>
      <c r="C3807" s="248"/>
      <c r="D3807" s="248"/>
    </row>
    <row r="3808" spans="1:4">
      <c r="A3808" s="248"/>
      <c r="B3808" s="249"/>
      <c r="C3808" s="248"/>
      <c r="D3808" s="248"/>
    </row>
    <row r="3809" spans="1:4">
      <c r="A3809" s="246"/>
      <c r="B3809" s="246"/>
      <c r="C3809" s="246"/>
      <c r="D3809" s="247"/>
    </row>
    <row r="3810" spans="1:4">
      <c r="A3810" s="248"/>
      <c r="B3810" s="249"/>
      <c r="C3810" s="248"/>
      <c r="D3810" s="248"/>
    </row>
    <row r="3811" spans="1:4">
      <c r="A3811" s="248"/>
      <c r="B3811" s="249"/>
      <c r="C3811" s="248"/>
      <c r="D3811" s="248"/>
    </row>
    <row r="3812" spans="1:4">
      <c r="A3812" s="248"/>
      <c r="B3812" s="249"/>
      <c r="C3812" s="248"/>
      <c r="D3812" s="248"/>
    </row>
    <row r="3813" spans="1:4">
      <c r="A3813" s="248"/>
      <c r="B3813" s="249"/>
      <c r="C3813" s="248"/>
      <c r="D3813" s="248"/>
    </row>
    <row r="3814" spans="1:4">
      <c r="A3814" s="248"/>
      <c r="B3814" s="249"/>
      <c r="C3814" s="248"/>
      <c r="D3814" s="248"/>
    </row>
    <row r="3815" spans="1:4">
      <c r="A3815" s="248"/>
      <c r="B3815" s="249"/>
      <c r="C3815" s="248"/>
      <c r="D3815" s="248"/>
    </row>
    <row r="3816" spans="1:4">
      <c r="A3816" s="248"/>
      <c r="B3816" s="249"/>
      <c r="C3816" s="248"/>
      <c r="D3816" s="248"/>
    </row>
    <row r="3817" spans="1:4">
      <c r="A3817" s="248"/>
      <c r="B3817" s="249"/>
      <c r="C3817" s="248"/>
      <c r="D3817" s="248"/>
    </row>
    <row r="3818" spans="1:4">
      <c r="A3818" s="248"/>
      <c r="B3818" s="249"/>
      <c r="C3818" s="248"/>
      <c r="D3818" s="248"/>
    </row>
    <row r="3819" spans="1:4">
      <c r="A3819" s="248"/>
      <c r="B3819" s="249"/>
      <c r="C3819" s="248"/>
      <c r="D3819" s="248"/>
    </row>
    <row r="3820" spans="1:4">
      <c r="A3820" s="248"/>
      <c r="B3820" s="249"/>
      <c r="C3820" s="248"/>
      <c r="D3820" s="248"/>
    </row>
    <row r="3821" spans="1:4">
      <c r="A3821" s="248"/>
      <c r="B3821" s="249"/>
      <c r="C3821" s="248"/>
      <c r="D3821" s="248"/>
    </row>
    <row r="3822" spans="1:4">
      <c r="A3822" s="248"/>
      <c r="B3822" s="249"/>
      <c r="C3822" s="248"/>
      <c r="D3822" s="248"/>
    </row>
    <row r="3823" spans="1:4">
      <c r="A3823" s="248"/>
      <c r="B3823" s="249"/>
      <c r="C3823" s="248"/>
      <c r="D3823" s="248"/>
    </row>
    <row r="3824" spans="1:4">
      <c r="A3824" s="248"/>
      <c r="B3824" s="249"/>
      <c r="C3824" s="248"/>
      <c r="D3824" s="248"/>
    </row>
    <row r="3825" spans="1:4">
      <c r="A3825" s="246"/>
      <c r="B3825" s="246"/>
      <c r="C3825" s="246"/>
      <c r="D3825" s="247"/>
    </row>
    <row r="3826" spans="1:4">
      <c r="A3826" s="248"/>
      <c r="B3826" s="249"/>
      <c r="C3826" s="248"/>
      <c r="D3826" s="248"/>
    </row>
    <row r="3827" spans="1:4">
      <c r="A3827" s="248"/>
      <c r="B3827" s="249"/>
      <c r="C3827" s="248"/>
      <c r="D3827" s="248"/>
    </row>
    <row r="3828" spans="1:4">
      <c r="A3828" s="248"/>
      <c r="B3828" s="249"/>
      <c r="C3828" s="248"/>
      <c r="D3828" s="248"/>
    </row>
    <row r="3829" spans="1:4">
      <c r="A3829" s="248"/>
      <c r="B3829" s="249"/>
      <c r="C3829" s="248"/>
      <c r="D3829" s="248"/>
    </row>
    <row r="3830" spans="1:4">
      <c r="A3830" s="248"/>
      <c r="B3830" s="249"/>
      <c r="C3830" s="248"/>
      <c r="D3830" s="248"/>
    </row>
    <row r="3831" spans="1:4">
      <c r="A3831" s="246"/>
      <c r="B3831" s="246"/>
      <c r="C3831" s="246"/>
      <c r="D3831" s="247"/>
    </row>
    <row r="3832" spans="1:4">
      <c r="A3832" s="248"/>
      <c r="B3832" s="249"/>
      <c r="C3832" s="248"/>
      <c r="D3832" s="248"/>
    </row>
    <row r="3833" spans="1:4">
      <c r="A3833" s="248"/>
      <c r="B3833" s="249"/>
      <c r="C3833" s="248"/>
      <c r="D3833" s="248"/>
    </row>
    <row r="3834" spans="1:4">
      <c r="A3834" s="248"/>
      <c r="B3834" s="249"/>
      <c r="C3834" s="248"/>
      <c r="D3834" s="248"/>
    </row>
    <row r="3835" spans="1:4">
      <c r="A3835" s="248"/>
      <c r="B3835" s="249"/>
      <c r="C3835" s="248"/>
      <c r="D3835" s="248"/>
    </row>
    <row r="3836" spans="1:4">
      <c r="A3836" s="248"/>
      <c r="B3836" s="249"/>
      <c r="C3836" s="248"/>
      <c r="D3836" s="248"/>
    </row>
    <row r="3837" spans="1:4">
      <c r="A3837" s="248"/>
      <c r="B3837" s="249"/>
      <c r="C3837" s="248"/>
      <c r="D3837" s="248"/>
    </row>
    <row r="3838" spans="1:4">
      <c r="A3838" s="248"/>
      <c r="B3838" s="249"/>
      <c r="C3838" s="248"/>
      <c r="D3838" s="248"/>
    </row>
    <row r="3839" spans="1:4">
      <c r="A3839" s="248"/>
      <c r="B3839" s="249"/>
      <c r="C3839" s="248"/>
      <c r="D3839" s="248"/>
    </row>
    <row r="3840" spans="1:4">
      <c r="A3840" s="248"/>
      <c r="B3840" s="249"/>
      <c r="C3840" s="248"/>
      <c r="D3840" s="248"/>
    </row>
    <row r="3841" spans="1:4">
      <c r="A3841" s="248"/>
      <c r="B3841" s="249"/>
      <c r="C3841" s="248"/>
      <c r="D3841" s="248"/>
    </row>
    <row r="3842" spans="1:4">
      <c r="A3842" s="251"/>
      <c r="B3842" s="251"/>
      <c r="C3842" s="251"/>
      <c r="D3842" s="252"/>
    </row>
    <row r="3843" spans="1:4">
      <c r="A3843" s="246"/>
      <c r="B3843" s="246"/>
      <c r="C3843" s="246"/>
      <c r="D3843" s="247"/>
    </row>
    <row r="3844" spans="1:4">
      <c r="A3844" s="248"/>
      <c r="B3844" s="249"/>
      <c r="C3844" s="248"/>
      <c r="D3844" s="248"/>
    </row>
    <row r="3845" spans="1:4">
      <c r="A3845" s="248"/>
      <c r="B3845" s="249"/>
      <c r="C3845" s="248"/>
      <c r="D3845" s="248"/>
    </row>
    <row r="3846" spans="1:4">
      <c r="A3846" s="248"/>
      <c r="B3846" s="249"/>
      <c r="C3846" s="248"/>
      <c r="D3846" s="248"/>
    </row>
    <row r="3847" spans="1:4">
      <c r="A3847" s="248"/>
      <c r="B3847" s="249"/>
      <c r="C3847" s="248"/>
      <c r="D3847" s="248"/>
    </row>
    <row r="3848" spans="1:4">
      <c r="A3848" s="248"/>
      <c r="B3848" s="249"/>
      <c r="C3848" s="248"/>
      <c r="D3848" s="248"/>
    </row>
    <row r="3849" spans="1:4">
      <c r="A3849" s="248"/>
      <c r="B3849" s="249"/>
      <c r="C3849" s="248"/>
      <c r="D3849" s="248"/>
    </row>
    <row r="3850" spans="1:4">
      <c r="A3850" s="248"/>
      <c r="B3850" s="249"/>
      <c r="C3850" s="248"/>
      <c r="D3850" s="248"/>
    </row>
    <row r="3851" spans="1:4">
      <c r="A3851" s="248"/>
      <c r="B3851" s="249"/>
      <c r="C3851" s="248"/>
      <c r="D3851" s="248"/>
    </row>
    <row r="3852" spans="1:4">
      <c r="A3852" s="248"/>
      <c r="B3852" s="249"/>
      <c r="C3852" s="248"/>
      <c r="D3852" s="248"/>
    </row>
    <row r="3853" spans="1:4">
      <c r="A3853" s="248"/>
      <c r="B3853" s="249"/>
      <c r="C3853" s="248"/>
      <c r="D3853" s="248"/>
    </row>
    <row r="3854" spans="1:4">
      <c r="A3854" s="248"/>
      <c r="B3854" s="249"/>
      <c r="C3854" s="248"/>
      <c r="D3854" s="248"/>
    </row>
    <row r="3855" spans="1:4">
      <c r="A3855" s="248"/>
      <c r="B3855" s="249"/>
      <c r="C3855" s="248"/>
      <c r="D3855" s="248"/>
    </row>
    <row r="3856" spans="1:4">
      <c r="A3856" s="248"/>
      <c r="B3856" s="249"/>
      <c r="C3856" s="248"/>
      <c r="D3856" s="248"/>
    </row>
    <row r="3857" spans="1:4">
      <c r="A3857" s="248"/>
      <c r="B3857" s="249"/>
      <c r="C3857" s="248"/>
      <c r="D3857" s="248"/>
    </row>
    <row r="3858" spans="1:4">
      <c r="A3858" s="246"/>
      <c r="B3858" s="246"/>
      <c r="C3858" s="246"/>
      <c r="D3858" s="247"/>
    </row>
    <row r="3859" spans="1:4">
      <c r="A3859" s="248"/>
      <c r="B3859" s="249"/>
      <c r="C3859" s="248"/>
      <c r="D3859" s="248"/>
    </row>
    <row r="3860" spans="1:4">
      <c r="A3860" s="248"/>
      <c r="B3860" s="249"/>
      <c r="C3860" s="248"/>
      <c r="D3860" s="248"/>
    </row>
    <row r="3861" spans="1:4">
      <c r="A3861" s="248"/>
      <c r="B3861" s="249"/>
      <c r="C3861" s="248"/>
      <c r="D3861" s="248"/>
    </row>
    <row r="3862" spans="1:4">
      <c r="A3862" s="248"/>
      <c r="B3862" s="249"/>
      <c r="C3862" s="248"/>
      <c r="D3862" s="248"/>
    </row>
    <row r="3863" spans="1:4">
      <c r="A3863" s="248"/>
      <c r="B3863" s="249"/>
      <c r="C3863" s="248"/>
      <c r="D3863" s="248"/>
    </row>
    <row r="3864" spans="1:4">
      <c r="A3864" s="246"/>
      <c r="B3864" s="246"/>
      <c r="C3864" s="246"/>
      <c r="D3864" s="247"/>
    </row>
    <row r="3865" spans="1:4">
      <c r="A3865" s="248"/>
      <c r="B3865" s="249"/>
      <c r="C3865" s="248"/>
      <c r="D3865" s="248"/>
    </row>
    <row r="3866" spans="1:4">
      <c r="A3866" s="248"/>
      <c r="B3866" s="249"/>
      <c r="C3866" s="248"/>
      <c r="D3866" s="248"/>
    </row>
    <row r="3867" spans="1:4">
      <c r="A3867" s="248"/>
      <c r="B3867" s="249"/>
      <c r="C3867" s="248"/>
      <c r="D3867" s="248"/>
    </row>
    <row r="3868" spans="1:4">
      <c r="A3868" s="248"/>
      <c r="B3868" s="249"/>
      <c r="C3868" s="248"/>
      <c r="D3868" s="248"/>
    </row>
    <row r="3869" spans="1:4">
      <c r="A3869" s="248"/>
      <c r="B3869" s="249"/>
      <c r="C3869" s="248"/>
      <c r="D3869" s="248"/>
    </row>
    <row r="3870" spans="1:4">
      <c r="A3870" s="248"/>
      <c r="B3870" s="249"/>
      <c r="C3870" s="248"/>
      <c r="D3870" s="248"/>
    </row>
    <row r="3871" spans="1:4">
      <c r="A3871" s="248"/>
      <c r="B3871" s="249"/>
      <c r="C3871" s="248"/>
      <c r="D3871" s="248"/>
    </row>
    <row r="3872" spans="1:4">
      <c r="A3872" s="248"/>
      <c r="B3872" s="249"/>
      <c r="C3872" s="248"/>
      <c r="D3872" s="248"/>
    </row>
    <row r="3873" spans="1:4">
      <c r="A3873" s="248"/>
      <c r="B3873" s="249"/>
      <c r="C3873" s="248"/>
      <c r="D3873" s="248"/>
    </row>
    <row r="3874" spans="1:4">
      <c r="A3874" s="248"/>
      <c r="B3874" s="249"/>
      <c r="C3874" s="248"/>
      <c r="D3874" s="248"/>
    </row>
    <row r="3875" spans="1:4">
      <c r="A3875" s="248"/>
      <c r="B3875" s="249"/>
      <c r="C3875" s="248"/>
      <c r="D3875" s="248"/>
    </row>
    <row r="3876" spans="1:4">
      <c r="A3876" s="248"/>
      <c r="B3876" s="249"/>
      <c r="C3876" s="248"/>
      <c r="D3876" s="248"/>
    </row>
    <row r="3877" spans="1:4">
      <c r="A3877" s="248"/>
      <c r="B3877" s="249"/>
      <c r="C3877" s="248"/>
      <c r="D3877" s="248"/>
    </row>
    <row r="3878" spans="1:4">
      <c r="A3878" s="248"/>
      <c r="B3878" s="249"/>
      <c r="C3878" s="248"/>
      <c r="D3878" s="248"/>
    </row>
    <row r="3879" spans="1:4">
      <c r="A3879" s="248"/>
      <c r="B3879" s="249"/>
      <c r="C3879" s="248"/>
      <c r="D3879" s="248"/>
    </row>
    <row r="3880" spans="1:4">
      <c r="A3880" s="248"/>
      <c r="B3880" s="249"/>
      <c r="C3880" s="248"/>
      <c r="D3880" s="248"/>
    </row>
    <row r="3881" spans="1:4">
      <c r="A3881" s="248"/>
      <c r="B3881" s="249"/>
      <c r="C3881" s="248"/>
      <c r="D3881" s="248"/>
    </row>
    <row r="3882" spans="1:4">
      <c r="A3882" s="248"/>
      <c r="B3882" s="249"/>
      <c r="C3882" s="248"/>
      <c r="D3882" s="248"/>
    </row>
    <row r="3883" spans="1:4">
      <c r="A3883" s="248"/>
      <c r="B3883" s="249"/>
      <c r="C3883" s="248"/>
      <c r="D3883" s="248"/>
    </row>
    <row r="3884" spans="1:4">
      <c r="A3884" s="248"/>
      <c r="B3884" s="249"/>
      <c r="C3884" s="248"/>
      <c r="D3884" s="248"/>
    </row>
    <row r="3885" spans="1:4">
      <c r="A3885" s="248"/>
      <c r="B3885" s="249"/>
      <c r="C3885" s="248"/>
      <c r="D3885" s="248"/>
    </row>
    <row r="3886" spans="1:4">
      <c r="A3886" s="248"/>
      <c r="B3886" s="249"/>
      <c r="C3886" s="248"/>
      <c r="D3886" s="248"/>
    </row>
    <row r="3887" spans="1:4">
      <c r="A3887" s="248"/>
      <c r="B3887" s="249"/>
      <c r="C3887" s="248"/>
      <c r="D3887" s="248"/>
    </row>
    <row r="3888" spans="1:4">
      <c r="A3888" s="248"/>
      <c r="B3888" s="249"/>
      <c r="C3888" s="248"/>
      <c r="D3888" s="248"/>
    </row>
    <row r="3889" spans="1:4">
      <c r="A3889" s="248"/>
      <c r="B3889" s="249"/>
      <c r="C3889" s="248"/>
      <c r="D3889" s="248"/>
    </row>
    <row r="3890" spans="1:4">
      <c r="A3890" s="248"/>
      <c r="B3890" s="249"/>
      <c r="C3890" s="248"/>
      <c r="D3890" s="248"/>
    </row>
    <row r="3891" spans="1:4">
      <c r="A3891" s="246"/>
      <c r="B3891" s="246"/>
      <c r="C3891" s="246"/>
      <c r="D3891" s="247"/>
    </row>
    <row r="3892" spans="1:4">
      <c r="A3892" s="248"/>
      <c r="B3892" s="249"/>
      <c r="C3892" s="248"/>
      <c r="D3892" s="248"/>
    </row>
    <row r="3893" spans="1:4">
      <c r="A3893" s="248"/>
      <c r="B3893" s="249"/>
      <c r="C3893" s="248"/>
      <c r="D3893" s="248"/>
    </row>
    <row r="3894" spans="1:4">
      <c r="A3894" s="248"/>
      <c r="B3894" s="249"/>
      <c r="C3894" s="248"/>
      <c r="D3894" s="248"/>
    </row>
    <row r="3895" spans="1:4">
      <c r="A3895" s="248"/>
      <c r="B3895" s="249"/>
      <c r="C3895" s="248"/>
      <c r="D3895" s="248"/>
    </row>
    <row r="3896" spans="1:4">
      <c r="A3896" s="248"/>
      <c r="B3896" s="249"/>
      <c r="C3896" s="248"/>
      <c r="D3896" s="248"/>
    </row>
    <row r="3897" spans="1:4">
      <c r="A3897" s="248"/>
      <c r="B3897" s="249"/>
      <c r="C3897" s="248"/>
      <c r="D3897" s="248"/>
    </row>
    <row r="3898" spans="1:4">
      <c r="A3898" s="248"/>
      <c r="B3898" s="249"/>
      <c r="C3898" s="248"/>
      <c r="D3898" s="248"/>
    </row>
    <row r="3899" spans="1:4">
      <c r="A3899" s="248"/>
      <c r="B3899" s="249"/>
      <c r="C3899" s="248"/>
      <c r="D3899" s="248"/>
    </row>
    <row r="3900" spans="1:4">
      <c r="A3900" s="248"/>
      <c r="B3900" s="249"/>
      <c r="C3900" s="248"/>
      <c r="D3900" s="248"/>
    </row>
    <row r="3901" spans="1:4">
      <c r="A3901" s="248"/>
      <c r="B3901" s="249"/>
      <c r="C3901" s="248"/>
      <c r="D3901" s="248"/>
    </row>
    <row r="3902" spans="1:4">
      <c r="A3902" s="248"/>
      <c r="B3902" s="249"/>
      <c r="C3902" s="248"/>
      <c r="D3902" s="248"/>
    </row>
    <row r="3903" spans="1:4">
      <c r="A3903" s="246"/>
      <c r="B3903" s="246"/>
      <c r="C3903" s="246"/>
      <c r="D3903" s="247"/>
    </row>
    <row r="3904" spans="1:4">
      <c r="A3904" s="248"/>
      <c r="B3904" s="249"/>
      <c r="C3904" s="248"/>
      <c r="D3904" s="248"/>
    </row>
    <row r="3905" spans="1:4">
      <c r="A3905" s="248"/>
      <c r="B3905" s="249"/>
      <c r="C3905" s="248"/>
      <c r="D3905" s="248"/>
    </row>
    <row r="3906" spans="1:4">
      <c r="A3906" s="246"/>
      <c r="B3906" s="246"/>
      <c r="C3906" s="246"/>
      <c r="D3906" s="247"/>
    </row>
    <row r="3907" spans="1:4">
      <c r="A3907" s="248"/>
      <c r="B3907" s="249"/>
      <c r="C3907" s="248"/>
      <c r="D3907" s="248"/>
    </row>
    <row r="3908" spans="1:4">
      <c r="A3908" s="248"/>
      <c r="B3908" s="249"/>
      <c r="C3908" s="248"/>
      <c r="D3908" s="248"/>
    </row>
    <row r="3909" spans="1:4">
      <c r="A3909" s="248"/>
      <c r="B3909" s="249"/>
      <c r="C3909" s="248"/>
      <c r="D3909" s="248"/>
    </row>
    <row r="3910" spans="1:4">
      <c r="A3910" s="248"/>
      <c r="B3910" s="249"/>
      <c r="C3910" s="248"/>
      <c r="D3910" s="248"/>
    </row>
    <row r="3911" spans="1:4">
      <c r="A3911" s="248"/>
      <c r="B3911" s="249"/>
      <c r="C3911" s="248"/>
      <c r="D3911" s="248"/>
    </row>
    <row r="3912" spans="1:4">
      <c r="A3912" s="248"/>
      <c r="B3912" s="249"/>
      <c r="C3912" s="248"/>
      <c r="D3912" s="248"/>
    </row>
    <row r="3913" spans="1:4">
      <c r="A3913" s="248"/>
      <c r="B3913" s="249"/>
      <c r="C3913" s="248"/>
      <c r="D3913" s="248"/>
    </row>
    <row r="3914" spans="1:4">
      <c r="A3914" s="248"/>
      <c r="B3914" s="249"/>
      <c r="C3914" s="248"/>
      <c r="D3914" s="248"/>
    </row>
    <row r="3915" spans="1:4">
      <c r="A3915" s="248"/>
      <c r="B3915" s="249"/>
      <c r="C3915" s="248"/>
      <c r="D3915" s="248"/>
    </row>
    <row r="3916" spans="1:4">
      <c r="A3916" s="246"/>
      <c r="B3916" s="246"/>
      <c r="C3916" s="246"/>
      <c r="D3916" s="247"/>
    </row>
    <row r="3917" spans="1:4">
      <c r="A3917" s="248"/>
      <c r="B3917" s="249"/>
      <c r="C3917" s="248"/>
      <c r="D3917" s="248"/>
    </row>
    <row r="3918" spans="1:4">
      <c r="A3918" s="248"/>
      <c r="B3918" s="249"/>
      <c r="C3918" s="248"/>
      <c r="D3918" s="248"/>
    </row>
    <row r="3919" spans="1:4">
      <c r="A3919" s="246"/>
      <c r="B3919" s="246"/>
      <c r="C3919" s="246"/>
      <c r="D3919" s="247"/>
    </row>
    <row r="3920" spans="1:4">
      <c r="A3920" s="248"/>
      <c r="B3920" s="249"/>
      <c r="C3920" s="248"/>
      <c r="D3920" s="248"/>
    </row>
    <row r="3921" spans="1:4">
      <c r="A3921" s="246"/>
      <c r="B3921" s="246"/>
      <c r="C3921" s="246"/>
      <c r="D3921" s="247"/>
    </row>
    <row r="3922" spans="1:4">
      <c r="A3922" s="248"/>
      <c r="B3922" s="249"/>
      <c r="C3922" s="248"/>
      <c r="D3922" s="248"/>
    </row>
    <row r="3923" spans="1:4">
      <c r="A3923" s="251"/>
      <c r="B3923" s="251"/>
      <c r="C3923" s="251"/>
      <c r="D3923" s="252"/>
    </row>
    <row r="3924" spans="1:4">
      <c r="A3924" s="246"/>
      <c r="B3924" s="246"/>
      <c r="C3924" s="246"/>
      <c r="D3924" s="247"/>
    </row>
    <row r="3925" spans="1:4">
      <c r="A3925" s="248"/>
      <c r="B3925" s="249"/>
      <c r="C3925" s="248"/>
      <c r="D3925" s="248"/>
    </row>
    <row r="3926" spans="1:4">
      <c r="A3926" s="246"/>
      <c r="B3926" s="246"/>
      <c r="C3926" s="246"/>
      <c r="D3926" s="247"/>
    </row>
    <row r="3927" spans="1:4">
      <c r="A3927" s="248"/>
      <c r="B3927" s="249"/>
      <c r="C3927" s="248"/>
      <c r="D3927" s="248"/>
    </row>
    <row r="3928" spans="1:4">
      <c r="A3928" s="248"/>
      <c r="B3928" s="249"/>
      <c r="C3928" s="248"/>
      <c r="D3928" s="248"/>
    </row>
    <row r="3929" spans="1:4">
      <c r="A3929" s="251"/>
      <c r="B3929" s="251"/>
      <c r="C3929" s="251"/>
      <c r="D3929" s="252"/>
    </row>
    <row r="3930" spans="1:4">
      <c r="A3930" s="246"/>
      <c r="B3930" s="246"/>
      <c r="C3930" s="246"/>
      <c r="D3930" s="247"/>
    </row>
    <row r="3931" spans="1:4">
      <c r="A3931" s="248"/>
      <c r="B3931" s="249"/>
      <c r="C3931" s="248"/>
      <c r="D3931" s="248"/>
    </row>
    <row r="3932" spans="1:4">
      <c r="A3932" s="248"/>
      <c r="B3932" s="249"/>
      <c r="C3932" s="248"/>
      <c r="D3932" s="248"/>
    </row>
    <row r="3933" spans="1:4">
      <c r="A3933" s="248"/>
      <c r="B3933" s="249"/>
      <c r="C3933" s="248"/>
      <c r="D3933" s="248"/>
    </row>
    <row r="3934" spans="1:4">
      <c r="A3934" s="248"/>
      <c r="B3934" s="249"/>
      <c r="C3934" s="248"/>
      <c r="D3934" s="248"/>
    </row>
    <row r="3935" spans="1:4">
      <c r="A3935" s="248"/>
      <c r="B3935" s="249"/>
      <c r="C3935" s="248"/>
      <c r="D3935" s="248"/>
    </row>
    <row r="3936" spans="1:4">
      <c r="A3936" s="248"/>
      <c r="B3936" s="249"/>
      <c r="C3936" s="248"/>
      <c r="D3936" s="248"/>
    </row>
    <row r="3937" spans="1:4">
      <c r="A3937" s="248"/>
      <c r="B3937" s="249"/>
      <c r="C3937" s="248"/>
      <c r="D3937" s="248"/>
    </row>
    <row r="3938" spans="1:4">
      <c r="A3938" s="248"/>
      <c r="B3938" s="249"/>
      <c r="C3938" s="248"/>
      <c r="D3938" s="248"/>
    </row>
    <row r="3939" spans="1:4">
      <c r="A3939" s="248"/>
      <c r="B3939" s="249"/>
      <c r="C3939" s="248"/>
      <c r="D3939" s="248"/>
    </row>
    <row r="3940" spans="1:4">
      <c r="A3940" s="248"/>
      <c r="B3940" s="249"/>
      <c r="C3940" s="248"/>
      <c r="D3940" s="248"/>
    </row>
    <row r="3941" spans="1:4">
      <c r="A3941" s="251"/>
      <c r="B3941" s="251"/>
      <c r="C3941" s="251"/>
      <c r="D3941" s="252"/>
    </row>
    <row r="3942" spans="1:4">
      <c r="A3942" s="246"/>
      <c r="B3942" s="246"/>
      <c r="C3942" s="246"/>
      <c r="D3942" s="247"/>
    </row>
    <row r="3943" spans="1:4">
      <c r="A3943" s="248"/>
      <c r="B3943" s="249"/>
      <c r="C3943" s="248"/>
      <c r="D3943" s="248"/>
    </row>
    <row r="3944" spans="1:4">
      <c r="A3944" s="248"/>
      <c r="B3944" s="249"/>
      <c r="C3944" s="248"/>
      <c r="D3944" s="248"/>
    </row>
    <row r="3945" spans="1:4">
      <c r="A3945" s="248"/>
      <c r="B3945" s="249"/>
      <c r="C3945" s="248"/>
      <c r="D3945" s="248"/>
    </row>
    <row r="3946" spans="1:4">
      <c r="A3946" s="248"/>
      <c r="B3946" s="249"/>
      <c r="C3946" s="248"/>
      <c r="D3946" s="248"/>
    </row>
    <row r="3947" spans="1:4">
      <c r="A3947" s="251"/>
      <c r="B3947" s="251"/>
      <c r="C3947" s="251"/>
      <c r="D3947" s="252"/>
    </row>
    <row r="3948" spans="1:4">
      <c r="A3948" s="255"/>
      <c r="B3948" s="255"/>
      <c r="C3948" s="255"/>
      <c r="D3948" s="256"/>
    </row>
    <row r="3949" spans="1:4">
      <c r="A3949" s="246"/>
      <c r="B3949" s="246"/>
      <c r="C3949" s="246"/>
      <c r="D3949" s="247"/>
    </row>
    <row r="3950" spans="1:4">
      <c r="A3950" s="248"/>
      <c r="B3950" s="249"/>
      <c r="C3950" s="248"/>
      <c r="D3950" s="248"/>
    </row>
    <row r="3951" spans="1:4">
      <c r="A3951" s="248"/>
      <c r="B3951" s="249"/>
      <c r="C3951" s="248"/>
      <c r="D3951" s="248"/>
    </row>
    <row r="3952" spans="1:4">
      <c r="A3952" s="248"/>
      <c r="B3952" s="249"/>
      <c r="C3952" s="248"/>
      <c r="D3952" s="248"/>
    </row>
    <row r="3953" spans="1:4">
      <c r="A3953" s="248"/>
      <c r="B3953" s="249"/>
      <c r="C3953" s="248"/>
      <c r="D3953" s="248"/>
    </row>
    <row r="3954" spans="1:4">
      <c r="A3954" s="248"/>
      <c r="B3954" s="249"/>
      <c r="C3954" s="248"/>
      <c r="D3954" s="248"/>
    </row>
    <row r="3955" spans="1:4">
      <c r="A3955" s="248"/>
      <c r="B3955" s="249"/>
      <c r="C3955" s="248"/>
      <c r="D3955" s="248"/>
    </row>
    <row r="3956" spans="1:4">
      <c r="A3956" s="248"/>
      <c r="B3956" s="249"/>
      <c r="C3956" s="248"/>
      <c r="D3956" s="248"/>
    </row>
    <row r="3957" spans="1:4">
      <c r="A3957" s="246"/>
      <c r="B3957" s="246"/>
      <c r="C3957" s="246"/>
      <c r="D3957" s="247"/>
    </row>
    <row r="3958" spans="1:4">
      <c r="A3958" s="248"/>
      <c r="B3958" s="249"/>
      <c r="C3958" s="248"/>
      <c r="D3958" s="248"/>
    </row>
    <row r="3959" spans="1:4">
      <c r="A3959" s="248"/>
      <c r="B3959" s="249"/>
      <c r="C3959" s="248"/>
      <c r="D3959" s="248"/>
    </row>
    <row r="3960" spans="1:4">
      <c r="A3960" s="248"/>
      <c r="B3960" s="249"/>
      <c r="C3960" s="248"/>
      <c r="D3960" s="248"/>
    </row>
    <row r="3961" spans="1:4">
      <c r="A3961" s="248"/>
      <c r="B3961" s="249"/>
      <c r="C3961" s="248"/>
      <c r="D3961" s="248"/>
    </row>
    <row r="3962" spans="1:4">
      <c r="A3962" s="251"/>
      <c r="B3962" s="251"/>
      <c r="C3962" s="251"/>
      <c r="D3962" s="252"/>
    </row>
    <row r="3963" spans="1:4">
      <c r="A3963" s="246"/>
      <c r="B3963" s="246"/>
      <c r="C3963" s="246"/>
      <c r="D3963" s="247"/>
    </row>
    <row r="3964" spans="1:4">
      <c r="A3964" s="248"/>
      <c r="B3964" s="249"/>
      <c r="C3964" s="248"/>
      <c r="D3964" s="248"/>
    </row>
    <row r="3965" spans="1:4">
      <c r="A3965" s="248"/>
      <c r="B3965" s="249"/>
      <c r="C3965" s="248"/>
      <c r="D3965" s="248"/>
    </row>
    <row r="3966" spans="1:4">
      <c r="A3966" s="248"/>
      <c r="B3966" s="249"/>
      <c r="C3966" s="248"/>
      <c r="D3966" s="248"/>
    </row>
    <row r="3967" spans="1:4">
      <c r="A3967" s="251"/>
      <c r="B3967" s="251"/>
      <c r="C3967" s="251"/>
      <c r="D3967" s="252"/>
    </row>
    <row r="3968" spans="1:4">
      <c r="A3968" s="246"/>
      <c r="B3968" s="246"/>
      <c r="C3968" s="246"/>
      <c r="D3968" s="247"/>
    </row>
    <row r="3969" spans="1:4">
      <c r="A3969" s="248"/>
      <c r="B3969" s="249"/>
      <c r="C3969" s="248"/>
      <c r="D3969" s="248"/>
    </row>
    <row r="3970" spans="1:4">
      <c r="A3970" s="248"/>
      <c r="B3970" s="249"/>
      <c r="C3970" s="248"/>
      <c r="D3970" s="248"/>
    </row>
    <row r="3971" spans="1:4">
      <c r="A3971" s="248"/>
      <c r="B3971" s="249"/>
      <c r="C3971" s="248"/>
      <c r="D3971" s="248"/>
    </row>
    <row r="3972" spans="1:4">
      <c r="A3972" s="246"/>
      <c r="B3972" s="246"/>
      <c r="C3972" s="246"/>
      <c r="D3972" s="247"/>
    </row>
    <row r="3973" spans="1:4">
      <c r="A3973" s="251"/>
      <c r="B3973" s="251"/>
      <c r="C3973" s="251"/>
      <c r="D3973" s="252"/>
    </row>
    <row r="3974" spans="1:4">
      <c r="A3974" s="251"/>
      <c r="B3974" s="251"/>
      <c r="C3974" s="251"/>
      <c r="D3974" s="252"/>
    </row>
    <row r="3975" spans="1:4">
      <c r="A3975" s="246"/>
      <c r="B3975" s="246"/>
      <c r="C3975" s="246"/>
      <c r="D3975" s="247"/>
    </row>
    <row r="3976" spans="1:4">
      <c r="A3976" s="248"/>
      <c r="B3976" s="249"/>
      <c r="C3976" s="248"/>
      <c r="D3976" s="248"/>
    </row>
    <row r="3977" spans="1:4">
      <c r="A3977" s="248"/>
      <c r="B3977" s="249"/>
      <c r="C3977" s="248"/>
      <c r="D3977" s="248"/>
    </row>
    <row r="3978" spans="1:4">
      <c r="A3978" s="248"/>
      <c r="B3978" s="249"/>
      <c r="C3978" s="248"/>
      <c r="D3978" s="248"/>
    </row>
    <row r="3979" spans="1:4">
      <c r="A3979" s="248"/>
      <c r="B3979" s="249"/>
      <c r="C3979" s="248"/>
      <c r="D3979" s="248"/>
    </row>
    <row r="3980" spans="1:4">
      <c r="A3980" s="246"/>
      <c r="B3980" s="246"/>
      <c r="C3980" s="246"/>
      <c r="D3980" s="247"/>
    </row>
    <row r="3981" spans="1:4">
      <c r="A3981" s="248"/>
      <c r="B3981" s="249"/>
      <c r="C3981" s="248"/>
      <c r="D3981" s="248"/>
    </row>
    <row r="3982" spans="1:4">
      <c r="A3982" s="248"/>
      <c r="B3982" s="249"/>
      <c r="C3982" s="248"/>
      <c r="D3982" s="248"/>
    </row>
    <row r="3983" spans="1:4">
      <c r="A3983" s="248"/>
      <c r="B3983" s="249"/>
      <c r="C3983" s="248"/>
      <c r="D3983" s="248"/>
    </row>
    <row r="3984" spans="1:4">
      <c r="A3984" s="248"/>
      <c r="B3984" s="249"/>
      <c r="C3984" s="248"/>
      <c r="D3984" s="248"/>
    </row>
    <row r="3985" spans="1:4">
      <c r="A3985" s="246"/>
      <c r="B3985" s="246"/>
      <c r="C3985" s="246"/>
      <c r="D3985" s="247"/>
    </row>
    <row r="3986" spans="1:4">
      <c r="A3986" s="248"/>
      <c r="B3986" s="249"/>
      <c r="C3986" s="248"/>
      <c r="D3986" s="248"/>
    </row>
    <row r="3987" spans="1:4">
      <c r="A3987" s="248"/>
      <c r="B3987" s="249"/>
      <c r="C3987" s="248"/>
      <c r="D3987" s="248"/>
    </row>
    <row r="3988" spans="1:4">
      <c r="A3988" s="246"/>
      <c r="B3988" s="246"/>
      <c r="C3988" s="246"/>
      <c r="D3988" s="247"/>
    </row>
    <row r="3989" spans="1:4">
      <c r="A3989" s="248"/>
      <c r="B3989" s="249"/>
      <c r="C3989" s="248"/>
      <c r="D3989" s="248"/>
    </row>
    <row r="3990" spans="1:4">
      <c r="A3990" s="248"/>
      <c r="B3990" s="249"/>
      <c r="C3990" s="248"/>
      <c r="D3990" s="248"/>
    </row>
    <row r="3991" spans="1:4">
      <c r="A3991" s="246"/>
      <c r="B3991" s="246"/>
      <c r="C3991" s="246"/>
      <c r="D3991" s="247"/>
    </row>
    <row r="3992" spans="1:4">
      <c r="A3992" s="248"/>
      <c r="B3992" s="249"/>
      <c r="C3992" s="248"/>
      <c r="D3992" s="248"/>
    </row>
    <row r="3993" spans="1:4">
      <c r="A3993" s="246"/>
      <c r="B3993" s="246"/>
      <c r="C3993" s="246"/>
      <c r="D3993" s="247"/>
    </row>
    <row r="3994" spans="1:4">
      <c r="A3994" s="248"/>
      <c r="B3994" s="249"/>
      <c r="C3994" s="248"/>
      <c r="D3994" s="248"/>
    </row>
    <row r="3995" spans="1:4">
      <c r="A3995" s="248"/>
      <c r="B3995" s="249"/>
      <c r="C3995" s="248"/>
      <c r="D3995" s="248"/>
    </row>
    <row r="3996" spans="1:4">
      <c r="A3996" s="246"/>
      <c r="B3996" s="246"/>
      <c r="C3996" s="246"/>
      <c r="D3996" s="247"/>
    </row>
    <row r="3997" spans="1:4">
      <c r="A3997" s="248"/>
      <c r="B3997" s="249"/>
      <c r="C3997" s="248"/>
      <c r="D3997" s="248"/>
    </row>
    <row r="3998" spans="1:4">
      <c r="A3998" s="248"/>
      <c r="B3998" s="249"/>
      <c r="C3998" s="248"/>
      <c r="D3998" s="248"/>
    </row>
    <row r="3999" spans="1:4">
      <c r="A3999" s="246"/>
      <c r="B3999" s="246"/>
      <c r="C3999" s="246"/>
      <c r="D3999" s="247"/>
    </row>
    <row r="4000" spans="1:4">
      <c r="A4000" s="248"/>
      <c r="B4000" s="249"/>
      <c r="C4000" s="248"/>
      <c r="D4000" s="248"/>
    </row>
    <row r="4001" spans="1:4">
      <c r="A4001" s="248"/>
      <c r="B4001" s="249"/>
      <c r="C4001" s="248"/>
      <c r="D4001" s="248"/>
    </row>
    <row r="4002" spans="1:4">
      <c r="A4002" s="248"/>
      <c r="B4002" s="249"/>
      <c r="C4002" s="248"/>
      <c r="D4002" s="248"/>
    </row>
    <row r="4003" spans="1:4">
      <c r="A4003" s="248"/>
      <c r="B4003" s="249"/>
      <c r="C4003" s="248"/>
      <c r="D4003" s="248"/>
    </row>
    <row r="4004" spans="1:4">
      <c r="A4004" s="248"/>
      <c r="B4004" s="249"/>
      <c r="C4004" s="248"/>
      <c r="D4004" s="248"/>
    </row>
    <row r="4005" spans="1:4">
      <c r="A4005" s="246"/>
      <c r="B4005" s="246"/>
      <c r="C4005" s="246"/>
      <c r="D4005" s="247"/>
    </row>
    <row r="4006" spans="1:4">
      <c r="A4006" s="248"/>
      <c r="B4006" s="249"/>
      <c r="C4006" s="248"/>
      <c r="D4006" s="248"/>
    </row>
    <row r="4007" spans="1:4">
      <c r="A4007" s="248"/>
      <c r="B4007" s="249"/>
      <c r="C4007" s="248"/>
      <c r="D4007" s="248"/>
    </row>
    <row r="4008" spans="1:4">
      <c r="A4008" s="248"/>
      <c r="B4008" s="249"/>
      <c r="C4008" s="248"/>
      <c r="D4008" s="248"/>
    </row>
    <row r="4009" spans="1:4">
      <c r="A4009" s="251"/>
      <c r="B4009" s="251"/>
      <c r="C4009" s="251"/>
      <c r="D4009" s="252"/>
    </row>
    <row r="4010" spans="1:4">
      <c r="A4010" s="246"/>
      <c r="B4010" s="246"/>
      <c r="C4010" s="246"/>
      <c r="D4010" s="247"/>
    </row>
    <row r="4011" spans="1:4">
      <c r="A4011" s="248"/>
      <c r="B4011" s="249"/>
      <c r="C4011" s="248"/>
      <c r="D4011" s="248"/>
    </row>
    <row r="4012" spans="1:4">
      <c r="A4012" s="257"/>
      <c r="B4012" s="257"/>
      <c r="C4012" s="257"/>
      <c r="D4012" s="258"/>
    </row>
    <row r="4013" spans="1:4">
      <c r="A4013" s="246"/>
      <c r="B4013" s="246"/>
      <c r="C4013" s="246"/>
      <c r="D4013" s="247"/>
    </row>
    <row r="4014" spans="1:4">
      <c r="A4014" s="248"/>
      <c r="B4014" s="249"/>
      <c r="C4014" s="248"/>
      <c r="D4014" s="248"/>
    </row>
    <row r="4015" spans="1:4">
      <c r="A4015" s="248"/>
      <c r="B4015" s="249"/>
      <c r="C4015" s="248"/>
      <c r="D4015" s="248"/>
    </row>
    <row r="4016" spans="1:4">
      <c r="A4016" s="246"/>
      <c r="B4016" s="246"/>
      <c r="C4016" s="246"/>
      <c r="D4016" s="247"/>
    </row>
    <row r="4017" spans="1:4">
      <c r="A4017" s="248"/>
      <c r="B4017" s="249"/>
      <c r="C4017" s="248"/>
      <c r="D4017" s="248"/>
    </row>
    <row r="4018" spans="1:4">
      <c r="A4018" s="246"/>
      <c r="B4018" s="246"/>
      <c r="C4018" s="246"/>
      <c r="D4018" s="247"/>
    </row>
    <row r="4019" spans="1:4">
      <c r="A4019" s="248"/>
      <c r="B4019" s="249"/>
      <c r="C4019" s="248"/>
      <c r="D4019" s="248"/>
    </row>
    <row r="4020" spans="1:4">
      <c r="A4020" s="248"/>
      <c r="B4020" s="249"/>
      <c r="C4020" s="248"/>
      <c r="D4020" s="248"/>
    </row>
    <row r="4021" spans="1:4">
      <c r="A4021" s="246"/>
      <c r="B4021" s="246"/>
      <c r="C4021" s="246"/>
      <c r="D4021" s="247"/>
    </row>
    <row r="4022" spans="1:4">
      <c r="A4022" s="248"/>
      <c r="B4022" s="249"/>
      <c r="C4022" s="248"/>
      <c r="D4022" s="248"/>
    </row>
    <row r="4023" spans="1:4">
      <c r="A4023" s="248"/>
      <c r="B4023" s="249"/>
      <c r="C4023" s="248"/>
      <c r="D4023" s="248"/>
    </row>
    <row r="4024" spans="1:4">
      <c r="A4024" s="248"/>
      <c r="B4024" s="249"/>
      <c r="C4024" s="248"/>
      <c r="D4024" s="248"/>
    </row>
    <row r="4025" spans="1:4">
      <c r="A4025" s="248"/>
      <c r="B4025" s="249"/>
      <c r="C4025" s="248"/>
      <c r="D4025" s="248"/>
    </row>
    <row r="4026" spans="1:4">
      <c r="A4026" s="253"/>
      <c r="B4026" s="253"/>
      <c r="C4026" s="253"/>
      <c r="D4026" s="254"/>
    </row>
    <row r="4027" spans="1:4">
      <c r="A4027" s="248"/>
      <c r="B4027" s="249"/>
      <c r="C4027" s="248"/>
      <c r="D4027" s="248"/>
    </row>
    <row r="4028" spans="1:4">
      <c r="A4028" s="248"/>
      <c r="B4028" s="249"/>
      <c r="C4028" s="248"/>
      <c r="D4028" s="248"/>
    </row>
    <row r="4029" spans="1:4">
      <c r="A4029" s="248"/>
      <c r="B4029" s="249"/>
      <c r="C4029" s="248"/>
      <c r="D4029" s="248"/>
    </row>
    <row r="4030" spans="1:4">
      <c r="A4030" s="251"/>
      <c r="B4030" s="251"/>
      <c r="C4030" s="251"/>
      <c r="D4030" s="252"/>
    </row>
    <row r="4031" spans="1:4">
      <c r="A4031" s="246"/>
      <c r="B4031" s="246"/>
      <c r="C4031" s="246"/>
      <c r="D4031" s="247"/>
    </row>
    <row r="4032" spans="1:4">
      <c r="A4032" s="248"/>
      <c r="B4032" s="249"/>
      <c r="C4032" s="248"/>
      <c r="D4032" s="248"/>
    </row>
    <row r="4033" spans="1:4">
      <c r="A4033" s="248"/>
      <c r="B4033" s="249"/>
      <c r="C4033" s="248"/>
      <c r="D4033" s="248"/>
    </row>
    <row r="4034" spans="1:4">
      <c r="A4034" s="248"/>
      <c r="B4034" s="249"/>
      <c r="C4034" s="248"/>
      <c r="D4034" s="248"/>
    </row>
    <row r="4035" spans="1:4">
      <c r="A4035" s="248"/>
      <c r="B4035" s="249"/>
      <c r="C4035" s="248"/>
      <c r="D4035" s="248"/>
    </row>
    <row r="4036" spans="1:4">
      <c r="A4036" s="248"/>
      <c r="B4036" s="249"/>
      <c r="C4036" s="248"/>
      <c r="D4036" s="248"/>
    </row>
    <row r="4037" spans="1:4">
      <c r="A4037" s="248"/>
      <c r="B4037" s="249"/>
      <c r="C4037" s="248"/>
      <c r="D4037" s="248"/>
    </row>
    <row r="4038" spans="1:4">
      <c r="A4038" s="246"/>
      <c r="B4038" s="246"/>
      <c r="C4038" s="246"/>
      <c r="D4038" s="247"/>
    </row>
    <row r="4039" spans="1:4">
      <c r="A4039" s="248"/>
      <c r="B4039" s="249"/>
      <c r="C4039" s="248"/>
      <c r="D4039" s="248"/>
    </row>
    <row r="4040" spans="1:4">
      <c r="A4040" s="248"/>
      <c r="B4040" s="249"/>
      <c r="C4040" s="248"/>
      <c r="D4040" s="248"/>
    </row>
    <row r="4041" spans="1:4">
      <c r="A4041" s="248"/>
      <c r="B4041" s="249"/>
      <c r="C4041" s="248"/>
      <c r="D4041" s="248"/>
    </row>
    <row r="4042" spans="1:4">
      <c r="A4042" s="246"/>
      <c r="B4042" s="246"/>
      <c r="C4042" s="246"/>
      <c r="D4042" s="247"/>
    </row>
    <row r="4043" spans="1:4">
      <c r="A4043" s="248"/>
      <c r="B4043" s="249"/>
      <c r="C4043" s="248"/>
      <c r="D4043" s="248"/>
    </row>
    <row r="4044" spans="1:4">
      <c r="A4044" s="251"/>
      <c r="B4044" s="251"/>
      <c r="C4044" s="251"/>
      <c r="D4044" s="252"/>
    </row>
    <row r="4045" spans="1:4">
      <c r="A4045" s="246"/>
      <c r="B4045" s="246"/>
      <c r="C4045" s="246"/>
      <c r="D4045" s="247"/>
    </row>
    <row r="4046" spans="1:4">
      <c r="A4046" s="248"/>
      <c r="B4046" s="249"/>
      <c r="C4046" s="248"/>
      <c r="D4046" s="248"/>
    </row>
    <row r="4047" spans="1:4">
      <c r="A4047" s="246"/>
      <c r="B4047" s="246"/>
      <c r="C4047" s="246"/>
      <c r="D4047" s="247"/>
    </row>
    <row r="4048" spans="1:4">
      <c r="A4048" s="251"/>
      <c r="B4048" s="251"/>
      <c r="C4048" s="251"/>
      <c r="D4048" s="252"/>
    </row>
    <row r="4049" spans="1:4">
      <c r="A4049" s="251"/>
      <c r="B4049" s="251"/>
      <c r="C4049" s="251"/>
      <c r="D4049" s="252"/>
    </row>
    <row r="4050" spans="1:4">
      <c r="A4050" s="246"/>
      <c r="B4050" s="246"/>
      <c r="C4050" s="246"/>
      <c r="D4050" s="247"/>
    </row>
    <row r="4051" spans="1:4">
      <c r="A4051" s="248"/>
      <c r="B4051" s="249"/>
      <c r="C4051" s="248"/>
      <c r="D4051" s="248"/>
    </row>
    <row r="4052" spans="1:4">
      <c r="A4052" s="248"/>
      <c r="B4052" s="249"/>
      <c r="C4052" s="248"/>
      <c r="D4052" s="248"/>
    </row>
    <row r="4053" spans="1:4">
      <c r="A4053" s="248"/>
      <c r="B4053" s="249"/>
      <c r="C4053" s="248"/>
      <c r="D4053" s="248"/>
    </row>
    <row r="4054" spans="1:4">
      <c r="A4054" s="248"/>
      <c r="B4054" s="249"/>
      <c r="C4054" s="248"/>
      <c r="D4054" s="248"/>
    </row>
    <row r="4055" spans="1:4">
      <c r="A4055" s="248"/>
      <c r="B4055" s="249"/>
      <c r="C4055" s="248"/>
      <c r="D4055" s="248"/>
    </row>
    <row r="4056" spans="1:4">
      <c r="A4056" s="248"/>
      <c r="B4056" s="249"/>
      <c r="C4056" s="248"/>
      <c r="D4056" s="248"/>
    </row>
    <row r="4057" spans="1:4">
      <c r="A4057" s="248"/>
      <c r="B4057" s="249"/>
      <c r="C4057" s="248"/>
      <c r="D4057" s="248"/>
    </row>
    <row r="4058" spans="1:4">
      <c r="A4058" s="248"/>
      <c r="B4058" s="249"/>
      <c r="C4058" s="248"/>
      <c r="D4058" s="248"/>
    </row>
    <row r="4059" spans="1:4">
      <c r="A4059" s="248"/>
      <c r="B4059" s="249"/>
      <c r="C4059" s="248"/>
      <c r="D4059" s="248"/>
    </row>
    <row r="4060" spans="1:4">
      <c r="A4060" s="248"/>
      <c r="B4060" s="249"/>
      <c r="C4060" s="248"/>
      <c r="D4060" s="248"/>
    </row>
    <row r="4061" spans="1:4">
      <c r="A4061" s="248"/>
      <c r="B4061" s="249"/>
      <c r="C4061" s="248"/>
      <c r="D4061" s="248"/>
    </row>
    <row r="4062" spans="1:4">
      <c r="A4062" s="248"/>
      <c r="B4062" s="249"/>
      <c r="C4062" s="248"/>
      <c r="D4062" s="248"/>
    </row>
    <row r="4063" spans="1:4">
      <c r="A4063" s="246"/>
      <c r="B4063" s="246"/>
      <c r="C4063" s="246"/>
      <c r="D4063" s="247"/>
    </row>
    <row r="4064" spans="1:4">
      <c r="A4064" s="248"/>
      <c r="B4064" s="249"/>
      <c r="C4064" s="248"/>
      <c r="D4064" s="248"/>
    </row>
    <row r="4065" spans="1:4">
      <c r="A4065" s="248"/>
      <c r="B4065" s="249"/>
      <c r="C4065" s="248"/>
      <c r="D4065" s="248"/>
    </row>
    <row r="4066" spans="1:4">
      <c r="A4066" s="248"/>
      <c r="B4066" s="249"/>
      <c r="C4066" s="248"/>
      <c r="D4066" s="248"/>
    </row>
    <row r="4067" spans="1:4">
      <c r="A4067" s="248"/>
      <c r="B4067" s="249"/>
      <c r="C4067" s="248"/>
      <c r="D4067" s="248"/>
    </row>
    <row r="4068" spans="1:4">
      <c r="A4068" s="248"/>
      <c r="B4068" s="249"/>
      <c r="C4068" s="248"/>
      <c r="D4068" s="248"/>
    </row>
    <row r="4069" spans="1:4">
      <c r="A4069" s="248"/>
      <c r="B4069" s="249"/>
      <c r="C4069" s="248"/>
      <c r="D4069" s="248"/>
    </row>
    <row r="4070" spans="1:4">
      <c r="A4070" s="248"/>
      <c r="B4070" s="249"/>
      <c r="C4070" s="248"/>
      <c r="D4070" s="248"/>
    </row>
    <row r="4071" spans="1:4">
      <c r="A4071" s="248"/>
      <c r="B4071" s="249"/>
      <c r="C4071" s="248"/>
      <c r="D4071" s="248"/>
    </row>
    <row r="4072" spans="1:4">
      <c r="A4072" s="248"/>
      <c r="B4072" s="249"/>
      <c r="C4072" s="248"/>
      <c r="D4072" s="248"/>
    </row>
    <row r="4073" spans="1:4">
      <c r="A4073" s="248"/>
      <c r="B4073" s="249"/>
      <c r="C4073" s="248"/>
      <c r="D4073" s="248"/>
    </row>
    <row r="4074" spans="1:4">
      <c r="A4074" s="248"/>
      <c r="B4074" s="249"/>
      <c r="C4074" s="248"/>
      <c r="D4074" s="248"/>
    </row>
    <row r="4075" spans="1:4">
      <c r="A4075" s="248"/>
      <c r="B4075" s="249"/>
      <c r="C4075" s="248"/>
      <c r="D4075" s="248"/>
    </row>
    <row r="4076" spans="1:4">
      <c r="A4076" s="248"/>
      <c r="B4076" s="249"/>
      <c r="C4076" s="248"/>
      <c r="D4076" s="248"/>
    </row>
    <row r="4077" spans="1:4">
      <c r="A4077" s="248"/>
      <c r="B4077" s="249"/>
      <c r="C4077" s="248"/>
      <c r="D4077" s="248"/>
    </row>
    <row r="4078" spans="1:4">
      <c r="A4078" s="246"/>
      <c r="B4078" s="246"/>
      <c r="C4078" s="246"/>
      <c r="D4078" s="247"/>
    </row>
    <row r="4079" spans="1:4">
      <c r="A4079" s="248"/>
      <c r="B4079" s="249"/>
      <c r="C4079" s="248"/>
      <c r="D4079" s="248"/>
    </row>
    <row r="4080" spans="1:4">
      <c r="A4080" s="248"/>
      <c r="B4080" s="249"/>
      <c r="C4080" s="248"/>
      <c r="D4080" s="248"/>
    </row>
    <row r="4081" spans="1:4">
      <c r="A4081" s="248"/>
      <c r="B4081" s="249"/>
      <c r="C4081" s="248"/>
      <c r="D4081" s="248"/>
    </row>
    <row r="4082" spans="1:4">
      <c r="A4082" s="248"/>
      <c r="B4082" s="249"/>
      <c r="C4082" s="248"/>
      <c r="D4082" s="248"/>
    </row>
    <row r="4083" spans="1:4">
      <c r="A4083" s="248"/>
      <c r="B4083" s="249"/>
      <c r="C4083" s="248"/>
      <c r="D4083" s="248"/>
    </row>
    <row r="4084" spans="1:4">
      <c r="A4084" s="251"/>
      <c r="B4084" s="251"/>
      <c r="C4084" s="251"/>
      <c r="D4084" s="252"/>
    </row>
    <row r="4085" spans="1:4">
      <c r="A4085" s="246"/>
      <c r="B4085" s="246"/>
      <c r="C4085" s="246"/>
      <c r="D4085" s="247"/>
    </row>
    <row r="4086" spans="1:4">
      <c r="A4086" s="248"/>
      <c r="B4086" s="249"/>
      <c r="C4086" s="248"/>
      <c r="D4086" s="248"/>
    </row>
    <row r="4087" spans="1:4">
      <c r="A4087" s="248"/>
      <c r="B4087" s="249"/>
      <c r="C4087" s="248"/>
      <c r="D4087" s="248"/>
    </row>
    <row r="4088" spans="1:4">
      <c r="A4088" s="248"/>
      <c r="B4088" s="249"/>
      <c r="C4088" s="248"/>
      <c r="D4088" s="248"/>
    </row>
    <row r="4089" spans="1:4">
      <c r="A4089" s="248"/>
      <c r="B4089" s="249"/>
      <c r="C4089" s="248"/>
      <c r="D4089" s="248"/>
    </row>
    <row r="4090" spans="1:4">
      <c r="A4090" s="248"/>
      <c r="B4090" s="249"/>
      <c r="C4090" s="248"/>
      <c r="D4090" s="248"/>
    </row>
    <row r="4091" spans="1:4">
      <c r="A4091" s="248"/>
      <c r="B4091" s="249"/>
      <c r="C4091" s="248"/>
      <c r="D4091" s="248"/>
    </row>
    <row r="4092" spans="1:4">
      <c r="A4092" s="248"/>
      <c r="B4092" s="249"/>
      <c r="C4092" s="248"/>
      <c r="D4092" s="248"/>
    </row>
    <row r="4093" spans="1:4">
      <c r="A4093" s="248"/>
      <c r="B4093" s="249"/>
      <c r="C4093" s="248"/>
      <c r="D4093" s="248"/>
    </row>
    <row r="4094" spans="1:4">
      <c r="A4094" s="248"/>
      <c r="B4094" s="249"/>
      <c r="C4094" s="248"/>
      <c r="D4094" s="248"/>
    </row>
    <row r="4095" spans="1:4">
      <c r="A4095" s="248"/>
      <c r="B4095" s="249"/>
      <c r="C4095" s="248"/>
      <c r="D4095" s="248"/>
    </row>
    <row r="4096" spans="1:4">
      <c r="A4096" s="248"/>
      <c r="B4096" s="249"/>
      <c r="C4096" s="248"/>
      <c r="D4096" s="248"/>
    </row>
    <row r="4097" spans="1:4">
      <c r="A4097" s="248"/>
      <c r="B4097" s="249"/>
      <c r="C4097" s="248"/>
      <c r="D4097" s="248"/>
    </row>
    <row r="4098" spans="1:4">
      <c r="A4098" s="248"/>
      <c r="B4098" s="249"/>
      <c r="C4098" s="248"/>
      <c r="D4098" s="248"/>
    </row>
    <row r="4099" spans="1:4">
      <c r="A4099" s="248"/>
      <c r="B4099" s="249"/>
      <c r="C4099" s="248"/>
      <c r="D4099" s="248"/>
    </row>
    <row r="4100" spans="1:4">
      <c r="A4100" s="246"/>
      <c r="B4100" s="246"/>
      <c r="C4100" s="246"/>
      <c r="D4100" s="247"/>
    </row>
    <row r="4101" spans="1:4">
      <c r="A4101" s="248"/>
      <c r="B4101" s="249"/>
      <c r="C4101" s="248"/>
      <c r="D4101" s="248"/>
    </row>
    <row r="4102" spans="1:4">
      <c r="A4102" s="248"/>
      <c r="B4102" s="249"/>
      <c r="C4102" s="248"/>
      <c r="D4102" s="248"/>
    </row>
    <row r="4103" spans="1:4">
      <c r="A4103" s="246"/>
      <c r="B4103" s="246"/>
      <c r="C4103" s="246"/>
      <c r="D4103" s="247"/>
    </row>
    <row r="4104" spans="1:4">
      <c r="A4104" s="248"/>
      <c r="B4104" s="249"/>
      <c r="C4104" s="248"/>
      <c r="D4104" s="248"/>
    </row>
    <row r="4105" spans="1:4">
      <c r="A4105" s="248"/>
      <c r="B4105" s="249"/>
      <c r="C4105" s="248"/>
      <c r="D4105" s="248"/>
    </row>
    <row r="4106" spans="1:4">
      <c r="A4106" s="248"/>
      <c r="B4106" s="249"/>
      <c r="C4106" s="248"/>
      <c r="D4106" s="248"/>
    </row>
    <row r="4107" spans="1:4">
      <c r="A4107" s="246"/>
      <c r="B4107" s="246"/>
      <c r="C4107" s="246"/>
      <c r="D4107" s="247"/>
    </row>
    <row r="4108" spans="1:4">
      <c r="A4108" s="248"/>
      <c r="B4108" s="249"/>
      <c r="C4108" s="248"/>
      <c r="D4108" s="248"/>
    </row>
    <row r="4109" spans="1:4">
      <c r="A4109" s="248"/>
      <c r="B4109" s="249"/>
      <c r="C4109" s="248"/>
      <c r="D4109" s="248"/>
    </row>
    <row r="4110" spans="1:4">
      <c r="A4110" s="248"/>
      <c r="B4110" s="249"/>
      <c r="C4110" s="248"/>
      <c r="D4110" s="248"/>
    </row>
    <row r="4111" spans="1:4">
      <c r="A4111" s="251"/>
      <c r="B4111" s="251"/>
      <c r="C4111" s="251"/>
      <c r="D4111" s="252"/>
    </row>
    <row r="4112" spans="1:4">
      <c r="A4112" s="246"/>
      <c r="B4112" s="246"/>
      <c r="C4112" s="246"/>
      <c r="D4112" s="247"/>
    </row>
    <row r="4113" spans="1:4">
      <c r="A4113" s="248"/>
      <c r="B4113" s="249"/>
      <c r="C4113" s="248"/>
      <c r="D4113" s="248"/>
    </row>
    <row r="4114" spans="1:4">
      <c r="A4114" s="248"/>
      <c r="B4114" s="249"/>
      <c r="C4114" s="248"/>
      <c r="D4114" s="248"/>
    </row>
    <row r="4115" spans="1:4">
      <c r="A4115" s="248"/>
      <c r="B4115" s="249"/>
      <c r="C4115" s="248"/>
      <c r="D4115" s="248"/>
    </row>
    <row r="4116" spans="1:4">
      <c r="A4116" s="248"/>
      <c r="B4116" s="249"/>
      <c r="C4116" s="248"/>
      <c r="D4116" s="248"/>
    </row>
    <row r="4117" spans="1:4">
      <c r="A4117" s="248"/>
      <c r="B4117" s="249"/>
      <c r="C4117" s="248"/>
      <c r="D4117" s="248"/>
    </row>
    <row r="4118" spans="1:4">
      <c r="A4118" s="248"/>
      <c r="B4118" s="249"/>
      <c r="C4118" s="248"/>
      <c r="D4118" s="248"/>
    </row>
    <row r="4119" spans="1:4">
      <c r="A4119" s="248"/>
      <c r="B4119" s="249"/>
      <c r="C4119" s="248"/>
      <c r="D4119" s="248"/>
    </row>
    <row r="4120" spans="1:4">
      <c r="A4120" s="248"/>
      <c r="B4120" s="249"/>
      <c r="C4120" s="248"/>
      <c r="D4120" s="248"/>
    </row>
    <row r="4121" spans="1:4">
      <c r="A4121" s="248"/>
      <c r="B4121" s="249"/>
      <c r="C4121" s="248"/>
      <c r="D4121" s="248"/>
    </row>
    <row r="4122" spans="1:4">
      <c r="A4122" s="248"/>
      <c r="B4122" s="249"/>
      <c r="C4122" s="248"/>
      <c r="D4122" s="248"/>
    </row>
    <row r="4123" spans="1:4">
      <c r="A4123" s="248"/>
      <c r="B4123" s="249"/>
      <c r="C4123" s="248"/>
      <c r="D4123" s="248"/>
    </row>
    <row r="4124" spans="1:4">
      <c r="A4124" s="248"/>
      <c r="B4124" s="249"/>
      <c r="C4124" s="248"/>
      <c r="D4124" s="248"/>
    </row>
    <row r="4125" spans="1:4">
      <c r="A4125" s="248"/>
      <c r="B4125" s="249"/>
      <c r="C4125" s="248"/>
      <c r="D4125" s="248"/>
    </row>
    <row r="4126" spans="1:4">
      <c r="A4126" s="248"/>
      <c r="B4126" s="249"/>
      <c r="C4126" s="248"/>
      <c r="D4126" s="248"/>
    </row>
    <row r="4127" spans="1:4">
      <c r="A4127" s="248"/>
      <c r="B4127" s="249"/>
      <c r="C4127" s="248"/>
      <c r="D4127" s="248"/>
    </row>
    <row r="4128" spans="1:4">
      <c r="A4128" s="246"/>
      <c r="B4128" s="246"/>
      <c r="C4128" s="246"/>
      <c r="D4128" s="247"/>
    </row>
    <row r="4129" spans="1:4">
      <c r="A4129" s="248"/>
      <c r="B4129" s="249"/>
      <c r="C4129" s="248"/>
      <c r="D4129" s="248"/>
    </row>
    <row r="4130" spans="1:4">
      <c r="A4130" s="248"/>
      <c r="B4130" s="249"/>
      <c r="C4130" s="248"/>
      <c r="D4130" s="248"/>
    </row>
    <row r="4131" spans="1:4">
      <c r="A4131" s="248"/>
      <c r="B4131" s="249"/>
      <c r="C4131" s="248"/>
      <c r="D4131" s="248"/>
    </row>
    <row r="4132" spans="1:4">
      <c r="A4132" s="248"/>
      <c r="B4132" s="249"/>
      <c r="C4132" s="248"/>
      <c r="D4132" s="248"/>
    </row>
    <row r="4133" spans="1:4">
      <c r="A4133" s="248"/>
      <c r="B4133" s="249"/>
      <c r="C4133" s="248"/>
      <c r="D4133" s="248"/>
    </row>
    <row r="4134" spans="1:4">
      <c r="A4134" s="248"/>
      <c r="B4134" s="249"/>
      <c r="C4134" s="248"/>
      <c r="D4134" s="248"/>
    </row>
    <row r="4135" spans="1:4">
      <c r="A4135" s="248"/>
      <c r="B4135" s="249"/>
      <c r="C4135" s="248"/>
      <c r="D4135" s="248"/>
    </row>
    <row r="4136" spans="1:4">
      <c r="A4136" s="248"/>
      <c r="B4136" s="249"/>
      <c r="C4136" s="248"/>
      <c r="D4136" s="248"/>
    </row>
    <row r="4137" spans="1:4">
      <c r="A4137" s="248"/>
      <c r="B4137" s="249"/>
      <c r="C4137" s="248"/>
      <c r="D4137" s="248"/>
    </row>
    <row r="4138" spans="1:4">
      <c r="A4138" s="246"/>
      <c r="B4138" s="246"/>
      <c r="C4138" s="246"/>
      <c r="D4138" s="247"/>
    </row>
    <row r="4139" spans="1:4">
      <c r="A4139" s="248"/>
      <c r="B4139" s="249"/>
      <c r="C4139" s="248"/>
      <c r="D4139" s="248"/>
    </row>
    <row r="4140" spans="1:4">
      <c r="A4140" s="248"/>
      <c r="B4140" s="249"/>
      <c r="C4140" s="248"/>
      <c r="D4140" s="248"/>
    </row>
    <row r="4141" spans="1:4">
      <c r="A4141" s="248"/>
      <c r="B4141" s="249"/>
      <c r="C4141" s="248"/>
      <c r="D4141" s="248"/>
    </row>
    <row r="4142" spans="1:4">
      <c r="A4142" s="248"/>
      <c r="B4142" s="249"/>
      <c r="C4142" s="248"/>
      <c r="D4142" s="248"/>
    </row>
    <row r="4143" spans="1:4">
      <c r="A4143" s="248"/>
      <c r="B4143" s="249"/>
      <c r="C4143" s="248"/>
      <c r="D4143" s="248"/>
    </row>
    <row r="4144" spans="1:4">
      <c r="A4144" s="248"/>
      <c r="B4144" s="249"/>
      <c r="C4144" s="248"/>
      <c r="D4144" s="248"/>
    </row>
    <row r="4145" spans="1:4">
      <c r="A4145" s="248"/>
      <c r="B4145" s="249"/>
      <c r="C4145" s="248"/>
      <c r="D4145" s="248"/>
    </row>
    <row r="4146" spans="1:4">
      <c r="A4146" s="248"/>
      <c r="B4146" s="249"/>
      <c r="C4146" s="248"/>
      <c r="D4146" s="248"/>
    </row>
    <row r="4147" spans="1:4">
      <c r="A4147" s="248"/>
      <c r="B4147" s="249"/>
      <c r="C4147" s="248"/>
      <c r="D4147" s="248"/>
    </row>
    <row r="4148" spans="1:4">
      <c r="A4148" s="248"/>
      <c r="B4148" s="249"/>
      <c r="C4148" s="248"/>
      <c r="D4148" s="248"/>
    </row>
    <row r="4149" spans="1:4">
      <c r="A4149" s="248"/>
      <c r="B4149" s="249"/>
      <c r="C4149" s="248"/>
      <c r="D4149" s="248"/>
    </row>
    <row r="4150" spans="1:4">
      <c r="A4150" s="248"/>
      <c r="B4150" s="249"/>
      <c r="C4150" s="248"/>
      <c r="D4150" s="248"/>
    </row>
    <row r="4151" spans="1:4">
      <c r="A4151" s="248"/>
      <c r="B4151" s="249"/>
      <c r="C4151" s="248"/>
      <c r="D4151" s="248"/>
    </row>
    <row r="4152" spans="1:4">
      <c r="A4152" s="248"/>
      <c r="B4152" s="249"/>
      <c r="C4152" s="248"/>
      <c r="D4152" s="248"/>
    </row>
    <row r="4153" spans="1:4">
      <c r="A4153" s="248"/>
      <c r="B4153" s="249"/>
      <c r="C4153" s="248"/>
      <c r="D4153" s="248"/>
    </row>
    <row r="4154" spans="1:4">
      <c r="A4154" s="248"/>
      <c r="B4154" s="249"/>
      <c r="C4154" s="248"/>
      <c r="D4154" s="248"/>
    </row>
    <row r="4155" spans="1:4">
      <c r="A4155" s="248"/>
      <c r="B4155" s="249"/>
      <c r="C4155" s="248"/>
      <c r="D4155" s="248"/>
    </row>
    <row r="4156" spans="1:4">
      <c r="A4156" s="248"/>
      <c r="B4156" s="249"/>
      <c r="C4156" s="248"/>
      <c r="D4156" s="248"/>
    </row>
    <row r="4157" spans="1:4">
      <c r="A4157" s="248"/>
      <c r="B4157" s="249"/>
      <c r="C4157" s="248"/>
      <c r="D4157" s="248"/>
    </row>
    <row r="4158" spans="1:4">
      <c r="A4158" s="248"/>
      <c r="B4158" s="249"/>
      <c r="C4158" s="248"/>
      <c r="D4158" s="248"/>
    </row>
    <row r="4159" spans="1:4">
      <c r="A4159" s="248"/>
      <c r="B4159" s="249"/>
      <c r="C4159" s="248"/>
      <c r="D4159" s="248"/>
    </row>
    <row r="4160" spans="1:4">
      <c r="A4160" s="248"/>
      <c r="B4160" s="249"/>
      <c r="C4160" s="248"/>
      <c r="D4160" s="248"/>
    </row>
    <row r="4161" spans="1:4">
      <c r="A4161" s="248"/>
      <c r="B4161" s="249"/>
      <c r="C4161" s="248"/>
      <c r="D4161" s="248"/>
    </row>
    <row r="4162" spans="1:4">
      <c r="A4162" s="248"/>
      <c r="B4162" s="249"/>
      <c r="C4162" s="248"/>
      <c r="D4162" s="248"/>
    </row>
    <row r="4163" spans="1:4">
      <c r="A4163" s="248"/>
      <c r="B4163" s="249"/>
      <c r="C4163" s="248"/>
      <c r="D4163" s="248"/>
    </row>
    <row r="4164" spans="1:4">
      <c r="A4164" s="248"/>
      <c r="B4164" s="249"/>
      <c r="C4164" s="248"/>
      <c r="D4164" s="248"/>
    </row>
    <row r="4165" spans="1:4">
      <c r="A4165" s="248"/>
      <c r="B4165" s="249"/>
      <c r="C4165" s="248"/>
      <c r="D4165" s="248"/>
    </row>
    <row r="4166" spans="1:4">
      <c r="A4166" s="251"/>
      <c r="B4166" s="251"/>
      <c r="C4166" s="251"/>
      <c r="D4166" s="252"/>
    </row>
    <row r="4167" spans="1:4">
      <c r="A4167" s="253"/>
      <c r="B4167" s="253"/>
      <c r="C4167" s="253"/>
      <c r="D4167" s="254"/>
    </row>
    <row r="4168" spans="1:4">
      <c r="A4168" s="246"/>
      <c r="B4168" s="246"/>
      <c r="C4168" s="246"/>
      <c r="D4168" s="247"/>
    </row>
    <row r="4169" spans="1:4">
      <c r="A4169" s="248"/>
      <c r="B4169" s="249"/>
      <c r="C4169" s="248"/>
      <c r="D4169" s="248"/>
    </row>
    <row r="4170" spans="1:4">
      <c r="A4170" s="248"/>
      <c r="B4170" s="249"/>
      <c r="C4170" s="248"/>
      <c r="D4170" s="248"/>
    </row>
    <row r="4171" spans="1:4">
      <c r="A4171" s="248"/>
      <c r="B4171" s="249"/>
      <c r="C4171" s="248"/>
      <c r="D4171" s="248"/>
    </row>
    <row r="4172" spans="1:4">
      <c r="A4172" s="248"/>
      <c r="B4172" s="249"/>
      <c r="C4172" s="248"/>
      <c r="D4172" s="248"/>
    </row>
    <row r="4173" spans="1:4">
      <c r="A4173" s="248"/>
      <c r="B4173" s="249"/>
      <c r="C4173" s="248"/>
      <c r="D4173" s="248"/>
    </row>
    <row r="4174" spans="1:4">
      <c r="A4174" s="248"/>
      <c r="B4174" s="249"/>
      <c r="C4174" s="248"/>
      <c r="D4174" s="248"/>
    </row>
    <row r="4175" spans="1:4">
      <c r="A4175" s="248"/>
      <c r="B4175" s="249"/>
      <c r="C4175" s="248"/>
      <c r="D4175" s="248"/>
    </row>
    <row r="4176" spans="1:4">
      <c r="A4176" s="248"/>
      <c r="B4176" s="249"/>
      <c r="C4176" s="248"/>
      <c r="D4176" s="248"/>
    </row>
    <row r="4177" spans="1:4">
      <c r="A4177" s="248"/>
      <c r="B4177" s="249"/>
      <c r="C4177" s="248"/>
      <c r="D4177" s="248"/>
    </row>
    <row r="4178" spans="1:4">
      <c r="A4178" s="248"/>
      <c r="B4178" s="249"/>
      <c r="C4178" s="248"/>
      <c r="D4178" s="248"/>
    </row>
    <row r="4179" spans="1:4">
      <c r="A4179" s="248"/>
      <c r="B4179" s="249"/>
      <c r="C4179" s="248"/>
      <c r="D4179" s="248"/>
    </row>
    <row r="4180" spans="1:4">
      <c r="A4180" s="248"/>
      <c r="B4180" s="249"/>
      <c r="C4180" s="248"/>
      <c r="D4180" s="248"/>
    </row>
    <row r="4181" spans="1:4">
      <c r="A4181" s="248"/>
      <c r="B4181" s="249"/>
      <c r="C4181" s="248"/>
      <c r="D4181" s="248"/>
    </row>
    <row r="4182" spans="1:4">
      <c r="A4182" s="248"/>
      <c r="B4182" s="249"/>
      <c r="C4182" s="248"/>
      <c r="D4182" s="248"/>
    </row>
    <row r="4183" spans="1:4">
      <c r="A4183" s="248"/>
      <c r="B4183" s="249"/>
      <c r="C4183" s="248"/>
      <c r="D4183" s="248"/>
    </row>
    <row r="4184" spans="1:4">
      <c r="A4184" s="248"/>
      <c r="B4184" s="249"/>
      <c r="C4184" s="248"/>
      <c r="D4184" s="248"/>
    </row>
    <row r="4185" spans="1:4">
      <c r="A4185" s="248"/>
      <c r="B4185" s="249"/>
      <c r="C4185" s="248"/>
      <c r="D4185" s="248"/>
    </row>
    <row r="4186" spans="1:4">
      <c r="A4186" s="248"/>
      <c r="B4186" s="249"/>
      <c r="C4186" s="248"/>
      <c r="D4186" s="248"/>
    </row>
    <row r="4187" spans="1:4">
      <c r="A4187" s="248"/>
      <c r="B4187" s="249"/>
      <c r="C4187" s="248"/>
      <c r="D4187" s="248"/>
    </row>
    <row r="4188" spans="1:4">
      <c r="A4188" s="248"/>
      <c r="B4188" s="249"/>
      <c r="C4188" s="248"/>
      <c r="D4188" s="248"/>
    </row>
    <row r="4189" spans="1:4">
      <c r="A4189" s="248"/>
      <c r="B4189" s="249"/>
      <c r="C4189" s="248"/>
      <c r="D4189" s="248"/>
    </row>
    <row r="4190" spans="1:4">
      <c r="A4190" s="248"/>
      <c r="B4190" s="249"/>
      <c r="C4190" s="248"/>
      <c r="D4190" s="248"/>
    </row>
    <row r="4191" spans="1:4">
      <c r="A4191" s="248"/>
      <c r="B4191" s="249"/>
      <c r="C4191" s="248"/>
      <c r="D4191" s="248"/>
    </row>
    <row r="4192" spans="1:4">
      <c r="A4192" s="248"/>
      <c r="B4192" s="249"/>
      <c r="C4192" s="248"/>
      <c r="D4192" s="248"/>
    </row>
    <row r="4193" spans="1:4">
      <c r="A4193" s="248"/>
      <c r="B4193" s="249"/>
      <c r="C4193" s="248"/>
      <c r="D4193" s="248"/>
    </row>
    <row r="4194" spans="1:4">
      <c r="A4194" s="248"/>
      <c r="B4194" s="249"/>
      <c r="C4194" s="248"/>
      <c r="D4194" s="248"/>
    </row>
    <row r="4195" spans="1:4">
      <c r="A4195" s="248"/>
      <c r="B4195" s="249"/>
      <c r="C4195" s="248"/>
      <c r="D4195" s="248"/>
    </row>
    <row r="4196" spans="1:4">
      <c r="A4196" s="248"/>
      <c r="B4196" s="249"/>
      <c r="C4196" s="248"/>
      <c r="D4196" s="248"/>
    </row>
    <row r="4197" spans="1:4">
      <c r="A4197" s="248"/>
      <c r="B4197" s="249"/>
      <c r="C4197" s="248"/>
      <c r="D4197" s="248"/>
    </row>
    <row r="4198" spans="1:4">
      <c r="A4198" s="248"/>
      <c r="B4198" s="249"/>
      <c r="C4198" s="248"/>
      <c r="D4198" s="248"/>
    </row>
    <row r="4199" spans="1:4">
      <c r="A4199" s="248"/>
      <c r="B4199" s="249"/>
      <c r="C4199" s="248"/>
      <c r="D4199" s="248"/>
    </row>
    <row r="4200" spans="1:4">
      <c r="A4200" s="248"/>
      <c r="B4200" s="249"/>
      <c r="C4200" s="248"/>
      <c r="D4200" s="248"/>
    </row>
    <row r="4201" spans="1:4">
      <c r="A4201" s="248"/>
      <c r="B4201" s="249"/>
      <c r="C4201" s="248"/>
      <c r="D4201" s="248"/>
    </row>
    <row r="4202" spans="1:4">
      <c r="A4202" s="248"/>
      <c r="B4202" s="249"/>
      <c r="C4202" s="248"/>
      <c r="D4202" s="248"/>
    </row>
    <row r="4203" spans="1:4">
      <c r="A4203" s="248"/>
      <c r="B4203" s="249"/>
      <c r="C4203" s="248"/>
      <c r="D4203" s="248"/>
    </row>
    <row r="4204" spans="1:4">
      <c r="A4204" s="248"/>
      <c r="B4204" s="249"/>
      <c r="C4204" s="248"/>
      <c r="D4204" s="248"/>
    </row>
    <row r="4205" spans="1:4">
      <c r="A4205" s="248"/>
      <c r="B4205" s="249"/>
      <c r="C4205" s="248"/>
      <c r="D4205" s="248"/>
    </row>
    <row r="4206" spans="1:4">
      <c r="A4206" s="248"/>
      <c r="B4206" s="249"/>
      <c r="C4206" s="248"/>
      <c r="D4206" s="248"/>
    </row>
    <row r="4207" spans="1:4">
      <c r="A4207" s="248"/>
      <c r="B4207" s="249"/>
      <c r="C4207" s="248"/>
      <c r="D4207" s="248"/>
    </row>
    <row r="4208" spans="1:4">
      <c r="A4208" s="248"/>
      <c r="B4208" s="249"/>
      <c r="C4208" s="248"/>
      <c r="D4208" s="248"/>
    </row>
    <row r="4209" spans="1:4">
      <c r="A4209" s="248"/>
      <c r="B4209" s="249"/>
      <c r="C4209" s="248"/>
      <c r="D4209" s="248"/>
    </row>
    <row r="4210" spans="1:4">
      <c r="A4210" s="248"/>
      <c r="B4210" s="249"/>
      <c r="C4210" s="248"/>
      <c r="D4210" s="248"/>
    </row>
    <row r="4211" spans="1:4">
      <c r="A4211" s="248"/>
      <c r="B4211" s="249"/>
      <c r="C4211" s="248"/>
      <c r="D4211" s="248"/>
    </row>
    <row r="4212" spans="1:4">
      <c r="A4212" s="246"/>
      <c r="B4212" s="246"/>
      <c r="C4212" s="246"/>
      <c r="D4212" s="247"/>
    </row>
    <row r="4213" spans="1:4">
      <c r="A4213" s="248"/>
      <c r="B4213" s="249"/>
      <c r="C4213" s="248"/>
      <c r="D4213" s="248"/>
    </row>
    <row r="4214" spans="1:4">
      <c r="A4214" s="248"/>
      <c r="B4214" s="249"/>
      <c r="C4214" s="248"/>
      <c r="D4214" s="248"/>
    </row>
    <row r="4215" spans="1:4">
      <c r="A4215" s="248"/>
      <c r="B4215" s="249"/>
      <c r="C4215" s="248"/>
      <c r="D4215" s="248"/>
    </row>
    <row r="4216" spans="1:4">
      <c r="A4216" s="248"/>
      <c r="B4216" s="249"/>
      <c r="C4216" s="248"/>
      <c r="D4216" s="248"/>
    </row>
    <row r="4217" spans="1:4">
      <c r="A4217" s="248"/>
      <c r="B4217" s="249"/>
      <c r="C4217" s="248"/>
      <c r="D4217" s="248"/>
    </row>
    <row r="4218" spans="1:4">
      <c r="A4218" s="248"/>
      <c r="B4218" s="249"/>
      <c r="C4218" s="248"/>
      <c r="D4218" s="248"/>
    </row>
    <row r="4219" spans="1:4">
      <c r="A4219" s="248"/>
      <c r="B4219" s="249"/>
      <c r="C4219" s="248"/>
      <c r="D4219" s="248"/>
    </row>
    <row r="4220" spans="1:4">
      <c r="A4220" s="248"/>
      <c r="B4220" s="249"/>
      <c r="C4220" s="248"/>
      <c r="D4220" s="248"/>
    </row>
    <row r="4221" spans="1:4">
      <c r="A4221" s="248"/>
      <c r="B4221" s="249"/>
      <c r="C4221" s="248"/>
      <c r="D4221" s="248"/>
    </row>
    <row r="4222" spans="1:4">
      <c r="A4222" s="248"/>
      <c r="B4222" s="249"/>
      <c r="C4222" s="248"/>
      <c r="D4222" s="248"/>
    </row>
    <row r="4223" spans="1:4">
      <c r="A4223" s="248"/>
      <c r="B4223" s="249"/>
      <c r="C4223" s="248"/>
      <c r="D4223" s="248"/>
    </row>
    <row r="4224" spans="1:4">
      <c r="A4224" s="248"/>
      <c r="B4224" s="249"/>
      <c r="C4224" s="248"/>
      <c r="D4224" s="248"/>
    </row>
    <row r="4225" spans="1:4">
      <c r="A4225" s="248"/>
      <c r="B4225" s="249"/>
      <c r="C4225" s="248"/>
      <c r="D4225" s="248"/>
    </row>
    <row r="4226" spans="1:4">
      <c r="A4226" s="251"/>
      <c r="B4226" s="251"/>
      <c r="C4226" s="251"/>
      <c r="D4226" s="252"/>
    </row>
    <row r="4227" spans="1:4">
      <c r="A4227" s="246"/>
      <c r="B4227" s="246"/>
      <c r="C4227" s="246"/>
      <c r="D4227" s="247"/>
    </row>
    <row r="4228" spans="1:4">
      <c r="A4228" s="248"/>
      <c r="B4228" s="249"/>
      <c r="C4228" s="248"/>
      <c r="D4228" s="248"/>
    </row>
    <row r="4229" spans="1:4">
      <c r="A4229" s="248"/>
      <c r="B4229" s="249"/>
      <c r="C4229" s="248"/>
      <c r="D4229" s="248"/>
    </row>
    <row r="4230" spans="1:4">
      <c r="A4230" s="248"/>
      <c r="B4230" s="249"/>
      <c r="C4230" s="248"/>
      <c r="D4230" s="248"/>
    </row>
    <row r="4231" spans="1:4">
      <c r="A4231" s="248"/>
      <c r="B4231" s="249"/>
      <c r="C4231" s="248"/>
      <c r="D4231" s="248"/>
    </row>
    <row r="4232" spans="1:4">
      <c r="A4232" s="248"/>
      <c r="B4232" s="249"/>
      <c r="C4232" s="248"/>
      <c r="D4232" s="248"/>
    </row>
    <row r="4233" spans="1:4">
      <c r="A4233" s="248"/>
      <c r="B4233" s="249"/>
      <c r="C4233" s="248"/>
      <c r="D4233" s="248"/>
    </row>
    <row r="4234" spans="1:4">
      <c r="A4234" s="248"/>
      <c r="B4234" s="249"/>
      <c r="C4234" s="248"/>
      <c r="D4234" s="248"/>
    </row>
    <row r="4235" spans="1:4">
      <c r="A4235" s="248"/>
      <c r="B4235" s="249"/>
      <c r="C4235" s="248"/>
      <c r="D4235" s="248"/>
    </row>
    <row r="4236" spans="1:4">
      <c r="A4236" s="248"/>
      <c r="B4236" s="249"/>
      <c r="C4236" s="248"/>
      <c r="D4236" s="248"/>
    </row>
    <row r="4237" spans="1:4">
      <c r="A4237" s="248"/>
      <c r="B4237" s="249"/>
      <c r="C4237" s="248"/>
      <c r="D4237" s="248"/>
    </row>
    <row r="4238" spans="1:4">
      <c r="A4238" s="248"/>
      <c r="B4238" s="249"/>
      <c r="C4238" s="248"/>
      <c r="D4238" s="248"/>
    </row>
    <row r="4239" spans="1:4">
      <c r="A4239" s="248"/>
      <c r="B4239" s="249"/>
      <c r="C4239" s="248"/>
      <c r="D4239" s="248"/>
    </row>
    <row r="4240" spans="1:4">
      <c r="A4240" s="246"/>
      <c r="B4240" s="246"/>
      <c r="C4240" s="246"/>
      <c r="D4240" s="247"/>
    </row>
    <row r="4241" spans="1:4">
      <c r="A4241" s="248"/>
      <c r="B4241" s="249"/>
      <c r="C4241" s="248"/>
      <c r="D4241" s="248"/>
    </row>
    <row r="4242" spans="1:4">
      <c r="A4242" s="248"/>
      <c r="B4242" s="249"/>
      <c r="C4242" s="248"/>
      <c r="D4242" s="248"/>
    </row>
    <row r="4243" spans="1:4">
      <c r="A4243" s="248"/>
      <c r="B4243" s="249"/>
      <c r="C4243" s="248"/>
      <c r="D4243" s="248"/>
    </row>
    <row r="4244" spans="1:4">
      <c r="A4244" s="248"/>
      <c r="B4244" s="249"/>
      <c r="C4244" s="248"/>
      <c r="D4244" s="248"/>
    </row>
    <row r="4245" spans="1:4">
      <c r="A4245" s="248"/>
      <c r="B4245" s="249"/>
      <c r="C4245" s="248"/>
      <c r="D4245" s="248"/>
    </row>
    <row r="4246" spans="1:4">
      <c r="A4246" s="248"/>
      <c r="B4246" s="249"/>
      <c r="C4246" s="248"/>
      <c r="D4246" s="248"/>
    </row>
    <row r="4247" spans="1:4">
      <c r="A4247" s="248"/>
      <c r="B4247" s="249"/>
      <c r="C4247" s="248"/>
      <c r="D4247" s="248"/>
    </row>
    <row r="4248" spans="1:4">
      <c r="A4248" s="248"/>
      <c r="B4248" s="249"/>
      <c r="C4248" s="248"/>
      <c r="D4248" s="248"/>
    </row>
    <row r="4249" spans="1:4">
      <c r="A4249" s="248"/>
      <c r="B4249" s="249"/>
      <c r="C4249" s="248"/>
      <c r="D4249" s="248"/>
    </row>
    <row r="4250" spans="1:4">
      <c r="A4250" s="248"/>
      <c r="B4250" s="249"/>
      <c r="C4250" s="248"/>
      <c r="D4250" s="248"/>
    </row>
    <row r="4251" spans="1:4">
      <c r="A4251" s="248"/>
      <c r="B4251" s="249"/>
      <c r="C4251" s="248"/>
      <c r="D4251" s="248"/>
    </row>
    <row r="4252" spans="1:4">
      <c r="A4252" s="248"/>
      <c r="B4252" s="249"/>
      <c r="C4252" s="248"/>
      <c r="D4252" s="248"/>
    </row>
    <row r="4253" spans="1:4">
      <c r="A4253" s="248"/>
      <c r="B4253" s="249"/>
      <c r="C4253" s="248"/>
      <c r="D4253" s="248"/>
    </row>
    <row r="4254" spans="1:4">
      <c r="A4254" s="248"/>
      <c r="B4254" s="249"/>
      <c r="C4254" s="248"/>
      <c r="D4254" s="248"/>
    </row>
    <row r="4255" spans="1:4">
      <c r="A4255" s="248"/>
      <c r="B4255" s="249"/>
      <c r="C4255" s="248"/>
      <c r="D4255" s="248"/>
    </row>
    <row r="4256" spans="1:4">
      <c r="A4256" s="248"/>
      <c r="B4256" s="249"/>
      <c r="C4256" s="248"/>
      <c r="D4256" s="248"/>
    </row>
    <row r="4257" spans="1:4">
      <c r="A4257" s="248"/>
      <c r="B4257" s="249"/>
      <c r="C4257" s="248"/>
      <c r="D4257" s="248"/>
    </row>
    <row r="4258" spans="1:4">
      <c r="A4258" s="248"/>
      <c r="B4258" s="249"/>
      <c r="C4258" s="248"/>
      <c r="D4258" s="248"/>
    </row>
    <row r="4259" spans="1:4">
      <c r="A4259" s="248"/>
      <c r="B4259" s="249"/>
      <c r="C4259" s="248"/>
      <c r="D4259" s="248"/>
    </row>
    <row r="4260" spans="1:4">
      <c r="A4260" s="248"/>
      <c r="B4260" s="249"/>
      <c r="C4260" s="248"/>
      <c r="D4260" s="248"/>
    </row>
    <row r="4261" spans="1:4">
      <c r="A4261" s="248"/>
      <c r="B4261" s="249"/>
      <c r="C4261" s="248"/>
      <c r="D4261" s="248"/>
    </row>
    <row r="4262" spans="1:4">
      <c r="A4262" s="248"/>
      <c r="B4262" s="249"/>
      <c r="C4262" s="248"/>
      <c r="D4262" s="248"/>
    </row>
    <row r="4263" spans="1:4">
      <c r="A4263" s="246"/>
      <c r="B4263" s="246"/>
      <c r="C4263" s="246"/>
      <c r="D4263" s="247"/>
    </row>
    <row r="4264" spans="1:4">
      <c r="A4264" s="248"/>
      <c r="B4264" s="249"/>
      <c r="C4264" s="248"/>
      <c r="D4264" s="248"/>
    </row>
    <row r="4265" spans="1:4">
      <c r="A4265" s="248"/>
      <c r="B4265" s="249"/>
      <c r="C4265" s="248"/>
      <c r="D4265" s="248"/>
    </row>
    <row r="4266" spans="1:4">
      <c r="A4266" s="248"/>
      <c r="B4266" s="249"/>
      <c r="C4266" s="248"/>
      <c r="D4266" s="248"/>
    </row>
    <row r="4267" spans="1:4">
      <c r="A4267" s="248"/>
      <c r="B4267" s="249"/>
      <c r="C4267" s="248"/>
      <c r="D4267" s="248"/>
    </row>
    <row r="4268" spans="1:4">
      <c r="A4268" s="248"/>
      <c r="B4268" s="249"/>
      <c r="C4268" s="248"/>
      <c r="D4268" s="248"/>
    </row>
    <row r="4269" spans="1:4">
      <c r="A4269" s="248"/>
      <c r="B4269" s="249"/>
      <c r="C4269" s="248"/>
      <c r="D4269" s="248"/>
    </row>
    <row r="4270" spans="1:4">
      <c r="A4270" s="248"/>
      <c r="B4270" s="249"/>
      <c r="C4270" s="248"/>
      <c r="D4270" s="248"/>
    </row>
    <row r="4271" spans="1:4">
      <c r="A4271" s="248"/>
      <c r="B4271" s="249"/>
      <c r="C4271" s="248"/>
      <c r="D4271" s="248"/>
    </row>
    <row r="4272" spans="1:4">
      <c r="A4272" s="248"/>
      <c r="B4272" s="249"/>
      <c r="C4272" s="248"/>
      <c r="D4272" s="248"/>
    </row>
    <row r="4273" spans="1:4">
      <c r="A4273" s="248"/>
      <c r="B4273" s="249"/>
      <c r="C4273" s="248"/>
      <c r="D4273" s="248"/>
    </row>
    <row r="4274" spans="1:4">
      <c r="A4274" s="246"/>
      <c r="B4274" s="246"/>
      <c r="C4274" s="246"/>
      <c r="D4274" s="247"/>
    </row>
    <row r="4275" spans="1:4">
      <c r="A4275" s="248"/>
      <c r="B4275" s="249"/>
      <c r="C4275" s="248"/>
      <c r="D4275" s="248"/>
    </row>
    <row r="4276" spans="1:4">
      <c r="A4276" s="248"/>
      <c r="B4276" s="249"/>
      <c r="C4276" s="248"/>
      <c r="D4276" s="248"/>
    </row>
    <row r="4277" spans="1:4">
      <c r="A4277" s="248"/>
      <c r="B4277" s="249"/>
      <c r="C4277" s="248"/>
      <c r="D4277" s="248"/>
    </row>
    <row r="4278" spans="1:4">
      <c r="A4278" s="248"/>
      <c r="B4278" s="249"/>
      <c r="C4278" s="248"/>
      <c r="D4278" s="248"/>
    </row>
    <row r="4279" spans="1:4">
      <c r="A4279" s="248"/>
      <c r="B4279" s="249"/>
      <c r="C4279" s="248"/>
      <c r="D4279" s="248"/>
    </row>
    <row r="4280" spans="1:4">
      <c r="A4280" s="248"/>
      <c r="B4280" s="249"/>
      <c r="C4280" s="248"/>
      <c r="D4280" s="248"/>
    </row>
    <row r="4281" spans="1:4">
      <c r="A4281" s="248"/>
      <c r="B4281" s="249"/>
      <c r="C4281" s="248"/>
      <c r="D4281" s="248"/>
    </row>
    <row r="4282" spans="1:4">
      <c r="A4282" s="248"/>
      <c r="B4282" s="249"/>
      <c r="C4282" s="248"/>
      <c r="D4282" s="248"/>
    </row>
    <row r="4283" spans="1:4">
      <c r="A4283" s="246"/>
      <c r="B4283" s="246"/>
      <c r="C4283" s="246"/>
      <c r="D4283" s="247"/>
    </row>
    <row r="4284" spans="1:4">
      <c r="A4284" s="248"/>
      <c r="B4284" s="249"/>
      <c r="C4284" s="248"/>
      <c r="D4284" s="248"/>
    </row>
    <row r="4285" spans="1:4">
      <c r="A4285" s="248"/>
      <c r="B4285" s="249"/>
      <c r="C4285" s="248"/>
      <c r="D4285" s="248"/>
    </row>
    <row r="4286" spans="1:4">
      <c r="A4286" s="248"/>
      <c r="B4286" s="249"/>
      <c r="C4286" s="248"/>
      <c r="D4286" s="248"/>
    </row>
    <row r="4287" spans="1:4">
      <c r="A4287" s="248"/>
      <c r="B4287" s="249"/>
      <c r="C4287" s="248"/>
      <c r="D4287" s="248"/>
    </row>
    <row r="4288" spans="1:4">
      <c r="A4288" s="246"/>
      <c r="B4288" s="246"/>
      <c r="C4288" s="246"/>
      <c r="D4288" s="247"/>
    </row>
    <row r="4289" spans="1:4">
      <c r="A4289" s="248"/>
      <c r="B4289" s="249"/>
      <c r="C4289" s="248"/>
      <c r="D4289" s="248"/>
    </row>
    <row r="4290" spans="1:4">
      <c r="A4290" s="248"/>
      <c r="B4290" s="249"/>
      <c r="C4290" s="248"/>
      <c r="D4290" s="248"/>
    </row>
    <row r="4291" spans="1:4">
      <c r="A4291" s="248"/>
      <c r="B4291" s="249"/>
      <c r="C4291" s="248"/>
      <c r="D4291" s="248"/>
    </row>
    <row r="4292" spans="1:4">
      <c r="A4292" s="248"/>
      <c r="B4292" s="249"/>
      <c r="C4292" s="248"/>
      <c r="D4292" s="248"/>
    </row>
    <row r="4293" spans="1:4">
      <c r="A4293" s="248"/>
      <c r="B4293" s="249"/>
      <c r="C4293" s="248"/>
      <c r="D4293" s="248"/>
    </row>
    <row r="4294" spans="1:4">
      <c r="A4294" s="248"/>
      <c r="B4294" s="249"/>
      <c r="C4294" s="248"/>
      <c r="D4294" s="248"/>
    </row>
    <row r="4295" spans="1:4">
      <c r="A4295" s="246"/>
      <c r="B4295" s="246"/>
      <c r="C4295" s="246"/>
      <c r="D4295" s="247"/>
    </row>
    <row r="4296" spans="1:4">
      <c r="A4296" s="248"/>
      <c r="B4296" s="249"/>
      <c r="C4296" s="248"/>
      <c r="D4296" s="248"/>
    </row>
    <row r="4297" spans="1:4">
      <c r="A4297" s="248"/>
      <c r="B4297" s="249"/>
      <c r="C4297" s="248"/>
      <c r="D4297" s="248"/>
    </row>
    <row r="4298" spans="1:4">
      <c r="A4298" s="248"/>
      <c r="B4298" s="249"/>
      <c r="C4298" s="248"/>
      <c r="D4298" s="248"/>
    </row>
    <row r="4299" spans="1:4">
      <c r="A4299" s="248"/>
      <c r="B4299" s="249"/>
      <c r="C4299" s="248"/>
      <c r="D4299" s="248"/>
    </row>
    <row r="4300" spans="1:4">
      <c r="A4300" s="248"/>
      <c r="B4300" s="249"/>
      <c r="C4300" s="248"/>
      <c r="D4300" s="248"/>
    </row>
    <row r="4301" spans="1:4">
      <c r="A4301" s="248"/>
      <c r="B4301" s="249"/>
      <c r="C4301" s="248"/>
      <c r="D4301" s="248"/>
    </row>
    <row r="4302" spans="1:4">
      <c r="A4302" s="248"/>
      <c r="B4302" s="249"/>
      <c r="C4302" s="248"/>
      <c r="D4302" s="248"/>
    </row>
    <row r="4303" spans="1:4">
      <c r="A4303" s="248"/>
      <c r="B4303" s="249"/>
      <c r="C4303" s="248"/>
      <c r="D4303" s="248"/>
    </row>
    <row r="4304" spans="1:4">
      <c r="A4304" s="248"/>
      <c r="B4304" s="249"/>
      <c r="C4304" s="248"/>
      <c r="D4304" s="248"/>
    </row>
    <row r="4305" spans="1:4">
      <c r="A4305" s="248"/>
      <c r="B4305" s="249"/>
      <c r="C4305" s="248"/>
      <c r="D4305" s="248"/>
    </row>
    <row r="4306" spans="1:4">
      <c r="A4306" s="248"/>
      <c r="B4306" s="249"/>
      <c r="C4306" s="248"/>
      <c r="D4306" s="248"/>
    </row>
    <row r="4307" spans="1:4">
      <c r="A4307" s="248"/>
      <c r="B4307" s="249"/>
      <c r="C4307" s="248"/>
      <c r="D4307" s="248"/>
    </row>
    <row r="4308" spans="1:4">
      <c r="A4308" s="248"/>
      <c r="B4308" s="249"/>
      <c r="C4308" s="248"/>
      <c r="D4308" s="248"/>
    </row>
    <row r="4309" spans="1:4">
      <c r="A4309" s="248"/>
      <c r="B4309" s="249"/>
      <c r="C4309" s="248"/>
      <c r="D4309" s="248"/>
    </row>
    <row r="4310" spans="1:4">
      <c r="A4310" s="248"/>
      <c r="B4310" s="249"/>
      <c r="C4310" s="248"/>
      <c r="D4310" s="248"/>
    </row>
    <row r="4311" spans="1:4">
      <c r="A4311" s="248"/>
      <c r="B4311" s="249"/>
      <c r="C4311" s="248"/>
      <c r="D4311" s="248"/>
    </row>
    <row r="4312" spans="1:4">
      <c r="A4312" s="248"/>
      <c r="B4312" s="249"/>
      <c r="C4312" s="248"/>
      <c r="D4312" s="248"/>
    </row>
    <row r="4313" spans="1:4">
      <c r="A4313" s="248"/>
      <c r="B4313" s="249"/>
      <c r="C4313" s="248"/>
      <c r="D4313" s="248"/>
    </row>
    <row r="4314" spans="1:4">
      <c r="A4314" s="248"/>
      <c r="B4314" s="249"/>
      <c r="C4314" s="248"/>
      <c r="D4314" s="248"/>
    </row>
    <row r="4315" spans="1:4">
      <c r="A4315" s="248"/>
      <c r="B4315" s="249"/>
      <c r="C4315" s="248"/>
      <c r="D4315" s="248"/>
    </row>
    <row r="4316" spans="1:4">
      <c r="A4316" s="248"/>
      <c r="B4316" s="249"/>
      <c r="C4316" s="248"/>
      <c r="D4316" s="248"/>
    </row>
    <row r="4317" spans="1:4">
      <c r="A4317" s="248"/>
      <c r="B4317" s="249"/>
      <c r="C4317" s="248"/>
      <c r="D4317" s="248"/>
    </row>
    <row r="4318" spans="1:4">
      <c r="A4318" s="248"/>
      <c r="B4318" s="249"/>
      <c r="C4318" s="248"/>
      <c r="D4318" s="248"/>
    </row>
    <row r="4319" spans="1:4">
      <c r="A4319" s="248"/>
      <c r="B4319" s="249"/>
      <c r="C4319" s="248"/>
      <c r="D4319" s="248"/>
    </row>
    <row r="4320" spans="1:4">
      <c r="A4320" s="248"/>
      <c r="B4320" s="249"/>
      <c r="C4320" s="248"/>
      <c r="D4320" s="248"/>
    </row>
    <row r="4321" spans="1:4">
      <c r="A4321" s="248"/>
      <c r="B4321" s="249"/>
      <c r="C4321" s="248"/>
      <c r="D4321" s="248"/>
    </row>
    <row r="4322" spans="1:4">
      <c r="A4322" s="248"/>
      <c r="B4322" s="249"/>
      <c r="C4322" s="248"/>
      <c r="D4322" s="248"/>
    </row>
    <row r="4323" spans="1:4">
      <c r="A4323" s="248"/>
      <c r="B4323" s="249"/>
      <c r="C4323" s="248"/>
      <c r="D4323" s="248"/>
    </row>
    <row r="4324" spans="1:4">
      <c r="A4324" s="248"/>
      <c r="B4324" s="249"/>
      <c r="C4324" s="248"/>
      <c r="D4324" s="248"/>
    </row>
    <row r="4325" spans="1:4">
      <c r="A4325" s="248"/>
      <c r="B4325" s="249"/>
      <c r="C4325" s="248"/>
      <c r="D4325" s="248"/>
    </row>
    <row r="4326" spans="1:4">
      <c r="A4326" s="248"/>
      <c r="B4326" s="249"/>
      <c r="C4326" s="248"/>
      <c r="D4326" s="248"/>
    </row>
    <row r="4327" spans="1:4">
      <c r="A4327" s="248"/>
      <c r="B4327" s="249"/>
      <c r="C4327" s="248"/>
      <c r="D4327" s="248"/>
    </row>
    <row r="4328" spans="1:4">
      <c r="A4328" s="248"/>
      <c r="B4328" s="249"/>
      <c r="C4328" s="248"/>
      <c r="D4328" s="248"/>
    </row>
    <row r="4329" spans="1:4">
      <c r="A4329" s="251"/>
      <c r="B4329" s="251"/>
      <c r="C4329" s="251"/>
      <c r="D4329" s="252"/>
    </row>
    <row r="4330" spans="1:4">
      <c r="A4330" s="246"/>
      <c r="B4330" s="246"/>
      <c r="C4330" s="246"/>
      <c r="D4330" s="247"/>
    </row>
    <row r="4331" spans="1:4">
      <c r="A4331" s="248"/>
      <c r="B4331" s="249"/>
      <c r="C4331" s="248"/>
      <c r="D4331" s="248"/>
    </row>
    <row r="4332" spans="1:4">
      <c r="A4332" s="248"/>
      <c r="B4332" s="249"/>
      <c r="C4332" s="248"/>
      <c r="D4332" s="248"/>
    </row>
    <row r="4333" spans="1:4">
      <c r="A4333" s="248"/>
      <c r="B4333" s="249"/>
      <c r="C4333" s="248"/>
      <c r="D4333" s="248"/>
    </row>
    <row r="4334" spans="1:4">
      <c r="A4334" s="248"/>
      <c r="B4334" s="249"/>
      <c r="C4334" s="248"/>
      <c r="D4334" s="248"/>
    </row>
    <row r="4335" spans="1:4">
      <c r="A4335" s="248"/>
      <c r="B4335" s="249"/>
      <c r="C4335" s="248"/>
      <c r="D4335" s="248"/>
    </row>
    <row r="4336" spans="1:4">
      <c r="A4336" s="248"/>
      <c r="B4336" s="249"/>
      <c r="C4336" s="248"/>
      <c r="D4336" s="248"/>
    </row>
    <row r="4337" spans="1:4">
      <c r="A4337" s="248"/>
      <c r="B4337" s="249"/>
      <c r="C4337" s="248"/>
      <c r="D4337" s="248"/>
    </row>
    <row r="4338" spans="1:4">
      <c r="A4338" s="248"/>
      <c r="B4338" s="249"/>
      <c r="C4338" s="248"/>
      <c r="D4338" s="248"/>
    </row>
    <row r="4339" spans="1:4">
      <c r="A4339" s="248"/>
      <c r="B4339" s="249"/>
      <c r="C4339" s="248"/>
      <c r="D4339" s="248"/>
    </row>
    <row r="4340" spans="1:4">
      <c r="A4340" s="248"/>
      <c r="B4340" s="249"/>
      <c r="C4340" s="248"/>
      <c r="D4340" s="248"/>
    </row>
    <row r="4341" spans="1:4">
      <c r="A4341" s="248"/>
      <c r="B4341" s="249"/>
      <c r="C4341" s="248"/>
      <c r="D4341" s="248"/>
    </row>
    <row r="4342" spans="1:4">
      <c r="A4342" s="248"/>
      <c r="B4342" s="249"/>
      <c r="C4342" s="248"/>
      <c r="D4342" s="248"/>
    </row>
    <row r="4343" spans="1:4">
      <c r="A4343" s="248"/>
      <c r="B4343" s="249"/>
      <c r="C4343" s="248"/>
      <c r="D4343" s="248"/>
    </row>
    <row r="4344" spans="1:4">
      <c r="A4344" s="248"/>
      <c r="B4344" s="249"/>
      <c r="C4344" s="248"/>
      <c r="D4344" s="248"/>
    </row>
    <row r="4345" spans="1:4">
      <c r="A4345" s="248"/>
      <c r="B4345" s="249"/>
      <c r="C4345" s="248"/>
      <c r="D4345" s="248"/>
    </row>
    <row r="4346" spans="1:4">
      <c r="A4346" s="248"/>
      <c r="B4346" s="249"/>
      <c r="C4346" s="248"/>
      <c r="D4346" s="248"/>
    </row>
    <row r="4347" spans="1:4">
      <c r="A4347" s="248"/>
      <c r="B4347" s="249"/>
      <c r="C4347" s="248"/>
      <c r="D4347" s="248"/>
    </row>
    <row r="4348" spans="1:4">
      <c r="A4348" s="248"/>
      <c r="B4348" s="249"/>
      <c r="C4348" s="248"/>
      <c r="D4348" s="248"/>
    </row>
    <row r="4349" spans="1:4">
      <c r="A4349" s="248"/>
      <c r="B4349" s="249"/>
      <c r="C4349" s="248"/>
      <c r="D4349" s="248"/>
    </row>
    <row r="4350" spans="1:4">
      <c r="A4350" s="248"/>
      <c r="B4350" s="249"/>
      <c r="C4350" s="248"/>
      <c r="D4350" s="248"/>
    </row>
    <row r="4351" spans="1:4">
      <c r="A4351" s="248"/>
      <c r="B4351" s="249"/>
      <c r="C4351" s="248"/>
      <c r="D4351" s="248"/>
    </row>
    <row r="4352" spans="1:4">
      <c r="A4352" s="248"/>
      <c r="B4352" s="249"/>
      <c r="C4352" s="248"/>
      <c r="D4352" s="248"/>
    </row>
    <row r="4353" spans="1:4">
      <c r="A4353" s="251"/>
      <c r="B4353" s="251"/>
      <c r="C4353" s="251"/>
      <c r="D4353" s="252"/>
    </row>
    <row r="4354" spans="1:4">
      <c r="A4354" s="246"/>
      <c r="B4354" s="246"/>
      <c r="C4354" s="246"/>
      <c r="D4354" s="247"/>
    </row>
    <row r="4355" spans="1:4">
      <c r="A4355" s="248"/>
      <c r="B4355" s="249"/>
      <c r="C4355" s="248"/>
      <c r="D4355" s="248"/>
    </row>
    <row r="4356" spans="1:4">
      <c r="A4356" s="248"/>
      <c r="B4356" s="249"/>
      <c r="C4356" s="248"/>
      <c r="D4356" s="248"/>
    </row>
    <row r="4357" spans="1:4">
      <c r="A4357" s="248"/>
      <c r="B4357" s="249"/>
      <c r="C4357" s="248"/>
      <c r="D4357" s="248"/>
    </row>
    <row r="4358" spans="1:4">
      <c r="A4358" s="248"/>
      <c r="B4358" s="249"/>
      <c r="C4358" s="248"/>
      <c r="D4358" s="248"/>
    </row>
    <row r="4359" spans="1:4">
      <c r="A4359" s="248"/>
      <c r="B4359" s="249"/>
      <c r="C4359" s="248"/>
      <c r="D4359" s="248"/>
    </row>
    <row r="4360" spans="1:4">
      <c r="A4360" s="248"/>
      <c r="B4360" s="249"/>
      <c r="C4360" s="248"/>
      <c r="D4360" s="248"/>
    </row>
    <row r="4361" spans="1:4">
      <c r="A4361" s="248"/>
      <c r="B4361" s="249"/>
      <c r="C4361" s="248"/>
      <c r="D4361" s="248"/>
    </row>
    <row r="4362" spans="1:4">
      <c r="A4362" s="248"/>
      <c r="B4362" s="249"/>
      <c r="C4362" s="248"/>
      <c r="D4362" s="248"/>
    </row>
    <row r="4363" spans="1:4">
      <c r="A4363" s="248"/>
      <c r="B4363" s="249"/>
      <c r="C4363" s="248"/>
      <c r="D4363" s="248"/>
    </row>
    <row r="4364" spans="1:4">
      <c r="A4364" s="248"/>
      <c r="B4364" s="249"/>
      <c r="C4364" s="248"/>
      <c r="D4364" s="248"/>
    </row>
    <row r="4365" spans="1:4">
      <c r="A4365" s="248"/>
      <c r="B4365" s="249"/>
      <c r="C4365" s="248"/>
      <c r="D4365" s="248"/>
    </row>
    <row r="4366" spans="1:4">
      <c r="A4366" s="248"/>
      <c r="B4366" s="249"/>
      <c r="C4366" s="248"/>
      <c r="D4366" s="248"/>
    </row>
    <row r="4367" spans="1:4">
      <c r="A4367" s="248"/>
      <c r="B4367" s="249"/>
      <c r="C4367" s="248"/>
      <c r="D4367" s="248"/>
    </row>
    <row r="4368" spans="1:4">
      <c r="A4368" s="248"/>
      <c r="B4368" s="249"/>
      <c r="C4368" s="248"/>
      <c r="D4368" s="248"/>
    </row>
    <row r="4369" spans="1:4">
      <c r="A4369" s="248"/>
      <c r="B4369" s="249"/>
      <c r="C4369" s="248"/>
      <c r="D4369" s="248"/>
    </row>
    <row r="4370" spans="1:4">
      <c r="A4370" s="248"/>
      <c r="B4370" s="249"/>
      <c r="C4370" s="248"/>
      <c r="D4370" s="248"/>
    </row>
    <row r="4371" spans="1:4">
      <c r="A4371" s="248"/>
      <c r="B4371" s="249"/>
      <c r="C4371" s="248"/>
      <c r="D4371" s="248"/>
    </row>
    <row r="4372" spans="1:4">
      <c r="A4372" s="248"/>
      <c r="B4372" s="249"/>
      <c r="C4372" s="248"/>
      <c r="D4372" s="248"/>
    </row>
    <row r="4373" spans="1:4">
      <c r="A4373" s="248"/>
      <c r="B4373" s="249"/>
      <c r="C4373" s="248"/>
      <c r="D4373" s="248"/>
    </row>
    <row r="4374" spans="1:4">
      <c r="A4374" s="248"/>
      <c r="B4374" s="249"/>
      <c r="C4374" s="248"/>
      <c r="D4374" s="248"/>
    </row>
    <row r="4375" spans="1:4">
      <c r="A4375" s="248"/>
      <c r="B4375" s="249"/>
      <c r="C4375" s="248"/>
      <c r="D4375" s="248"/>
    </row>
    <row r="4376" spans="1:4">
      <c r="A4376" s="248"/>
      <c r="B4376" s="249"/>
      <c r="C4376" s="248"/>
      <c r="D4376" s="248"/>
    </row>
    <row r="4377" spans="1:4">
      <c r="A4377" s="251"/>
      <c r="B4377" s="251"/>
      <c r="C4377" s="251"/>
      <c r="D4377" s="252"/>
    </row>
    <row r="4378" spans="1:4">
      <c r="A4378" s="246"/>
      <c r="B4378" s="246"/>
      <c r="C4378" s="246"/>
      <c r="D4378" s="247"/>
    </row>
    <row r="4379" spans="1:4">
      <c r="A4379" s="248"/>
      <c r="B4379" s="249"/>
      <c r="C4379" s="248"/>
      <c r="D4379" s="248"/>
    </row>
    <row r="4380" spans="1:4">
      <c r="A4380" s="248"/>
      <c r="B4380" s="249"/>
      <c r="C4380" s="248"/>
      <c r="D4380" s="248"/>
    </row>
    <row r="4381" spans="1:4">
      <c r="A4381" s="248"/>
      <c r="B4381" s="249"/>
      <c r="C4381" s="248"/>
      <c r="D4381" s="248"/>
    </row>
    <row r="4382" spans="1:4">
      <c r="A4382" s="248"/>
      <c r="B4382" s="249"/>
      <c r="C4382" s="248"/>
      <c r="D4382" s="248"/>
    </row>
    <row r="4383" spans="1:4">
      <c r="A4383" s="248"/>
      <c r="B4383" s="249"/>
      <c r="C4383" s="248"/>
      <c r="D4383" s="248"/>
    </row>
    <row r="4384" spans="1:4">
      <c r="A4384" s="248"/>
      <c r="B4384" s="249"/>
      <c r="C4384" s="248"/>
      <c r="D4384" s="248"/>
    </row>
    <row r="4385" spans="1:4">
      <c r="A4385" s="248"/>
      <c r="B4385" s="249"/>
      <c r="C4385" s="248"/>
      <c r="D4385" s="248"/>
    </row>
    <row r="4386" spans="1:4">
      <c r="A4386" s="248"/>
      <c r="B4386" s="249"/>
      <c r="C4386" s="248"/>
      <c r="D4386" s="248"/>
    </row>
    <row r="4387" spans="1:4">
      <c r="A4387" s="248"/>
      <c r="B4387" s="249"/>
      <c r="C4387" s="248"/>
      <c r="D4387" s="248"/>
    </row>
    <row r="4388" spans="1:4">
      <c r="A4388" s="248"/>
      <c r="B4388" s="249"/>
      <c r="C4388" s="248"/>
      <c r="D4388" s="248"/>
    </row>
    <row r="4389" spans="1:4">
      <c r="A4389" s="248"/>
      <c r="B4389" s="249"/>
      <c r="C4389" s="248"/>
      <c r="D4389" s="248"/>
    </row>
    <row r="4390" spans="1:4">
      <c r="A4390" s="248"/>
      <c r="B4390" s="249"/>
      <c r="C4390" s="248"/>
      <c r="D4390" s="248"/>
    </row>
    <row r="4391" spans="1:4">
      <c r="A4391" s="248"/>
      <c r="B4391" s="249"/>
      <c r="C4391" s="248"/>
      <c r="D4391" s="248"/>
    </row>
    <row r="4392" spans="1:4">
      <c r="A4392" s="248"/>
      <c r="B4392" s="249"/>
      <c r="C4392" s="248"/>
      <c r="D4392" s="248"/>
    </row>
    <row r="4393" spans="1:4">
      <c r="A4393" s="246"/>
      <c r="B4393" s="246"/>
      <c r="C4393" s="246"/>
      <c r="D4393" s="247"/>
    </row>
    <row r="4394" spans="1:4">
      <c r="A4394" s="248"/>
      <c r="B4394" s="249"/>
      <c r="C4394" s="248"/>
      <c r="D4394" s="248"/>
    </row>
    <row r="4395" spans="1:4">
      <c r="A4395" s="248"/>
      <c r="B4395" s="249"/>
      <c r="C4395" s="248"/>
      <c r="D4395" s="248"/>
    </row>
    <row r="4396" spans="1:4">
      <c r="A4396" s="248"/>
      <c r="B4396" s="249"/>
      <c r="C4396" s="248"/>
      <c r="D4396" s="248"/>
    </row>
    <row r="4397" spans="1:4">
      <c r="A4397" s="248"/>
      <c r="B4397" s="249"/>
      <c r="C4397" s="248"/>
      <c r="D4397" s="248"/>
    </row>
    <row r="4398" spans="1:4">
      <c r="A4398" s="248"/>
      <c r="B4398" s="249"/>
      <c r="C4398" s="248"/>
      <c r="D4398" s="248"/>
    </row>
    <row r="4399" spans="1:4">
      <c r="A4399" s="248"/>
      <c r="B4399" s="249"/>
      <c r="C4399" s="248"/>
      <c r="D4399" s="248"/>
    </row>
    <row r="4400" spans="1:4">
      <c r="A4400" s="248"/>
      <c r="B4400" s="249"/>
      <c r="C4400" s="248"/>
      <c r="D4400" s="248"/>
    </row>
    <row r="4401" spans="1:4">
      <c r="A4401" s="248"/>
      <c r="B4401" s="249"/>
      <c r="C4401" s="248"/>
      <c r="D4401" s="248"/>
    </row>
    <row r="4402" spans="1:4">
      <c r="A4402" s="248"/>
      <c r="B4402" s="249"/>
      <c r="C4402" s="248"/>
      <c r="D4402" s="248"/>
    </row>
    <row r="4403" spans="1:4">
      <c r="A4403" s="248"/>
      <c r="B4403" s="249"/>
      <c r="C4403" s="248"/>
      <c r="D4403" s="248"/>
    </row>
    <row r="4404" spans="1:4">
      <c r="A4404" s="251"/>
      <c r="B4404" s="251"/>
      <c r="C4404" s="251"/>
      <c r="D4404" s="252"/>
    </row>
    <row r="4405" spans="1:4">
      <c r="A4405" s="246"/>
      <c r="B4405" s="246"/>
      <c r="C4405" s="246"/>
      <c r="D4405" s="247"/>
    </row>
    <row r="4406" spans="1:4">
      <c r="A4406" s="248"/>
      <c r="B4406" s="249"/>
      <c r="C4406" s="248"/>
      <c r="D4406" s="248"/>
    </row>
    <row r="4407" spans="1:4">
      <c r="A4407" s="248"/>
      <c r="B4407" s="249"/>
      <c r="C4407" s="248"/>
      <c r="D4407" s="248"/>
    </row>
    <row r="4408" spans="1:4">
      <c r="A4408" s="248"/>
      <c r="B4408" s="249"/>
      <c r="C4408" s="248"/>
      <c r="D4408" s="248"/>
    </row>
    <row r="4409" spans="1:4">
      <c r="A4409" s="248"/>
      <c r="B4409" s="249"/>
      <c r="C4409" s="248"/>
      <c r="D4409" s="248"/>
    </row>
    <row r="4410" spans="1:4">
      <c r="A4410" s="248"/>
      <c r="B4410" s="249"/>
      <c r="C4410" s="248"/>
      <c r="D4410" s="248"/>
    </row>
    <row r="4411" spans="1:4">
      <c r="A4411" s="248"/>
      <c r="B4411" s="249"/>
      <c r="C4411" s="248"/>
      <c r="D4411" s="248"/>
    </row>
    <row r="4412" spans="1:4">
      <c r="A4412" s="248"/>
      <c r="B4412" s="249"/>
      <c r="C4412" s="248"/>
      <c r="D4412" s="248"/>
    </row>
    <row r="4413" spans="1:4">
      <c r="A4413" s="248"/>
      <c r="B4413" s="249"/>
      <c r="C4413" s="248"/>
      <c r="D4413" s="248"/>
    </row>
    <row r="4414" spans="1:4">
      <c r="A4414" s="248"/>
      <c r="B4414" s="249"/>
      <c r="C4414" s="248"/>
      <c r="D4414" s="248"/>
    </row>
    <row r="4415" spans="1:4">
      <c r="A4415" s="248"/>
      <c r="B4415" s="249"/>
      <c r="C4415" s="248"/>
      <c r="D4415" s="248"/>
    </row>
    <row r="4416" spans="1:4">
      <c r="A4416" s="246"/>
      <c r="B4416" s="246"/>
      <c r="C4416" s="246"/>
      <c r="D4416" s="247"/>
    </row>
    <row r="4417" spans="1:4">
      <c r="A4417" s="253"/>
      <c r="B4417" s="253"/>
      <c r="C4417" s="253"/>
      <c r="D4417" s="254"/>
    </row>
    <row r="4418" spans="1:4">
      <c r="A4418" s="251"/>
      <c r="B4418" s="251"/>
      <c r="C4418" s="251"/>
      <c r="D4418" s="252"/>
    </row>
    <row r="4419" spans="1:4">
      <c r="A4419" s="246"/>
      <c r="B4419" s="246"/>
      <c r="C4419" s="246"/>
      <c r="D4419" s="247"/>
    </row>
    <row r="4420" spans="1:4">
      <c r="A4420" s="248"/>
      <c r="B4420" s="249"/>
      <c r="C4420" s="248"/>
      <c r="D4420" s="248"/>
    </row>
    <row r="4421" spans="1:4">
      <c r="A4421" s="248"/>
      <c r="B4421" s="249"/>
      <c r="C4421" s="248"/>
      <c r="D4421" s="248"/>
    </row>
    <row r="4422" spans="1:4">
      <c r="A4422" s="248"/>
      <c r="B4422" s="249"/>
      <c r="C4422" s="248"/>
      <c r="D4422" s="248"/>
    </row>
    <row r="4423" spans="1:4">
      <c r="A4423" s="246"/>
      <c r="B4423" s="246"/>
      <c r="C4423" s="246"/>
      <c r="D4423" s="247"/>
    </row>
    <row r="4424" spans="1:4">
      <c r="A4424" s="248"/>
      <c r="B4424" s="249"/>
      <c r="C4424" s="248"/>
      <c r="D4424" s="248"/>
    </row>
    <row r="4425" spans="1:4">
      <c r="A4425" s="248"/>
      <c r="B4425" s="249"/>
      <c r="C4425" s="248"/>
      <c r="D4425" s="248"/>
    </row>
    <row r="4426" spans="1:4">
      <c r="A4426" s="248"/>
      <c r="B4426" s="249"/>
      <c r="C4426" s="248"/>
      <c r="D4426" s="248"/>
    </row>
    <row r="4427" spans="1:4">
      <c r="A4427" s="248"/>
      <c r="B4427" s="249"/>
      <c r="C4427" s="248"/>
      <c r="D4427" s="248"/>
    </row>
    <row r="4428" spans="1:4">
      <c r="A4428" s="246"/>
      <c r="B4428" s="246"/>
      <c r="C4428" s="246"/>
      <c r="D4428" s="247"/>
    </row>
    <row r="4429" spans="1:4">
      <c r="A4429" s="248"/>
      <c r="B4429" s="249"/>
      <c r="C4429" s="248"/>
      <c r="D4429" s="248"/>
    </row>
    <row r="4430" spans="1:4">
      <c r="A4430" s="248"/>
      <c r="B4430" s="249"/>
      <c r="C4430" s="248"/>
      <c r="D4430" s="248"/>
    </row>
    <row r="4431" spans="1:4">
      <c r="A4431" s="248"/>
      <c r="B4431" s="249"/>
      <c r="C4431" s="248"/>
      <c r="D4431" s="248"/>
    </row>
    <row r="4432" spans="1:4">
      <c r="A4432" s="248"/>
      <c r="B4432" s="249"/>
      <c r="C4432" s="248"/>
      <c r="D4432" s="248"/>
    </row>
    <row r="4433" spans="1:4">
      <c r="A4433" s="248"/>
      <c r="B4433" s="249"/>
      <c r="C4433" s="248"/>
      <c r="D4433" s="248"/>
    </row>
    <row r="4434" spans="1:4">
      <c r="A4434" s="248"/>
      <c r="B4434" s="249"/>
      <c r="C4434" s="248"/>
      <c r="D4434" s="248"/>
    </row>
    <row r="4435" spans="1:4">
      <c r="A4435" s="248"/>
      <c r="B4435" s="249"/>
      <c r="C4435" s="248"/>
      <c r="D4435" s="248"/>
    </row>
    <row r="4436" spans="1:4">
      <c r="A4436" s="248"/>
      <c r="B4436" s="249"/>
      <c r="C4436" s="248"/>
      <c r="D4436" s="248"/>
    </row>
    <row r="4437" spans="1:4">
      <c r="A4437" s="248"/>
      <c r="B4437" s="249"/>
      <c r="C4437" s="248"/>
      <c r="D4437" s="248"/>
    </row>
    <row r="4438" spans="1:4">
      <c r="A4438" s="248"/>
      <c r="B4438" s="249"/>
      <c r="C4438" s="248"/>
      <c r="D4438" s="248"/>
    </row>
    <row r="4439" spans="1:4">
      <c r="A4439" s="248"/>
      <c r="B4439" s="249"/>
      <c r="C4439" s="248"/>
      <c r="D4439" s="248"/>
    </row>
    <row r="4440" spans="1:4">
      <c r="A4440" s="248"/>
      <c r="B4440" s="249"/>
      <c r="C4440" s="248"/>
      <c r="D4440" s="248"/>
    </row>
    <row r="4441" spans="1:4">
      <c r="A4441" s="248"/>
      <c r="B4441" s="249"/>
      <c r="C4441" s="248"/>
      <c r="D4441" s="248"/>
    </row>
    <row r="4442" spans="1:4">
      <c r="A4442" s="248"/>
      <c r="B4442" s="249"/>
      <c r="C4442" s="248"/>
      <c r="D4442" s="248"/>
    </row>
    <row r="4443" spans="1:4">
      <c r="A4443" s="248"/>
      <c r="B4443" s="249"/>
      <c r="C4443" s="248"/>
      <c r="D4443" s="248"/>
    </row>
    <row r="4444" spans="1:4">
      <c r="A4444" s="248"/>
      <c r="B4444" s="249"/>
      <c r="C4444" s="248"/>
      <c r="D4444" s="248"/>
    </row>
    <row r="4445" spans="1:4">
      <c r="A4445" s="248"/>
      <c r="B4445" s="249"/>
      <c r="C4445" s="248"/>
      <c r="D4445" s="248"/>
    </row>
    <row r="4446" spans="1:4">
      <c r="A4446" s="248"/>
      <c r="B4446" s="249"/>
      <c r="C4446" s="248"/>
      <c r="D4446" s="248"/>
    </row>
    <row r="4447" spans="1:4">
      <c r="A4447" s="246"/>
      <c r="B4447" s="246"/>
      <c r="C4447" s="246"/>
      <c r="D4447" s="247"/>
    </row>
    <row r="4448" spans="1:4">
      <c r="A4448" s="248"/>
      <c r="B4448" s="249"/>
      <c r="C4448" s="248"/>
      <c r="D4448" s="248"/>
    </row>
    <row r="4449" spans="1:4">
      <c r="A4449" s="248"/>
      <c r="B4449" s="249"/>
      <c r="C4449" s="248"/>
      <c r="D4449" s="248"/>
    </row>
    <row r="4450" spans="1:4">
      <c r="A4450" s="248"/>
      <c r="B4450" s="249"/>
      <c r="C4450" s="248"/>
      <c r="D4450" s="248"/>
    </row>
    <row r="4451" spans="1:4">
      <c r="A4451" s="248"/>
      <c r="B4451" s="249"/>
      <c r="C4451" s="248"/>
      <c r="D4451" s="248"/>
    </row>
    <row r="4452" spans="1:4">
      <c r="A4452" s="248"/>
      <c r="B4452" s="249"/>
      <c r="C4452" s="248"/>
      <c r="D4452" s="248"/>
    </row>
    <row r="4453" spans="1:4">
      <c r="A4453" s="248"/>
      <c r="B4453" s="249"/>
      <c r="C4453" s="248"/>
      <c r="D4453" s="248"/>
    </row>
    <row r="4454" spans="1:4">
      <c r="A4454" s="246"/>
      <c r="B4454" s="246"/>
      <c r="C4454" s="246"/>
      <c r="D4454" s="247"/>
    </row>
    <row r="4455" spans="1:4">
      <c r="A4455" s="248"/>
      <c r="B4455" s="249"/>
      <c r="C4455" s="248"/>
      <c r="D4455" s="248"/>
    </row>
    <row r="4456" spans="1:4">
      <c r="A4456" s="248"/>
      <c r="B4456" s="249"/>
      <c r="C4456" s="248"/>
      <c r="D4456" s="248"/>
    </row>
    <row r="4457" spans="1:4">
      <c r="A4457" s="248"/>
      <c r="B4457" s="249"/>
      <c r="C4457" s="248"/>
      <c r="D4457" s="248"/>
    </row>
    <row r="4458" spans="1:4">
      <c r="A4458" s="248"/>
      <c r="B4458" s="249"/>
      <c r="C4458" s="248"/>
      <c r="D4458" s="248"/>
    </row>
    <row r="4459" spans="1:4">
      <c r="A4459" s="248"/>
      <c r="B4459" s="249"/>
      <c r="C4459" s="248"/>
      <c r="D4459" s="248"/>
    </row>
    <row r="4460" spans="1:4">
      <c r="A4460" s="248"/>
      <c r="B4460" s="249"/>
      <c r="C4460" s="248"/>
      <c r="D4460" s="248"/>
    </row>
    <row r="4461" spans="1:4">
      <c r="A4461" s="248"/>
      <c r="B4461" s="249"/>
      <c r="C4461" s="248"/>
      <c r="D4461" s="248"/>
    </row>
    <row r="4462" spans="1:4">
      <c r="A4462" s="248"/>
      <c r="B4462" s="249"/>
      <c r="C4462" s="248"/>
      <c r="D4462" s="248"/>
    </row>
    <row r="4463" spans="1:4">
      <c r="A4463" s="248"/>
      <c r="B4463" s="249"/>
      <c r="C4463" s="248"/>
      <c r="D4463" s="248"/>
    </row>
    <row r="4464" spans="1:4">
      <c r="A4464" s="248"/>
      <c r="B4464" s="249"/>
      <c r="C4464" s="248"/>
      <c r="D4464" s="248"/>
    </row>
    <row r="4465" spans="1:4">
      <c r="A4465" s="248"/>
      <c r="B4465" s="249"/>
      <c r="C4465" s="248"/>
      <c r="D4465" s="248"/>
    </row>
    <row r="4466" spans="1:4">
      <c r="A4466" s="248"/>
      <c r="B4466" s="249"/>
      <c r="C4466" s="248"/>
      <c r="D4466" s="248"/>
    </row>
    <row r="4467" spans="1:4">
      <c r="A4467" s="248"/>
      <c r="B4467" s="249"/>
      <c r="C4467" s="248"/>
      <c r="D4467" s="248"/>
    </row>
    <row r="4468" spans="1:4">
      <c r="A4468" s="248"/>
      <c r="B4468" s="249"/>
      <c r="C4468" s="248"/>
      <c r="D4468" s="248"/>
    </row>
    <row r="4469" spans="1:4">
      <c r="A4469" s="248"/>
      <c r="B4469" s="249"/>
      <c r="C4469" s="248"/>
      <c r="D4469" s="248"/>
    </row>
    <row r="4470" spans="1:4">
      <c r="A4470" s="246"/>
      <c r="B4470" s="246"/>
      <c r="C4470" s="246"/>
      <c r="D4470" s="247"/>
    </row>
    <row r="4471" spans="1:4">
      <c r="A4471" s="248"/>
      <c r="B4471" s="249"/>
      <c r="C4471" s="248"/>
      <c r="D4471" s="248"/>
    </row>
    <row r="4472" spans="1:4">
      <c r="A4472" s="248"/>
      <c r="B4472" s="249"/>
      <c r="C4472" s="248"/>
      <c r="D4472" s="248"/>
    </row>
    <row r="4473" spans="1:4">
      <c r="A4473" s="248"/>
      <c r="B4473" s="249"/>
      <c r="C4473" s="248"/>
      <c r="D4473" s="248"/>
    </row>
    <row r="4474" spans="1:4">
      <c r="A4474" s="248"/>
      <c r="B4474" s="249"/>
      <c r="C4474" s="248"/>
      <c r="D4474" s="248"/>
    </row>
    <row r="4475" spans="1:4">
      <c r="A4475" s="248"/>
      <c r="B4475" s="249"/>
      <c r="C4475" s="248"/>
      <c r="D4475" s="248"/>
    </row>
    <row r="4476" spans="1:4">
      <c r="A4476" s="248"/>
      <c r="B4476" s="249"/>
      <c r="C4476" s="248"/>
      <c r="D4476" s="248"/>
    </row>
    <row r="4477" spans="1:4">
      <c r="A4477" s="248"/>
      <c r="B4477" s="249"/>
      <c r="C4477" s="248"/>
      <c r="D4477" s="248"/>
    </row>
    <row r="4478" spans="1:4">
      <c r="A4478" s="248"/>
      <c r="B4478" s="249"/>
      <c r="C4478" s="248"/>
      <c r="D4478" s="248"/>
    </row>
    <row r="4479" spans="1:4">
      <c r="A4479" s="246"/>
      <c r="B4479" s="246"/>
      <c r="C4479" s="246"/>
      <c r="D4479" s="247"/>
    </row>
    <row r="4480" spans="1:4">
      <c r="A4480" s="248"/>
      <c r="B4480" s="249"/>
      <c r="C4480" s="248"/>
      <c r="D4480" s="248"/>
    </row>
    <row r="4481" spans="1:4">
      <c r="A4481" s="248"/>
      <c r="B4481" s="249"/>
      <c r="C4481" s="248"/>
      <c r="D4481" s="248"/>
    </row>
    <row r="4482" spans="1:4">
      <c r="A4482" s="246"/>
      <c r="B4482" s="246"/>
      <c r="C4482" s="246"/>
      <c r="D4482" s="247"/>
    </row>
    <row r="4483" spans="1:4">
      <c r="A4483" s="248"/>
      <c r="B4483" s="249"/>
      <c r="C4483" s="248"/>
      <c r="D4483" s="248"/>
    </row>
    <row r="4484" spans="1:4">
      <c r="A4484" s="248"/>
      <c r="B4484" s="249"/>
      <c r="C4484" s="248"/>
      <c r="D4484" s="248"/>
    </row>
    <row r="4485" spans="1:4">
      <c r="A4485" s="248"/>
      <c r="B4485" s="249"/>
      <c r="C4485" s="248"/>
      <c r="D4485" s="248"/>
    </row>
    <row r="4486" spans="1:4">
      <c r="A4486" s="248"/>
      <c r="B4486" s="249"/>
      <c r="C4486" s="248"/>
      <c r="D4486" s="248"/>
    </row>
    <row r="4487" spans="1:4">
      <c r="A4487" s="248"/>
      <c r="B4487" s="249"/>
      <c r="C4487" s="248"/>
      <c r="D4487" s="248"/>
    </row>
    <row r="4488" spans="1:4">
      <c r="A4488" s="248"/>
      <c r="B4488" s="249"/>
      <c r="C4488" s="248"/>
      <c r="D4488" s="248"/>
    </row>
    <row r="4489" spans="1:4">
      <c r="A4489" s="248"/>
      <c r="B4489" s="249"/>
      <c r="C4489" s="248"/>
      <c r="D4489" s="248"/>
    </row>
    <row r="4490" spans="1:4">
      <c r="A4490" s="248"/>
      <c r="B4490" s="249"/>
      <c r="C4490" s="248"/>
      <c r="D4490" s="248"/>
    </row>
    <row r="4491" spans="1:4">
      <c r="A4491" s="248"/>
      <c r="B4491" s="249"/>
      <c r="C4491" s="248"/>
      <c r="D4491" s="248"/>
    </row>
    <row r="4492" spans="1:4">
      <c r="A4492" s="248"/>
      <c r="B4492" s="249"/>
      <c r="C4492" s="248"/>
      <c r="D4492" s="248"/>
    </row>
    <row r="4493" spans="1:4">
      <c r="A4493" s="246"/>
      <c r="B4493" s="246"/>
      <c r="C4493" s="246"/>
      <c r="D4493" s="247"/>
    </row>
    <row r="4494" spans="1:4">
      <c r="A4494" s="248"/>
      <c r="B4494" s="249"/>
      <c r="C4494" s="248"/>
      <c r="D4494" s="248"/>
    </row>
    <row r="4495" spans="1:4">
      <c r="A4495" s="248"/>
      <c r="B4495" s="249"/>
      <c r="C4495" s="248"/>
      <c r="D4495" s="248"/>
    </row>
    <row r="4496" spans="1:4">
      <c r="A4496" s="248"/>
      <c r="B4496" s="249"/>
      <c r="C4496" s="248"/>
      <c r="D4496" s="248"/>
    </row>
    <row r="4497" spans="1:4">
      <c r="A4497" s="246"/>
      <c r="B4497" s="246"/>
      <c r="C4497" s="246"/>
      <c r="D4497" s="247"/>
    </row>
    <row r="4498" spans="1:4">
      <c r="A4498" s="248"/>
      <c r="B4498" s="249"/>
      <c r="C4498" s="248"/>
      <c r="D4498" s="248"/>
    </row>
    <row r="4499" spans="1:4">
      <c r="A4499" s="246"/>
      <c r="B4499" s="246"/>
      <c r="C4499" s="246"/>
      <c r="D4499" s="247"/>
    </row>
    <row r="4500" spans="1:4">
      <c r="A4500" s="248"/>
      <c r="B4500" s="249"/>
      <c r="C4500" s="248"/>
      <c r="D4500" s="248"/>
    </row>
    <row r="4501" spans="1:4">
      <c r="A4501" s="248"/>
      <c r="B4501" s="249"/>
      <c r="C4501" s="248"/>
      <c r="D4501" s="248"/>
    </row>
    <row r="4502" spans="1:4">
      <c r="A4502" s="246"/>
      <c r="B4502" s="246"/>
      <c r="C4502" s="246"/>
      <c r="D4502" s="247"/>
    </row>
    <row r="4503" spans="1:4">
      <c r="A4503" s="248"/>
      <c r="B4503" s="249"/>
      <c r="C4503" s="248"/>
      <c r="D4503" s="248"/>
    </row>
    <row r="4504" spans="1:4">
      <c r="A4504" s="248"/>
      <c r="B4504" s="249"/>
      <c r="C4504" s="248"/>
      <c r="D4504" s="248"/>
    </row>
    <row r="4505" spans="1:4">
      <c r="A4505" s="248"/>
      <c r="B4505" s="249"/>
      <c r="C4505" s="248"/>
      <c r="D4505" s="248"/>
    </row>
    <row r="4506" spans="1:4">
      <c r="A4506" s="248"/>
      <c r="B4506" s="249"/>
      <c r="C4506" s="248"/>
      <c r="D4506" s="248"/>
    </row>
    <row r="4507" spans="1:4">
      <c r="A4507" s="248"/>
      <c r="B4507" s="249"/>
      <c r="C4507" s="248"/>
      <c r="D4507" s="248"/>
    </row>
    <row r="4508" spans="1:4">
      <c r="A4508" s="246"/>
      <c r="B4508" s="246"/>
      <c r="C4508" s="246"/>
      <c r="D4508" s="247"/>
    </row>
    <row r="4509" spans="1:4">
      <c r="A4509" s="248"/>
      <c r="B4509" s="249"/>
      <c r="C4509" s="248"/>
      <c r="D4509" s="248"/>
    </row>
    <row r="4510" spans="1:4">
      <c r="A4510" s="251"/>
      <c r="B4510" s="251"/>
      <c r="C4510" s="251"/>
      <c r="D4510" s="252"/>
    </row>
    <row r="4511" spans="1:4">
      <c r="A4511" s="246"/>
      <c r="B4511" s="246"/>
      <c r="C4511" s="246"/>
      <c r="D4511" s="247"/>
    </row>
    <row r="4512" spans="1:4">
      <c r="A4512" s="248"/>
      <c r="B4512" s="249"/>
      <c r="C4512" s="248"/>
      <c r="D4512" s="248"/>
    </row>
    <row r="4513" spans="1:4">
      <c r="A4513" s="246"/>
      <c r="B4513" s="246"/>
      <c r="C4513" s="246"/>
      <c r="D4513" s="247"/>
    </row>
    <row r="4514" spans="1:4">
      <c r="A4514" s="251"/>
      <c r="B4514" s="251"/>
      <c r="C4514" s="251"/>
      <c r="D4514" s="252"/>
    </row>
    <row r="4515" spans="1:4">
      <c r="A4515" s="251"/>
      <c r="B4515" s="251"/>
      <c r="C4515" s="251"/>
      <c r="D4515" s="252"/>
    </row>
    <row r="4516" spans="1:4">
      <c r="A4516" s="253"/>
      <c r="B4516" s="253"/>
      <c r="C4516" s="253"/>
      <c r="D4516" s="254"/>
    </row>
    <row r="4517" spans="1:4">
      <c r="A4517" s="246"/>
      <c r="B4517" s="246"/>
      <c r="C4517" s="246"/>
      <c r="D4517" s="247"/>
    </row>
    <row r="4518" spans="1:4">
      <c r="A4518" s="248"/>
      <c r="B4518" s="249"/>
      <c r="C4518" s="248"/>
      <c r="D4518" s="248"/>
    </row>
    <row r="4519" spans="1:4">
      <c r="A4519" s="248"/>
      <c r="B4519" s="249"/>
      <c r="C4519" s="248"/>
      <c r="D4519" s="248"/>
    </row>
    <row r="4520" spans="1:4">
      <c r="A4520" s="248"/>
      <c r="B4520" s="249"/>
      <c r="C4520" s="248"/>
      <c r="D4520" s="248"/>
    </row>
    <row r="4521" spans="1:4">
      <c r="A4521" s="248"/>
      <c r="B4521" s="249"/>
      <c r="C4521" s="248"/>
      <c r="D4521" s="248"/>
    </row>
    <row r="4522" spans="1:4">
      <c r="A4522" s="248"/>
      <c r="B4522" s="249"/>
      <c r="C4522" s="248"/>
      <c r="D4522" s="248"/>
    </row>
    <row r="4523" spans="1:4">
      <c r="A4523" s="246"/>
      <c r="B4523" s="246"/>
      <c r="C4523" s="246"/>
      <c r="D4523" s="247"/>
    </row>
    <row r="4524" spans="1:4">
      <c r="A4524" s="248"/>
      <c r="B4524" s="249"/>
      <c r="C4524" s="248"/>
      <c r="D4524" s="248"/>
    </row>
    <row r="4525" spans="1:4">
      <c r="A4525" s="248"/>
      <c r="B4525" s="249"/>
      <c r="C4525" s="248"/>
      <c r="D4525" s="248"/>
    </row>
    <row r="4526" spans="1:4">
      <c r="A4526" s="248"/>
      <c r="B4526" s="249"/>
      <c r="C4526" s="248"/>
      <c r="D4526" s="248"/>
    </row>
    <row r="4527" spans="1:4">
      <c r="A4527" s="248"/>
      <c r="B4527" s="249"/>
      <c r="C4527" s="248"/>
      <c r="D4527" s="248"/>
    </row>
    <row r="4528" spans="1:4">
      <c r="A4528" s="248"/>
      <c r="B4528" s="249"/>
      <c r="C4528" s="248"/>
      <c r="D4528" s="248"/>
    </row>
    <row r="4529" spans="1:4">
      <c r="A4529" s="248"/>
      <c r="B4529" s="249"/>
      <c r="C4529" s="248"/>
      <c r="D4529" s="248"/>
    </row>
    <row r="4530" spans="1:4">
      <c r="A4530" s="248"/>
      <c r="B4530" s="249"/>
      <c r="C4530" s="248"/>
      <c r="D4530" s="248"/>
    </row>
    <row r="4531" spans="1:4">
      <c r="A4531" s="248"/>
      <c r="B4531" s="249"/>
      <c r="C4531" s="248"/>
      <c r="D4531" s="248"/>
    </row>
    <row r="4532" spans="1:4">
      <c r="A4532" s="248"/>
      <c r="B4532" s="249"/>
      <c r="C4532" s="248"/>
      <c r="D4532" s="248"/>
    </row>
    <row r="4533" spans="1:4">
      <c r="A4533" s="248"/>
      <c r="B4533" s="249"/>
      <c r="C4533" s="248"/>
      <c r="D4533" s="248"/>
    </row>
    <row r="4534" spans="1:4">
      <c r="A4534" s="248"/>
      <c r="B4534" s="249"/>
      <c r="C4534" s="248"/>
      <c r="D4534" s="248"/>
    </row>
    <row r="4535" spans="1:4">
      <c r="A4535" s="248"/>
      <c r="B4535" s="249"/>
      <c r="C4535" s="248"/>
      <c r="D4535" s="248"/>
    </row>
    <row r="4536" spans="1:4">
      <c r="A4536" s="248"/>
      <c r="B4536" s="249"/>
      <c r="C4536" s="248"/>
      <c r="D4536" s="248"/>
    </row>
    <row r="4537" spans="1:4">
      <c r="A4537" s="248"/>
      <c r="B4537" s="249"/>
      <c r="C4537" s="248"/>
      <c r="D4537" s="248"/>
    </row>
    <row r="4538" spans="1:4">
      <c r="A4538" s="248"/>
      <c r="B4538" s="249"/>
      <c r="C4538" s="248"/>
      <c r="D4538" s="248"/>
    </row>
    <row r="4539" spans="1:4">
      <c r="A4539" s="248"/>
      <c r="B4539" s="249"/>
      <c r="C4539" s="248"/>
      <c r="D4539" s="248"/>
    </row>
    <row r="4540" spans="1:4">
      <c r="A4540" s="248"/>
      <c r="B4540" s="249"/>
      <c r="C4540" s="248"/>
      <c r="D4540" s="248"/>
    </row>
    <row r="4541" spans="1:4">
      <c r="A4541" s="248"/>
      <c r="B4541" s="249"/>
      <c r="C4541" s="248"/>
      <c r="D4541" s="248"/>
    </row>
    <row r="4542" spans="1:4">
      <c r="A4542" s="248"/>
      <c r="B4542" s="249"/>
      <c r="C4542" s="248"/>
      <c r="D4542" s="248"/>
    </row>
    <row r="4543" spans="1:4">
      <c r="A4543" s="248"/>
      <c r="B4543" s="249"/>
      <c r="C4543" s="248"/>
      <c r="D4543" s="248"/>
    </row>
    <row r="4544" spans="1:4">
      <c r="A4544" s="248"/>
      <c r="B4544" s="249"/>
      <c r="C4544" s="248"/>
      <c r="D4544" s="248"/>
    </row>
    <row r="4545" spans="1:4">
      <c r="A4545" s="248"/>
      <c r="B4545" s="249"/>
      <c r="C4545" s="248"/>
      <c r="D4545" s="248"/>
    </row>
    <row r="4546" spans="1:4">
      <c r="A4546" s="248"/>
      <c r="B4546" s="249"/>
      <c r="C4546" s="248"/>
      <c r="D4546" s="248"/>
    </row>
    <row r="4547" spans="1:4">
      <c r="A4547" s="248"/>
      <c r="B4547" s="249"/>
      <c r="C4547" s="248"/>
      <c r="D4547" s="248"/>
    </row>
    <row r="4548" spans="1:4">
      <c r="A4548" s="248"/>
      <c r="B4548" s="249"/>
      <c r="C4548" s="248"/>
      <c r="D4548" s="248"/>
    </row>
    <row r="4549" spans="1:4">
      <c r="A4549" s="246"/>
      <c r="B4549" s="246"/>
      <c r="C4549" s="246"/>
      <c r="D4549" s="247"/>
    </row>
    <row r="4550" spans="1:4">
      <c r="A4550" s="248"/>
      <c r="B4550" s="249"/>
      <c r="C4550" s="248"/>
      <c r="D4550" s="248"/>
    </row>
    <row r="4551" spans="1:4">
      <c r="A4551" s="248"/>
      <c r="B4551" s="249"/>
      <c r="C4551" s="248"/>
      <c r="D4551" s="248"/>
    </row>
    <row r="4552" spans="1:4">
      <c r="A4552" s="251"/>
      <c r="B4552" s="251"/>
      <c r="C4552" s="251"/>
      <c r="D4552" s="252"/>
    </row>
    <row r="4553" spans="1:4">
      <c r="A4553" s="246"/>
      <c r="B4553" s="246"/>
      <c r="C4553" s="246"/>
      <c r="D4553" s="247"/>
    </row>
    <row r="4554" spans="1:4">
      <c r="A4554" s="248"/>
      <c r="B4554" s="249"/>
      <c r="C4554" s="248"/>
      <c r="D4554" s="248"/>
    </row>
    <row r="4555" spans="1:4">
      <c r="A4555" s="248"/>
      <c r="B4555" s="249"/>
      <c r="C4555" s="248"/>
      <c r="D4555" s="248"/>
    </row>
    <row r="4556" spans="1:4">
      <c r="A4556" s="248"/>
      <c r="B4556" s="249"/>
      <c r="C4556" s="248"/>
      <c r="D4556" s="248"/>
    </row>
    <row r="4557" spans="1:4">
      <c r="A4557" s="248"/>
      <c r="B4557" s="249"/>
      <c r="C4557" s="248"/>
      <c r="D4557" s="248"/>
    </row>
    <row r="4558" spans="1:4">
      <c r="A4558" s="248"/>
      <c r="B4558" s="249"/>
      <c r="C4558" s="248"/>
      <c r="D4558" s="248"/>
    </row>
    <row r="4559" spans="1:4">
      <c r="A4559" s="248"/>
      <c r="B4559" s="249"/>
      <c r="C4559" s="248"/>
      <c r="D4559" s="248"/>
    </row>
    <row r="4560" spans="1:4">
      <c r="A4560" s="248"/>
      <c r="B4560" s="249"/>
      <c r="C4560" s="248"/>
      <c r="D4560" s="248"/>
    </row>
    <row r="4561" spans="1:4">
      <c r="A4561" s="248"/>
      <c r="B4561" s="249"/>
      <c r="C4561" s="248"/>
      <c r="D4561" s="248"/>
    </row>
    <row r="4562" spans="1:4">
      <c r="A4562" s="248"/>
      <c r="B4562" s="249"/>
      <c r="C4562" s="248"/>
      <c r="D4562" s="248"/>
    </row>
    <row r="4563" spans="1:4">
      <c r="A4563" s="248"/>
      <c r="B4563" s="249"/>
      <c r="C4563" s="248"/>
      <c r="D4563" s="248"/>
    </row>
    <row r="4564" spans="1:4">
      <c r="A4564" s="248"/>
      <c r="B4564" s="249"/>
      <c r="C4564" s="248"/>
      <c r="D4564" s="248"/>
    </row>
    <row r="4565" spans="1:4">
      <c r="A4565" s="248"/>
      <c r="B4565" s="249"/>
      <c r="C4565" s="248"/>
      <c r="D4565" s="248"/>
    </row>
    <row r="4566" spans="1:4">
      <c r="A4566" s="248"/>
      <c r="B4566" s="249"/>
      <c r="C4566" s="248"/>
      <c r="D4566" s="248"/>
    </row>
    <row r="4567" spans="1:4">
      <c r="A4567" s="248"/>
      <c r="B4567" s="249"/>
      <c r="C4567" s="248"/>
      <c r="D4567" s="248"/>
    </row>
    <row r="4568" spans="1:4">
      <c r="A4568" s="248"/>
      <c r="B4568" s="249"/>
      <c r="C4568" s="248"/>
      <c r="D4568" s="248"/>
    </row>
    <row r="4569" spans="1:4">
      <c r="A4569" s="248"/>
      <c r="B4569" s="249"/>
      <c r="C4569" s="248"/>
      <c r="D4569" s="248"/>
    </row>
    <row r="4570" spans="1:4">
      <c r="A4570" s="248"/>
      <c r="B4570" s="249"/>
      <c r="C4570" s="248"/>
      <c r="D4570" s="248"/>
    </row>
    <row r="4571" spans="1:4">
      <c r="A4571" s="248"/>
      <c r="B4571" s="249"/>
      <c r="C4571" s="248"/>
      <c r="D4571" s="248"/>
    </row>
    <row r="4572" spans="1:4">
      <c r="A4572" s="248"/>
      <c r="B4572" s="249"/>
      <c r="C4572" s="248"/>
      <c r="D4572" s="248"/>
    </row>
    <row r="4573" spans="1:4">
      <c r="A4573" s="248"/>
      <c r="B4573" s="249"/>
      <c r="C4573" s="248"/>
      <c r="D4573" s="248"/>
    </row>
    <row r="4574" spans="1:4">
      <c r="A4574" s="248"/>
      <c r="B4574" s="249"/>
      <c r="C4574" s="248"/>
      <c r="D4574" s="248"/>
    </row>
    <row r="4575" spans="1:4">
      <c r="A4575" s="248"/>
      <c r="B4575" s="249"/>
      <c r="C4575" s="248"/>
      <c r="D4575" s="248"/>
    </row>
    <row r="4576" spans="1:4">
      <c r="A4576" s="248"/>
      <c r="B4576" s="249"/>
      <c r="C4576" s="248"/>
      <c r="D4576" s="248"/>
    </row>
    <row r="4577" spans="1:4">
      <c r="A4577" s="248"/>
      <c r="B4577" s="249"/>
      <c r="C4577" s="248"/>
      <c r="D4577" s="248"/>
    </row>
    <row r="4578" spans="1:4">
      <c r="A4578" s="248"/>
      <c r="B4578" s="249"/>
      <c r="C4578" s="248"/>
      <c r="D4578" s="248"/>
    </row>
    <row r="4579" spans="1:4">
      <c r="A4579" s="248"/>
      <c r="B4579" s="249"/>
      <c r="C4579" s="248"/>
      <c r="D4579" s="248"/>
    </row>
    <row r="4580" spans="1:4">
      <c r="A4580" s="248"/>
      <c r="B4580" s="249"/>
      <c r="C4580" s="248"/>
      <c r="D4580" s="248"/>
    </row>
    <row r="4581" spans="1:4">
      <c r="A4581" s="248"/>
      <c r="B4581" s="249"/>
      <c r="C4581" s="248"/>
      <c r="D4581" s="248"/>
    </row>
    <row r="4582" spans="1:4">
      <c r="A4582" s="248"/>
      <c r="B4582" s="249"/>
      <c r="C4582" s="248"/>
      <c r="D4582" s="248"/>
    </row>
    <row r="4583" spans="1:4">
      <c r="A4583" s="246"/>
      <c r="B4583" s="246"/>
      <c r="C4583" s="246"/>
      <c r="D4583" s="247"/>
    </row>
    <row r="4584" spans="1:4">
      <c r="A4584" s="248"/>
      <c r="B4584" s="249"/>
      <c r="C4584" s="248"/>
      <c r="D4584" s="248"/>
    </row>
    <row r="4585" spans="1:4">
      <c r="A4585" s="248"/>
      <c r="B4585" s="249"/>
      <c r="C4585" s="248"/>
      <c r="D4585" s="248"/>
    </row>
    <row r="4586" spans="1:4">
      <c r="A4586" s="248"/>
      <c r="B4586" s="249"/>
      <c r="C4586" s="248"/>
      <c r="D4586" s="248"/>
    </row>
    <row r="4587" spans="1:4">
      <c r="A4587" s="248"/>
      <c r="B4587" s="249"/>
      <c r="C4587" s="248"/>
      <c r="D4587" s="248"/>
    </row>
    <row r="4588" spans="1:4">
      <c r="A4588" s="246"/>
      <c r="B4588" s="246"/>
      <c r="C4588" s="246"/>
      <c r="D4588" s="247"/>
    </row>
    <row r="4589" spans="1:4">
      <c r="A4589" s="248"/>
      <c r="B4589" s="249"/>
      <c r="C4589" s="248"/>
      <c r="D4589" s="248"/>
    </row>
    <row r="4590" spans="1:4">
      <c r="A4590" s="248"/>
      <c r="B4590" s="249"/>
      <c r="C4590" s="248"/>
      <c r="D4590" s="248"/>
    </row>
    <row r="4591" spans="1:4">
      <c r="A4591" s="248"/>
      <c r="B4591" s="249"/>
      <c r="C4591" s="248"/>
      <c r="D4591" s="248"/>
    </row>
    <row r="4592" spans="1:4">
      <c r="A4592" s="248"/>
      <c r="B4592" s="249"/>
      <c r="C4592" s="248"/>
      <c r="D4592" s="248"/>
    </row>
    <row r="4593" spans="1:4">
      <c r="A4593" s="248"/>
      <c r="B4593" s="249"/>
      <c r="C4593" s="248"/>
      <c r="D4593" s="248"/>
    </row>
    <row r="4594" spans="1:4">
      <c r="A4594" s="248"/>
      <c r="B4594" s="249"/>
      <c r="C4594" s="248"/>
      <c r="D4594" s="248"/>
    </row>
    <row r="4595" spans="1:4">
      <c r="A4595" s="248"/>
      <c r="B4595" s="249"/>
      <c r="C4595" s="248"/>
      <c r="D4595" s="248"/>
    </row>
    <row r="4596" spans="1:4">
      <c r="A4596" s="248"/>
      <c r="B4596" s="249"/>
      <c r="C4596" s="248"/>
      <c r="D4596" s="248"/>
    </row>
    <row r="4597" spans="1:4">
      <c r="A4597" s="248"/>
      <c r="B4597" s="249"/>
      <c r="C4597" s="248"/>
      <c r="D4597" s="248"/>
    </row>
    <row r="4598" spans="1:4">
      <c r="A4598" s="248"/>
      <c r="B4598" s="249"/>
      <c r="C4598" s="248"/>
      <c r="D4598" s="248"/>
    </row>
    <row r="4599" spans="1:4">
      <c r="A4599" s="248"/>
      <c r="B4599" s="249"/>
      <c r="C4599" s="248"/>
      <c r="D4599" s="248"/>
    </row>
    <row r="4600" spans="1:4">
      <c r="A4600" s="248"/>
      <c r="B4600" s="249"/>
      <c r="C4600" s="248"/>
      <c r="D4600" s="248"/>
    </row>
    <row r="4601" spans="1:4">
      <c r="A4601" s="248"/>
      <c r="B4601" s="249"/>
      <c r="C4601" s="248"/>
      <c r="D4601" s="248"/>
    </row>
    <row r="4602" spans="1:4">
      <c r="A4602" s="248"/>
      <c r="B4602" s="249"/>
      <c r="C4602" s="248"/>
      <c r="D4602" s="248"/>
    </row>
    <row r="4603" spans="1:4">
      <c r="A4603" s="248"/>
      <c r="B4603" s="249"/>
      <c r="C4603" s="248"/>
      <c r="D4603" s="248"/>
    </row>
    <row r="4604" spans="1:4">
      <c r="A4604" s="248"/>
      <c r="B4604" s="249"/>
      <c r="C4604" s="248"/>
      <c r="D4604" s="248"/>
    </row>
    <row r="4605" spans="1:4">
      <c r="A4605" s="248"/>
      <c r="B4605" s="249"/>
      <c r="C4605" s="248"/>
      <c r="D4605" s="248"/>
    </row>
    <row r="4606" spans="1:4">
      <c r="A4606" s="248"/>
      <c r="B4606" s="249"/>
      <c r="C4606" s="248"/>
      <c r="D4606" s="248"/>
    </row>
    <row r="4607" spans="1:4">
      <c r="A4607" s="248"/>
      <c r="B4607" s="249"/>
      <c r="C4607" s="248"/>
      <c r="D4607" s="248"/>
    </row>
    <row r="4608" spans="1:4">
      <c r="A4608" s="248"/>
      <c r="B4608" s="249"/>
      <c r="C4608" s="248"/>
      <c r="D4608" s="248"/>
    </row>
    <row r="4609" spans="1:4">
      <c r="A4609" s="248"/>
      <c r="B4609" s="249"/>
      <c r="C4609" s="248"/>
      <c r="D4609" s="248"/>
    </row>
    <row r="4610" spans="1:4">
      <c r="A4610" s="246"/>
      <c r="B4610" s="246"/>
      <c r="C4610" s="246"/>
      <c r="D4610" s="247"/>
    </row>
    <row r="4611" spans="1:4">
      <c r="A4611" s="248"/>
      <c r="B4611" s="249"/>
      <c r="C4611" s="248"/>
      <c r="D4611" s="248"/>
    </row>
    <row r="4612" spans="1:4">
      <c r="A4612" s="248"/>
      <c r="B4612" s="249"/>
      <c r="C4612" s="248"/>
      <c r="D4612" s="248"/>
    </row>
    <row r="4613" spans="1:4">
      <c r="A4613" s="248"/>
      <c r="B4613" s="249"/>
      <c r="C4613" s="248"/>
      <c r="D4613" s="248"/>
    </row>
    <row r="4614" spans="1:4">
      <c r="A4614" s="248"/>
      <c r="B4614" s="249"/>
      <c r="C4614" s="248"/>
      <c r="D4614" s="248"/>
    </row>
    <row r="4615" spans="1:4">
      <c r="A4615" s="246"/>
      <c r="B4615" s="246"/>
      <c r="C4615" s="246"/>
      <c r="D4615" s="247"/>
    </row>
    <row r="4616" spans="1:4">
      <c r="A4616" s="248"/>
      <c r="B4616" s="249"/>
      <c r="C4616" s="248"/>
      <c r="D4616" s="248"/>
    </row>
    <row r="4617" spans="1:4">
      <c r="A4617" s="248"/>
      <c r="B4617" s="249"/>
      <c r="C4617" s="248"/>
      <c r="D4617" s="248"/>
    </row>
    <row r="4618" spans="1:4">
      <c r="A4618" s="246"/>
      <c r="B4618" s="246"/>
      <c r="C4618" s="246"/>
      <c r="D4618" s="247"/>
    </row>
    <row r="4619" spans="1:4">
      <c r="A4619" s="248"/>
      <c r="B4619" s="249"/>
      <c r="C4619" s="248"/>
      <c r="D4619" s="248"/>
    </row>
    <row r="4620" spans="1:4">
      <c r="A4620" s="248"/>
      <c r="B4620" s="249"/>
      <c r="C4620" s="248"/>
      <c r="D4620" s="248"/>
    </row>
    <row r="4621" spans="1:4">
      <c r="A4621" s="248"/>
      <c r="B4621" s="249"/>
      <c r="C4621" s="248"/>
      <c r="D4621" s="248"/>
    </row>
    <row r="4622" spans="1:4">
      <c r="A4622" s="248"/>
      <c r="B4622" s="249"/>
      <c r="C4622" s="248"/>
      <c r="D4622" s="248"/>
    </row>
    <row r="4623" spans="1:4">
      <c r="A4623" s="248"/>
      <c r="B4623" s="249"/>
      <c r="C4623" s="248"/>
      <c r="D4623" s="248"/>
    </row>
    <row r="4624" spans="1:4">
      <c r="A4624" s="248"/>
      <c r="B4624" s="249"/>
      <c r="C4624" s="248"/>
      <c r="D4624" s="248"/>
    </row>
    <row r="4625" spans="1:4">
      <c r="A4625" s="248"/>
      <c r="B4625" s="249"/>
      <c r="C4625" s="248"/>
      <c r="D4625" s="248"/>
    </row>
    <row r="4626" spans="1:4">
      <c r="A4626" s="246"/>
      <c r="B4626" s="246"/>
      <c r="C4626" s="246"/>
      <c r="D4626" s="247"/>
    </row>
    <row r="4627" spans="1:4">
      <c r="A4627" s="248"/>
      <c r="B4627" s="249"/>
      <c r="C4627" s="248"/>
      <c r="D4627" s="248"/>
    </row>
    <row r="4628" spans="1:4">
      <c r="A4628" s="246"/>
      <c r="B4628" s="246"/>
      <c r="C4628" s="246"/>
      <c r="D4628" s="247"/>
    </row>
    <row r="4629" spans="1:4">
      <c r="A4629" s="248"/>
      <c r="B4629" s="249"/>
      <c r="C4629" s="248"/>
      <c r="D4629" s="248"/>
    </row>
    <row r="4630" spans="1:4">
      <c r="A4630" s="246"/>
      <c r="B4630" s="246"/>
      <c r="C4630" s="246"/>
      <c r="D4630" s="247"/>
    </row>
    <row r="4631" spans="1:4">
      <c r="A4631" s="248"/>
      <c r="B4631" s="249"/>
      <c r="C4631" s="248"/>
      <c r="D4631" s="248"/>
    </row>
    <row r="4632" spans="1:4">
      <c r="A4632" s="248"/>
      <c r="B4632" s="249"/>
      <c r="C4632" s="248"/>
      <c r="D4632" s="248"/>
    </row>
    <row r="4633" spans="1:4">
      <c r="A4633" s="248"/>
      <c r="B4633" s="249"/>
      <c r="C4633" s="248"/>
      <c r="D4633" s="248"/>
    </row>
    <row r="4634" spans="1:4">
      <c r="A4634" s="246"/>
      <c r="B4634" s="246"/>
      <c r="C4634" s="246"/>
      <c r="D4634" s="247"/>
    </row>
    <row r="4635" spans="1:4">
      <c r="A4635" s="248"/>
      <c r="B4635" s="249"/>
      <c r="C4635" s="248"/>
      <c r="D4635" s="248"/>
    </row>
    <row r="4636" spans="1:4">
      <c r="A4636" s="248"/>
      <c r="B4636" s="249"/>
      <c r="C4636" s="248"/>
      <c r="D4636" s="248"/>
    </row>
    <row r="4637" spans="1:4">
      <c r="A4637" s="248"/>
      <c r="B4637" s="249"/>
      <c r="C4637" s="248"/>
      <c r="D4637" s="248"/>
    </row>
    <row r="4638" spans="1:4">
      <c r="A4638" s="248"/>
      <c r="B4638" s="249"/>
      <c r="C4638" s="248"/>
      <c r="D4638" s="248"/>
    </row>
    <row r="4639" spans="1:4">
      <c r="A4639" s="248"/>
      <c r="B4639" s="249"/>
      <c r="C4639" s="248"/>
      <c r="D4639" s="248"/>
    </row>
    <row r="4640" spans="1:4">
      <c r="A4640" s="248"/>
      <c r="B4640" s="249"/>
      <c r="C4640" s="248"/>
      <c r="D4640" s="248"/>
    </row>
    <row r="4641" spans="1:4">
      <c r="A4641" s="248"/>
      <c r="B4641" s="249"/>
      <c r="C4641" s="248"/>
      <c r="D4641" s="248"/>
    </row>
    <row r="4642" spans="1:4">
      <c r="A4642" s="248"/>
      <c r="B4642" s="249"/>
      <c r="C4642" s="248"/>
      <c r="D4642" s="248"/>
    </row>
    <row r="4643" spans="1:4">
      <c r="A4643" s="251"/>
      <c r="B4643" s="251"/>
      <c r="C4643" s="251"/>
      <c r="D4643" s="252"/>
    </row>
    <row r="4644" spans="1:4">
      <c r="A4644" s="246"/>
      <c r="B4644" s="246"/>
      <c r="C4644" s="246"/>
      <c r="D4644" s="247"/>
    </row>
    <row r="4645" spans="1:4">
      <c r="A4645" s="248"/>
      <c r="B4645" s="249"/>
      <c r="C4645" s="248"/>
      <c r="D4645" s="248"/>
    </row>
    <row r="4646" spans="1:4">
      <c r="A4646" s="248"/>
      <c r="B4646" s="249"/>
      <c r="C4646" s="248"/>
      <c r="D4646" s="248"/>
    </row>
    <row r="4647" spans="1:4">
      <c r="A4647" s="248"/>
      <c r="B4647" s="249"/>
      <c r="C4647" s="248"/>
      <c r="D4647" s="248"/>
    </row>
    <row r="4648" spans="1:4">
      <c r="A4648" s="248"/>
      <c r="B4648" s="249"/>
      <c r="C4648" s="248"/>
      <c r="D4648" s="248"/>
    </row>
    <row r="4649" spans="1:4">
      <c r="A4649" s="248"/>
      <c r="B4649" s="249"/>
      <c r="C4649" s="248"/>
      <c r="D4649" s="248"/>
    </row>
    <row r="4650" spans="1:4">
      <c r="A4650" s="248"/>
      <c r="B4650" s="249"/>
      <c r="C4650" s="248"/>
      <c r="D4650" s="248"/>
    </row>
    <row r="4651" spans="1:4">
      <c r="A4651" s="248"/>
      <c r="B4651" s="249"/>
      <c r="C4651" s="248"/>
      <c r="D4651" s="248"/>
    </row>
    <row r="4652" spans="1:4">
      <c r="A4652" s="248"/>
      <c r="B4652" s="249"/>
      <c r="C4652" s="248"/>
      <c r="D4652" s="248"/>
    </row>
    <row r="4653" spans="1:4">
      <c r="A4653" s="248"/>
      <c r="B4653" s="249"/>
      <c r="C4653" s="248"/>
      <c r="D4653" s="248"/>
    </row>
    <row r="4654" spans="1:4">
      <c r="A4654" s="248"/>
      <c r="B4654" s="249"/>
      <c r="C4654" s="248"/>
      <c r="D4654" s="248"/>
    </row>
    <row r="4655" spans="1:4">
      <c r="A4655" s="248"/>
      <c r="B4655" s="249"/>
      <c r="C4655" s="248"/>
      <c r="D4655" s="248"/>
    </row>
    <row r="4656" spans="1:4">
      <c r="A4656" s="248"/>
      <c r="B4656" s="249"/>
      <c r="C4656" s="248"/>
      <c r="D4656" s="248"/>
    </row>
    <row r="4657" spans="1:4">
      <c r="A4657" s="246"/>
      <c r="B4657" s="246"/>
      <c r="C4657" s="246"/>
      <c r="D4657" s="247"/>
    </row>
    <row r="4658" spans="1:4">
      <c r="A4658" s="248"/>
      <c r="B4658" s="249"/>
      <c r="C4658" s="248"/>
      <c r="D4658" s="248"/>
    </row>
    <row r="4659" spans="1:4">
      <c r="A4659" s="248"/>
      <c r="B4659" s="249"/>
      <c r="C4659" s="248"/>
      <c r="D4659" s="248"/>
    </row>
    <row r="4660" spans="1:4">
      <c r="A4660" s="246"/>
      <c r="B4660" s="246"/>
      <c r="C4660" s="246"/>
      <c r="D4660" s="247"/>
    </row>
    <row r="4661" spans="1:4">
      <c r="A4661" s="248"/>
      <c r="B4661" s="249"/>
      <c r="C4661" s="248"/>
      <c r="D4661" s="248"/>
    </row>
    <row r="4662" spans="1:4">
      <c r="A4662" s="248"/>
      <c r="B4662" s="249"/>
      <c r="C4662" s="248"/>
      <c r="D4662" s="248"/>
    </row>
    <row r="4663" spans="1:4">
      <c r="A4663" s="248"/>
      <c r="B4663" s="249"/>
      <c r="C4663" s="248"/>
      <c r="D4663" s="248"/>
    </row>
    <row r="4664" spans="1:4">
      <c r="A4664" s="248"/>
      <c r="B4664" s="249"/>
      <c r="C4664" s="248"/>
      <c r="D4664" s="248"/>
    </row>
    <row r="4665" spans="1:4">
      <c r="A4665" s="248"/>
      <c r="B4665" s="249"/>
      <c r="C4665" s="248"/>
      <c r="D4665" s="248"/>
    </row>
    <row r="4666" spans="1:4">
      <c r="A4666" s="248"/>
      <c r="B4666" s="249"/>
      <c r="C4666" s="248"/>
      <c r="D4666" s="248"/>
    </row>
    <row r="4667" spans="1:4">
      <c r="A4667" s="248"/>
      <c r="B4667" s="249"/>
      <c r="C4667" s="248"/>
      <c r="D4667" s="248"/>
    </row>
    <row r="4668" spans="1:4">
      <c r="A4668" s="248"/>
      <c r="B4668" s="249"/>
      <c r="C4668" s="248"/>
      <c r="D4668" s="248"/>
    </row>
    <row r="4669" spans="1:4">
      <c r="A4669" s="246"/>
      <c r="B4669" s="246"/>
      <c r="C4669" s="246"/>
      <c r="D4669" s="247"/>
    </row>
    <row r="4670" spans="1:4">
      <c r="A4670" s="248"/>
      <c r="B4670" s="249"/>
      <c r="C4670" s="248"/>
      <c r="D4670" s="248"/>
    </row>
    <row r="4671" spans="1:4">
      <c r="A4671" s="248"/>
      <c r="B4671" s="249"/>
      <c r="C4671" s="248"/>
      <c r="D4671" s="248"/>
    </row>
    <row r="4672" spans="1:4">
      <c r="A4672" s="246"/>
      <c r="B4672" s="246"/>
      <c r="C4672" s="246"/>
      <c r="D4672" s="247"/>
    </row>
    <row r="4673" spans="1:4">
      <c r="A4673" s="248"/>
      <c r="B4673" s="249"/>
      <c r="C4673" s="248"/>
      <c r="D4673" s="248"/>
    </row>
    <row r="4674" spans="1:4">
      <c r="A4674" s="248"/>
      <c r="B4674" s="249"/>
      <c r="C4674" s="248"/>
      <c r="D4674" s="248"/>
    </row>
    <row r="4675" spans="1:4">
      <c r="A4675" s="248"/>
      <c r="B4675" s="249"/>
      <c r="C4675" s="248"/>
      <c r="D4675" s="248"/>
    </row>
    <row r="4676" spans="1:4">
      <c r="A4676" s="248"/>
      <c r="B4676" s="249"/>
      <c r="C4676" s="248"/>
      <c r="D4676" s="248"/>
    </row>
    <row r="4677" spans="1:4">
      <c r="A4677" s="248"/>
      <c r="B4677" s="249"/>
      <c r="C4677" s="248"/>
      <c r="D4677" s="248"/>
    </row>
    <row r="4678" spans="1:4">
      <c r="A4678" s="248"/>
      <c r="B4678" s="249"/>
      <c r="C4678" s="248"/>
      <c r="D4678" s="248"/>
    </row>
    <row r="4679" spans="1:4">
      <c r="A4679" s="248"/>
      <c r="B4679" s="249"/>
      <c r="C4679" s="248"/>
      <c r="D4679" s="248"/>
    </row>
    <row r="4680" spans="1:4">
      <c r="A4680" s="248"/>
      <c r="B4680" s="249"/>
      <c r="C4680" s="248"/>
      <c r="D4680" s="248"/>
    </row>
    <row r="4681" spans="1:4">
      <c r="A4681" s="248"/>
      <c r="B4681" s="249"/>
      <c r="C4681" s="248"/>
      <c r="D4681" s="248"/>
    </row>
    <row r="4682" spans="1:4">
      <c r="A4682" s="248"/>
      <c r="B4682" s="249"/>
      <c r="C4682" s="248"/>
      <c r="D4682" s="248"/>
    </row>
    <row r="4683" spans="1:4">
      <c r="A4683" s="248"/>
      <c r="B4683" s="249"/>
      <c r="C4683" s="248"/>
      <c r="D4683" s="248"/>
    </row>
    <row r="4684" spans="1:4">
      <c r="A4684" s="248"/>
      <c r="B4684" s="249"/>
      <c r="C4684" s="248"/>
      <c r="D4684" s="248"/>
    </row>
    <row r="4685" spans="1:4">
      <c r="A4685" s="248"/>
      <c r="B4685" s="249"/>
      <c r="C4685" s="248"/>
      <c r="D4685" s="248"/>
    </row>
    <row r="4686" spans="1:4">
      <c r="A4686" s="248"/>
      <c r="B4686" s="249"/>
      <c r="C4686" s="248"/>
      <c r="D4686" s="248"/>
    </row>
    <row r="4687" spans="1:4">
      <c r="A4687" s="248"/>
      <c r="B4687" s="249"/>
      <c r="C4687" s="248"/>
      <c r="D4687" s="248"/>
    </row>
    <row r="4688" spans="1:4">
      <c r="A4688" s="248"/>
      <c r="B4688" s="249"/>
      <c r="C4688" s="248"/>
      <c r="D4688" s="248"/>
    </row>
    <row r="4689" spans="1:4">
      <c r="A4689" s="248"/>
      <c r="B4689" s="249"/>
      <c r="C4689" s="248"/>
      <c r="D4689" s="248"/>
    </row>
    <row r="4690" spans="1:4">
      <c r="A4690" s="248"/>
      <c r="B4690" s="249"/>
      <c r="C4690" s="248"/>
      <c r="D4690" s="248"/>
    </row>
    <row r="4691" spans="1:4">
      <c r="A4691" s="248"/>
      <c r="B4691" s="249"/>
      <c r="C4691" s="248"/>
      <c r="D4691" s="248"/>
    </row>
    <row r="4692" spans="1:4">
      <c r="A4692" s="248"/>
      <c r="B4692" s="249"/>
      <c r="C4692" s="248"/>
      <c r="D4692" s="248"/>
    </row>
    <row r="4693" spans="1:4">
      <c r="A4693" s="248"/>
      <c r="B4693" s="249"/>
      <c r="C4693" s="248"/>
      <c r="D4693" s="248"/>
    </row>
    <row r="4694" spans="1:4">
      <c r="A4694" s="246"/>
      <c r="B4694" s="246"/>
      <c r="C4694" s="246"/>
      <c r="D4694" s="247"/>
    </row>
    <row r="4695" spans="1:4">
      <c r="A4695" s="248"/>
      <c r="B4695" s="249"/>
      <c r="C4695" s="248"/>
      <c r="D4695" s="248"/>
    </row>
    <row r="4696" spans="1:4">
      <c r="A4696" s="248"/>
      <c r="B4696" s="249"/>
      <c r="C4696" s="248"/>
      <c r="D4696" s="248"/>
    </row>
    <row r="4697" spans="1:4">
      <c r="A4697" s="248"/>
      <c r="B4697" s="249"/>
      <c r="C4697" s="248"/>
      <c r="D4697" s="248"/>
    </row>
    <row r="4698" spans="1:4">
      <c r="A4698" s="248"/>
      <c r="B4698" s="249"/>
      <c r="C4698" s="248"/>
      <c r="D4698" s="248"/>
    </row>
    <row r="4699" spans="1:4">
      <c r="A4699" s="248"/>
      <c r="B4699" s="249"/>
      <c r="C4699" s="248"/>
      <c r="D4699" s="248"/>
    </row>
    <row r="4700" spans="1:4">
      <c r="A4700" s="248"/>
      <c r="B4700" s="249"/>
      <c r="C4700" s="248"/>
      <c r="D4700" s="248"/>
    </row>
    <row r="4701" spans="1:4">
      <c r="A4701" s="248"/>
      <c r="B4701" s="249"/>
      <c r="C4701" s="248"/>
      <c r="D4701" s="248"/>
    </row>
    <row r="4702" spans="1:4">
      <c r="A4702" s="248"/>
      <c r="B4702" s="249"/>
      <c r="C4702" s="248"/>
      <c r="D4702" s="248"/>
    </row>
    <row r="4703" spans="1:4">
      <c r="A4703" s="248"/>
      <c r="B4703" s="249"/>
      <c r="C4703" s="248"/>
      <c r="D4703" s="248"/>
    </row>
    <row r="4704" spans="1:4">
      <c r="A4704" s="248"/>
      <c r="B4704" s="249"/>
      <c r="C4704" s="248"/>
      <c r="D4704" s="248"/>
    </row>
    <row r="4705" spans="1:4">
      <c r="A4705" s="246"/>
      <c r="B4705" s="246"/>
      <c r="C4705" s="246"/>
      <c r="D4705" s="247"/>
    </row>
    <row r="4706" spans="1:4">
      <c r="A4706" s="248"/>
      <c r="B4706" s="249"/>
      <c r="C4706" s="248"/>
      <c r="D4706" s="248"/>
    </row>
    <row r="4707" spans="1:4">
      <c r="A4707" s="248"/>
      <c r="B4707" s="249"/>
      <c r="C4707" s="248"/>
      <c r="D4707" s="248"/>
    </row>
    <row r="4708" spans="1:4">
      <c r="A4708" s="248"/>
      <c r="B4708" s="249"/>
      <c r="C4708" s="248"/>
      <c r="D4708" s="248"/>
    </row>
    <row r="4709" spans="1:4">
      <c r="A4709" s="248"/>
      <c r="B4709" s="249"/>
      <c r="C4709" s="248"/>
      <c r="D4709" s="248"/>
    </row>
    <row r="4710" spans="1:4">
      <c r="A4710" s="248"/>
      <c r="B4710" s="249"/>
      <c r="C4710" s="248"/>
      <c r="D4710" s="248"/>
    </row>
    <row r="4711" spans="1:4">
      <c r="A4711" s="248"/>
      <c r="B4711" s="249"/>
      <c r="C4711" s="248"/>
      <c r="D4711" s="248"/>
    </row>
    <row r="4712" spans="1:4">
      <c r="A4712" s="248"/>
      <c r="B4712" s="249"/>
      <c r="C4712" s="248"/>
      <c r="D4712" s="248"/>
    </row>
    <row r="4713" spans="1:4">
      <c r="A4713" s="248"/>
      <c r="B4713" s="249"/>
      <c r="C4713" s="248"/>
      <c r="D4713" s="248"/>
    </row>
    <row r="4714" spans="1:4">
      <c r="A4714" s="246"/>
      <c r="B4714" s="246"/>
      <c r="C4714" s="246"/>
      <c r="D4714" s="247"/>
    </row>
    <row r="4715" spans="1:4">
      <c r="A4715" s="248"/>
      <c r="B4715" s="249"/>
      <c r="C4715" s="248"/>
      <c r="D4715" s="248"/>
    </row>
    <row r="4716" spans="1:4">
      <c r="A4716" s="246"/>
      <c r="B4716" s="246"/>
      <c r="C4716" s="246"/>
      <c r="D4716" s="247"/>
    </row>
    <row r="4717" spans="1:4">
      <c r="A4717" s="248"/>
      <c r="B4717" s="249"/>
      <c r="C4717" s="248"/>
      <c r="D4717" s="248"/>
    </row>
    <row r="4718" spans="1:4">
      <c r="A4718" s="248"/>
      <c r="B4718" s="249"/>
      <c r="C4718" s="248"/>
      <c r="D4718" s="248"/>
    </row>
    <row r="4719" spans="1:4">
      <c r="A4719" s="248"/>
      <c r="B4719" s="249"/>
      <c r="C4719" s="248"/>
      <c r="D4719" s="248"/>
    </row>
    <row r="4720" spans="1:4">
      <c r="A4720" s="248"/>
      <c r="B4720" s="249"/>
      <c r="C4720" s="248"/>
      <c r="D4720" s="248"/>
    </row>
    <row r="4721" spans="1:4">
      <c r="A4721" s="248"/>
      <c r="B4721" s="249"/>
      <c r="C4721" s="248"/>
      <c r="D4721" s="248"/>
    </row>
    <row r="4722" spans="1:4">
      <c r="A4722" s="248"/>
      <c r="B4722" s="249"/>
      <c r="C4722" s="248"/>
      <c r="D4722" s="248"/>
    </row>
    <row r="4723" spans="1:4">
      <c r="A4723" s="248"/>
      <c r="B4723" s="249"/>
      <c r="C4723" s="248"/>
      <c r="D4723" s="248"/>
    </row>
    <row r="4724" spans="1:4">
      <c r="A4724" s="248"/>
      <c r="B4724" s="249"/>
      <c r="C4724" s="248"/>
      <c r="D4724" s="248"/>
    </row>
    <row r="4725" spans="1:4">
      <c r="A4725" s="248"/>
      <c r="B4725" s="249"/>
      <c r="C4725" s="248"/>
      <c r="D4725" s="248"/>
    </row>
    <row r="4726" spans="1:4">
      <c r="A4726" s="248"/>
      <c r="B4726" s="249"/>
      <c r="C4726" s="248"/>
      <c r="D4726" s="248"/>
    </row>
    <row r="4727" spans="1:4">
      <c r="A4727" s="246"/>
      <c r="B4727" s="246"/>
      <c r="C4727" s="246"/>
      <c r="D4727" s="247"/>
    </row>
    <row r="4728" spans="1:4">
      <c r="A4728" s="248"/>
      <c r="B4728" s="249"/>
      <c r="C4728" s="248"/>
      <c r="D4728" s="248"/>
    </row>
    <row r="4729" spans="1:4">
      <c r="A4729" s="248"/>
      <c r="B4729" s="249"/>
      <c r="C4729" s="248"/>
      <c r="D4729" s="248"/>
    </row>
    <row r="4730" spans="1:4">
      <c r="A4730" s="248"/>
      <c r="B4730" s="249"/>
      <c r="C4730" s="248"/>
      <c r="D4730" s="248"/>
    </row>
    <row r="4731" spans="1:4">
      <c r="A4731" s="248"/>
      <c r="B4731" s="249"/>
      <c r="C4731" s="248"/>
      <c r="D4731" s="248"/>
    </row>
    <row r="4732" spans="1:4">
      <c r="A4732" s="248"/>
      <c r="B4732" s="249"/>
      <c r="C4732" s="248"/>
      <c r="D4732" s="248"/>
    </row>
    <row r="4733" spans="1:4">
      <c r="A4733" s="248"/>
      <c r="B4733" s="249"/>
      <c r="C4733" s="248"/>
      <c r="D4733" s="248"/>
    </row>
    <row r="4734" spans="1:4">
      <c r="A4734" s="248"/>
      <c r="B4734" s="249"/>
      <c r="C4734" s="248"/>
      <c r="D4734" s="248"/>
    </row>
    <row r="4735" spans="1:4">
      <c r="A4735" s="248"/>
      <c r="B4735" s="249"/>
      <c r="C4735" s="248"/>
      <c r="D4735" s="248"/>
    </row>
    <row r="4736" spans="1:4">
      <c r="A4736" s="248"/>
      <c r="B4736" s="249"/>
      <c r="C4736" s="248"/>
      <c r="D4736" s="248"/>
    </row>
    <row r="4737" spans="1:4">
      <c r="A4737" s="248"/>
      <c r="B4737" s="249"/>
      <c r="C4737" s="248"/>
      <c r="D4737" s="248"/>
    </row>
    <row r="4738" spans="1:4">
      <c r="A4738" s="248"/>
      <c r="B4738" s="249"/>
      <c r="C4738" s="248"/>
      <c r="D4738" s="248"/>
    </row>
    <row r="4739" spans="1:4">
      <c r="A4739" s="248"/>
      <c r="B4739" s="249"/>
      <c r="C4739" s="248"/>
      <c r="D4739" s="248"/>
    </row>
    <row r="4740" spans="1:4">
      <c r="A4740" s="248"/>
      <c r="B4740" s="249"/>
      <c r="C4740" s="248"/>
      <c r="D4740" s="248"/>
    </row>
    <row r="4741" spans="1:4">
      <c r="A4741" s="248"/>
      <c r="B4741" s="249"/>
      <c r="C4741" s="248"/>
      <c r="D4741" s="248"/>
    </row>
    <row r="4742" spans="1:4">
      <c r="A4742" s="248"/>
      <c r="B4742" s="249"/>
      <c r="C4742" s="248"/>
      <c r="D4742" s="248"/>
    </row>
    <row r="4743" spans="1:4">
      <c r="A4743" s="246"/>
      <c r="B4743" s="246"/>
      <c r="C4743" s="246"/>
      <c r="D4743" s="247"/>
    </row>
    <row r="4744" spans="1:4">
      <c r="A4744" s="248"/>
      <c r="B4744" s="249"/>
      <c r="C4744" s="248"/>
      <c r="D4744" s="248"/>
    </row>
    <row r="4745" spans="1:4">
      <c r="A4745" s="248"/>
      <c r="B4745" s="249"/>
      <c r="C4745" s="248"/>
      <c r="D4745" s="248"/>
    </row>
    <row r="4746" spans="1:4">
      <c r="A4746" s="248"/>
      <c r="B4746" s="249"/>
      <c r="C4746" s="248"/>
      <c r="D4746" s="248"/>
    </row>
    <row r="4747" spans="1:4">
      <c r="A4747" s="248"/>
      <c r="B4747" s="249"/>
      <c r="C4747" s="248"/>
      <c r="D4747" s="248"/>
    </row>
    <row r="4748" spans="1:4">
      <c r="A4748" s="248"/>
      <c r="B4748" s="249"/>
      <c r="C4748" s="248"/>
      <c r="D4748" s="248"/>
    </row>
    <row r="4749" spans="1:4">
      <c r="A4749" s="246"/>
      <c r="B4749" s="246"/>
      <c r="C4749" s="246"/>
      <c r="D4749" s="247"/>
    </row>
    <row r="4750" spans="1:4">
      <c r="A4750" s="248"/>
      <c r="B4750" s="249"/>
      <c r="C4750" s="248"/>
      <c r="D4750" s="248"/>
    </row>
    <row r="4751" spans="1:4">
      <c r="A4751" s="248"/>
      <c r="B4751" s="249"/>
      <c r="C4751" s="248"/>
      <c r="D4751" s="248"/>
    </row>
    <row r="4752" spans="1:4">
      <c r="A4752" s="248"/>
      <c r="B4752" s="249"/>
      <c r="C4752" s="248"/>
      <c r="D4752" s="248"/>
    </row>
    <row r="4753" spans="1:4">
      <c r="A4753" s="246"/>
      <c r="B4753" s="246"/>
      <c r="C4753" s="246"/>
      <c r="D4753" s="247"/>
    </row>
    <row r="4754" spans="1:4">
      <c r="A4754" s="248"/>
      <c r="B4754" s="249"/>
      <c r="C4754" s="248"/>
      <c r="D4754" s="248"/>
    </row>
    <row r="4755" spans="1:4">
      <c r="A4755" s="248"/>
      <c r="B4755" s="249"/>
      <c r="C4755" s="248"/>
      <c r="D4755" s="248"/>
    </row>
    <row r="4756" spans="1:4">
      <c r="A4756" s="248"/>
      <c r="B4756" s="249"/>
      <c r="C4756" s="248"/>
      <c r="D4756" s="248"/>
    </row>
    <row r="4757" spans="1:4">
      <c r="A4757" s="248"/>
      <c r="B4757" s="249"/>
      <c r="C4757" s="248"/>
      <c r="D4757" s="248"/>
    </row>
    <row r="4758" spans="1:4">
      <c r="A4758" s="246"/>
      <c r="B4758" s="246"/>
      <c r="C4758" s="246"/>
      <c r="D4758" s="247"/>
    </row>
    <row r="4759" spans="1:4">
      <c r="A4759" s="248"/>
      <c r="B4759" s="249"/>
      <c r="C4759" s="248"/>
      <c r="D4759" s="248"/>
    </row>
    <row r="4760" spans="1:4">
      <c r="A4760" s="246"/>
      <c r="B4760" s="246"/>
      <c r="C4760" s="246"/>
      <c r="D4760" s="247"/>
    </row>
    <row r="4761" spans="1:4">
      <c r="A4761" s="248"/>
      <c r="B4761" s="249"/>
      <c r="C4761" s="248"/>
      <c r="D4761" s="248"/>
    </row>
    <row r="4762" spans="1:4">
      <c r="A4762" s="248"/>
      <c r="B4762" s="249"/>
      <c r="C4762" s="248"/>
      <c r="D4762" s="248"/>
    </row>
    <row r="4763" spans="1:4">
      <c r="A4763" s="248"/>
      <c r="B4763" s="249"/>
      <c r="C4763" s="248"/>
      <c r="D4763" s="248"/>
    </row>
    <row r="4764" spans="1:4">
      <c r="A4764" s="248"/>
      <c r="B4764" s="249"/>
      <c r="C4764" s="248"/>
      <c r="D4764" s="248"/>
    </row>
    <row r="4765" spans="1:4">
      <c r="A4765" s="248"/>
      <c r="B4765" s="249"/>
      <c r="C4765" s="248"/>
      <c r="D4765" s="248"/>
    </row>
    <row r="4766" spans="1:4">
      <c r="A4766" s="248"/>
      <c r="B4766" s="249"/>
      <c r="C4766" s="248"/>
      <c r="D4766" s="248"/>
    </row>
    <row r="4767" spans="1:4">
      <c r="A4767" s="248"/>
      <c r="B4767" s="249"/>
      <c r="C4767" s="248"/>
      <c r="D4767" s="248"/>
    </row>
    <row r="4768" spans="1:4">
      <c r="A4768" s="246"/>
      <c r="B4768" s="246"/>
      <c r="C4768" s="246"/>
      <c r="D4768" s="247"/>
    </row>
    <row r="4769" spans="1:4">
      <c r="A4769" s="248"/>
      <c r="B4769" s="249"/>
      <c r="C4769" s="248"/>
      <c r="D4769" s="248"/>
    </row>
    <row r="4770" spans="1:4">
      <c r="A4770" s="246"/>
      <c r="B4770" s="246"/>
      <c r="C4770" s="246"/>
      <c r="D4770" s="247"/>
    </row>
    <row r="4771" spans="1:4">
      <c r="A4771" s="248"/>
      <c r="B4771" s="249"/>
      <c r="C4771" s="248"/>
      <c r="D4771" s="248"/>
    </row>
    <row r="4772" spans="1:4">
      <c r="A4772" s="248"/>
      <c r="B4772" s="249"/>
      <c r="C4772" s="248"/>
      <c r="D4772" s="248"/>
    </row>
    <row r="4773" spans="1:4">
      <c r="A4773" s="246"/>
      <c r="B4773" s="246"/>
      <c r="C4773" s="246"/>
      <c r="D4773" s="247"/>
    </row>
    <row r="4774" spans="1:4">
      <c r="A4774" s="248"/>
      <c r="B4774" s="249"/>
      <c r="C4774" s="248"/>
      <c r="D4774" s="248"/>
    </row>
    <row r="4775" spans="1:4">
      <c r="A4775" s="248"/>
      <c r="B4775" s="249"/>
      <c r="C4775" s="248"/>
      <c r="D4775" s="248"/>
    </row>
    <row r="4776" spans="1:4">
      <c r="A4776" s="246"/>
      <c r="B4776" s="246"/>
      <c r="C4776" s="246"/>
      <c r="D4776" s="247"/>
    </row>
    <row r="4777" spans="1:4">
      <c r="A4777" s="248"/>
      <c r="B4777" s="249"/>
      <c r="C4777" s="248"/>
      <c r="D4777" s="248"/>
    </row>
    <row r="4778" spans="1:4">
      <c r="A4778" s="246"/>
      <c r="B4778" s="246"/>
      <c r="C4778" s="246"/>
      <c r="D4778" s="247"/>
    </row>
    <row r="4779" spans="1:4">
      <c r="A4779" s="248"/>
      <c r="B4779" s="249"/>
      <c r="C4779" s="248"/>
      <c r="D4779" s="248"/>
    </row>
    <row r="4780" spans="1:4">
      <c r="A4780" s="246"/>
      <c r="B4780" s="246"/>
      <c r="C4780" s="246"/>
      <c r="D4780" s="247"/>
    </row>
    <row r="4781" spans="1:4">
      <c r="A4781" s="248"/>
      <c r="B4781" s="249"/>
      <c r="C4781" s="248"/>
      <c r="D4781" s="248"/>
    </row>
    <row r="4782" spans="1:4">
      <c r="A4782" s="248"/>
      <c r="B4782" s="249"/>
      <c r="C4782" s="248"/>
      <c r="D4782" s="248"/>
    </row>
    <row r="4783" spans="1:4">
      <c r="A4783" s="248"/>
      <c r="B4783" s="249"/>
      <c r="C4783" s="248"/>
      <c r="D4783" s="248"/>
    </row>
    <row r="4784" spans="1:4">
      <c r="A4784" s="248"/>
      <c r="B4784" s="249"/>
      <c r="C4784" s="248"/>
      <c r="D4784" s="248"/>
    </row>
    <row r="4785" spans="1:4">
      <c r="A4785" s="248"/>
      <c r="B4785" s="249"/>
      <c r="C4785" s="248"/>
      <c r="D4785" s="248"/>
    </row>
    <row r="4786" spans="1:4">
      <c r="A4786" s="248"/>
      <c r="B4786" s="249"/>
      <c r="C4786" s="248"/>
      <c r="D4786" s="248"/>
    </row>
    <row r="4787" spans="1:4">
      <c r="A4787" s="246"/>
      <c r="B4787" s="246"/>
      <c r="C4787" s="246"/>
      <c r="D4787" s="247"/>
    </row>
    <row r="4788" spans="1:4">
      <c r="A4788" s="248"/>
      <c r="B4788" s="249"/>
      <c r="C4788" s="248"/>
      <c r="D4788" s="248"/>
    </row>
    <row r="4789" spans="1:4">
      <c r="A4789" s="248"/>
      <c r="B4789" s="249"/>
      <c r="C4789" s="248"/>
      <c r="D4789" s="248"/>
    </row>
    <row r="4790" spans="1:4">
      <c r="A4790" s="248"/>
      <c r="B4790" s="249"/>
      <c r="C4790" s="248"/>
      <c r="D4790" s="248"/>
    </row>
    <row r="4791" spans="1:4">
      <c r="A4791" s="248"/>
      <c r="B4791" s="249"/>
      <c r="C4791" s="248"/>
      <c r="D4791" s="248"/>
    </row>
    <row r="4792" spans="1:4">
      <c r="A4792" s="251"/>
      <c r="B4792" s="251"/>
      <c r="C4792" s="251"/>
      <c r="D4792" s="252"/>
    </row>
    <row r="4793" spans="1:4">
      <c r="A4793" s="246"/>
      <c r="B4793" s="246"/>
      <c r="C4793" s="246"/>
      <c r="D4793" s="247"/>
    </row>
    <row r="4794" spans="1:4">
      <c r="A4794" s="248"/>
      <c r="B4794" s="249"/>
      <c r="C4794" s="248"/>
      <c r="D4794" s="248"/>
    </row>
    <row r="4795" spans="1:4">
      <c r="A4795" s="248"/>
      <c r="B4795" s="249"/>
      <c r="C4795" s="248"/>
      <c r="D4795" s="248"/>
    </row>
    <row r="4796" spans="1:4">
      <c r="A4796" s="248"/>
      <c r="B4796" s="249"/>
      <c r="C4796" s="248"/>
      <c r="D4796" s="248"/>
    </row>
    <row r="4797" spans="1:4">
      <c r="A4797" s="251"/>
      <c r="B4797" s="251"/>
      <c r="C4797" s="251"/>
      <c r="D4797" s="252"/>
    </row>
    <row r="4798" spans="1:4">
      <c r="A4798" s="246"/>
      <c r="B4798" s="246"/>
      <c r="C4798" s="246"/>
      <c r="D4798" s="247"/>
    </row>
    <row r="4799" spans="1:4">
      <c r="A4799" s="248"/>
      <c r="B4799" s="249"/>
      <c r="C4799" s="248"/>
      <c r="D4799" s="248"/>
    </row>
    <row r="4800" spans="1:4">
      <c r="A4800" s="246"/>
      <c r="B4800" s="246"/>
      <c r="C4800" s="246"/>
      <c r="D4800" s="247"/>
    </row>
    <row r="4801" spans="1:4">
      <c r="A4801" s="248"/>
      <c r="B4801" s="249"/>
      <c r="C4801" s="248"/>
      <c r="D4801" s="248"/>
    </row>
    <row r="4802" spans="1:4">
      <c r="A4802" s="248"/>
      <c r="B4802" s="249"/>
      <c r="C4802" s="248"/>
      <c r="D4802" s="248"/>
    </row>
    <row r="4803" spans="1:4">
      <c r="A4803" s="248"/>
      <c r="B4803" s="249"/>
      <c r="C4803" s="248"/>
      <c r="D4803" s="248"/>
    </row>
    <row r="4804" spans="1:4">
      <c r="A4804" s="248"/>
      <c r="B4804" s="249"/>
      <c r="C4804" s="248"/>
      <c r="D4804" s="248"/>
    </row>
    <row r="4805" spans="1:4">
      <c r="A4805" s="248"/>
      <c r="B4805" s="249"/>
      <c r="C4805" s="248"/>
      <c r="D4805" s="248"/>
    </row>
    <row r="4806" spans="1:4">
      <c r="A4806" s="248"/>
      <c r="B4806" s="249"/>
      <c r="C4806" s="248"/>
      <c r="D4806" s="248"/>
    </row>
    <row r="4807" spans="1:4">
      <c r="A4807" s="248"/>
      <c r="B4807" s="249"/>
      <c r="C4807" s="248"/>
      <c r="D4807" s="248"/>
    </row>
    <row r="4808" spans="1:4">
      <c r="A4808" s="248"/>
      <c r="B4808" s="249"/>
      <c r="C4808" s="248"/>
      <c r="D4808" s="248"/>
    </row>
    <row r="4809" spans="1:4">
      <c r="A4809" s="251"/>
      <c r="B4809" s="251"/>
      <c r="C4809" s="251"/>
      <c r="D4809" s="252"/>
    </row>
    <row r="4810" spans="1:4">
      <c r="A4810" s="246"/>
      <c r="B4810" s="246"/>
      <c r="C4810" s="246"/>
      <c r="D4810" s="247"/>
    </row>
    <row r="4811" spans="1:4">
      <c r="A4811" s="248"/>
      <c r="B4811" s="249"/>
      <c r="C4811" s="248"/>
      <c r="D4811" s="248"/>
    </row>
    <row r="4812" spans="1:4">
      <c r="A4812" s="248"/>
      <c r="B4812" s="249"/>
      <c r="C4812" s="248"/>
      <c r="D4812" s="248"/>
    </row>
    <row r="4813" spans="1:4">
      <c r="A4813" s="248"/>
      <c r="B4813" s="249"/>
      <c r="C4813" s="248"/>
      <c r="D4813" s="248"/>
    </row>
    <row r="4814" spans="1:4">
      <c r="A4814" s="248"/>
      <c r="B4814" s="249"/>
      <c r="C4814" s="248"/>
      <c r="D4814" s="248"/>
    </row>
    <row r="4815" spans="1:4">
      <c r="A4815" s="248"/>
      <c r="B4815" s="249"/>
      <c r="C4815" s="248"/>
      <c r="D4815" s="248"/>
    </row>
    <row r="4816" spans="1:4">
      <c r="A4816" s="248"/>
      <c r="B4816" s="249"/>
      <c r="C4816" s="248"/>
      <c r="D4816" s="248"/>
    </row>
    <row r="4817" spans="1:4">
      <c r="A4817" s="248"/>
      <c r="B4817" s="249"/>
      <c r="C4817" s="248"/>
      <c r="D4817" s="248"/>
    </row>
    <row r="4818" spans="1:4">
      <c r="A4818" s="248"/>
      <c r="B4818" s="249"/>
      <c r="C4818" s="248"/>
      <c r="D4818" s="248"/>
    </row>
    <row r="4819" spans="1:4">
      <c r="A4819" s="246"/>
      <c r="B4819" s="246"/>
      <c r="C4819" s="246"/>
      <c r="D4819" s="247"/>
    </row>
    <row r="4820" spans="1:4">
      <c r="A4820" s="251"/>
      <c r="B4820" s="251"/>
      <c r="C4820" s="251"/>
      <c r="D4820" s="252"/>
    </row>
    <row r="4821" spans="1:4">
      <c r="A4821" s="251"/>
      <c r="B4821" s="251"/>
      <c r="C4821" s="251"/>
      <c r="D4821" s="252"/>
    </row>
    <row r="4822" spans="1:4">
      <c r="A4822" s="246"/>
      <c r="B4822" s="246"/>
      <c r="C4822" s="246"/>
      <c r="D4822" s="247"/>
    </row>
    <row r="4823" spans="1:4">
      <c r="A4823" s="248"/>
      <c r="B4823" s="249"/>
      <c r="C4823" s="248"/>
      <c r="D4823" s="248"/>
    </row>
    <row r="4824" spans="1:4">
      <c r="A4824" s="248"/>
      <c r="B4824" s="249"/>
      <c r="C4824" s="248"/>
      <c r="D4824" s="248"/>
    </row>
    <row r="4825" spans="1:4">
      <c r="A4825" s="248"/>
      <c r="B4825" s="249"/>
      <c r="C4825" s="248"/>
      <c r="D4825" s="248"/>
    </row>
    <row r="4826" spans="1:4">
      <c r="A4826" s="248"/>
      <c r="B4826" s="249"/>
      <c r="C4826" s="248"/>
      <c r="D4826" s="248"/>
    </row>
    <row r="4827" spans="1:4">
      <c r="A4827" s="248"/>
      <c r="B4827" s="249"/>
      <c r="C4827" s="248"/>
      <c r="D4827" s="248"/>
    </row>
    <row r="4828" spans="1:4">
      <c r="A4828" s="248"/>
      <c r="B4828" s="249"/>
      <c r="C4828" s="248"/>
      <c r="D4828" s="248"/>
    </row>
    <row r="4829" spans="1:4">
      <c r="A4829" s="248"/>
      <c r="B4829" s="249"/>
      <c r="C4829" s="248"/>
      <c r="D4829" s="248"/>
    </row>
    <row r="4830" spans="1:4">
      <c r="A4830" s="248"/>
      <c r="B4830" s="249"/>
      <c r="C4830" s="248"/>
      <c r="D4830" s="248"/>
    </row>
    <row r="4831" spans="1:4">
      <c r="A4831" s="248"/>
      <c r="B4831" s="249"/>
      <c r="C4831" s="248"/>
      <c r="D4831" s="248"/>
    </row>
    <row r="4832" spans="1:4">
      <c r="A4832" s="248"/>
      <c r="B4832" s="249"/>
      <c r="C4832" s="248"/>
      <c r="D4832" s="248"/>
    </row>
    <row r="4833" spans="1:4">
      <c r="A4833" s="248"/>
      <c r="B4833" s="249"/>
      <c r="C4833" s="248"/>
      <c r="D4833" s="248"/>
    </row>
    <row r="4834" spans="1:4">
      <c r="A4834" s="248"/>
      <c r="B4834" s="249"/>
      <c r="C4834" s="248"/>
      <c r="D4834" s="248"/>
    </row>
    <row r="4835" spans="1:4">
      <c r="A4835" s="248"/>
      <c r="B4835" s="249"/>
      <c r="C4835" s="248"/>
      <c r="D4835" s="248"/>
    </row>
    <row r="4836" spans="1:4">
      <c r="A4836" s="248"/>
      <c r="B4836" s="249"/>
      <c r="C4836" s="248"/>
      <c r="D4836" s="248"/>
    </row>
    <row r="4837" spans="1:4">
      <c r="A4837" s="248"/>
      <c r="B4837" s="249"/>
      <c r="C4837" s="248"/>
      <c r="D4837" s="248"/>
    </row>
    <row r="4838" spans="1:4">
      <c r="A4838" s="248"/>
      <c r="B4838" s="249"/>
      <c r="C4838" s="248"/>
      <c r="D4838" s="248"/>
    </row>
    <row r="4839" spans="1:4">
      <c r="A4839" s="248"/>
      <c r="B4839" s="249"/>
      <c r="C4839" s="248"/>
      <c r="D4839" s="248"/>
    </row>
    <row r="4840" spans="1:4">
      <c r="A4840" s="248"/>
      <c r="B4840" s="249"/>
      <c r="C4840" s="248"/>
      <c r="D4840" s="248"/>
    </row>
    <row r="4841" spans="1:4">
      <c r="A4841" s="248"/>
      <c r="B4841" s="249"/>
      <c r="C4841" s="248"/>
      <c r="D4841" s="248"/>
    </row>
    <row r="4842" spans="1:4">
      <c r="A4842" s="248"/>
      <c r="B4842" s="249"/>
      <c r="C4842" s="248"/>
      <c r="D4842" s="248"/>
    </row>
    <row r="4843" spans="1:4">
      <c r="A4843" s="248"/>
      <c r="B4843" s="249"/>
      <c r="C4843" s="248"/>
      <c r="D4843" s="248"/>
    </row>
    <row r="4844" spans="1:4">
      <c r="A4844" s="248"/>
      <c r="B4844" s="249"/>
      <c r="C4844" s="248"/>
      <c r="D4844" s="248"/>
    </row>
    <row r="4845" spans="1:4">
      <c r="A4845" s="248"/>
      <c r="B4845" s="249"/>
      <c r="C4845" s="248"/>
      <c r="D4845" s="248"/>
    </row>
    <row r="4846" spans="1:4">
      <c r="A4846" s="248"/>
      <c r="B4846" s="249"/>
      <c r="C4846" s="248"/>
      <c r="D4846" s="248"/>
    </row>
    <row r="4847" spans="1:4">
      <c r="A4847" s="248"/>
      <c r="B4847" s="249"/>
      <c r="C4847" s="248"/>
      <c r="D4847" s="248"/>
    </row>
    <row r="4848" spans="1:4">
      <c r="A4848" s="248"/>
      <c r="B4848" s="249"/>
      <c r="C4848" s="248"/>
      <c r="D4848" s="248"/>
    </row>
    <row r="4849" spans="1:4">
      <c r="A4849" s="248"/>
      <c r="B4849" s="249"/>
      <c r="C4849" s="248"/>
      <c r="D4849" s="248"/>
    </row>
    <row r="4850" spans="1:4">
      <c r="A4850" s="248"/>
      <c r="B4850" s="249"/>
      <c r="C4850" s="248"/>
      <c r="D4850" s="248"/>
    </row>
    <row r="4851" spans="1:4">
      <c r="A4851" s="248"/>
      <c r="B4851" s="249"/>
      <c r="C4851" s="248"/>
      <c r="D4851" s="248"/>
    </row>
    <row r="4852" spans="1:4">
      <c r="A4852" s="248"/>
      <c r="B4852" s="249"/>
      <c r="C4852" s="248"/>
      <c r="D4852" s="248"/>
    </row>
    <row r="4853" spans="1:4">
      <c r="A4853" s="248"/>
      <c r="B4853" s="249"/>
      <c r="C4853" s="248"/>
      <c r="D4853" s="248"/>
    </row>
    <row r="4854" spans="1:4">
      <c r="A4854" s="248"/>
      <c r="B4854" s="249"/>
      <c r="C4854" s="248"/>
      <c r="D4854" s="248"/>
    </row>
    <row r="4855" spans="1:4">
      <c r="A4855" s="248"/>
      <c r="B4855" s="249"/>
      <c r="C4855" s="248"/>
      <c r="D4855" s="248"/>
    </row>
    <row r="4856" spans="1:4">
      <c r="A4856" s="248"/>
      <c r="B4856" s="249"/>
      <c r="C4856" s="248"/>
      <c r="D4856" s="248"/>
    </row>
    <row r="4857" spans="1:4">
      <c r="A4857" s="248"/>
      <c r="B4857" s="249"/>
      <c r="C4857" s="248"/>
      <c r="D4857" s="248"/>
    </row>
    <row r="4858" spans="1:4">
      <c r="A4858" s="248"/>
      <c r="B4858" s="249"/>
      <c r="C4858" s="248"/>
      <c r="D4858" s="248"/>
    </row>
    <row r="4859" spans="1:4">
      <c r="A4859" s="248"/>
      <c r="B4859" s="249"/>
      <c r="C4859" s="248"/>
      <c r="D4859" s="248"/>
    </row>
    <row r="4860" spans="1:4">
      <c r="A4860" s="248"/>
      <c r="B4860" s="249"/>
      <c r="C4860" s="248"/>
      <c r="D4860" s="248"/>
    </row>
    <row r="4861" spans="1:4">
      <c r="A4861" s="248"/>
      <c r="B4861" s="249"/>
      <c r="C4861" s="248"/>
      <c r="D4861" s="248"/>
    </row>
    <row r="4862" spans="1:4">
      <c r="A4862" s="248"/>
      <c r="B4862" s="249"/>
      <c r="C4862" s="248"/>
      <c r="D4862" s="248"/>
    </row>
    <row r="4863" spans="1:4">
      <c r="A4863" s="248"/>
      <c r="B4863" s="249"/>
      <c r="C4863" s="248"/>
      <c r="D4863" s="248"/>
    </row>
    <row r="4864" spans="1:4">
      <c r="A4864" s="248"/>
      <c r="B4864" s="249"/>
      <c r="C4864" s="248"/>
      <c r="D4864" s="248"/>
    </row>
    <row r="4865" spans="1:4">
      <c r="A4865" s="248"/>
      <c r="B4865" s="249"/>
      <c r="C4865" s="248"/>
      <c r="D4865" s="248"/>
    </row>
    <row r="4866" spans="1:4">
      <c r="A4866" s="248"/>
      <c r="B4866" s="249"/>
      <c r="C4866" s="248"/>
      <c r="D4866" s="248"/>
    </row>
    <row r="4867" spans="1:4">
      <c r="A4867" s="248"/>
      <c r="B4867" s="249"/>
      <c r="C4867" s="248"/>
      <c r="D4867" s="248"/>
    </row>
    <row r="4868" spans="1:4">
      <c r="A4868" s="248"/>
      <c r="B4868" s="249"/>
      <c r="C4868" s="248"/>
      <c r="D4868" s="248"/>
    </row>
    <row r="4869" spans="1:4">
      <c r="A4869" s="248"/>
      <c r="B4869" s="249"/>
      <c r="C4869" s="248"/>
      <c r="D4869" s="248"/>
    </row>
    <row r="4870" spans="1:4">
      <c r="A4870" s="248"/>
      <c r="B4870" s="249"/>
      <c r="C4870" s="248"/>
      <c r="D4870" s="248"/>
    </row>
    <row r="4871" spans="1:4">
      <c r="A4871" s="248"/>
      <c r="B4871" s="249"/>
      <c r="C4871" s="248"/>
      <c r="D4871" s="248"/>
    </row>
    <row r="4872" spans="1:4">
      <c r="A4872" s="248"/>
      <c r="B4872" s="249"/>
      <c r="C4872" s="248"/>
      <c r="D4872" s="248"/>
    </row>
    <row r="4873" spans="1:4">
      <c r="A4873" s="248"/>
      <c r="B4873" s="249"/>
      <c r="C4873" s="248"/>
      <c r="D4873" s="248"/>
    </row>
    <row r="4874" spans="1:4">
      <c r="A4874" s="248"/>
      <c r="B4874" s="249"/>
      <c r="C4874" s="248"/>
      <c r="D4874" s="248"/>
    </row>
    <row r="4875" spans="1:4">
      <c r="A4875" s="248"/>
      <c r="B4875" s="249"/>
      <c r="C4875" s="248"/>
      <c r="D4875" s="248"/>
    </row>
    <row r="4876" spans="1:4">
      <c r="A4876" s="248"/>
      <c r="B4876" s="249"/>
      <c r="C4876" s="248"/>
      <c r="D4876" s="248"/>
    </row>
    <row r="4877" spans="1:4">
      <c r="A4877" s="248"/>
      <c r="B4877" s="249"/>
      <c r="C4877" s="248"/>
      <c r="D4877" s="248"/>
    </row>
    <row r="4878" spans="1:4">
      <c r="A4878" s="248"/>
      <c r="B4878" s="249"/>
      <c r="C4878" s="248"/>
      <c r="D4878" s="248"/>
    </row>
    <row r="4879" spans="1:4">
      <c r="A4879" s="248"/>
      <c r="B4879" s="249"/>
      <c r="C4879" s="248"/>
      <c r="D4879" s="248"/>
    </row>
    <row r="4880" spans="1:4">
      <c r="A4880" s="248"/>
      <c r="B4880" s="249"/>
      <c r="C4880" s="248"/>
      <c r="D4880" s="248"/>
    </row>
    <row r="4881" spans="1:4">
      <c r="A4881" s="248"/>
      <c r="B4881" s="249"/>
      <c r="C4881" s="248"/>
      <c r="D4881" s="248"/>
    </row>
    <row r="4882" spans="1:4">
      <c r="A4882" s="248"/>
      <c r="B4882" s="249"/>
      <c r="C4882" s="248"/>
      <c r="D4882" s="248"/>
    </row>
    <row r="4883" spans="1:4">
      <c r="A4883" s="248"/>
      <c r="B4883" s="249"/>
      <c r="C4883" s="248"/>
      <c r="D4883" s="248"/>
    </row>
    <row r="4884" spans="1:4">
      <c r="A4884" s="248"/>
      <c r="B4884" s="249"/>
      <c r="C4884" s="248"/>
      <c r="D4884" s="248"/>
    </row>
    <row r="4885" spans="1:4">
      <c r="A4885" s="248"/>
      <c r="B4885" s="249"/>
      <c r="C4885" s="248"/>
      <c r="D4885" s="248"/>
    </row>
    <row r="4886" spans="1:4">
      <c r="A4886" s="248"/>
      <c r="B4886" s="249"/>
      <c r="C4886" s="248"/>
      <c r="D4886" s="248"/>
    </row>
    <row r="4887" spans="1:4">
      <c r="A4887" s="248"/>
      <c r="B4887" s="249"/>
      <c r="C4887" s="248"/>
      <c r="D4887" s="248"/>
    </row>
    <row r="4888" spans="1:4">
      <c r="A4888" s="248"/>
      <c r="B4888" s="249"/>
      <c r="C4888" s="248"/>
      <c r="D4888" s="248"/>
    </row>
    <row r="4889" spans="1:4">
      <c r="A4889" s="248"/>
      <c r="B4889" s="249"/>
      <c r="C4889" s="248"/>
      <c r="D4889" s="248"/>
    </row>
    <row r="4890" spans="1:4">
      <c r="A4890" s="248"/>
      <c r="B4890" s="249"/>
      <c r="C4890" s="248"/>
      <c r="D4890" s="248"/>
    </row>
    <row r="4891" spans="1:4">
      <c r="A4891" s="246"/>
      <c r="B4891" s="246"/>
      <c r="C4891" s="246"/>
      <c r="D4891" s="247"/>
    </row>
    <row r="4892" spans="1:4">
      <c r="A4892" s="248"/>
      <c r="B4892" s="249"/>
      <c r="C4892" s="248"/>
      <c r="D4892" s="248"/>
    </row>
    <row r="4893" spans="1:4">
      <c r="A4893" s="248"/>
      <c r="B4893" s="249"/>
      <c r="C4893" s="248"/>
      <c r="D4893" s="248"/>
    </row>
    <row r="4894" spans="1:4">
      <c r="A4894" s="248"/>
      <c r="B4894" s="249"/>
      <c r="C4894" s="248"/>
      <c r="D4894" s="248"/>
    </row>
    <row r="4895" spans="1:4">
      <c r="A4895" s="248"/>
      <c r="B4895" s="249"/>
      <c r="C4895" s="248"/>
      <c r="D4895" s="248"/>
    </row>
    <row r="4896" spans="1:4">
      <c r="A4896" s="248"/>
      <c r="B4896" s="249"/>
      <c r="C4896" s="248"/>
      <c r="D4896" s="248"/>
    </row>
    <row r="4897" spans="1:4">
      <c r="A4897" s="248"/>
      <c r="B4897" s="249"/>
      <c r="C4897" s="248"/>
      <c r="D4897" s="248"/>
    </row>
    <row r="4898" spans="1:4">
      <c r="A4898" s="248"/>
      <c r="B4898" s="249"/>
      <c r="C4898" s="248"/>
      <c r="D4898" s="248"/>
    </row>
    <row r="4899" spans="1:4">
      <c r="A4899" s="248"/>
      <c r="B4899" s="249"/>
      <c r="C4899" s="248"/>
      <c r="D4899" s="248"/>
    </row>
    <row r="4900" spans="1:4">
      <c r="A4900" s="248"/>
      <c r="B4900" s="249"/>
      <c r="C4900" s="248"/>
      <c r="D4900" s="248"/>
    </row>
    <row r="4901" spans="1:4">
      <c r="A4901" s="248"/>
      <c r="B4901" s="249"/>
      <c r="C4901" s="248"/>
      <c r="D4901" s="248"/>
    </row>
    <row r="4902" spans="1:4">
      <c r="A4902" s="248"/>
      <c r="B4902" s="249"/>
      <c r="C4902" s="248"/>
      <c r="D4902" s="248"/>
    </row>
    <row r="4903" spans="1:4">
      <c r="A4903" s="248"/>
      <c r="B4903" s="249"/>
      <c r="C4903" s="248"/>
      <c r="D4903" s="248"/>
    </row>
    <row r="4904" spans="1:4">
      <c r="A4904" s="248"/>
      <c r="B4904" s="249"/>
      <c r="C4904" s="248"/>
      <c r="D4904" s="248"/>
    </row>
    <row r="4905" spans="1:4">
      <c r="A4905" s="246"/>
      <c r="B4905" s="246"/>
      <c r="C4905" s="246"/>
      <c r="D4905" s="247"/>
    </row>
    <row r="4906" spans="1:4">
      <c r="A4906" s="248"/>
      <c r="B4906" s="249"/>
      <c r="C4906" s="248"/>
      <c r="D4906" s="248"/>
    </row>
    <row r="4907" spans="1:4">
      <c r="A4907" s="248"/>
      <c r="B4907" s="249"/>
      <c r="C4907" s="248"/>
      <c r="D4907" s="248"/>
    </row>
    <row r="4908" spans="1:4">
      <c r="A4908" s="248"/>
      <c r="B4908" s="249"/>
      <c r="C4908" s="248"/>
      <c r="D4908" s="248"/>
    </row>
    <row r="4909" spans="1:4">
      <c r="A4909" s="248"/>
      <c r="B4909" s="249"/>
      <c r="C4909" s="248"/>
      <c r="D4909" s="248"/>
    </row>
    <row r="4910" spans="1:4">
      <c r="A4910" s="246"/>
      <c r="B4910" s="246"/>
      <c r="C4910" s="246"/>
      <c r="D4910" s="247"/>
    </row>
    <row r="4911" spans="1:4">
      <c r="A4911" s="248"/>
      <c r="B4911" s="249"/>
      <c r="C4911" s="248"/>
      <c r="D4911" s="248"/>
    </row>
    <row r="4912" spans="1:4">
      <c r="A4912" s="248"/>
      <c r="B4912" s="249"/>
      <c r="C4912" s="248"/>
      <c r="D4912" s="248"/>
    </row>
    <row r="4913" spans="1:4">
      <c r="A4913" s="248"/>
      <c r="B4913" s="249"/>
      <c r="C4913" s="248"/>
      <c r="D4913" s="248"/>
    </row>
    <row r="4914" spans="1:4">
      <c r="A4914" s="248"/>
      <c r="B4914" s="249"/>
      <c r="C4914" s="248"/>
      <c r="D4914" s="248"/>
    </row>
    <row r="4915" spans="1:4">
      <c r="A4915" s="248"/>
      <c r="B4915" s="249"/>
      <c r="C4915" s="248"/>
      <c r="D4915" s="248"/>
    </row>
    <row r="4916" spans="1:4">
      <c r="A4916" s="248"/>
      <c r="B4916" s="249"/>
      <c r="C4916" s="248"/>
      <c r="D4916" s="248"/>
    </row>
    <row r="4917" spans="1:4">
      <c r="A4917" s="251"/>
      <c r="B4917" s="251"/>
      <c r="C4917" s="251"/>
      <c r="D4917" s="252"/>
    </row>
    <row r="4918" spans="1:4">
      <c r="A4918" s="246"/>
      <c r="B4918" s="246"/>
      <c r="C4918" s="246"/>
      <c r="D4918" s="247"/>
    </row>
    <row r="4919" spans="1:4">
      <c r="A4919" s="248"/>
      <c r="B4919" s="249"/>
      <c r="C4919" s="248"/>
      <c r="D4919" s="248"/>
    </row>
    <row r="4920" spans="1:4">
      <c r="A4920" s="248"/>
      <c r="B4920" s="249"/>
      <c r="C4920" s="248"/>
      <c r="D4920" s="248"/>
    </row>
    <row r="4921" spans="1:4">
      <c r="A4921" s="248"/>
      <c r="B4921" s="249"/>
      <c r="C4921" s="248"/>
      <c r="D4921" s="248"/>
    </row>
    <row r="4922" spans="1:4">
      <c r="A4922" s="248"/>
      <c r="B4922" s="249"/>
      <c r="C4922" s="248"/>
      <c r="D4922" s="248"/>
    </row>
    <row r="4923" spans="1:4">
      <c r="A4923" s="248"/>
      <c r="B4923" s="249"/>
      <c r="C4923" s="248"/>
      <c r="D4923" s="248"/>
    </row>
    <row r="4924" spans="1:4">
      <c r="A4924" s="248"/>
      <c r="B4924" s="249"/>
      <c r="C4924" s="248"/>
      <c r="D4924" s="248"/>
    </row>
    <row r="4925" spans="1:4">
      <c r="A4925" s="248"/>
      <c r="B4925" s="249"/>
      <c r="C4925" s="248"/>
      <c r="D4925" s="248"/>
    </row>
    <row r="4926" spans="1:4">
      <c r="A4926" s="248"/>
      <c r="B4926" s="249"/>
      <c r="C4926" s="248"/>
      <c r="D4926" s="248"/>
    </row>
    <row r="4927" spans="1:4">
      <c r="A4927" s="248"/>
      <c r="B4927" s="249"/>
      <c r="C4927" s="248"/>
      <c r="D4927" s="248"/>
    </row>
    <row r="4928" spans="1:4">
      <c r="A4928" s="248"/>
      <c r="B4928" s="249"/>
      <c r="C4928" s="248"/>
      <c r="D4928" s="248"/>
    </row>
    <row r="4929" spans="1:4">
      <c r="A4929" s="248"/>
      <c r="B4929" s="249"/>
      <c r="C4929" s="248"/>
      <c r="D4929" s="248"/>
    </row>
    <row r="4930" spans="1:4">
      <c r="A4930" s="248"/>
      <c r="B4930" s="249"/>
      <c r="C4930" s="248"/>
      <c r="D4930" s="248"/>
    </row>
    <row r="4931" spans="1:4">
      <c r="A4931" s="248"/>
      <c r="B4931" s="249"/>
      <c r="C4931" s="248"/>
      <c r="D4931" s="248"/>
    </row>
    <row r="4932" spans="1:4">
      <c r="A4932" s="248"/>
      <c r="B4932" s="249"/>
      <c r="C4932" s="248"/>
      <c r="D4932" s="248"/>
    </row>
    <row r="4933" spans="1:4">
      <c r="A4933" s="248"/>
      <c r="B4933" s="249"/>
      <c r="C4933" s="248"/>
      <c r="D4933" s="248"/>
    </row>
    <row r="4934" spans="1:4">
      <c r="A4934" s="248"/>
      <c r="B4934" s="249"/>
      <c r="C4934" s="248"/>
      <c r="D4934" s="248"/>
    </row>
    <row r="4935" spans="1:4">
      <c r="A4935" s="248"/>
      <c r="B4935" s="249"/>
      <c r="C4935" s="248"/>
      <c r="D4935" s="248"/>
    </row>
    <row r="4936" spans="1:4">
      <c r="A4936" s="248"/>
      <c r="B4936" s="249"/>
      <c r="C4936" s="248"/>
      <c r="D4936" s="248"/>
    </row>
    <row r="4937" spans="1:4">
      <c r="A4937" s="248"/>
      <c r="B4937" s="249"/>
      <c r="C4937" s="248"/>
      <c r="D4937" s="248"/>
    </row>
    <row r="4938" spans="1:4">
      <c r="A4938" s="248"/>
      <c r="B4938" s="249"/>
      <c r="C4938" s="248"/>
      <c r="D4938" s="248"/>
    </row>
    <row r="4939" spans="1:4">
      <c r="A4939" s="248"/>
      <c r="B4939" s="249"/>
      <c r="C4939" s="248"/>
      <c r="D4939" s="248"/>
    </row>
    <row r="4940" spans="1:4">
      <c r="A4940" s="248"/>
      <c r="B4940" s="249"/>
      <c r="C4940" s="248"/>
      <c r="D4940" s="248"/>
    </row>
    <row r="4941" spans="1:4">
      <c r="A4941" s="248"/>
      <c r="B4941" s="249"/>
      <c r="C4941" s="248"/>
      <c r="D4941" s="248"/>
    </row>
    <row r="4942" spans="1:4">
      <c r="A4942" s="248"/>
      <c r="B4942" s="249"/>
      <c r="C4942" s="248"/>
      <c r="D4942" s="248"/>
    </row>
    <row r="4943" spans="1:4">
      <c r="A4943" s="248"/>
      <c r="B4943" s="249"/>
      <c r="C4943" s="248"/>
      <c r="D4943" s="248"/>
    </row>
    <row r="4944" spans="1:4">
      <c r="A4944" s="248"/>
      <c r="B4944" s="249"/>
      <c r="C4944" s="248"/>
      <c r="D4944" s="248"/>
    </row>
    <row r="4945" spans="1:4">
      <c r="A4945" s="248"/>
      <c r="B4945" s="249"/>
      <c r="C4945" s="248"/>
      <c r="D4945" s="248"/>
    </row>
    <row r="4946" spans="1:4">
      <c r="A4946" s="246"/>
      <c r="B4946" s="246"/>
      <c r="C4946" s="246"/>
      <c r="D4946" s="247"/>
    </row>
    <row r="4947" spans="1:4">
      <c r="A4947" s="248"/>
      <c r="B4947" s="249"/>
      <c r="C4947" s="248"/>
      <c r="D4947" s="248"/>
    </row>
    <row r="4948" spans="1:4">
      <c r="A4948" s="248"/>
      <c r="B4948" s="249"/>
      <c r="C4948" s="248"/>
      <c r="D4948" s="248"/>
    </row>
    <row r="4949" spans="1:4">
      <c r="A4949" s="248"/>
      <c r="B4949" s="249"/>
      <c r="C4949" s="248"/>
      <c r="D4949" s="248"/>
    </row>
    <row r="4950" spans="1:4">
      <c r="A4950" s="248"/>
      <c r="B4950" s="249"/>
      <c r="C4950" s="248"/>
      <c r="D4950" s="248"/>
    </row>
    <row r="4951" spans="1:4">
      <c r="A4951" s="248"/>
      <c r="B4951" s="249"/>
      <c r="C4951" s="248"/>
      <c r="D4951" s="248"/>
    </row>
    <row r="4952" spans="1:4">
      <c r="A4952" s="248"/>
      <c r="B4952" s="249"/>
      <c r="C4952" s="248"/>
      <c r="D4952" s="248"/>
    </row>
    <row r="4953" spans="1:4">
      <c r="A4953" s="248"/>
      <c r="B4953" s="249"/>
      <c r="C4953" s="248"/>
      <c r="D4953" s="248"/>
    </row>
    <row r="4954" spans="1:4">
      <c r="A4954" s="248"/>
      <c r="B4954" s="249"/>
      <c r="C4954" s="248"/>
      <c r="D4954" s="248"/>
    </row>
    <row r="4955" spans="1:4">
      <c r="A4955" s="251"/>
      <c r="B4955" s="251"/>
      <c r="C4955" s="251"/>
      <c r="D4955" s="252"/>
    </row>
    <row r="4956" spans="1:4">
      <c r="A4956" s="246"/>
      <c r="B4956" s="246"/>
      <c r="C4956" s="246"/>
      <c r="D4956" s="247"/>
    </row>
    <row r="4957" spans="1:4">
      <c r="A4957" s="248"/>
      <c r="B4957" s="249"/>
      <c r="C4957" s="248"/>
      <c r="D4957" s="248"/>
    </row>
    <row r="4958" spans="1:4">
      <c r="A4958" s="248"/>
      <c r="B4958" s="249"/>
      <c r="C4958" s="248"/>
      <c r="D4958" s="248"/>
    </row>
    <row r="4959" spans="1:4">
      <c r="A4959" s="248"/>
      <c r="B4959" s="249"/>
      <c r="C4959" s="248"/>
      <c r="D4959" s="248"/>
    </row>
    <row r="4960" spans="1:4">
      <c r="A4960" s="248"/>
      <c r="B4960" s="249"/>
      <c r="C4960" s="248"/>
      <c r="D4960" s="248"/>
    </row>
    <row r="4961" spans="1:4">
      <c r="A4961" s="248"/>
      <c r="B4961" s="249"/>
      <c r="C4961" s="248"/>
      <c r="D4961" s="248"/>
    </row>
    <row r="4962" spans="1:4">
      <c r="A4962" s="248"/>
      <c r="B4962" s="249"/>
      <c r="C4962" s="248"/>
      <c r="D4962" s="248"/>
    </row>
    <row r="4963" spans="1:4">
      <c r="A4963" s="248"/>
      <c r="B4963" s="249"/>
      <c r="C4963" s="248"/>
      <c r="D4963" s="248"/>
    </row>
    <row r="4964" spans="1:4">
      <c r="A4964" s="248"/>
      <c r="B4964" s="249"/>
      <c r="C4964" s="248"/>
      <c r="D4964" s="248"/>
    </row>
    <row r="4965" spans="1:4">
      <c r="A4965" s="248"/>
      <c r="B4965" s="249"/>
      <c r="C4965" s="248"/>
      <c r="D4965" s="248"/>
    </row>
    <row r="4966" spans="1:4">
      <c r="A4966" s="248"/>
      <c r="B4966" s="249"/>
      <c r="C4966" s="248"/>
      <c r="D4966" s="248"/>
    </row>
    <row r="4967" spans="1:4">
      <c r="A4967" s="248"/>
      <c r="B4967" s="249"/>
      <c r="C4967" s="248"/>
      <c r="D4967" s="248"/>
    </row>
    <row r="4968" spans="1:4">
      <c r="A4968" s="248"/>
      <c r="B4968" s="249"/>
      <c r="C4968" s="248"/>
      <c r="D4968" s="248"/>
    </row>
    <row r="4969" spans="1:4">
      <c r="A4969" s="248"/>
      <c r="B4969" s="249"/>
      <c r="C4969" s="248"/>
      <c r="D4969" s="248"/>
    </row>
    <row r="4970" spans="1:4">
      <c r="A4970" s="248"/>
      <c r="B4970" s="249"/>
      <c r="C4970" s="248"/>
      <c r="D4970" s="248"/>
    </row>
    <row r="4971" spans="1:4">
      <c r="A4971" s="248"/>
      <c r="B4971" s="249"/>
      <c r="C4971" s="248"/>
      <c r="D4971" s="248"/>
    </row>
    <row r="4972" spans="1:4">
      <c r="A4972" s="246"/>
      <c r="B4972" s="246"/>
      <c r="C4972" s="246"/>
      <c r="D4972" s="247"/>
    </row>
    <row r="4973" spans="1:4">
      <c r="A4973" s="248"/>
      <c r="B4973" s="249"/>
      <c r="C4973" s="248"/>
      <c r="D4973" s="248"/>
    </row>
    <row r="4974" spans="1:4">
      <c r="A4974" s="246"/>
      <c r="B4974" s="246"/>
      <c r="C4974" s="246"/>
      <c r="D4974" s="247"/>
    </row>
    <row r="4975" spans="1:4">
      <c r="A4975" s="248"/>
      <c r="B4975" s="249"/>
      <c r="C4975" s="248"/>
      <c r="D4975" s="248"/>
    </row>
    <row r="4976" spans="1:4">
      <c r="A4976" s="251"/>
      <c r="B4976" s="251"/>
      <c r="C4976" s="251"/>
      <c r="D4976" s="252"/>
    </row>
    <row r="4977" spans="1:4">
      <c r="A4977" s="246"/>
      <c r="B4977" s="246"/>
      <c r="C4977" s="246"/>
      <c r="D4977" s="247"/>
    </row>
    <row r="4978" spans="1:4">
      <c r="A4978" s="248"/>
      <c r="B4978" s="249"/>
      <c r="C4978" s="248"/>
      <c r="D4978" s="248"/>
    </row>
    <row r="4979" spans="1:4">
      <c r="A4979" s="248"/>
      <c r="B4979" s="249"/>
      <c r="C4979" s="248"/>
      <c r="D4979" s="248"/>
    </row>
    <row r="4980" spans="1:4">
      <c r="A4980" s="248"/>
      <c r="B4980" s="249"/>
      <c r="C4980" s="248"/>
      <c r="D4980" s="248"/>
    </row>
    <row r="4981" spans="1:4">
      <c r="A4981" s="248"/>
      <c r="B4981" s="249"/>
      <c r="C4981" s="248"/>
      <c r="D4981" s="248"/>
    </row>
    <row r="4982" spans="1:4">
      <c r="A4982" s="248"/>
      <c r="B4982" s="249"/>
      <c r="C4982" s="248"/>
      <c r="D4982" s="248"/>
    </row>
    <row r="4983" spans="1:4">
      <c r="A4983" s="248"/>
      <c r="B4983" s="249"/>
      <c r="C4983" s="248"/>
      <c r="D4983" s="248"/>
    </row>
    <row r="4984" spans="1:4">
      <c r="A4984" s="248"/>
      <c r="B4984" s="249"/>
      <c r="C4984" s="248"/>
      <c r="D4984" s="248"/>
    </row>
    <row r="4985" spans="1:4">
      <c r="A4985" s="248"/>
      <c r="B4985" s="249"/>
      <c r="C4985" s="248"/>
      <c r="D4985" s="248"/>
    </row>
    <row r="4986" spans="1:4">
      <c r="A4986" s="248"/>
      <c r="B4986" s="249"/>
      <c r="C4986" s="248"/>
      <c r="D4986" s="248"/>
    </row>
    <row r="4987" spans="1:4">
      <c r="A4987" s="248"/>
      <c r="B4987" s="249"/>
      <c r="C4987" s="248"/>
      <c r="D4987" s="248"/>
    </row>
    <row r="4988" spans="1:4">
      <c r="A4988" s="248"/>
      <c r="B4988" s="249"/>
      <c r="C4988" s="248"/>
      <c r="D4988" s="248"/>
    </row>
    <row r="4989" spans="1:4">
      <c r="A4989" s="248"/>
      <c r="B4989" s="249"/>
      <c r="C4989" s="248"/>
      <c r="D4989" s="248"/>
    </row>
    <row r="4990" spans="1:4">
      <c r="A4990" s="246"/>
      <c r="B4990" s="246"/>
      <c r="C4990" s="246"/>
      <c r="D4990" s="247"/>
    </row>
    <row r="4991" spans="1:4">
      <c r="A4991" s="248"/>
      <c r="B4991" s="249"/>
      <c r="C4991" s="248"/>
      <c r="D4991" s="248"/>
    </row>
    <row r="4992" spans="1:4">
      <c r="A4992" s="246"/>
      <c r="B4992" s="246"/>
      <c r="C4992" s="246"/>
      <c r="D4992" s="247"/>
    </row>
    <row r="4993" spans="1:4">
      <c r="A4993" s="248"/>
      <c r="B4993" s="249"/>
      <c r="C4993" s="248"/>
      <c r="D4993" s="248"/>
    </row>
    <row r="4994" spans="1:4">
      <c r="A4994" s="248"/>
      <c r="B4994" s="249"/>
      <c r="C4994" s="248"/>
      <c r="D4994" s="248"/>
    </row>
    <row r="4995" spans="1:4">
      <c r="A4995" s="248"/>
      <c r="B4995" s="249"/>
      <c r="C4995" s="248"/>
      <c r="D4995" s="248"/>
    </row>
    <row r="4996" spans="1:4">
      <c r="A4996" s="248"/>
      <c r="B4996" s="249"/>
      <c r="C4996" s="248"/>
      <c r="D4996" s="248"/>
    </row>
    <row r="4997" spans="1:4">
      <c r="A4997" s="248"/>
      <c r="B4997" s="249"/>
      <c r="C4997" s="248"/>
      <c r="D4997" s="248"/>
    </row>
    <row r="4998" spans="1:4">
      <c r="A4998" s="251"/>
      <c r="B4998" s="251"/>
      <c r="C4998" s="251"/>
      <c r="D4998" s="252"/>
    </row>
    <row r="4999" spans="1:4">
      <c r="A4999" s="246"/>
      <c r="B4999" s="246"/>
      <c r="C4999" s="246"/>
      <c r="D4999" s="247"/>
    </row>
    <row r="5000" spans="1:4">
      <c r="A5000" s="248"/>
      <c r="B5000" s="249"/>
      <c r="C5000" s="248"/>
      <c r="D5000" s="248"/>
    </row>
    <row r="5001" spans="1:4">
      <c r="A5001" s="248"/>
      <c r="B5001" s="249"/>
      <c r="C5001" s="248"/>
      <c r="D5001" s="248"/>
    </row>
    <row r="5002" spans="1:4">
      <c r="A5002" s="246"/>
      <c r="B5002" s="246"/>
      <c r="C5002" s="246"/>
      <c r="D5002" s="247"/>
    </row>
    <row r="5003" spans="1:4">
      <c r="A5003" s="248"/>
      <c r="B5003" s="249"/>
      <c r="C5003" s="248"/>
      <c r="D5003" s="248"/>
    </row>
    <row r="5004" spans="1:4">
      <c r="A5004" s="248"/>
      <c r="B5004" s="249"/>
      <c r="C5004" s="248"/>
      <c r="D5004" s="248"/>
    </row>
    <row r="5005" spans="1:4">
      <c r="A5005" s="248"/>
      <c r="B5005" s="249"/>
      <c r="C5005" s="248"/>
      <c r="D5005" s="248"/>
    </row>
    <row r="5006" spans="1:4">
      <c r="A5006" s="248"/>
      <c r="B5006" s="249"/>
      <c r="C5006" s="248"/>
      <c r="D5006" s="248"/>
    </row>
    <row r="5007" spans="1:4">
      <c r="A5007" s="248"/>
      <c r="B5007" s="249"/>
      <c r="C5007" s="248"/>
      <c r="D5007" s="248"/>
    </row>
    <row r="5008" spans="1:4">
      <c r="A5008" s="246"/>
      <c r="B5008" s="246"/>
      <c r="C5008" s="246"/>
      <c r="D5008" s="247"/>
    </row>
    <row r="5009" spans="1:4">
      <c r="A5009" s="248"/>
      <c r="B5009" s="249"/>
      <c r="C5009" s="248"/>
      <c r="D5009" s="248"/>
    </row>
    <row r="5010" spans="1:4">
      <c r="A5010" s="248"/>
      <c r="B5010" s="249"/>
      <c r="C5010" s="248"/>
      <c r="D5010" s="248"/>
    </row>
    <row r="5011" spans="1:4">
      <c r="A5011" s="248"/>
      <c r="B5011" s="249"/>
      <c r="C5011" s="248"/>
      <c r="D5011" s="248"/>
    </row>
    <row r="5012" spans="1:4">
      <c r="A5012" s="248"/>
      <c r="B5012" s="249"/>
      <c r="C5012" s="248"/>
      <c r="D5012" s="248"/>
    </row>
    <row r="5013" spans="1:4">
      <c r="A5013" s="248"/>
      <c r="B5013" s="249"/>
      <c r="C5013" s="248"/>
      <c r="D5013" s="248"/>
    </row>
    <row r="5014" spans="1:4">
      <c r="A5014" s="248"/>
      <c r="B5014" s="249"/>
      <c r="C5014" s="248"/>
      <c r="D5014" s="248"/>
    </row>
    <row r="5015" spans="1:4">
      <c r="A5015" s="248"/>
      <c r="B5015" s="249"/>
      <c r="C5015" s="248"/>
      <c r="D5015" s="248"/>
    </row>
    <row r="5016" spans="1:4">
      <c r="A5016" s="248"/>
      <c r="B5016" s="249"/>
      <c r="C5016" s="248"/>
      <c r="D5016" s="248"/>
    </row>
    <row r="5017" spans="1:4">
      <c r="A5017" s="248"/>
      <c r="B5017" s="249"/>
      <c r="C5017" s="248"/>
      <c r="D5017" s="248"/>
    </row>
    <row r="5018" spans="1:4">
      <c r="A5018" s="248"/>
      <c r="B5018" s="249"/>
      <c r="C5018" s="248"/>
      <c r="D5018" s="248"/>
    </row>
    <row r="5019" spans="1:4">
      <c r="A5019" s="251"/>
      <c r="B5019" s="251"/>
      <c r="C5019" s="251"/>
      <c r="D5019" s="252"/>
    </row>
    <row r="5020" spans="1:4">
      <c r="A5020" s="246"/>
      <c r="B5020" s="246"/>
      <c r="C5020" s="246"/>
      <c r="D5020" s="247"/>
    </row>
    <row r="5021" spans="1:4">
      <c r="A5021" s="248"/>
      <c r="B5021" s="249"/>
      <c r="C5021" s="248"/>
      <c r="D5021" s="248"/>
    </row>
    <row r="5022" spans="1:4">
      <c r="A5022" s="248"/>
      <c r="B5022" s="249"/>
      <c r="C5022" s="248"/>
      <c r="D5022" s="248"/>
    </row>
    <row r="5023" spans="1:4">
      <c r="A5023" s="248"/>
      <c r="B5023" s="249"/>
      <c r="C5023" s="248"/>
      <c r="D5023" s="248"/>
    </row>
    <row r="5024" spans="1:4">
      <c r="A5024" s="248"/>
      <c r="B5024" s="249"/>
      <c r="C5024" s="248"/>
      <c r="D5024" s="248"/>
    </row>
    <row r="5025" spans="1:4">
      <c r="A5025" s="246"/>
      <c r="B5025" s="246"/>
      <c r="C5025" s="246"/>
      <c r="D5025" s="247"/>
    </row>
    <row r="5026" spans="1:4">
      <c r="A5026" s="248"/>
      <c r="B5026" s="249"/>
      <c r="C5026" s="248"/>
      <c r="D5026" s="248"/>
    </row>
    <row r="5027" spans="1:4">
      <c r="A5027" s="248"/>
      <c r="B5027" s="249"/>
      <c r="C5027" s="248"/>
      <c r="D5027" s="248"/>
    </row>
    <row r="5028" spans="1:4">
      <c r="A5028" s="248"/>
      <c r="B5028" s="249"/>
      <c r="C5028" s="248"/>
      <c r="D5028" s="248"/>
    </row>
    <row r="5029" spans="1:4">
      <c r="A5029" s="248"/>
      <c r="B5029" s="249"/>
      <c r="C5029" s="248"/>
      <c r="D5029" s="248"/>
    </row>
    <row r="5030" spans="1:4">
      <c r="A5030" s="248"/>
      <c r="B5030" s="249"/>
      <c r="C5030" s="248"/>
      <c r="D5030" s="248"/>
    </row>
    <row r="5031" spans="1:4">
      <c r="A5031" s="248"/>
      <c r="B5031" s="249"/>
      <c r="C5031" s="248"/>
      <c r="D5031" s="248"/>
    </row>
    <row r="5032" spans="1:4">
      <c r="A5032" s="248"/>
      <c r="B5032" s="249"/>
      <c r="C5032" s="248"/>
      <c r="D5032" s="248"/>
    </row>
    <row r="5033" spans="1:4">
      <c r="A5033" s="248"/>
      <c r="B5033" s="249"/>
      <c r="C5033" s="248"/>
      <c r="D5033" s="248"/>
    </row>
    <row r="5034" spans="1:4">
      <c r="A5034" s="248"/>
      <c r="B5034" s="249"/>
      <c r="C5034" s="248"/>
      <c r="D5034" s="248"/>
    </row>
    <row r="5035" spans="1:4">
      <c r="A5035" s="248"/>
      <c r="B5035" s="249"/>
      <c r="C5035" s="248"/>
      <c r="D5035" s="248"/>
    </row>
    <row r="5036" spans="1:4">
      <c r="A5036" s="246"/>
      <c r="B5036" s="246"/>
      <c r="C5036" s="246"/>
      <c r="D5036" s="247"/>
    </row>
    <row r="5037" spans="1:4">
      <c r="A5037" s="248"/>
      <c r="B5037" s="249"/>
      <c r="C5037" s="248"/>
      <c r="D5037" s="248"/>
    </row>
    <row r="5038" spans="1:4">
      <c r="A5038" s="248"/>
      <c r="B5038" s="249"/>
      <c r="C5038" s="248"/>
      <c r="D5038" s="248"/>
    </row>
    <row r="5039" spans="1:4">
      <c r="A5039" s="248"/>
      <c r="B5039" s="249"/>
      <c r="C5039" s="248"/>
      <c r="D5039" s="248"/>
    </row>
    <row r="5040" spans="1:4">
      <c r="A5040" s="248"/>
      <c r="B5040" s="249"/>
      <c r="C5040" s="248"/>
      <c r="D5040" s="248"/>
    </row>
    <row r="5041" spans="1:4">
      <c r="A5041" s="248"/>
      <c r="B5041" s="249"/>
      <c r="C5041" s="248"/>
      <c r="D5041" s="248"/>
    </row>
    <row r="5042" spans="1:4">
      <c r="A5042" s="248"/>
      <c r="B5042" s="249"/>
      <c r="C5042" s="248"/>
      <c r="D5042" s="248"/>
    </row>
    <row r="5043" spans="1:4">
      <c r="A5043" s="248"/>
      <c r="B5043" s="249"/>
      <c r="C5043" s="248"/>
      <c r="D5043" s="248"/>
    </row>
    <row r="5044" spans="1:4">
      <c r="A5044" s="248"/>
      <c r="B5044" s="249"/>
      <c r="C5044" s="248"/>
      <c r="D5044" s="248"/>
    </row>
    <row r="5045" spans="1:4">
      <c r="A5045" s="248"/>
      <c r="B5045" s="249"/>
      <c r="C5045" s="248"/>
      <c r="D5045" s="248"/>
    </row>
    <row r="5046" spans="1:4">
      <c r="A5046" s="248"/>
      <c r="B5046" s="249"/>
      <c r="C5046" s="248"/>
      <c r="D5046" s="248"/>
    </row>
    <row r="5047" spans="1:4">
      <c r="A5047" s="248"/>
      <c r="B5047" s="249"/>
      <c r="C5047" s="248"/>
      <c r="D5047" s="248"/>
    </row>
    <row r="5048" spans="1:4">
      <c r="A5048" s="246"/>
      <c r="B5048" s="246"/>
      <c r="C5048" s="246"/>
      <c r="D5048" s="247"/>
    </row>
    <row r="5049" spans="1:4">
      <c r="A5049" s="248"/>
      <c r="B5049" s="249"/>
      <c r="C5049" s="248"/>
      <c r="D5049" s="248"/>
    </row>
    <row r="5050" spans="1:4">
      <c r="A5050" s="251"/>
      <c r="B5050" s="251"/>
      <c r="C5050" s="251"/>
      <c r="D5050" s="252"/>
    </row>
    <row r="5051" spans="1:4">
      <c r="A5051" s="246"/>
      <c r="B5051" s="246"/>
      <c r="C5051" s="246"/>
      <c r="D5051" s="247"/>
    </row>
    <row r="5052" spans="1:4">
      <c r="A5052" s="248"/>
      <c r="B5052" s="249"/>
      <c r="C5052" s="248"/>
      <c r="D5052" s="248"/>
    </row>
    <row r="5053" spans="1:4">
      <c r="A5053" s="248"/>
      <c r="B5053" s="249"/>
      <c r="C5053" s="248"/>
      <c r="D5053" s="248"/>
    </row>
    <row r="5054" spans="1:4">
      <c r="A5054" s="248"/>
      <c r="B5054" s="249"/>
      <c r="C5054" s="248"/>
      <c r="D5054" s="248"/>
    </row>
    <row r="5055" spans="1:4">
      <c r="A5055" s="248"/>
      <c r="B5055" s="249"/>
      <c r="C5055" s="248"/>
      <c r="D5055" s="248"/>
    </row>
    <row r="5056" spans="1:4">
      <c r="A5056" s="248"/>
      <c r="B5056" s="249"/>
      <c r="C5056" s="248"/>
      <c r="D5056" s="248"/>
    </row>
    <row r="5057" spans="1:4">
      <c r="A5057" s="251"/>
      <c r="B5057" s="251"/>
      <c r="C5057" s="251"/>
      <c r="D5057" s="252"/>
    </row>
    <row r="5058" spans="1:4">
      <c r="A5058" s="246"/>
      <c r="B5058" s="246"/>
      <c r="C5058" s="246"/>
      <c r="D5058" s="247"/>
    </row>
    <row r="5059" spans="1:4">
      <c r="A5059" s="248"/>
      <c r="B5059" s="249"/>
      <c r="C5059" s="248"/>
      <c r="D5059" s="248"/>
    </row>
    <row r="5060" spans="1:4">
      <c r="A5060" s="248"/>
      <c r="B5060" s="249"/>
      <c r="C5060" s="248"/>
      <c r="D5060" s="248"/>
    </row>
    <row r="5061" spans="1:4">
      <c r="A5061" s="248"/>
      <c r="B5061" s="249"/>
      <c r="C5061" s="248"/>
      <c r="D5061" s="248"/>
    </row>
    <row r="5062" spans="1:4">
      <c r="A5062" s="248"/>
      <c r="B5062" s="249"/>
      <c r="C5062" s="248"/>
      <c r="D5062" s="248"/>
    </row>
    <row r="5063" spans="1:4">
      <c r="A5063" s="248"/>
      <c r="B5063" s="249"/>
      <c r="C5063" s="248"/>
      <c r="D5063" s="248"/>
    </row>
    <row r="5064" spans="1:4">
      <c r="A5064" s="248"/>
      <c r="B5064" s="249"/>
      <c r="C5064" s="248"/>
      <c r="D5064" s="248"/>
    </row>
    <row r="5065" spans="1:4">
      <c r="A5065" s="248"/>
      <c r="B5065" s="249"/>
      <c r="C5065" s="248"/>
      <c r="D5065" s="248"/>
    </row>
    <row r="5066" spans="1:4">
      <c r="A5066" s="246"/>
      <c r="B5066" s="246"/>
      <c r="C5066" s="246"/>
      <c r="D5066" s="247"/>
    </row>
    <row r="5067" spans="1:4">
      <c r="A5067" s="248"/>
      <c r="B5067" s="249"/>
      <c r="C5067" s="248"/>
      <c r="D5067" s="248"/>
    </row>
    <row r="5068" spans="1:4">
      <c r="A5068" s="248"/>
      <c r="B5068" s="249"/>
      <c r="C5068" s="248"/>
      <c r="D5068" s="248"/>
    </row>
    <row r="5069" spans="1:4">
      <c r="A5069" s="248"/>
      <c r="B5069" s="249"/>
      <c r="C5069" s="248"/>
      <c r="D5069" s="248"/>
    </row>
    <row r="5070" spans="1:4">
      <c r="A5070" s="248"/>
      <c r="B5070" s="249"/>
      <c r="C5070" s="248"/>
      <c r="D5070" s="248"/>
    </row>
    <row r="5071" spans="1:4">
      <c r="A5071" s="248"/>
      <c r="B5071" s="249"/>
      <c r="C5071" s="248"/>
      <c r="D5071" s="248"/>
    </row>
    <row r="5072" spans="1:4">
      <c r="A5072" s="246"/>
      <c r="B5072" s="246"/>
      <c r="C5072" s="246"/>
      <c r="D5072" s="247"/>
    </row>
    <row r="5073" spans="1:4">
      <c r="A5073" s="248"/>
      <c r="B5073" s="249"/>
      <c r="C5073" s="248"/>
      <c r="D5073" s="248"/>
    </row>
    <row r="5074" spans="1:4">
      <c r="A5074" s="248"/>
      <c r="B5074" s="249"/>
      <c r="C5074" s="248"/>
      <c r="D5074" s="248"/>
    </row>
    <row r="5075" spans="1:4">
      <c r="A5075" s="248"/>
      <c r="B5075" s="249"/>
      <c r="C5075" s="248"/>
      <c r="D5075" s="248"/>
    </row>
    <row r="5076" spans="1:4">
      <c r="A5076" s="246"/>
      <c r="B5076" s="246"/>
      <c r="C5076" s="246"/>
      <c r="D5076" s="247"/>
    </row>
    <row r="5077" spans="1:4">
      <c r="A5077" s="248"/>
      <c r="B5077" s="249"/>
      <c r="C5077" s="248"/>
      <c r="D5077" s="248"/>
    </row>
    <row r="5078" spans="1:4">
      <c r="A5078" s="248"/>
      <c r="B5078" s="249"/>
      <c r="C5078" s="248"/>
      <c r="D5078" s="248"/>
    </row>
    <row r="5079" spans="1:4">
      <c r="A5079" s="248"/>
      <c r="B5079" s="249"/>
      <c r="C5079" s="248"/>
      <c r="D5079" s="248"/>
    </row>
    <row r="5080" spans="1:4">
      <c r="A5080" s="246"/>
      <c r="B5080" s="246"/>
      <c r="C5080" s="246"/>
      <c r="D5080" s="247"/>
    </row>
    <row r="5081" spans="1:4">
      <c r="A5081" s="248"/>
      <c r="B5081" s="249"/>
      <c r="C5081" s="248"/>
      <c r="D5081" s="248"/>
    </row>
    <row r="5082" spans="1:4">
      <c r="A5082" s="251"/>
      <c r="B5082" s="251"/>
      <c r="C5082" s="251"/>
      <c r="D5082" s="252"/>
    </row>
    <row r="5083" spans="1:4">
      <c r="A5083" s="246"/>
      <c r="B5083" s="246"/>
      <c r="C5083" s="246"/>
      <c r="D5083" s="247"/>
    </row>
    <row r="5084" spans="1:4">
      <c r="A5084" s="248"/>
      <c r="B5084" s="249"/>
      <c r="C5084" s="248"/>
      <c r="D5084" s="248"/>
    </row>
    <row r="5085" spans="1:4">
      <c r="A5085" s="248"/>
      <c r="B5085" s="249"/>
      <c r="C5085" s="248"/>
      <c r="D5085" s="248"/>
    </row>
    <row r="5086" spans="1:4">
      <c r="A5086" s="251"/>
      <c r="B5086" s="251"/>
      <c r="C5086" s="251"/>
      <c r="D5086" s="252"/>
    </row>
    <row r="5087" spans="1:4">
      <c r="A5087" s="246"/>
      <c r="B5087" s="246"/>
      <c r="C5087" s="246"/>
      <c r="D5087" s="247"/>
    </row>
    <row r="5088" spans="1:4">
      <c r="A5088" s="248"/>
      <c r="B5088" s="249"/>
      <c r="C5088" s="248"/>
      <c r="D5088" s="248"/>
    </row>
    <row r="5089" spans="1:4">
      <c r="A5089" s="248"/>
      <c r="B5089" s="249"/>
      <c r="C5089" s="248"/>
      <c r="D5089" s="248"/>
    </row>
    <row r="5090" spans="1:4">
      <c r="A5090" s="248"/>
      <c r="B5090" s="249"/>
      <c r="C5090" s="248"/>
      <c r="D5090" s="248"/>
    </row>
    <row r="5091" spans="1:4">
      <c r="A5091" s="246"/>
      <c r="B5091" s="246"/>
      <c r="C5091" s="246"/>
      <c r="D5091" s="247"/>
    </row>
    <row r="5092" spans="1:4">
      <c r="A5092" s="251"/>
      <c r="B5092" s="251"/>
      <c r="C5092" s="251"/>
      <c r="D5092" s="252"/>
    </row>
    <row r="5093" spans="1:4">
      <c r="A5093" s="251"/>
      <c r="B5093" s="251"/>
      <c r="C5093" s="251"/>
      <c r="D5093" s="252"/>
    </row>
    <row r="5094" spans="1:4">
      <c r="A5094" s="246"/>
      <c r="B5094" s="246"/>
      <c r="C5094" s="246"/>
      <c r="D5094" s="247"/>
    </row>
    <row r="5095" spans="1:4">
      <c r="A5095" s="248"/>
      <c r="B5095" s="249"/>
      <c r="C5095" s="248"/>
      <c r="D5095" s="248"/>
    </row>
    <row r="5096" spans="1:4">
      <c r="A5096" s="248"/>
      <c r="B5096" s="249"/>
      <c r="C5096" s="248"/>
      <c r="D5096" s="248"/>
    </row>
    <row r="5097" spans="1:4">
      <c r="A5097" s="251"/>
      <c r="B5097" s="251"/>
      <c r="C5097" s="251"/>
      <c r="D5097" s="252"/>
    </row>
    <row r="5098" spans="1:4">
      <c r="A5098" s="246"/>
      <c r="B5098" s="246"/>
      <c r="C5098" s="246"/>
      <c r="D5098" s="247"/>
    </row>
    <row r="5099" spans="1:4">
      <c r="A5099" s="248"/>
      <c r="B5099" s="249"/>
      <c r="C5099" s="248"/>
      <c r="D5099" s="248"/>
    </row>
    <row r="5100" spans="1:4">
      <c r="A5100" s="248"/>
      <c r="B5100" s="249"/>
      <c r="C5100" s="248"/>
      <c r="D5100" s="248"/>
    </row>
    <row r="5101" spans="1:4">
      <c r="A5101" s="248"/>
      <c r="B5101" s="249"/>
      <c r="C5101" s="248"/>
      <c r="D5101" s="248"/>
    </row>
    <row r="5102" spans="1:4">
      <c r="A5102" s="248"/>
      <c r="B5102" s="249"/>
      <c r="C5102" s="248"/>
      <c r="D5102" s="248"/>
    </row>
    <row r="5103" spans="1:4">
      <c r="A5103" s="246"/>
      <c r="B5103" s="246"/>
      <c r="C5103" s="246"/>
      <c r="D5103" s="247"/>
    </row>
    <row r="5104" spans="1:4">
      <c r="A5104" s="248"/>
      <c r="B5104" s="249"/>
      <c r="C5104" s="248"/>
      <c r="D5104" s="248"/>
    </row>
    <row r="5105" spans="1:4">
      <c r="A5105" s="248"/>
      <c r="B5105" s="249"/>
      <c r="C5105" s="248"/>
      <c r="D5105" s="248"/>
    </row>
    <row r="5106" spans="1:4">
      <c r="A5106" s="248"/>
      <c r="B5106" s="249"/>
      <c r="C5106" s="248"/>
      <c r="D5106" s="248"/>
    </row>
    <row r="5107" spans="1:4">
      <c r="A5107" s="246"/>
      <c r="B5107" s="246"/>
      <c r="C5107" s="246"/>
      <c r="D5107" s="247"/>
    </row>
    <row r="5108" spans="1:4">
      <c r="A5108" s="248"/>
      <c r="B5108" s="249"/>
      <c r="C5108" s="248"/>
      <c r="D5108" s="248"/>
    </row>
    <row r="5109" spans="1:4">
      <c r="A5109" s="248"/>
      <c r="B5109" s="249"/>
      <c r="C5109" s="248"/>
      <c r="D5109" s="248"/>
    </row>
    <row r="5110" spans="1:4">
      <c r="A5110" s="248"/>
      <c r="B5110" s="249"/>
      <c r="C5110" s="248"/>
      <c r="D5110" s="248"/>
    </row>
    <row r="5111" spans="1:4">
      <c r="A5111" s="248"/>
      <c r="B5111" s="249"/>
      <c r="C5111" s="248"/>
      <c r="D5111" s="248"/>
    </row>
    <row r="5112" spans="1:4">
      <c r="A5112" s="248"/>
      <c r="B5112" s="249"/>
      <c r="C5112" s="248"/>
      <c r="D5112" s="248"/>
    </row>
    <row r="5113" spans="1:4">
      <c r="A5113" s="248"/>
      <c r="B5113" s="249"/>
      <c r="C5113" s="248"/>
      <c r="D5113" s="248"/>
    </row>
    <row r="5114" spans="1:4">
      <c r="A5114" s="248"/>
      <c r="B5114" s="249"/>
      <c r="C5114" s="248"/>
      <c r="D5114" s="248"/>
    </row>
    <row r="5115" spans="1:4">
      <c r="A5115" s="248"/>
      <c r="B5115" s="249"/>
      <c r="C5115" s="248"/>
      <c r="D5115" s="248"/>
    </row>
    <row r="5116" spans="1:4">
      <c r="A5116" s="248"/>
      <c r="B5116" s="249"/>
      <c r="C5116" s="248"/>
      <c r="D5116" s="248"/>
    </row>
    <row r="5117" spans="1:4">
      <c r="A5117" s="251"/>
      <c r="B5117" s="251"/>
      <c r="C5117" s="251"/>
      <c r="D5117" s="252"/>
    </row>
    <row r="5118" spans="1:4">
      <c r="A5118" s="246"/>
      <c r="B5118" s="246"/>
      <c r="C5118" s="246"/>
      <c r="D5118" s="247"/>
    </row>
    <row r="5119" spans="1:4">
      <c r="A5119" s="248"/>
      <c r="B5119" s="249"/>
      <c r="C5119" s="248"/>
      <c r="D5119" s="248"/>
    </row>
    <row r="5120" spans="1:4">
      <c r="A5120" s="248"/>
      <c r="B5120" s="249"/>
      <c r="C5120" s="248"/>
      <c r="D5120" s="248"/>
    </row>
    <row r="5121" spans="1:4">
      <c r="A5121" s="246"/>
      <c r="B5121" s="246"/>
      <c r="C5121" s="246"/>
      <c r="D5121" s="247"/>
    </row>
    <row r="5122" spans="1:4">
      <c r="A5122" s="248"/>
      <c r="B5122" s="249"/>
      <c r="C5122" s="248"/>
      <c r="D5122" s="248"/>
    </row>
    <row r="5123" spans="1:4">
      <c r="A5123" s="248"/>
      <c r="B5123" s="249"/>
      <c r="C5123" s="248"/>
      <c r="D5123" s="248"/>
    </row>
    <row r="5124" spans="1:4">
      <c r="A5124" s="248"/>
      <c r="B5124" s="249"/>
      <c r="C5124" s="248"/>
      <c r="D5124" s="248"/>
    </row>
    <row r="5125" spans="1:4">
      <c r="A5125" s="248"/>
      <c r="B5125" s="249"/>
      <c r="C5125" s="248"/>
      <c r="D5125" s="248"/>
    </row>
    <row r="5126" spans="1:4">
      <c r="A5126" s="248"/>
      <c r="B5126" s="249"/>
      <c r="C5126" s="248"/>
      <c r="D5126" s="248"/>
    </row>
    <row r="5127" spans="1:4">
      <c r="A5127" s="246"/>
      <c r="B5127" s="246"/>
      <c r="C5127" s="246"/>
      <c r="D5127" s="247"/>
    </row>
    <row r="5128" spans="1:4">
      <c r="A5128" s="248"/>
      <c r="B5128" s="249"/>
      <c r="C5128" s="248"/>
      <c r="D5128" s="248"/>
    </row>
    <row r="5129" spans="1:4">
      <c r="A5129" s="248"/>
      <c r="B5129" s="249"/>
      <c r="C5129" s="248"/>
      <c r="D5129" s="248"/>
    </row>
    <row r="5130" spans="1:4">
      <c r="A5130" s="248"/>
      <c r="B5130" s="249"/>
      <c r="C5130" s="248"/>
      <c r="D5130" s="248"/>
    </row>
    <row r="5131" spans="1:4">
      <c r="A5131" s="251"/>
      <c r="B5131" s="251"/>
      <c r="C5131" s="251"/>
      <c r="D5131" s="252"/>
    </row>
    <row r="5132" spans="1:4">
      <c r="A5132" s="246"/>
      <c r="B5132" s="246"/>
      <c r="C5132" s="246"/>
      <c r="D5132" s="247"/>
    </row>
    <row r="5133" spans="1:4">
      <c r="A5133" s="248"/>
      <c r="B5133" s="249"/>
      <c r="C5133" s="248"/>
      <c r="D5133" s="248"/>
    </row>
    <row r="5134" spans="1:4">
      <c r="A5134" s="248"/>
      <c r="B5134" s="249"/>
      <c r="C5134" s="248"/>
      <c r="D5134" s="248"/>
    </row>
    <row r="5135" spans="1:4">
      <c r="A5135" s="248"/>
      <c r="B5135" s="249"/>
      <c r="C5135" s="248"/>
      <c r="D5135" s="248"/>
    </row>
    <row r="5136" spans="1:4">
      <c r="A5136" s="248"/>
      <c r="B5136" s="249"/>
      <c r="C5136" s="248"/>
      <c r="D5136" s="248"/>
    </row>
    <row r="5137" spans="1:4">
      <c r="A5137" s="248"/>
      <c r="B5137" s="249"/>
      <c r="C5137" s="248"/>
      <c r="D5137" s="248"/>
    </row>
    <row r="5138" spans="1:4">
      <c r="A5138" s="248"/>
      <c r="B5138" s="249"/>
      <c r="C5138" s="248"/>
      <c r="D5138" s="248"/>
    </row>
    <row r="5139" spans="1:4">
      <c r="A5139" s="248"/>
      <c r="B5139" s="249"/>
      <c r="C5139" s="248"/>
      <c r="D5139" s="248"/>
    </row>
    <row r="5140" spans="1:4">
      <c r="A5140" s="248"/>
      <c r="B5140" s="249"/>
      <c r="C5140" s="248"/>
      <c r="D5140" s="248"/>
    </row>
    <row r="5141" spans="1:4">
      <c r="A5141" s="248"/>
      <c r="B5141" s="249"/>
      <c r="C5141" s="248"/>
      <c r="D5141" s="248"/>
    </row>
    <row r="5142" spans="1:4">
      <c r="A5142" s="248"/>
      <c r="B5142" s="249"/>
      <c r="C5142" s="248"/>
      <c r="D5142" s="248"/>
    </row>
    <row r="5143" spans="1:4">
      <c r="A5143" s="248"/>
      <c r="B5143" s="249"/>
      <c r="C5143" s="248"/>
      <c r="D5143" s="248"/>
    </row>
    <row r="5144" spans="1:4">
      <c r="A5144" s="248"/>
      <c r="B5144" s="249"/>
      <c r="C5144" s="248"/>
      <c r="D5144" s="248"/>
    </row>
    <row r="5145" spans="1:4">
      <c r="A5145" s="248"/>
      <c r="B5145" s="249"/>
      <c r="C5145" s="248"/>
      <c r="D5145" s="248"/>
    </row>
    <row r="5146" spans="1:4">
      <c r="A5146" s="248"/>
      <c r="B5146" s="249"/>
      <c r="C5146" s="248"/>
      <c r="D5146" s="248"/>
    </row>
    <row r="5147" spans="1:4">
      <c r="A5147" s="246"/>
      <c r="B5147" s="246"/>
      <c r="C5147" s="246"/>
      <c r="D5147" s="247"/>
    </row>
    <row r="5148" spans="1:4">
      <c r="A5148" s="248"/>
      <c r="B5148" s="249"/>
      <c r="C5148" s="248"/>
      <c r="D5148" s="248"/>
    </row>
    <row r="5149" spans="1:4">
      <c r="A5149" s="248"/>
      <c r="B5149" s="249"/>
      <c r="C5149" s="248"/>
      <c r="D5149" s="248"/>
    </row>
    <row r="5150" spans="1:4">
      <c r="A5150" s="248"/>
      <c r="B5150" s="249"/>
      <c r="C5150" s="248"/>
      <c r="D5150" s="248"/>
    </row>
    <row r="5151" spans="1:4">
      <c r="A5151" s="248"/>
      <c r="B5151" s="249"/>
      <c r="C5151" s="248"/>
      <c r="D5151" s="248"/>
    </row>
    <row r="5152" spans="1:4">
      <c r="A5152" s="248"/>
      <c r="B5152" s="249"/>
      <c r="C5152" s="248"/>
      <c r="D5152" s="248"/>
    </row>
    <row r="5153" spans="1:4">
      <c r="A5153" s="248"/>
      <c r="B5153" s="249"/>
      <c r="C5153" s="248"/>
      <c r="D5153" s="248"/>
    </row>
    <row r="5154" spans="1:4">
      <c r="A5154" s="248"/>
      <c r="B5154" s="249"/>
      <c r="C5154" s="248"/>
      <c r="D5154" s="248"/>
    </row>
    <row r="5155" spans="1:4">
      <c r="A5155" s="248"/>
      <c r="B5155" s="249"/>
      <c r="C5155" s="248"/>
      <c r="D5155" s="248"/>
    </row>
    <row r="5156" spans="1:4">
      <c r="A5156" s="248"/>
      <c r="B5156" s="249"/>
      <c r="C5156" s="248"/>
      <c r="D5156" s="248"/>
    </row>
    <row r="5157" spans="1:4">
      <c r="A5157" s="248"/>
      <c r="B5157" s="249"/>
      <c r="C5157" s="248"/>
      <c r="D5157" s="248"/>
    </row>
    <row r="5158" spans="1:4">
      <c r="A5158" s="248"/>
      <c r="B5158" s="249"/>
      <c r="C5158" s="248"/>
      <c r="D5158" s="248"/>
    </row>
    <row r="5159" spans="1:4">
      <c r="A5159" s="248"/>
      <c r="B5159" s="249"/>
      <c r="C5159" s="248"/>
      <c r="D5159" s="248"/>
    </row>
    <row r="5160" spans="1:4">
      <c r="A5160" s="248"/>
      <c r="B5160" s="249"/>
      <c r="C5160" s="248"/>
      <c r="D5160" s="248"/>
    </row>
    <row r="5161" spans="1:4">
      <c r="A5161" s="248"/>
      <c r="B5161" s="249"/>
      <c r="C5161" s="248"/>
      <c r="D5161" s="248"/>
    </row>
    <row r="5162" spans="1:4">
      <c r="A5162" s="248"/>
      <c r="B5162" s="249"/>
      <c r="C5162" s="248"/>
      <c r="D5162" s="248"/>
    </row>
    <row r="5163" spans="1:4">
      <c r="A5163" s="248"/>
      <c r="B5163" s="249"/>
      <c r="C5163" s="248"/>
      <c r="D5163" s="248"/>
    </row>
    <row r="5164" spans="1:4">
      <c r="A5164" s="248"/>
      <c r="B5164" s="249"/>
      <c r="C5164" s="248"/>
      <c r="D5164" s="248"/>
    </row>
    <row r="5165" spans="1:4">
      <c r="A5165" s="248"/>
      <c r="B5165" s="249"/>
      <c r="C5165" s="248"/>
      <c r="D5165" s="248"/>
    </row>
    <row r="5166" spans="1:4">
      <c r="A5166" s="248"/>
      <c r="B5166" s="249"/>
      <c r="C5166" s="248"/>
      <c r="D5166" s="248"/>
    </row>
    <row r="5167" spans="1:4">
      <c r="A5167" s="248"/>
      <c r="B5167" s="249"/>
      <c r="C5167" s="248"/>
      <c r="D5167" s="248"/>
    </row>
    <row r="5168" spans="1:4">
      <c r="A5168" s="248"/>
      <c r="B5168" s="249"/>
      <c r="C5168" s="248"/>
      <c r="D5168" s="248"/>
    </row>
    <row r="5169" spans="1:4">
      <c r="A5169" s="248"/>
      <c r="B5169" s="249"/>
      <c r="C5169" s="248"/>
      <c r="D5169" s="248"/>
    </row>
    <row r="5170" spans="1:4">
      <c r="A5170" s="248"/>
      <c r="B5170" s="249"/>
      <c r="C5170" s="248"/>
      <c r="D5170" s="248"/>
    </row>
    <row r="5171" spans="1:4">
      <c r="A5171" s="248"/>
      <c r="B5171" s="249"/>
      <c r="C5171" s="248"/>
      <c r="D5171" s="248"/>
    </row>
    <row r="5172" spans="1:4">
      <c r="A5172" s="248"/>
      <c r="B5172" s="249"/>
      <c r="C5172" s="248"/>
      <c r="D5172" s="248"/>
    </row>
    <row r="5173" spans="1:4">
      <c r="A5173" s="248"/>
      <c r="B5173" s="249"/>
      <c r="C5173" s="248"/>
      <c r="D5173" s="248"/>
    </row>
    <row r="5174" spans="1:4">
      <c r="A5174" s="248"/>
      <c r="B5174" s="249"/>
      <c r="C5174" s="248"/>
      <c r="D5174" s="248"/>
    </row>
    <row r="5175" spans="1:4">
      <c r="A5175" s="248"/>
      <c r="B5175" s="249"/>
      <c r="C5175" s="248"/>
      <c r="D5175" s="248"/>
    </row>
    <row r="5176" spans="1:4">
      <c r="A5176" s="248"/>
      <c r="B5176" s="249"/>
      <c r="C5176" s="248"/>
      <c r="D5176" s="248"/>
    </row>
    <row r="5177" spans="1:4">
      <c r="A5177" s="248"/>
      <c r="B5177" s="249"/>
      <c r="C5177" s="248"/>
      <c r="D5177" s="248"/>
    </row>
    <row r="5178" spans="1:4">
      <c r="A5178" s="248"/>
      <c r="B5178" s="249"/>
      <c r="C5178" s="248"/>
      <c r="D5178" s="248"/>
    </row>
    <row r="5179" spans="1:4">
      <c r="A5179" s="248"/>
      <c r="B5179" s="249"/>
      <c r="C5179" s="248"/>
      <c r="D5179" s="248"/>
    </row>
    <row r="5180" spans="1:4">
      <c r="A5180" s="248"/>
      <c r="B5180" s="249"/>
      <c r="C5180" s="248"/>
      <c r="D5180" s="248"/>
    </row>
    <row r="5181" spans="1:4">
      <c r="A5181" s="248"/>
      <c r="B5181" s="249"/>
      <c r="C5181" s="248"/>
      <c r="D5181" s="248"/>
    </row>
    <row r="5182" spans="1:4">
      <c r="A5182" s="248"/>
      <c r="B5182" s="249"/>
      <c r="C5182" s="248"/>
      <c r="D5182" s="248"/>
    </row>
    <row r="5183" spans="1:4">
      <c r="A5183" s="248"/>
      <c r="B5183" s="249"/>
      <c r="C5183" s="248"/>
      <c r="D5183" s="248"/>
    </row>
    <row r="5184" spans="1:4">
      <c r="A5184" s="248"/>
      <c r="B5184" s="249"/>
      <c r="C5184" s="248"/>
      <c r="D5184" s="248"/>
    </row>
    <row r="5185" spans="1:4">
      <c r="A5185" s="248"/>
      <c r="B5185" s="249"/>
      <c r="C5185" s="248"/>
      <c r="D5185" s="248"/>
    </row>
    <row r="5186" spans="1:4">
      <c r="A5186" s="248"/>
      <c r="B5186" s="249"/>
      <c r="C5186" s="248"/>
      <c r="D5186" s="248"/>
    </row>
    <row r="5187" spans="1:4">
      <c r="A5187" s="248"/>
      <c r="B5187" s="249"/>
      <c r="C5187" s="248"/>
      <c r="D5187" s="248"/>
    </row>
    <row r="5188" spans="1:4">
      <c r="A5188" s="248"/>
      <c r="B5188" s="249"/>
      <c r="C5188" s="248"/>
      <c r="D5188" s="248"/>
    </row>
    <row r="5189" spans="1:4">
      <c r="A5189" s="248"/>
      <c r="B5189" s="249"/>
      <c r="C5189" s="248"/>
      <c r="D5189" s="248"/>
    </row>
    <row r="5190" spans="1:4">
      <c r="A5190" s="248"/>
      <c r="B5190" s="249"/>
      <c r="C5190" s="248"/>
      <c r="D5190" s="248"/>
    </row>
    <row r="5191" spans="1:4">
      <c r="A5191" s="248"/>
      <c r="B5191" s="249"/>
      <c r="C5191" s="248"/>
      <c r="D5191" s="248"/>
    </row>
    <row r="5192" spans="1:4">
      <c r="A5192" s="248"/>
      <c r="B5192" s="249"/>
      <c r="C5192" s="248"/>
      <c r="D5192" s="248"/>
    </row>
    <row r="5193" spans="1:4">
      <c r="A5193" s="248"/>
      <c r="B5193" s="249"/>
      <c r="C5193" s="248"/>
      <c r="D5193" s="248"/>
    </row>
    <row r="5194" spans="1:4">
      <c r="A5194" s="248"/>
      <c r="B5194" s="249"/>
      <c r="C5194" s="248"/>
      <c r="D5194" s="248"/>
    </row>
    <row r="5195" spans="1:4">
      <c r="A5195" s="248"/>
      <c r="B5195" s="249"/>
      <c r="C5195" s="248"/>
      <c r="D5195" s="248"/>
    </row>
    <row r="5196" spans="1:4">
      <c r="A5196" s="248"/>
      <c r="B5196" s="249"/>
      <c r="C5196" s="248"/>
      <c r="D5196" s="248"/>
    </row>
    <row r="5197" spans="1:4">
      <c r="A5197" s="248"/>
      <c r="B5197" s="249"/>
      <c r="C5197" s="248"/>
      <c r="D5197" s="248"/>
    </row>
    <row r="5198" spans="1:4">
      <c r="A5198" s="248"/>
      <c r="B5198" s="249"/>
      <c r="C5198" s="248"/>
      <c r="D5198" s="248"/>
    </row>
    <row r="5199" spans="1:4">
      <c r="A5199" s="248"/>
      <c r="B5199" s="249"/>
      <c r="C5199" s="248"/>
      <c r="D5199" s="248"/>
    </row>
    <row r="5200" spans="1:4">
      <c r="A5200" s="248"/>
      <c r="B5200" s="249"/>
      <c r="C5200" s="248"/>
      <c r="D5200" s="248"/>
    </row>
    <row r="5201" spans="1:4">
      <c r="A5201" s="248"/>
      <c r="B5201" s="249"/>
      <c r="C5201" s="248"/>
      <c r="D5201" s="248"/>
    </row>
    <row r="5202" spans="1:4">
      <c r="A5202" s="248"/>
      <c r="B5202" s="249"/>
      <c r="C5202" s="248"/>
      <c r="D5202" s="248"/>
    </row>
    <row r="5203" spans="1:4">
      <c r="A5203" s="248"/>
      <c r="B5203" s="249"/>
      <c r="C5203" s="248"/>
      <c r="D5203" s="248"/>
    </row>
    <row r="5204" spans="1:4">
      <c r="A5204" s="248"/>
      <c r="B5204" s="249"/>
      <c r="C5204" s="248"/>
      <c r="D5204" s="248"/>
    </row>
    <row r="5205" spans="1:4">
      <c r="A5205" s="248"/>
      <c r="B5205" s="249"/>
      <c r="C5205" s="248"/>
      <c r="D5205" s="248"/>
    </row>
    <row r="5206" spans="1:4">
      <c r="A5206" s="248"/>
      <c r="B5206" s="249"/>
      <c r="C5206" s="248"/>
      <c r="D5206" s="248"/>
    </row>
    <row r="5207" spans="1:4">
      <c r="A5207" s="246"/>
      <c r="B5207" s="246"/>
      <c r="C5207" s="246"/>
      <c r="D5207" s="247"/>
    </row>
    <row r="5208" spans="1:4">
      <c r="A5208" s="248"/>
      <c r="B5208" s="249"/>
      <c r="C5208" s="248"/>
      <c r="D5208" s="248"/>
    </row>
    <row r="5209" spans="1:4">
      <c r="A5209" s="248"/>
      <c r="B5209" s="249"/>
      <c r="C5209" s="248"/>
      <c r="D5209" s="248"/>
    </row>
    <row r="5210" spans="1:4">
      <c r="A5210" s="246"/>
      <c r="B5210" s="246"/>
      <c r="C5210" s="246"/>
      <c r="D5210" s="247"/>
    </row>
    <row r="5211" spans="1:4">
      <c r="A5211" s="248"/>
      <c r="B5211" s="249"/>
      <c r="C5211" s="248"/>
      <c r="D5211" s="248"/>
    </row>
    <row r="5212" spans="1:4">
      <c r="A5212" s="248"/>
      <c r="B5212" s="249"/>
      <c r="C5212" s="248"/>
      <c r="D5212" s="248"/>
    </row>
    <row r="5213" spans="1:4">
      <c r="A5213" s="248"/>
      <c r="B5213" s="249"/>
      <c r="C5213" s="248"/>
      <c r="D5213" s="248"/>
    </row>
    <row r="5214" spans="1:4">
      <c r="A5214" s="248"/>
      <c r="B5214" s="249"/>
      <c r="C5214" s="248"/>
      <c r="D5214" s="248"/>
    </row>
    <row r="5215" spans="1:4">
      <c r="A5215" s="248"/>
      <c r="B5215" s="249"/>
      <c r="C5215" s="248"/>
      <c r="D5215" s="248"/>
    </row>
    <row r="5216" spans="1:4">
      <c r="A5216" s="248"/>
      <c r="B5216" s="249"/>
      <c r="C5216" s="248"/>
      <c r="D5216" s="248"/>
    </row>
    <row r="5217" spans="1:4">
      <c r="A5217" s="248"/>
      <c r="B5217" s="249"/>
      <c r="C5217" s="248"/>
      <c r="D5217" s="248"/>
    </row>
    <row r="5218" spans="1:4">
      <c r="A5218" s="248"/>
      <c r="B5218" s="249"/>
      <c r="C5218" s="248"/>
      <c r="D5218" s="248"/>
    </row>
    <row r="5219" spans="1:4">
      <c r="A5219" s="248"/>
      <c r="B5219" s="249"/>
      <c r="C5219" s="248"/>
      <c r="D5219" s="248"/>
    </row>
    <row r="5220" spans="1:4">
      <c r="A5220" s="248"/>
      <c r="B5220" s="249"/>
      <c r="C5220" s="248"/>
      <c r="D5220" s="248"/>
    </row>
    <row r="5221" spans="1:4">
      <c r="A5221" s="248"/>
      <c r="B5221" s="249"/>
      <c r="C5221" s="248"/>
      <c r="D5221" s="248"/>
    </row>
    <row r="5222" spans="1:4">
      <c r="A5222" s="248"/>
      <c r="B5222" s="249"/>
      <c r="C5222" s="248"/>
      <c r="D5222" s="248"/>
    </row>
    <row r="5223" spans="1:4">
      <c r="A5223" s="246"/>
      <c r="B5223" s="246"/>
      <c r="C5223" s="246"/>
      <c r="D5223" s="247"/>
    </row>
    <row r="5224" spans="1:4">
      <c r="A5224" s="248"/>
      <c r="B5224" s="249"/>
      <c r="C5224" s="248"/>
      <c r="D5224" s="248"/>
    </row>
    <row r="5225" spans="1:4">
      <c r="A5225" s="248"/>
      <c r="B5225" s="249"/>
      <c r="C5225" s="248"/>
      <c r="D5225" s="248"/>
    </row>
    <row r="5226" spans="1:4">
      <c r="A5226" s="248"/>
      <c r="B5226" s="249"/>
      <c r="C5226" s="248"/>
      <c r="D5226" s="248"/>
    </row>
    <row r="5227" spans="1:4">
      <c r="A5227" s="248"/>
      <c r="B5227" s="249"/>
      <c r="C5227" s="248"/>
      <c r="D5227" s="248"/>
    </row>
    <row r="5228" spans="1:4">
      <c r="A5228" s="248"/>
      <c r="B5228" s="249"/>
      <c r="C5228" s="248"/>
      <c r="D5228" s="248"/>
    </row>
    <row r="5229" spans="1:4">
      <c r="A5229" s="248"/>
      <c r="B5229" s="249"/>
      <c r="C5229" s="248"/>
      <c r="D5229" s="248"/>
    </row>
    <row r="5230" spans="1:4">
      <c r="A5230" s="248"/>
      <c r="B5230" s="249"/>
      <c r="C5230" s="248"/>
      <c r="D5230" s="248"/>
    </row>
    <row r="5231" spans="1:4">
      <c r="A5231" s="248"/>
      <c r="B5231" s="249"/>
      <c r="C5231" s="248"/>
      <c r="D5231" s="248"/>
    </row>
    <row r="5232" spans="1:4">
      <c r="A5232" s="248"/>
      <c r="B5232" s="249"/>
      <c r="C5232" s="248"/>
      <c r="D5232" s="248"/>
    </row>
    <row r="5233" spans="1:4">
      <c r="A5233" s="251"/>
      <c r="B5233" s="251"/>
      <c r="C5233" s="251"/>
      <c r="D5233" s="252"/>
    </row>
    <row r="5234" spans="1:4">
      <c r="A5234" s="246"/>
      <c r="B5234" s="246"/>
      <c r="C5234" s="246"/>
      <c r="D5234" s="247"/>
    </row>
    <row r="5235" spans="1:4">
      <c r="A5235" s="248"/>
      <c r="B5235" s="249"/>
      <c r="C5235" s="248"/>
      <c r="D5235" s="248"/>
    </row>
    <row r="5236" spans="1:4">
      <c r="A5236" s="248"/>
      <c r="B5236" s="249"/>
      <c r="C5236" s="248"/>
      <c r="D5236" s="248"/>
    </row>
    <row r="5237" spans="1:4">
      <c r="A5237" s="248"/>
      <c r="B5237" s="249"/>
      <c r="C5237" s="248"/>
      <c r="D5237" s="248"/>
    </row>
    <row r="5238" spans="1:4">
      <c r="A5238" s="248"/>
      <c r="B5238" s="249"/>
      <c r="C5238" s="248"/>
      <c r="D5238" s="248"/>
    </row>
    <row r="5239" spans="1:4">
      <c r="A5239" s="246"/>
      <c r="B5239" s="246"/>
      <c r="C5239" s="246"/>
      <c r="D5239" s="247"/>
    </row>
    <row r="5240" spans="1:4">
      <c r="A5240" s="248"/>
      <c r="B5240" s="249"/>
      <c r="C5240" s="248"/>
      <c r="D5240" s="248"/>
    </row>
    <row r="5241" spans="1:4">
      <c r="A5241" s="248"/>
      <c r="B5241" s="249"/>
      <c r="C5241" s="248"/>
      <c r="D5241" s="248"/>
    </row>
    <row r="5242" spans="1:4">
      <c r="A5242" s="248"/>
      <c r="B5242" s="249"/>
      <c r="C5242" s="248"/>
      <c r="D5242" s="248"/>
    </row>
    <row r="5243" spans="1:4">
      <c r="A5243" s="248"/>
      <c r="B5243" s="249"/>
      <c r="C5243" s="248"/>
      <c r="D5243" s="248"/>
    </row>
    <row r="5244" spans="1:4">
      <c r="A5244" s="248"/>
      <c r="B5244" s="249"/>
      <c r="C5244" s="248"/>
      <c r="D5244" s="248"/>
    </row>
    <row r="5245" spans="1:4">
      <c r="A5245" s="248"/>
      <c r="B5245" s="249"/>
      <c r="C5245" s="248"/>
      <c r="D5245" s="248"/>
    </row>
    <row r="5246" spans="1:4">
      <c r="A5246" s="248"/>
      <c r="B5246" s="249"/>
      <c r="C5246" s="248"/>
      <c r="D5246" s="248"/>
    </row>
    <row r="5247" spans="1:4">
      <c r="A5247" s="248"/>
      <c r="B5247" s="249"/>
      <c r="C5247" s="248"/>
      <c r="D5247" s="248"/>
    </row>
    <row r="5248" spans="1:4">
      <c r="A5248" s="248"/>
      <c r="B5248" s="249"/>
      <c r="C5248" s="248"/>
      <c r="D5248" s="248"/>
    </row>
    <row r="5249" spans="1:4">
      <c r="A5249" s="248"/>
      <c r="B5249" s="249"/>
      <c r="C5249" s="248"/>
      <c r="D5249" s="248"/>
    </row>
    <row r="5250" spans="1:4">
      <c r="A5250" s="248"/>
      <c r="B5250" s="249"/>
      <c r="C5250" s="248"/>
      <c r="D5250" s="248"/>
    </row>
    <row r="5251" spans="1:4">
      <c r="A5251" s="248"/>
      <c r="B5251" s="249"/>
      <c r="C5251" s="248"/>
      <c r="D5251" s="248"/>
    </row>
    <row r="5252" spans="1:4">
      <c r="A5252" s="248"/>
      <c r="B5252" s="249"/>
      <c r="C5252" s="248"/>
      <c r="D5252" s="248"/>
    </row>
    <row r="5253" spans="1:4">
      <c r="A5253" s="248"/>
      <c r="B5253" s="249"/>
      <c r="C5253" s="248"/>
      <c r="D5253" s="248"/>
    </row>
    <row r="5254" spans="1:4">
      <c r="A5254" s="248"/>
      <c r="B5254" s="249"/>
      <c r="C5254" s="248"/>
      <c r="D5254" s="248"/>
    </row>
    <row r="5255" spans="1:4">
      <c r="A5255" s="248"/>
      <c r="B5255" s="249"/>
      <c r="C5255" s="248"/>
      <c r="D5255" s="248"/>
    </row>
    <row r="5256" spans="1:4">
      <c r="A5256" s="248"/>
      <c r="B5256" s="249"/>
      <c r="C5256" s="248"/>
      <c r="D5256" s="248"/>
    </row>
    <row r="5257" spans="1:4">
      <c r="A5257" s="248"/>
      <c r="B5257" s="249"/>
      <c r="C5257" s="248"/>
      <c r="D5257" s="248"/>
    </row>
    <row r="5258" spans="1:4">
      <c r="A5258" s="248"/>
      <c r="B5258" s="249"/>
      <c r="C5258" s="248"/>
      <c r="D5258" s="248"/>
    </row>
    <row r="5259" spans="1:4">
      <c r="A5259" s="248"/>
      <c r="B5259" s="249"/>
      <c r="C5259" s="248"/>
      <c r="D5259" s="248"/>
    </row>
    <row r="5260" spans="1:4">
      <c r="A5260" s="248"/>
      <c r="B5260" s="249"/>
      <c r="C5260" s="248"/>
      <c r="D5260" s="248"/>
    </row>
    <row r="5261" spans="1:4">
      <c r="A5261" s="246"/>
      <c r="B5261" s="246"/>
      <c r="C5261" s="246"/>
      <c r="D5261" s="247"/>
    </row>
    <row r="5262" spans="1:4">
      <c r="A5262" s="248"/>
      <c r="B5262" s="249"/>
      <c r="C5262" s="248"/>
      <c r="D5262" s="248"/>
    </row>
    <row r="5263" spans="1:4">
      <c r="A5263" s="248"/>
      <c r="B5263" s="249"/>
      <c r="C5263" s="248"/>
      <c r="D5263" s="248"/>
    </row>
    <row r="5264" spans="1:4">
      <c r="A5264" s="248"/>
      <c r="B5264" s="249"/>
      <c r="C5264" s="248"/>
      <c r="D5264" s="248"/>
    </row>
    <row r="5265" spans="1:4">
      <c r="A5265" s="248"/>
      <c r="B5265" s="249"/>
      <c r="C5265" s="248"/>
      <c r="D5265" s="248"/>
    </row>
    <row r="5266" spans="1:4">
      <c r="A5266" s="248"/>
      <c r="B5266" s="249"/>
      <c r="C5266" s="248"/>
      <c r="D5266" s="248"/>
    </row>
    <row r="5267" spans="1:4">
      <c r="A5267" s="248"/>
      <c r="B5267" s="249"/>
      <c r="C5267" s="248"/>
      <c r="D5267" s="248"/>
    </row>
    <row r="5268" spans="1:4">
      <c r="A5268" s="248"/>
      <c r="B5268" s="249"/>
      <c r="C5268" s="248"/>
      <c r="D5268" s="248"/>
    </row>
    <row r="5269" spans="1:4">
      <c r="A5269" s="248"/>
      <c r="B5269" s="249"/>
      <c r="C5269" s="248"/>
      <c r="D5269" s="248"/>
    </row>
    <row r="5270" spans="1:4">
      <c r="A5270" s="248"/>
      <c r="B5270" s="249"/>
      <c r="C5270" s="248"/>
      <c r="D5270" s="248"/>
    </row>
    <row r="5271" spans="1:4">
      <c r="A5271" s="246"/>
      <c r="B5271" s="246"/>
      <c r="C5271" s="246"/>
      <c r="D5271" s="247"/>
    </row>
    <row r="5272" spans="1:4">
      <c r="A5272" s="248"/>
      <c r="B5272" s="249"/>
      <c r="C5272" s="248"/>
      <c r="D5272" s="248"/>
    </row>
    <row r="5273" spans="1:4">
      <c r="A5273" s="248"/>
      <c r="B5273" s="249"/>
      <c r="C5273" s="248"/>
      <c r="D5273" s="248"/>
    </row>
    <row r="5274" spans="1:4">
      <c r="A5274" s="248"/>
      <c r="B5274" s="249"/>
      <c r="C5274" s="248"/>
      <c r="D5274" s="248"/>
    </row>
    <row r="5275" spans="1:4">
      <c r="A5275" s="248"/>
      <c r="B5275" s="249"/>
      <c r="C5275" s="248"/>
      <c r="D5275" s="248"/>
    </row>
    <row r="5276" spans="1:4">
      <c r="A5276" s="248"/>
      <c r="B5276" s="249"/>
      <c r="C5276" s="248"/>
      <c r="D5276" s="248"/>
    </row>
    <row r="5277" spans="1:4">
      <c r="A5277" s="248"/>
      <c r="B5277" s="249"/>
      <c r="C5277" s="248"/>
      <c r="D5277" s="248"/>
    </row>
    <row r="5278" spans="1:4">
      <c r="A5278" s="248"/>
      <c r="B5278" s="249"/>
      <c r="C5278" s="248"/>
      <c r="D5278" s="248"/>
    </row>
    <row r="5279" spans="1:4">
      <c r="A5279" s="248"/>
      <c r="B5279" s="249"/>
      <c r="C5279" s="248"/>
      <c r="D5279" s="248"/>
    </row>
    <row r="5280" spans="1:4">
      <c r="A5280" s="248"/>
      <c r="B5280" s="249"/>
      <c r="C5280" s="248"/>
      <c r="D5280" s="248"/>
    </row>
    <row r="5281" spans="1:4">
      <c r="A5281" s="246"/>
      <c r="B5281" s="246"/>
      <c r="C5281" s="246"/>
      <c r="D5281" s="247"/>
    </row>
    <row r="5282" spans="1:4">
      <c r="A5282" s="248"/>
      <c r="B5282" s="249"/>
      <c r="C5282" s="248"/>
      <c r="D5282" s="248"/>
    </row>
    <row r="5283" spans="1:4">
      <c r="A5283" s="248"/>
      <c r="B5283" s="249"/>
      <c r="C5283" s="248"/>
      <c r="D5283" s="248"/>
    </row>
    <row r="5284" spans="1:4">
      <c r="A5284" s="248"/>
      <c r="B5284" s="249"/>
      <c r="C5284" s="248"/>
      <c r="D5284" s="248"/>
    </row>
    <row r="5285" spans="1:4">
      <c r="A5285" s="248"/>
      <c r="B5285" s="249"/>
      <c r="C5285" s="248"/>
      <c r="D5285" s="248"/>
    </row>
    <row r="5286" spans="1:4">
      <c r="A5286" s="248"/>
      <c r="B5286" s="249"/>
      <c r="C5286" s="248"/>
      <c r="D5286" s="248"/>
    </row>
    <row r="5287" spans="1:4">
      <c r="A5287" s="248"/>
      <c r="B5287" s="249"/>
      <c r="C5287" s="248"/>
      <c r="D5287" s="248"/>
    </row>
    <row r="5288" spans="1:4">
      <c r="A5288" s="248"/>
      <c r="B5288" s="249"/>
      <c r="C5288" s="248"/>
      <c r="D5288" s="248"/>
    </row>
    <row r="5289" spans="1:4">
      <c r="A5289" s="248"/>
      <c r="B5289" s="249"/>
      <c r="C5289" s="248"/>
      <c r="D5289" s="248"/>
    </row>
    <row r="5290" spans="1:4">
      <c r="A5290" s="248"/>
      <c r="B5290" s="249"/>
      <c r="C5290" s="248"/>
      <c r="D5290" s="248"/>
    </row>
    <row r="5291" spans="1:4">
      <c r="A5291" s="246"/>
      <c r="B5291" s="246"/>
      <c r="C5291" s="246"/>
      <c r="D5291" s="247"/>
    </row>
    <row r="5292" spans="1:4">
      <c r="A5292" s="248"/>
      <c r="B5292" s="249"/>
      <c r="C5292" s="248"/>
      <c r="D5292" s="248"/>
    </row>
    <row r="5293" spans="1:4">
      <c r="A5293" s="248"/>
      <c r="B5293" s="249"/>
      <c r="C5293" s="248"/>
      <c r="D5293" s="248"/>
    </row>
    <row r="5294" spans="1:4">
      <c r="A5294" s="248"/>
      <c r="B5294" s="249"/>
      <c r="C5294" s="248"/>
      <c r="D5294" s="248"/>
    </row>
    <row r="5295" spans="1:4">
      <c r="A5295" s="248"/>
      <c r="B5295" s="249"/>
      <c r="C5295" s="248"/>
      <c r="D5295" s="248"/>
    </row>
    <row r="5296" spans="1:4">
      <c r="A5296" s="248"/>
      <c r="B5296" s="249"/>
      <c r="C5296" s="248"/>
      <c r="D5296" s="248"/>
    </row>
    <row r="5297" spans="1:4">
      <c r="A5297" s="248"/>
      <c r="B5297" s="249"/>
      <c r="C5297" s="248"/>
      <c r="D5297" s="248"/>
    </row>
    <row r="5298" spans="1:4">
      <c r="A5298" s="246"/>
      <c r="B5298" s="246"/>
      <c r="C5298" s="246"/>
      <c r="D5298" s="247"/>
    </row>
    <row r="5299" spans="1:4">
      <c r="A5299" s="248"/>
      <c r="B5299" s="249"/>
      <c r="C5299" s="248"/>
      <c r="D5299" s="248"/>
    </row>
    <row r="5300" spans="1:4">
      <c r="A5300" s="248"/>
      <c r="B5300" s="249"/>
      <c r="C5300" s="248"/>
      <c r="D5300" s="248"/>
    </row>
    <row r="5301" spans="1:4">
      <c r="A5301" s="248"/>
      <c r="B5301" s="249"/>
      <c r="C5301" s="248"/>
      <c r="D5301" s="248"/>
    </row>
    <row r="5302" spans="1:4">
      <c r="A5302" s="248"/>
      <c r="B5302" s="249"/>
      <c r="C5302" s="248"/>
      <c r="D5302" s="248"/>
    </row>
    <row r="5303" spans="1:4">
      <c r="A5303" s="248"/>
      <c r="B5303" s="249"/>
      <c r="C5303" s="248"/>
      <c r="D5303" s="248"/>
    </row>
    <row r="5304" spans="1:4">
      <c r="A5304" s="248"/>
      <c r="B5304" s="249"/>
      <c r="C5304" s="248"/>
      <c r="D5304" s="248"/>
    </row>
    <row r="5305" spans="1:4">
      <c r="A5305" s="246"/>
      <c r="B5305" s="246"/>
      <c r="C5305" s="246"/>
      <c r="D5305" s="247"/>
    </row>
    <row r="5306" spans="1:4">
      <c r="A5306" s="248"/>
      <c r="B5306" s="249"/>
      <c r="C5306" s="248"/>
      <c r="D5306" s="248"/>
    </row>
    <row r="5307" spans="1:4">
      <c r="A5307" s="248"/>
      <c r="B5307" s="249"/>
      <c r="C5307" s="248"/>
      <c r="D5307" s="248"/>
    </row>
    <row r="5308" spans="1:4">
      <c r="A5308" s="248"/>
      <c r="B5308" s="249"/>
      <c r="C5308" s="248"/>
      <c r="D5308" s="248"/>
    </row>
    <row r="5309" spans="1:4">
      <c r="A5309" s="248"/>
      <c r="B5309" s="249"/>
      <c r="C5309" s="248"/>
      <c r="D5309" s="248"/>
    </row>
    <row r="5310" spans="1:4">
      <c r="A5310" s="248"/>
      <c r="B5310" s="249"/>
      <c r="C5310" s="248"/>
      <c r="D5310" s="248"/>
    </row>
    <row r="5311" spans="1:4">
      <c r="A5311" s="248"/>
      <c r="B5311" s="249"/>
      <c r="C5311" s="248"/>
      <c r="D5311" s="248"/>
    </row>
    <row r="5312" spans="1:4">
      <c r="A5312" s="248"/>
      <c r="B5312" s="249"/>
      <c r="C5312" s="248"/>
      <c r="D5312" s="248"/>
    </row>
    <row r="5313" spans="1:4">
      <c r="A5313" s="248"/>
      <c r="B5313" s="249"/>
      <c r="C5313" s="248"/>
      <c r="D5313" s="248"/>
    </row>
    <row r="5314" spans="1:4">
      <c r="A5314" s="248"/>
      <c r="B5314" s="249"/>
      <c r="C5314" s="248"/>
      <c r="D5314" s="248"/>
    </row>
    <row r="5315" spans="1:4">
      <c r="A5315" s="248"/>
      <c r="B5315" s="249"/>
      <c r="C5315" s="248"/>
      <c r="D5315" s="248"/>
    </row>
    <row r="5316" spans="1:4">
      <c r="A5316" s="248"/>
      <c r="B5316" s="249"/>
      <c r="C5316" s="248"/>
      <c r="D5316" s="248"/>
    </row>
    <row r="5317" spans="1:4">
      <c r="A5317" s="246"/>
      <c r="B5317" s="246"/>
      <c r="C5317" s="246"/>
      <c r="D5317" s="247"/>
    </row>
    <row r="5318" spans="1:4">
      <c r="A5318" s="248"/>
      <c r="B5318" s="249"/>
      <c r="C5318" s="248"/>
      <c r="D5318" s="248"/>
    </row>
    <row r="5319" spans="1:4">
      <c r="A5319" s="248"/>
      <c r="B5319" s="249"/>
      <c r="C5319" s="248"/>
      <c r="D5319" s="248"/>
    </row>
    <row r="5320" spans="1:4">
      <c r="A5320" s="248"/>
      <c r="B5320" s="249"/>
      <c r="C5320" s="248"/>
      <c r="D5320" s="248"/>
    </row>
    <row r="5321" spans="1:4">
      <c r="A5321" s="248"/>
      <c r="B5321" s="249"/>
      <c r="C5321" s="248"/>
      <c r="D5321" s="248"/>
    </row>
    <row r="5322" spans="1:4">
      <c r="A5322" s="248"/>
      <c r="B5322" s="249"/>
      <c r="C5322" s="248"/>
      <c r="D5322" s="248"/>
    </row>
    <row r="5323" spans="1:4">
      <c r="A5323" s="248"/>
      <c r="B5323" s="249"/>
      <c r="C5323" s="248"/>
      <c r="D5323" s="248"/>
    </row>
    <row r="5324" spans="1:4">
      <c r="A5324" s="248"/>
      <c r="B5324" s="249"/>
      <c r="C5324" s="248"/>
      <c r="D5324" s="248"/>
    </row>
    <row r="5325" spans="1:4">
      <c r="A5325" s="248"/>
      <c r="B5325" s="249"/>
      <c r="C5325" s="248"/>
      <c r="D5325" s="248"/>
    </row>
    <row r="5326" spans="1:4">
      <c r="A5326" s="248"/>
      <c r="B5326" s="249"/>
      <c r="C5326" s="248"/>
      <c r="D5326" s="248"/>
    </row>
    <row r="5327" spans="1:4">
      <c r="A5327" s="246"/>
      <c r="B5327" s="246"/>
      <c r="C5327" s="246"/>
      <c r="D5327" s="247"/>
    </row>
    <row r="5328" spans="1:4">
      <c r="A5328" s="248"/>
      <c r="B5328" s="249"/>
      <c r="C5328" s="248"/>
      <c r="D5328" s="248"/>
    </row>
    <row r="5329" spans="1:4">
      <c r="A5329" s="248"/>
      <c r="B5329" s="249"/>
      <c r="C5329" s="248"/>
      <c r="D5329" s="248"/>
    </row>
    <row r="5330" spans="1:4">
      <c r="A5330" s="248"/>
      <c r="B5330" s="249"/>
      <c r="C5330" s="248"/>
      <c r="D5330" s="248"/>
    </row>
    <row r="5331" spans="1:4">
      <c r="A5331" s="248"/>
      <c r="B5331" s="249"/>
      <c r="C5331" s="248"/>
      <c r="D5331" s="248"/>
    </row>
    <row r="5332" spans="1:4">
      <c r="A5332" s="248"/>
      <c r="B5332" s="249"/>
      <c r="C5332" s="248"/>
      <c r="D5332" s="248"/>
    </row>
    <row r="5333" spans="1:4">
      <c r="A5333" s="248"/>
      <c r="B5333" s="249"/>
      <c r="C5333" s="248"/>
      <c r="D5333" s="248"/>
    </row>
    <row r="5334" spans="1:4">
      <c r="A5334" s="248"/>
      <c r="B5334" s="249"/>
      <c r="C5334" s="248"/>
      <c r="D5334" s="248"/>
    </row>
    <row r="5335" spans="1:4">
      <c r="A5335" s="248"/>
      <c r="B5335" s="249"/>
      <c r="C5335" s="248"/>
      <c r="D5335" s="248"/>
    </row>
    <row r="5336" spans="1:4">
      <c r="A5336" s="248"/>
      <c r="B5336" s="249"/>
      <c r="C5336" s="248"/>
      <c r="D5336" s="248"/>
    </row>
    <row r="5337" spans="1:4">
      <c r="A5337" s="246"/>
      <c r="B5337" s="246"/>
      <c r="C5337" s="246"/>
      <c r="D5337" s="247"/>
    </row>
    <row r="5338" spans="1:4">
      <c r="A5338" s="248"/>
      <c r="B5338" s="249"/>
      <c r="C5338" s="248"/>
      <c r="D5338" s="248"/>
    </row>
    <row r="5339" spans="1:4">
      <c r="A5339" s="248"/>
      <c r="B5339" s="249"/>
      <c r="C5339" s="248"/>
      <c r="D5339" s="248"/>
    </row>
    <row r="5340" spans="1:4">
      <c r="A5340" s="248"/>
      <c r="B5340" s="249"/>
      <c r="C5340" s="248"/>
      <c r="D5340" s="248"/>
    </row>
    <row r="5341" spans="1:4">
      <c r="A5341" s="248"/>
      <c r="B5341" s="249"/>
      <c r="C5341" s="248"/>
      <c r="D5341" s="248"/>
    </row>
    <row r="5342" spans="1:4">
      <c r="A5342" s="248"/>
      <c r="B5342" s="249"/>
      <c r="C5342" s="248"/>
      <c r="D5342" s="248"/>
    </row>
    <row r="5343" spans="1:4">
      <c r="A5343" s="248"/>
      <c r="B5343" s="249"/>
      <c r="C5343" s="248"/>
      <c r="D5343" s="248"/>
    </row>
    <row r="5344" spans="1:4">
      <c r="A5344" s="248"/>
      <c r="B5344" s="249"/>
      <c r="C5344" s="248"/>
      <c r="D5344" s="248"/>
    </row>
    <row r="5345" spans="1:4">
      <c r="A5345" s="248"/>
      <c r="B5345" s="249"/>
      <c r="C5345" s="248"/>
      <c r="D5345" s="248"/>
    </row>
    <row r="5346" spans="1:4">
      <c r="A5346" s="248"/>
      <c r="B5346" s="249"/>
      <c r="C5346" s="248"/>
      <c r="D5346" s="248"/>
    </row>
    <row r="5347" spans="1:4">
      <c r="A5347" s="246"/>
      <c r="B5347" s="246"/>
      <c r="C5347" s="246"/>
      <c r="D5347" s="247"/>
    </row>
    <row r="5348" spans="1:4">
      <c r="A5348" s="248"/>
      <c r="B5348" s="249"/>
      <c r="C5348" s="248"/>
      <c r="D5348" s="248"/>
    </row>
    <row r="5349" spans="1:4">
      <c r="A5349" s="248"/>
      <c r="B5349" s="249"/>
      <c r="C5349" s="248"/>
      <c r="D5349" s="248"/>
    </row>
    <row r="5350" spans="1:4">
      <c r="A5350" s="248"/>
      <c r="B5350" s="249"/>
      <c r="C5350" s="248"/>
      <c r="D5350" s="248"/>
    </row>
    <row r="5351" spans="1:4">
      <c r="A5351" s="248"/>
      <c r="B5351" s="249"/>
      <c r="C5351" s="248"/>
      <c r="D5351" s="248"/>
    </row>
    <row r="5352" spans="1:4">
      <c r="A5352" s="248"/>
      <c r="B5352" s="249"/>
      <c r="C5352" s="248"/>
      <c r="D5352" s="248"/>
    </row>
    <row r="5353" spans="1:4">
      <c r="A5353" s="248"/>
      <c r="B5353" s="249"/>
      <c r="C5353" s="248"/>
      <c r="D5353" s="248"/>
    </row>
    <row r="5354" spans="1:4">
      <c r="A5354" s="248"/>
      <c r="B5354" s="249"/>
      <c r="C5354" s="248"/>
      <c r="D5354" s="248"/>
    </row>
    <row r="5355" spans="1:4">
      <c r="A5355" s="248"/>
      <c r="B5355" s="249"/>
      <c r="C5355" s="248"/>
      <c r="D5355" s="248"/>
    </row>
    <row r="5356" spans="1:4">
      <c r="A5356" s="248"/>
      <c r="B5356" s="249"/>
      <c r="C5356" s="248"/>
      <c r="D5356" s="248"/>
    </row>
    <row r="5357" spans="1:4">
      <c r="A5357" s="248"/>
      <c r="B5357" s="249"/>
      <c r="C5357" s="248"/>
      <c r="D5357" s="248"/>
    </row>
    <row r="5358" spans="1:4">
      <c r="A5358" s="248"/>
      <c r="B5358" s="249"/>
      <c r="C5358" s="248"/>
      <c r="D5358" s="248"/>
    </row>
    <row r="5359" spans="1:4">
      <c r="A5359" s="246"/>
      <c r="B5359" s="246"/>
      <c r="C5359" s="246"/>
      <c r="D5359" s="247"/>
    </row>
    <row r="5360" spans="1:4">
      <c r="A5360" s="248"/>
      <c r="B5360" s="249"/>
      <c r="C5360" s="248"/>
      <c r="D5360" s="248"/>
    </row>
    <row r="5361" spans="1:4">
      <c r="A5361" s="248"/>
      <c r="B5361" s="249"/>
      <c r="C5361" s="248"/>
      <c r="D5361" s="248"/>
    </row>
    <row r="5362" spans="1:4">
      <c r="A5362" s="248"/>
      <c r="B5362" s="249"/>
      <c r="C5362" s="248"/>
      <c r="D5362" s="248"/>
    </row>
    <row r="5363" spans="1:4">
      <c r="A5363" s="248"/>
      <c r="B5363" s="249"/>
      <c r="C5363" s="248"/>
      <c r="D5363" s="248"/>
    </row>
    <row r="5364" spans="1:4">
      <c r="A5364" s="248"/>
      <c r="B5364" s="249"/>
      <c r="C5364" s="248"/>
      <c r="D5364" s="248"/>
    </row>
    <row r="5365" spans="1:4">
      <c r="A5365" s="248"/>
      <c r="B5365" s="249"/>
      <c r="C5365" s="248"/>
      <c r="D5365" s="248"/>
    </row>
    <row r="5366" spans="1:4">
      <c r="A5366" s="248"/>
      <c r="B5366" s="249"/>
      <c r="C5366" s="248"/>
      <c r="D5366" s="248"/>
    </row>
    <row r="5367" spans="1:4">
      <c r="A5367" s="248"/>
      <c r="B5367" s="249"/>
      <c r="C5367" s="248"/>
      <c r="D5367" s="248"/>
    </row>
    <row r="5368" spans="1:4">
      <c r="A5368" s="248"/>
      <c r="B5368" s="249"/>
      <c r="C5368" s="248"/>
      <c r="D5368" s="248"/>
    </row>
    <row r="5369" spans="1:4">
      <c r="A5369" s="248"/>
      <c r="B5369" s="249"/>
      <c r="C5369" s="248"/>
      <c r="D5369" s="248"/>
    </row>
    <row r="5370" spans="1:4">
      <c r="A5370" s="248"/>
      <c r="B5370" s="249"/>
      <c r="C5370" s="248"/>
      <c r="D5370" s="248"/>
    </row>
    <row r="5371" spans="1:4">
      <c r="A5371" s="248"/>
      <c r="B5371" s="249"/>
      <c r="C5371" s="248"/>
      <c r="D5371" s="248"/>
    </row>
    <row r="5372" spans="1:4">
      <c r="A5372" s="248"/>
      <c r="B5372" s="249"/>
      <c r="C5372" s="248"/>
      <c r="D5372" s="248"/>
    </row>
    <row r="5373" spans="1:4">
      <c r="A5373" s="248"/>
      <c r="B5373" s="249"/>
      <c r="C5373" s="248"/>
      <c r="D5373" s="248"/>
    </row>
    <row r="5374" spans="1:4">
      <c r="A5374" s="248"/>
      <c r="B5374" s="249"/>
      <c r="C5374" s="248"/>
      <c r="D5374" s="248"/>
    </row>
    <row r="5375" spans="1:4">
      <c r="A5375" s="246"/>
      <c r="B5375" s="246"/>
      <c r="C5375" s="246"/>
      <c r="D5375" s="247"/>
    </row>
    <row r="5376" spans="1:4">
      <c r="A5376" s="248"/>
      <c r="B5376" s="249"/>
      <c r="C5376" s="248"/>
      <c r="D5376" s="248"/>
    </row>
    <row r="5377" spans="1:4">
      <c r="A5377" s="248"/>
      <c r="B5377" s="249"/>
      <c r="C5377" s="248"/>
      <c r="D5377" s="248"/>
    </row>
    <row r="5378" spans="1:4">
      <c r="A5378" s="248"/>
      <c r="B5378" s="249"/>
      <c r="C5378" s="248"/>
      <c r="D5378" s="248"/>
    </row>
    <row r="5379" spans="1:4">
      <c r="A5379" s="248"/>
      <c r="B5379" s="249"/>
      <c r="C5379" s="248"/>
      <c r="D5379" s="248"/>
    </row>
    <row r="5380" spans="1:4">
      <c r="A5380" s="248"/>
      <c r="B5380" s="249"/>
      <c r="C5380" s="248"/>
      <c r="D5380" s="248"/>
    </row>
    <row r="5381" spans="1:4">
      <c r="A5381" s="248"/>
      <c r="B5381" s="249"/>
      <c r="C5381" s="248"/>
      <c r="D5381" s="248"/>
    </row>
    <row r="5382" spans="1:4">
      <c r="A5382" s="248"/>
      <c r="B5382" s="249"/>
      <c r="C5382" s="248"/>
      <c r="D5382" s="248"/>
    </row>
    <row r="5383" spans="1:4">
      <c r="A5383" s="248"/>
      <c r="B5383" s="249"/>
      <c r="C5383" s="248"/>
      <c r="D5383" s="248"/>
    </row>
    <row r="5384" spans="1:4">
      <c r="A5384" s="248"/>
      <c r="B5384" s="249"/>
      <c r="C5384" s="248"/>
      <c r="D5384" s="248"/>
    </row>
    <row r="5385" spans="1:4">
      <c r="A5385" s="248"/>
      <c r="B5385" s="249"/>
      <c r="C5385" s="248"/>
      <c r="D5385" s="248"/>
    </row>
    <row r="5386" spans="1:4">
      <c r="A5386" s="248"/>
      <c r="B5386" s="249"/>
      <c r="C5386" s="248"/>
      <c r="D5386" s="248"/>
    </row>
    <row r="5387" spans="1:4">
      <c r="A5387" s="248"/>
      <c r="B5387" s="249"/>
      <c r="C5387" s="248"/>
      <c r="D5387" s="248"/>
    </row>
    <row r="5388" spans="1:4">
      <c r="A5388" s="248"/>
      <c r="B5388" s="249"/>
      <c r="C5388" s="248"/>
      <c r="D5388" s="248"/>
    </row>
    <row r="5389" spans="1:4">
      <c r="A5389" s="248"/>
      <c r="B5389" s="249"/>
      <c r="C5389" s="248"/>
      <c r="D5389" s="248"/>
    </row>
    <row r="5390" spans="1:4">
      <c r="A5390" s="248"/>
      <c r="B5390" s="249"/>
      <c r="C5390" s="248"/>
      <c r="D5390" s="248"/>
    </row>
    <row r="5391" spans="1:4">
      <c r="A5391" s="248"/>
      <c r="B5391" s="249"/>
      <c r="C5391" s="248"/>
      <c r="D5391" s="248"/>
    </row>
    <row r="5392" spans="1:4">
      <c r="A5392" s="248"/>
      <c r="B5392" s="249"/>
      <c r="C5392" s="248"/>
      <c r="D5392" s="248"/>
    </row>
    <row r="5393" spans="1:4">
      <c r="A5393" s="248"/>
      <c r="B5393" s="249"/>
      <c r="C5393" s="248"/>
      <c r="D5393" s="248"/>
    </row>
    <row r="5394" spans="1:4">
      <c r="A5394" s="248"/>
      <c r="B5394" s="249"/>
      <c r="C5394" s="248"/>
      <c r="D5394" s="248"/>
    </row>
    <row r="5395" spans="1:4">
      <c r="A5395" s="248"/>
      <c r="B5395" s="249"/>
      <c r="C5395" s="248"/>
      <c r="D5395" s="248"/>
    </row>
    <row r="5396" spans="1:4">
      <c r="A5396" s="248"/>
      <c r="B5396" s="249"/>
      <c r="C5396" s="248"/>
      <c r="D5396" s="248"/>
    </row>
    <row r="5397" spans="1:4">
      <c r="A5397" s="248"/>
      <c r="B5397" s="249"/>
      <c r="C5397" s="248"/>
      <c r="D5397" s="248"/>
    </row>
    <row r="5398" spans="1:4">
      <c r="A5398" s="246"/>
      <c r="B5398" s="246"/>
      <c r="C5398" s="246"/>
      <c r="D5398" s="247"/>
    </row>
    <row r="5399" spans="1:4">
      <c r="A5399" s="248"/>
      <c r="B5399" s="249"/>
      <c r="C5399" s="248"/>
      <c r="D5399" s="248"/>
    </row>
    <row r="5400" spans="1:4">
      <c r="A5400" s="246"/>
      <c r="B5400" s="246"/>
      <c r="C5400" s="246"/>
      <c r="D5400" s="247"/>
    </row>
    <row r="5401" spans="1:4">
      <c r="A5401" s="248"/>
      <c r="B5401" s="249"/>
      <c r="C5401" s="248"/>
      <c r="D5401" s="248"/>
    </row>
    <row r="5402" spans="1:4">
      <c r="A5402" s="246"/>
      <c r="B5402" s="246"/>
      <c r="C5402" s="246"/>
      <c r="D5402" s="247"/>
    </row>
    <row r="5403" spans="1:4">
      <c r="A5403" s="248"/>
      <c r="B5403" s="249"/>
      <c r="C5403" s="248"/>
      <c r="D5403" s="248"/>
    </row>
    <row r="5404" spans="1:4">
      <c r="A5404" s="248"/>
      <c r="B5404" s="249"/>
      <c r="C5404" s="248"/>
      <c r="D5404" s="248"/>
    </row>
    <row r="5405" spans="1:4">
      <c r="A5405" s="248"/>
      <c r="B5405" s="249"/>
      <c r="C5405" s="248"/>
      <c r="D5405" s="248"/>
    </row>
    <row r="5406" spans="1:4">
      <c r="A5406" s="248"/>
      <c r="B5406" s="249"/>
      <c r="C5406" s="248"/>
      <c r="D5406" s="248"/>
    </row>
    <row r="5407" spans="1:4">
      <c r="A5407" s="248"/>
      <c r="B5407" s="249"/>
      <c r="C5407" s="248"/>
      <c r="D5407" s="248"/>
    </row>
    <row r="5408" spans="1:4">
      <c r="A5408" s="248"/>
      <c r="B5408" s="249"/>
      <c r="C5408" s="248"/>
      <c r="D5408" s="248"/>
    </row>
    <row r="5409" spans="1:4">
      <c r="A5409" s="248"/>
      <c r="B5409" s="249"/>
      <c r="C5409" s="248"/>
      <c r="D5409" s="248"/>
    </row>
    <row r="5410" spans="1:4">
      <c r="A5410" s="246"/>
      <c r="B5410" s="246"/>
      <c r="C5410" s="246"/>
      <c r="D5410" s="247"/>
    </row>
    <row r="5411" spans="1:4">
      <c r="A5411" s="248"/>
      <c r="B5411" s="249"/>
      <c r="C5411" s="248"/>
      <c r="D5411" s="248"/>
    </row>
    <row r="5412" spans="1:4">
      <c r="A5412" s="248"/>
      <c r="B5412" s="249"/>
      <c r="C5412" s="248"/>
      <c r="D5412" s="248"/>
    </row>
    <row r="5413" spans="1:4">
      <c r="A5413" s="248"/>
      <c r="B5413" s="249"/>
      <c r="C5413" s="248"/>
      <c r="D5413" s="248"/>
    </row>
    <row r="5414" spans="1:4">
      <c r="A5414" s="248"/>
      <c r="B5414" s="249"/>
      <c r="C5414" s="248"/>
      <c r="D5414" s="248"/>
    </row>
    <row r="5415" spans="1:4">
      <c r="A5415" s="246"/>
      <c r="B5415" s="246"/>
      <c r="C5415" s="246"/>
      <c r="D5415" s="247"/>
    </row>
    <row r="5416" spans="1:4">
      <c r="A5416" s="248"/>
      <c r="B5416" s="249"/>
      <c r="C5416" s="248"/>
      <c r="D5416" s="248"/>
    </row>
    <row r="5417" spans="1:4">
      <c r="A5417" s="251"/>
      <c r="B5417" s="251"/>
      <c r="C5417" s="251"/>
      <c r="D5417" s="252"/>
    </row>
    <row r="5418" spans="1:4">
      <c r="A5418" s="246"/>
      <c r="B5418" s="246"/>
      <c r="C5418" s="246"/>
      <c r="D5418" s="247"/>
    </row>
    <row r="5419" spans="1:4">
      <c r="A5419" s="248"/>
      <c r="B5419" s="249"/>
      <c r="C5419" s="248"/>
      <c r="D5419" s="248"/>
    </row>
    <row r="5420" spans="1:4">
      <c r="A5420" s="248"/>
      <c r="B5420" s="249"/>
      <c r="C5420" s="248"/>
      <c r="D5420" s="248"/>
    </row>
    <row r="5421" spans="1:4">
      <c r="A5421" s="251"/>
      <c r="B5421" s="251"/>
      <c r="C5421" s="251"/>
      <c r="D5421" s="252"/>
    </row>
    <row r="5422" spans="1:4">
      <c r="A5422" s="246"/>
      <c r="B5422" s="246"/>
      <c r="C5422" s="246"/>
      <c r="D5422" s="247"/>
    </row>
    <row r="5423" spans="1:4">
      <c r="A5423" s="248"/>
      <c r="B5423" s="249"/>
      <c r="C5423" s="248"/>
      <c r="D5423" s="248"/>
    </row>
    <row r="5424" spans="1:4">
      <c r="A5424" s="248"/>
      <c r="B5424" s="249"/>
      <c r="C5424" s="248"/>
      <c r="D5424" s="248"/>
    </row>
    <row r="5425" spans="1:4">
      <c r="A5425" s="248"/>
      <c r="B5425" s="249"/>
      <c r="C5425" s="248"/>
      <c r="D5425" s="248"/>
    </row>
    <row r="5426" spans="1:4">
      <c r="A5426" s="248"/>
      <c r="B5426" s="249"/>
      <c r="C5426" s="248"/>
      <c r="D5426" s="248"/>
    </row>
    <row r="5427" spans="1:4">
      <c r="A5427" s="248"/>
      <c r="B5427" s="249"/>
      <c r="C5427" s="248"/>
      <c r="D5427" s="248"/>
    </row>
    <row r="5428" spans="1:4">
      <c r="A5428" s="248"/>
      <c r="B5428" s="249"/>
      <c r="C5428" s="248"/>
      <c r="D5428" s="248"/>
    </row>
    <row r="5429" spans="1:4">
      <c r="A5429" s="248"/>
      <c r="B5429" s="249"/>
      <c r="C5429" s="248"/>
      <c r="D5429" s="248"/>
    </row>
    <row r="5430" spans="1:4">
      <c r="A5430" s="251"/>
      <c r="B5430" s="251"/>
      <c r="C5430" s="251"/>
      <c r="D5430" s="252"/>
    </row>
    <row r="5431" spans="1:4">
      <c r="A5431" s="246"/>
      <c r="B5431" s="246"/>
      <c r="C5431" s="246"/>
      <c r="D5431" s="247"/>
    </row>
    <row r="5432" spans="1:4">
      <c r="A5432" s="248"/>
      <c r="B5432" s="249"/>
      <c r="C5432" s="248"/>
      <c r="D5432" s="248"/>
    </row>
    <row r="5433" spans="1:4">
      <c r="A5433" s="248"/>
      <c r="B5433" s="249"/>
      <c r="C5433" s="248"/>
      <c r="D5433" s="248"/>
    </row>
    <row r="5434" spans="1:4">
      <c r="A5434" s="248"/>
      <c r="B5434" s="249"/>
      <c r="C5434" s="248"/>
      <c r="D5434" s="248"/>
    </row>
    <row r="5435" spans="1:4">
      <c r="A5435" s="251"/>
      <c r="B5435" s="251"/>
      <c r="C5435" s="251"/>
      <c r="D5435" s="252"/>
    </row>
    <row r="5436" spans="1:4">
      <c r="A5436" s="246"/>
      <c r="B5436" s="246"/>
      <c r="C5436" s="246"/>
      <c r="D5436" s="247"/>
    </row>
    <row r="5437" spans="1:4">
      <c r="A5437" s="248"/>
      <c r="B5437" s="249"/>
      <c r="C5437" s="248"/>
      <c r="D5437" s="248"/>
    </row>
    <row r="5438" spans="1:4">
      <c r="A5438" s="248"/>
      <c r="B5438" s="249"/>
      <c r="C5438" s="248"/>
      <c r="D5438" s="248"/>
    </row>
    <row r="5439" spans="1:4">
      <c r="A5439" s="251"/>
      <c r="B5439" s="251"/>
      <c r="C5439" s="251"/>
      <c r="D5439" s="252"/>
    </row>
    <row r="5440" spans="1:4">
      <c r="A5440" s="251"/>
      <c r="B5440" s="251"/>
      <c r="C5440" s="251"/>
      <c r="D5440" s="252"/>
    </row>
    <row r="5441" spans="1:4">
      <c r="A5441" s="246"/>
      <c r="B5441" s="246"/>
      <c r="C5441" s="246"/>
      <c r="D5441" s="247"/>
    </row>
    <row r="5442" spans="1:4">
      <c r="A5442" s="248"/>
      <c r="B5442" s="249"/>
      <c r="C5442" s="248"/>
      <c r="D5442" s="248"/>
    </row>
    <row r="5443" spans="1:4">
      <c r="A5443" s="248"/>
      <c r="B5443" s="249"/>
      <c r="C5443" s="248"/>
      <c r="D5443" s="248"/>
    </row>
    <row r="5444" spans="1:4">
      <c r="A5444" s="251"/>
      <c r="B5444" s="251"/>
      <c r="C5444" s="251"/>
      <c r="D5444" s="252"/>
    </row>
    <row r="5445" spans="1:4">
      <c r="A5445" s="246"/>
      <c r="B5445" s="246"/>
      <c r="C5445" s="246"/>
      <c r="D5445" s="247"/>
    </row>
    <row r="5446" spans="1:4">
      <c r="A5446" s="248"/>
      <c r="B5446" s="249"/>
      <c r="C5446" s="248"/>
      <c r="D5446" s="248"/>
    </row>
    <row r="5447" spans="1:4">
      <c r="A5447" s="248"/>
      <c r="B5447" s="249"/>
      <c r="C5447" s="248"/>
      <c r="D5447" s="248"/>
    </row>
    <row r="5448" spans="1:4">
      <c r="A5448" s="248"/>
      <c r="B5448" s="249"/>
      <c r="C5448" s="248"/>
      <c r="D5448" s="248"/>
    </row>
    <row r="5449" spans="1:4">
      <c r="A5449" s="248"/>
      <c r="B5449" s="249"/>
      <c r="C5449" s="248"/>
      <c r="D5449" s="248"/>
    </row>
    <row r="5450" spans="1:4">
      <c r="A5450" s="248"/>
      <c r="B5450" s="249"/>
      <c r="C5450" s="248"/>
      <c r="D5450" s="248"/>
    </row>
    <row r="5451" spans="1:4">
      <c r="A5451" s="248"/>
      <c r="B5451" s="249"/>
      <c r="C5451" s="248"/>
      <c r="D5451" s="248"/>
    </row>
    <row r="5452" spans="1:4">
      <c r="A5452" s="251"/>
      <c r="B5452" s="251"/>
      <c r="C5452" s="251"/>
      <c r="D5452" s="252"/>
    </row>
    <row r="5453" spans="1:4">
      <c r="A5453" s="246"/>
      <c r="B5453" s="246"/>
      <c r="C5453" s="246"/>
      <c r="D5453" s="247"/>
    </row>
    <row r="5454" spans="1:4">
      <c r="A5454" s="248"/>
      <c r="B5454" s="249"/>
      <c r="C5454" s="248"/>
      <c r="D5454" s="248"/>
    </row>
    <row r="5455" spans="1:4">
      <c r="A5455" s="248"/>
      <c r="B5455" s="249"/>
      <c r="C5455" s="248"/>
      <c r="D5455" s="248"/>
    </row>
    <row r="5456" spans="1:4">
      <c r="A5456" s="248"/>
      <c r="B5456" s="249"/>
      <c r="C5456" s="248"/>
      <c r="D5456" s="248"/>
    </row>
    <row r="5457" spans="1:4">
      <c r="A5457" s="248"/>
      <c r="B5457" s="249"/>
      <c r="C5457" s="248"/>
      <c r="D5457" s="248"/>
    </row>
    <row r="5458" spans="1:4">
      <c r="A5458" s="248"/>
      <c r="B5458" s="249"/>
      <c r="C5458" s="248"/>
      <c r="D5458" s="248"/>
    </row>
    <row r="5459" spans="1:4">
      <c r="A5459" s="248"/>
      <c r="B5459" s="249"/>
      <c r="C5459" s="248"/>
      <c r="D5459" s="248"/>
    </row>
    <row r="5460" spans="1:4">
      <c r="A5460" s="246"/>
      <c r="B5460" s="246"/>
      <c r="C5460" s="246"/>
      <c r="D5460" s="247"/>
    </row>
    <row r="5461" spans="1:4">
      <c r="A5461" s="248"/>
      <c r="B5461" s="249"/>
      <c r="C5461" s="248"/>
      <c r="D5461" s="248"/>
    </row>
    <row r="5462" spans="1:4">
      <c r="A5462" s="248"/>
      <c r="B5462" s="249"/>
      <c r="C5462" s="248"/>
      <c r="D5462" s="248"/>
    </row>
    <row r="5463" spans="1:4">
      <c r="A5463" s="248"/>
      <c r="B5463" s="249"/>
      <c r="C5463" s="248"/>
      <c r="D5463" s="248"/>
    </row>
    <row r="5464" spans="1:4">
      <c r="A5464" s="248"/>
      <c r="B5464" s="249"/>
      <c r="C5464" s="248"/>
      <c r="D5464" s="248"/>
    </row>
    <row r="5465" spans="1:4">
      <c r="A5465" s="248"/>
      <c r="B5465" s="249"/>
      <c r="C5465" s="248"/>
      <c r="D5465" s="248"/>
    </row>
    <row r="5466" spans="1:4">
      <c r="A5466" s="248"/>
      <c r="B5466" s="249"/>
      <c r="C5466" s="248"/>
      <c r="D5466" s="248"/>
    </row>
    <row r="5467" spans="1:4">
      <c r="A5467" s="248"/>
      <c r="B5467" s="249"/>
      <c r="C5467" s="248"/>
      <c r="D5467" s="248"/>
    </row>
    <row r="5468" spans="1:4">
      <c r="A5468" s="248"/>
      <c r="B5468" s="249"/>
      <c r="C5468" s="248"/>
      <c r="D5468" s="248"/>
    </row>
    <row r="5469" spans="1:4">
      <c r="A5469" s="248"/>
      <c r="B5469" s="249"/>
      <c r="C5469" s="248"/>
      <c r="D5469" s="248"/>
    </row>
    <row r="5470" spans="1:4">
      <c r="A5470" s="248"/>
      <c r="B5470" s="249"/>
      <c r="C5470" s="248"/>
      <c r="D5470" s="248"/>
    </row>
    <row r="5471" spans="1:4">
      <c r="A5471" s="248"/>
      <c r="B5471" s="249"/>
      <c r="C5471" s="248"/>
      <c r="D5471" s="248"/>
    </row>
    <row r="5472" spans="1:4">
      <c r="A5472" s="248"/>
      <c r="B5472" s="249"/>
      <c r="C5472" s="248"/>
      <c r="D5472" s="248"/>
    </row>
    <row r="5473" spans="1:4">
      <c r="A5473" s="248"/>
      <c r="B5473" s="249"/>
      <c r="C5473" s="248"/>
      <c r="D5473" s="248"/>
    </row>
    <row r="5474" spans="1:4">
      <c r="A5474" s="248"/>
      <c r="B5474" s="249"/>
      <c r="C5474" s="248"/>
      <c r="D5474" s="248"/>
    </row>
    <row r="5475" spans="1:4">
      <c r="A5475" s="248"/>
      <c r="B5475" s="249"/>
      <c r="C5475" s="248"/>
      <c r="D5475" s="248"/>
    </row>
    <row r="5476" spans="1:4">
      <c r="A5476" s="248"/>
      <c r="B5476" s="249"/>
      <c r="C5476" s="248"/>
      <c r="D5476" s="248"/>
    </row>
    <row r="5477" spans="1:4">
      <c r="A5477" s="248"/>
      <c r="B5477" s="249"/>
      <c r="C5477" s="248"/>
      <c r="D5477" s="248"/>
    </row>
    <row r="5478" spans="1:4">
      <c r="A5478" s="248"/>
      <c r="B5478" s="249"/>
      <c r="C5478" s="248"/>
      <c r="D5478" s="248"/>
    </row>
    <row r="5479" spans="1:4">
      <c r="A5479" s="248"/>
      <c r="B5479" s="249"/>
      <c r="C5479" s="248"/>
      <c r="D5479" s="248"/>
    </row>
    <row r="5480" spans="1:4">
      <c r="A5480" s="248"/>
      <c r="B5480" s="249"/>
      <c r="C5480" s="248"/>
      <c r="D5480" s="248"/>
    </row>
    <row r="5481" spans="1:4">
      <c r="A5481" s="248"/>
      <c r="B5481" s="249"/>
      <c r="C5481" s="248"/>
      <c r="D5481" s="248"/>
    </row>
    <row r="5482" spans="1:4">
      <c r="A5482" s="248"/>
      <c r="B5482" s="249"/>
      <c r="C5482" s="248"/>
      <c r="D5482" s="248"/>
    </row>
    <row r="5483" spans="1:4">
      <c r="A5483" s="248"/>
      <c r="B5483" s="249"/>
      <c r="C5483" s="248"/>
      <c r="D5483" s="248"/>
    </row>
    <row r="5484" spans="1:4">
      <c r="A5484" s="248"/>
      <c r="B5484" s="249"/>
      <c r="C5484" s="248"/>
      <c r="D5484" s="248"/>
    </row>
    <row r="5485" spans="1:4">
      <c r="A5485" s="248"/>
      <c r="B5485" s="249"/>
      <c r="C5485" s="248"/>
      <c r="D5485" s="248"/>
    </row>
    <row r="5486" spans="1:4">
      <c r="A5486" s="248"/>
      <c r="B5486" s="249"/>
      <c r="C5486" s="248"/>
      <c r="D5486" s="248"/>
    </row>
    <row r="5487" spans="1:4">
      <c r="A5487" s="248"/>
      <c r="B5487" s="249"/>
      <c r="C5487" s="248"/>
      <c r="D5487" s="248"/>
    </row>
    <row r="5488" spans="1:4">
      <c r="A5488" s="246"/>
      <c r="B5488" s="246"/>
      <c r="C5488" s="246"/>
      <c r="D5488" s="247"/>
    </row>
    <row r="5489" spans="1:4">
      <c r="A5489" s="248"/>
      <c r="B5489" s="249"/>
      <c r="C5489" s="248"/>
      <c r="D5489" s="248"/>
    </row>
    <row r="5490" spans="1:4">
      <c r="A5490" s="248"/>
      <c r="B5490" s="249"/>
      <c r="C5490" s="248"/>
      <c r="D5490" s="248"/>
    </row>
    <row r="5491" spans="1:4">
      <c r="A5491" s="248"/>
      <c r="B5491" s="249"/>
      <c r="C5491" s="248"/>
      <c r="D5491" s="248"/>
    </row>
    <row r="5492" spans="1:4">
      <c r="A5492" s="248"/>
      <c r="B5492" s="249"/>
      <c r="C5492" s="248"/>
      <c r="D5492" s="248"/>
    </row>
    <row r="5493" spans="1:4">
      <c r="A5493" s="248"/>
      <c r="B5493" s="249"/>
      <c r="C5493" s="248"/>
      <c r="D5493" s="248"/>
    </row>
    <row r="5494" spans="1:4">
      <c r="A5494" s="248"/>
      <c r="B5494" s="249"/>
      <c r="C5494" s="248"/>
      <c r="D5494" s="248"/>
    </row>
    <row r="5495" spans="1:4">
      <c r="A5495" s="248"/>
      <c r="B5495" s="249"/>
      <c r="C5495" s="248"/>
      <c r="D5495" s="248"/>
    </row>
    <row r="5496" spans="1:4">
      <c r="A5496" s="248"/>
      <c r="B5496" s="249"/>
      <c r="C5496" s="248"/>
      <c r="D5496" s="248"/>
    </row>
    <row r="5497" spans="1:4">
      <c r="A5497" s="248"/>
      <c r="B5497" s="249"/>
      <c r="C5497" s="248"/>
      <c r="D5497" s="248"/>
    </row>
    <row r="5498" spans="1:4">
      <c r="A5498" s="248"/>
      <c r="B5498" s="249"/>
      <c r="C5498" s="248"/>
      <c r="D5498" s="248"/>
    </row>
    <row r="5499" spans="1:4">
      <c r="A5499" s="246"/>
      <c r="B5499" s="246"/>
      <c r="C5499" s="246"/>
      <c r="D5499" s="247"/>
    </row>
    <row r="5500" spans="1:4">
      <c r="A5500" s="248"/>
      <c r="B5500" s="249"/>
      <c r="C5500" s="248"/>
      <c r="D5500" s="248"/>
    </row>
    <row r="5501" spans="1:4">
      <c r="A5501" s="248"/>
      <c r="B5501" s="249"/>
      <c r="C5501" s="248"/>
      <c r="D5501" s="248"/>
    </row>
    <row r="5502" spans="1:4">
      <c r="A5502" s="248"/>
      <c r="B5502" s="249"/>
      <c r="C5502" s="248"/>
      <c r="D5502" s="248"/>
    </row>
    <row r="5503" spans="1:4">
      <c r="A5503" s="248"/>
      <c r="B5503" s="249"/>
      <c r="C5503" s="248"/>
      <c r="D5503" s="248"/>
    </row>
    <row r="5504" spans="1:4">
      <c r="A5504" s="248"/>
      <c r="B5504" s="249"/>
      <c r="C5504" s="248"/>
      <c r="D5504" s="248"/>
    </row>
    <row r="5505" spans="1:4">
      <c r="A5505" s="248"/>
      <c r="B5505" s="249"/>
      <c r="C5505" s="248"/>
      <c r="D5505" s="248"/>
    </row>
    <row r="5506" spans="1:4">
      <c r="A5506" s="248"/>
      <c r="B5506" s="249"/>
      <c r="C5506" s="248"/>
      <c r="D5506" s="248"/>
    </row>
    <row r="5507" spans="1:4">
      <c r="A5507" s="248"/>
      <c r="B5507" s="249"/>
      <c r="C5507" s="248"/>
      <c r="D5507" s="248"/>
    </row>
    <row r="5508" spans="1:4">
      <c r="A5508" s="248"/>
      <c r="B5508" s="249"/>
      <c r="C5508" s="248"/>
      <c r="D5508" s="248"/>
    </row>
    <row r="5509" spans="1:4">
      <c r="A5509" s="248"/>
      <c r="B5509" s="249"/>
      <c r="C5509" s="248"/>
      <c r="D5509" s="248"/>
    </row>
    <row r="5510" spans="1:4">
      <c r="A5510" s="248"/>
      <c r="B5510" s="249"/>
      <c r="C5510" s="248"/>
      <c r="D5510" s="248"/>
    </row>
    <row r="5511" spans="1:4">
      <c r="A5511" s="246"/>
      <c r="B5511" s="246"/>
      <c r="C5511" s="246"/>
      <c r="D5511" s="247"/>
    </row>
    <row r="5512" spans="1:4">
      <c r="A5512" s="248"/>
      <c r="B5512" s="249"/>
      <c r="C5512" s="248"/>
      <c r="D5512" s="248"/>
    </row>
    <row r="5513" spans="1:4">
      <c r="A5513" s="248"/>
      <c r="B5513" s="249"/>
      <c r="C5513" s="248"/>
      <c r="D5513" s="248"/>
    </row>
    <row r="5514" spans="1:4">
      <c r="A5514" s="246"/>
      <c r="B5514" s="246"/>
      <c r="C5514" s="246"/>
      <c r="D5514" s="247"/>
    </row>
    <row r="5515" spans="1:4">
      <c r="A5515" s="248"/>
      <c r="B5515" s="249"/>
      <c r="C5515" s="248"/>
      <c r="D5515" s="248"/>
    </row>
    <row r="5516" spans="1:4">
      <c r="A5516" s="248"/>
      <c r="B5516" s="249"/>
      <c r="C5516" s="248"/>
      <c r="D5516" s="248"/>
    </row>
    <row r="5517" spans="1:4">
      <c r="A5517" s="246"/>
      <c r="B5517" s="246"/>
      <c r="C5517" s="246"/>
      <c r="D5517" s="247"/>
    </row>
    <row r="5518" spans="1:4">
      <c r="A5518" s="248"/>
      <c r="B5518" s="249"/>
      <c r="C5518" s="248"/>
      <c r="D5518" s="248"/>
    </row>
    <row r="5519" spans="1:4">
      <c r="A5519" s="248"/>
      <c r="B5519" s="249"/>
      <c r="C5519" s="248"/>
      <c r="D5519" s="248"/>
    </row>
    <row r="5520" spans="1:4">
      <c r="A5520" s="246"/>
      <c r="B5520" s="246"/>
      <c r="C5520" s="246"/>
      <c r="D5520" s="247"/>
    </row>
    <row r="5521" spans="1:4">
      <c r="A5521" s="248"/>
      <c r="B5521" s="249"/>
      <c r="C5521" s="248"/>
      <c r="D5521" s="248"/>
    </row>
    <row r="5522" spans="1:4">
      <c r="A5522" s="248"/>
      <c r="B5522" s="249"/>
      <c r="C5522" s="248"/>
      <c r="D5522" s="248"/>
    </row>
    <row r="5523" spans="1:4">
      <c r="A5523" s="248"/>
      <c r="B5523" s="249"/>
      <c r="C5523" s="248"/>
      <c r="D5523" s="248"/>
    </row>
    <row r="5524" spans="1:4">
      <c r="A5524" s="248"/>
      <c r="B5524" s="249"/>
      <c r="C5524" s="248"/>
      <c r="D5524" s="248"/>
    </row>
    <row r="5525" spans="1:4">
      <c r="A5525" s="248"/>
      <c r="B5525" s="249"/>
      <c r="C5525" s="248"/>
      <c r="D5525" s="248"/>
    </row>
    <row r="5526" spans="1:4">
      <c r="A5526" s="248"/>
      <c r="B5526" s="249"/>
      <c r="C5526" s="248"/>
      <c r="D5526" s="248"/>
    </row>
    <row r="5527" spans="1:4">
      <c r="A5527" s="248"/>
      <c r="B5527" s="249"/>
      <c r="C5527" s="248"/>
      <c r="D5527" s="248"/>
    </row>
    <row r="5528" spans="1:4">
      <c r="A5528" s="248"/>
      <c r="B5528" s="249"/>
      <c r="C5528" s="248"/>
      <c r="D5528" s="248"/>
    </row>
    <row r="5529" spans="1:4">
      <c r="A5529" s="248"/>
      <c r="B5529" s="249"/>
      <c r="C5529" s="248"/>
      <c r="D5529" s="248"/>
    </row>
    <row r="5530" spans="1:4">
      <c r="A5530" s="248"/>
      <c r="B5530" s="249"/>
      <c r="C5530" s="248"/>
      <c r="D5530" s="248"/>
    </row>
    <row r="5531" spans="1:4">
      <c r="A5531" s="248"/>
      <c r="B5531" s="249"/>
      <c r="C5531" s="248"/>
      <c r="D5531" s="248"/>
    </row>
    <row r="5532" spans="1:4">
      <c r="A5532" s="248"/>
      <c r="B5532" s="249"/>
      <c r="C5532" s="248"/>
      <c r="D5532" s="248"/>
    </row>
    <row r="5533" spans="1:4">
      <c r="A5533" s="248"/>
      <c r="B5533" s="249"/>
      <c r="C5533" s="248"/>
      <c r="D5533" s="248"/>
    </row>
    <row r="5534" spans="1:4">
      <c r="A5534" s="248"/>
      <c r="B5534" s="249"/>
      <c r="C5534" s="248"/>
      <c r="D5534" s="248"/>
    </row>
    <row r="5535" spans="1:4">
      <c r="A5535" s="248"/>
      <c r="B5535" s="249"/>
      <c r="C5535" s="248"/>
      <c r="D5535" s="248"/>
    </row>
    <row r="5536" spans="1:4">
      <c r="A5536" s="248"/>
      <c r="B5536" s="249"/>
      <c r="C5536" s="248"/>
      <c r="D5536" s="248"/>
    </row>
    <row r="5537" spans="1:4">
      <c r="A5537" s="246"/>
      <c r="B5537" s="246"/>
      <c r="C5537" s="246"/>
      <c r="D5537" s="247"/>
    </row>
    <row r="5538" spans="1:4">
      <c r="A5538" s="248"/>
      <c r="B5538" s="249"/>
      <c r="C5538" s="248"/>
      <c r="D5538" s="248"/>
    </row>
    <row r="5539" spans="1:4">
      <c r="A5539" s="248"/>
      <c r="B5539" s="249"/>
      <c r="C5539" s="248"/>
      <c r="D5539" s="248"/>
    </row>
    <row r="5540" spans="1:4">
      <c r="A5540" s="248"/>
      <c r="B5540" s="249"/>
      <c r="C5540" s="248"/>
      <c r="D5540" s="248"/>
    </row>
    <row r="5541" spans="1:4">
      <c r="A5541" s="248"/>
      <c r="B5541" s="249"/>
      <c r="C5541" s="248"/>
      <c r="D5541" s="248"/>
    </row>
    <row r="5542" spans="1:4">
      <c r="A5542" s="246"/>
      <c r="B5542" s="246"/>
      <c r="C5542" s="246"/>
      <c r="D5542" s="247"/>
    </row>
    <row r="5543" spans="1:4">
      <c r="A5543" s="248"/>
      <c r="B5543" s="249"/>
      <c r="C5543" s="248"/>
      <c r="D5543" s="248"/>
    </row>
    <row r="5544" spans="1:4">
      <c r="A5544" s="248"/>
      <c r="B5544" s="249"/>
      <c r="C5544" s="248"/>
      <c r="D5544" s="248"/>
    </row>
    <row r="5545" spans="1:4">
      <c r="A5545" s="248"/>
      <c r="B5545" s="249"/>
      <c r="C5545" s="248"/>
      <c r="D5545" s="248"/>
    </row>
    <row r="5546" spans="1:4">
      <c r="A5546" s="248"/>
      <c r="B5546" s="249"/>
      <c r="C5546" s="248"/>
      <c r="D5546" s="248"/>
    </row>
    <row r="5547" spans="1:4">
      <c r="A5547" s="248"/>
      <c r="B5547" s="249"/>
      <c r="C5547" s="248"/>
      <c r="D5547" s="248"/>
    </row>
    <row r="5548" spans="1:4">
      <c r="A5548" s="248"/>
      <c r="B5548" s="249"/>
      <c r="C5548" s="248"/>
      <c r="D5548" s="248"/>
    </row>
    <row r="5549" spans="1:4">
      <c r="A5549" s="248"/>
      <c r="B5549" s="249"/>
      <c r="C5549" s="248"/>
      <c r="D5549" s="248"/>
    </row>
    <row r="5550" spans="1:4">
      <c r="A5550" s="248"/>
      <c r="B5550" s="249"/>
      <c r="C5550" s="248"/>
      <c r="D5550" s="248"/>
    </row>
    <row r="5551" spans="1:4">
      <c r="A5551" s="248"/>
      <c r="B5551" s="249"/>
      <c r="C5551" s="248"/>
      <c r="D5551" s="248"/>
    </row>
    <row r="5552" spans="1:4">
      <c r="A5552" s="248"/>
      <c r="B5552" s="249"/>
      <c r="C5552" s="248"/>
      <c r="D5552" s="248"/>
    </row>
    <row r="5553" spans="1:4">
      <c r="A5553" s="248"/>
      <c r="B5553" s="249"/>
      <c r="C5553" s="248"/>
      <c r="D5553" s="248"/>
    </row>
    <row r="5554" spans="1:4">
      <c r="A5554" s="248"/>
      <c r="B5554" s="249"/>
      <c r="C5554" s="248"/>
      <c r="D5554" s="248"/>
    </row>
    <row r="5555" spans="1:4">
      <c r="A5555" s="246"/>
      <c r="B5555" s="246"/>
      <c r="C5555" s="246"/>
      <c r="D5555" s="247"/>
    </row>
    <row r="5556" spans="1:4">
      <c r="A5556" s="248"/>
      <c r="B5556" s="249"/>
      <c r="C5556" s="248"/>
      <c r="D5556" s="248"/>
    </row>
    <row r="5557" spans="1:4">
      <c r="A5557" s="248"/>
      <c r="B5557" s="249"/>
      <c r="C5557" s="248"/>
      <c r="D5557" s="248"/>
    </row>
    <row r="5558" spans="1:4">
      <c r="A5558" s="248"/>
      <c r="B5558" s="249"/>
      <c r="C5558" s="248"/>
      <c r="D5558" s="248"/>
    </row>
    <row r="5559" spans="1:4">
      <c r="A5559" s="248"/>
      <c r="B5559" s="249"/>
      <c r="C5559" s="248"/>
      <c r="D5559" s="248"/>
    </row>
    <row r="5560" spans="1:4">
      <c r="A5560" s="248"/>
      <c r="B5560" s="249"/>
      <c r="C5560" s="248"/>
      <c r="D5560" s="248"/>
    </row>
    <row r="5561" spans="1:4">
      <c r="A5561" s="248"/>
      <c r="B5561" s="249"/>
      <c r="C5561" s="248"/>
      <c r="D5561" s="248"/>
    </row>
    <row r="5562" spans="1:4">
      <c r="A5562" s="251"/>
      <c r="B5562" s="251"/>
      <c r="C5562" s="251"/>
      <c r="D5562" s="252"/>
    </row>
    <row r="5563" spans="1:4">
      <c r="A5563" s="246"/>
      <c r="B5563" s="246"/>
      <c r="C5563" s="246"/>
      <c r="D5563" s="247"/>
    </row>
    <row r="5564" spans="1:4">
      <c r="A5564" s="248"/>
      <c r="B5564" s="249"/>
      <c r="C5564" s="248"/>
      <c r="D5564" s="248"/>
    </row>
    <row r="5565" spans="1:4">
      <c r="A5565" s="248"/>
      <c r="B5565" s="249"/>
      <c r="C5565" s="248"/>
      <c r="D5565" s="248"/>
    </row>
    <row r="5566" spans="1:4">
      <c r="A5566" s="248"/>
      <c r="B5566" s="249"/>
      <c r="C5566" s="248"/>
      <c r="D5566" s="248"/>
    </row>
    <row r="5567" spans="1:4">
      <c r="A5567" s="248"/>
      <c r="B5567" s="249"/>
      <c r="C5567" s="248"/>
      <c r="D5567" s="248"/>
    </row>
    <row r="5568" spans="1:4">
      <c r="A5568" s="248"/>
      <c r="B5568" s="249"/>
      <c r="C5568" s="248"/>
      <c r="D5568" s="248"/>
    </row>
    <row r="5569" spans="1:4">
      <c r="A5569" s="248"/>
      <c r="B5569" s="249"/>
      <c r="C5569" s="248"/>
      <c r="D5569" s="248"/>
    </row>
    <row r="5570" spans="1:4">
      <c r="A5570" s="248"/>
      <c r="B5570" s="249"/>
      <c r="C5570" s="248"/>
      <c r="D5570" s="248"/>
    </row>
    <row r="5571" spans="1:4">
      <c r="A5571" s="248"/>
      <c r="B5571" s="249"/>
      <c r="C5571" s="248"/>
      <c r="D5571" s="248"/>
    </row>
    <row r="5572" spans="1:4">
      <c r="A5572" s="248"/>
      <c r="B5572" s="249"/>
      <c r="C5572" s="248"/>
      <c r="D5572" s="248"/>
    </row>
    <row r="5573" spans="1:4">
      <c r="A5573" s="248"/>
      <c r="B5573" s="249"/>
      <c r="C5573" s="248"/>
      <c r="D5573" s="248"/>
    </row>
    <row r="5574" spans="1:4">
      <c r="A5574" s="248"/>
      <c r="B5574" s="249"/>
      <c r="C5574" s="248"/>
      <c r="D5574" s="248"/>
    </row>
    <row r="5575" spans="1:4">
      <c r="A5575" s="248"/>
      <c r="B5575" s="249"/>
      <c r="C5575" s="248"/>
      <c r="D5575" s="248"/>
    </row>
    <row r="5576" spans="1:4">
      <c r="A5576" s="248"/>
      <c r="B5576" s="249"/>
      <c r="C5576" s="248"/>
      <c r="D5576" s="248"/>
    </row>
    <row r="5577" spans="1:4">
      <c r="A5577" s="248"/>
      <c r="B5577" s="249"/>
      <c r="C5577" s="248"/>
      <c r="D5577" s="248"/>
    </row>
    <row r="5578" spans="1:4">
      <c r="A5578" s="248"/>
      <c r="B5578" s="249"/>
      <c r="C5578" s="248"/>
      <c r="D5578" s="248"/>
    </row>
    <row r="5579" spans="1:4">
      <c r="A5579" s="248"/>
      <c r="B5579" s="249"/>
      <c r="C5579" s="248"/>
      <c r="D5579" s="248"/>
    </row>
    <row r="5580" spans="1:4">
      <c r="A5580" s="248"/>
      <c r="B5580" s="249"/>
      <c r="C5580" s="248"/>
      <c r="D5580" s="248"/>
    </row>
    <row r="5581" spans="1:4">
      <c r="A5581" s="248"/>
      <c r="B5581" s="249"/>
      <c r="C5581" s="248"/>
      <c r="D5581" s="248"/>
    </row>
    <row r="5582" spans="1:4">
      <c r="A5582" s="248"/>
      <c r="B5582" s="249"/>
      <c r="C5582" s="248"/>
      <c r="D5582" s="248"/>
    </row>
    <row r="5583" spans="1:4">
      <c r="A5583" s="248"/>
      <c r="B5583" s="249"/>
      <c r="C5583" s="248"/>
      <c r="D5583" s="248"/>
    </row>
    <row r="5584" spans="1:4">
      <c r="A5584" s="248"/>
      <c r="B5584" s="249"/>
      <c r="C5584" s="248"/>
      <c r="D5584" s="248"/>
    </row>
    <row r="5585" spans="1:4">
      <c r="A5585" s="248"/>
      <c r="B5585" s="249"/>
      <c r="C5585" s="248"/>
      <c r="D5585" s="248"/>
    </row>
    <row r="5586" spans="1:4">
      <c r="A5586" s="248"/>
      <c r="B5586" s="249"/>
      <c r="C5586" s="248"/>
      <c r="D5586" s="248"/>
    </row>
    <row r="5587" spans="1:4">
      <c r="A5587" s="246"/>
      <c r="B5587" s="246"/>
      <c r="C5587" s="246"/>
      <c r="D5587" s="247"/>
    </row>
    <row r="5588" spans="1:4">
      <c r="A5588" s="248"/>
      <c r="B5588" s="249"/>
      <c r="C5588" s="248"/>
      <c r="D5588" s="248"/>
    </row>
    <row r="5589" spans="1:4">
      <c r="A5589" s="248"/>
      <c r="B5589" s="249"/>
      <c r="C5589" s="248"/>
      <c r="D5589" s="248"/>
    </row>
    <row r="5590" spans="1:4">
      <c r="A5590" s="248"/>
      <c r="B5590" s="249"/>
      <c r="C5590" s="248"/>
      <c r="D5590" s="248"/>
    </row>
    <row r="5591" spans="1:4">
      <c r="A5591" s="248"/>
      <c r="B5591" s="249"/>
      <c r="C5591" s="248"/>
      <c r="D5591" s="248"/>
    </row>
    <row r="5592" spans="1:4">
      <c r="A5592" s="248"/>
      <c r="B5592" s="249"/>
      <c r="C5592" s="248"/>
      <c r="D5592" s="248"/>
    </row>
    <row r="5593" spans="1:4">
      <c r="A5593" s="248"/>
      <c r="B5593" s="249"/>
      <c r="C5593" s="248"/>
      <c r="D5593" s="248"/>
    </row>
    <row r="5594" spans="1:4">
      <c r="A5594" s="248"/>
      <c r="B5594" s="249"/>
      <c r="C5594" s="248"/>
      <c r="D5594" s="248"/>
    </row>
    <row r="5595" spans="1:4">
      <c r="A5595" s="248"/>
      <c r="B5595" s="249"/>
      <c r="C5595" s="248"/>
      <c r="D5595" s="248"/>
    </row>
    <row r="5596" spans="1:4">
      <c r="A5596" s="248"/>
      <c r="B5596" s="249"/>
      <c r="C5596" s="248"/>
      <c r="D5596" s="248"/>
    </row>
    <row r="5597" spans="1:4">
      <c r="A5597" s="246"/>
      <c r="B5597" s="246"/>
      <c r="C5597" s="246"/>
      <c r="D5597" s="247"/>
    </row>
    <row r="5598" spans="1:4">
      <c r="A5598" s="248"/>
      <c r="B5598" s="249"/>
      <c r="C5598" s="248"/>
      <c r="D5598" s="248"/>
    </row>
    <row r="5599" spans="1:4">
      <c r="A5599" s="248"/>
      <c r="B5599" s="249"/>
      <c r="C5599" s="248"/>
      <c r="D5599" s="248"/>
    </row>
    <row r="5600" spans="1:4">
      <c r="A5600" s="248"/>
      <c r="B5600" s="249"/>
      <c r="C5600" s="248"/>
      <c r="D5600" s="248"/>
    </row>
    <row r="5601" spans="1:4">
      <c r="A5601" s="248"/>
      <c r="B5601" s="249"/>
      <c r="C5601" s="248"/>
      <c r="D5601" s="248"/>
    </row>
    <row r="5602" spans="1:4">
      <c r="A5602" s="248"/>
      <c r="B5602" s="249"/>
      <c r="C5602" s="248"/>
      <c r="D5602" s="248"/>
    </row>
    <row r="5603" spans="1:4">
      <c r="A5603" s="248"/>
      <c r="B5603" s="249"/>
      <c r="C5603" s="248"/>
      <c r="D5603" s="248"/>
    </row>
    <row r="5604" spans="1:4">
      <c r="A5604" s="248"/>
      <c r="B5604" s="249"/>
      <c r="C5604" s="248"/>
      <c r="D5604" s="248"/>
    </row>
    <row r="5605" spans="1:4">
      <c r="A5605" s="248"/>
      <c r="B5605" s="249"/>
      <c r="C5605" s="248"/>
      <c r="D5605" s="248"/>
    </row>
    <row r="5606" spans="1:4">
      <c r="A5606" s="248"/>
      <c r="B5606" s="249"/>
      <c r="C5606" s="248"/>
      <c r="D5606" s="248"/>
    </row>
    <row r="5607" spans="1:4">
      <c r="A5607" s="248"/>
      <c r="B5607" s="249"/>
      <c r="C5607" s="248"/>
      <c r="D5607" s="248"/>
    </row>
    <row r="5608" spans="1:4">
      <c r="A5608" s="248"/>
      <c r="B5608" s="249"/>
      <c r="C5608" s="248"/>
      <c r="D5608" s="248"/>
    </row>
    <row r="5609" spans="1:4">
      <c r="A5609" s="248"/>
      <c r="B5609" s="249"/>
      <c r="C5609" s="248"/>
      <c r="D5609" s="248"/>
    </row>
    <row r="5610" spans="1:4">
      <c r="A5610" s="248"/>
      <c r="B5610" s="249"/>
      <c r="C5610" s="248"/>
      <c r="D5610" s="248"/>
    </row>
    <row r="5611" spans="1:4">
      <c r="A5611" s="248"/>
      <c r="B5611" s="249"/>
      <c r="C5611" s="248"/>
      <c r="D5611" s="248"/>
    </row>
    <row r="5612" spans="1:4">
      <c r="A5612" s="248"/>
      <c r="B5612" s="249"/>
      <c r="C5612" s="248"/>
      <c r="D5612" s="248"/>
    </row>
    <row r="5613" spans="1:4">
      <c r="A5613" s="248"/>
      <c r="B5613" s="249"/>
      <c r="C5613" s="248"/>
      <c r="D5613" s="248"/>
    </row>
    <row r="5614" spans="1:4">
      <c r="A5614" s="248"/>
      <c r="B5614" s="249"/>
      <c r="C5614" s="248"/>
      <c r="D5614" s="248"/>
    </row>
    <row r="5615" spans="1:4">
      <c r="A5615" s="246"/>
      <c r="B5615" s="246"/>
      <c r="C5615" s="246"/>
      <c r="D5615" s="247"/>
    </row>
    <row r="5616" spans="1:4">
      <c r="A5616" s="248"/>
      <c r="B5616" s="249"/>
      <c r="C5616" s="248"/>
      <c r="D5616" s="248"/>
    </row>
    <row r="5617" spans="1:4">
      <c r="A5617" s="248"/>
      <c r="B5617" s="249"/>
      <c r="C5617" s="248"/>
      <c r="D5617" s="248"/>
    </row>
    <row r="5618" spans="1:4">
      <c r="A5618" s="251"/>
      <c r="B5618" s="251"/>
      <c r="C5618" s="251"/>
      <c r="D5618" s="252"/>
    </row>
    <row r="5619" spans="1:4">
      <c r="A5619" s="246"/>
      <c r="B5619" s="246"/>
      <c r="C5619" s="246"/>
      <c r="D5619" s="247"/>
    </row>
    <row r="5620" spans="1:4">
      <c r="A5620" s="248"/>
      <c r="B5620" s="249"/>
      <c r="C5620" s="248"/>
      <c r="D5620" s="248"/>
    </row>
    <row r="5621" spans="1:4">
      <c r="A5621" s="248"/>
      <c r="B5621" s="249"/>
      <c r="C5621" s="248"/>
      <c r="D5621" s="248"/>
    </row>
    <row r="5622" spans="1:4">
      <c r="A5622" s="248"/>
      <c r="B5622" s="249"/>
      <c r="C5622" s="248"/>
      <c r="D5622" s="248"/>
    </row>
    <row r="5623" spans="1:4">
      <c r="A5623" s="248"/>
      <c r="B5623" s="249"/>
      <c r="C5623" s="248"/>
      <c r="D5623" s="248"/>
    </row>
    <row r="5624" spans="1:4">
      <c r="A5624" s="248"/>
      <c r="B5624" s="249"/>
      <c r="C5624" s="248"/>
      <c r="D5624" s="248"/>
    </row>
    <row r="5625" spans="1:4">
      <c r="A5625" s="248"/>
      <c r="B5625" s="249"/>
      <c r="C5625" s="248"/>
      <c r="D5625" s="248"/>
    </row>
    <row r="5626" spans="1:4">
      <c r="A5626" s="248"/>
      <c r="B5626" s="249"/>
      <c r="C5626" s="248"/>
      <c r="D5626" s="248"/>
    </row>
    <row r="5627" spans="1:4">
      <c r="A5627" s="248"/>
      <c r="B5627" s="249"/>
      <c r="C5627" s="248"/>
      <c r="D5627" s="248"/>
    </row>
    <row r="5628" spans="1:4">
      <c r="A5628" s="246"/>
      <c r="B5628" s="246"/>
      <c r="C5628" s="246"/>
      <c r="D5628" s="247"/>
    </row>
    <row r="5629" spans="1:4">
      <c r="A5629" s="248"/>
      <c r="B5629" s="249"/>
      <c r="C5629" s="248"/>
      <c r="D5629" s="248"/>
    </row>
    <row r="5630" spans="1:4">
      <c r="A5630" s="246"/>
      <c r="B5630" s="246"/>
      <c r="C5630" s="246"/>
      <c r="D5630" s="247"/>
    </row>
    <row r="5631" spans="1:4">
      <c r="A5631" s="248"/>
      <c r="B5631" s="249"/>
      <c r="C5631" s="248"/>
      <c r="D5631" s="248"/>
    </row>
    <row r="5632" spans="1:4">
      <c r="A5632" s="246"/>
      <c r="B5632" s="246"/>
      <c r="C5632" s="246"/>
      <c r="D5632" s="247"/>
    </row>
    <row r="5633" spans="1:4">
      <c r="A5633" s="248"/>
      <c r="B5633" s="249"/>
      <c r="C5633" s="248"/>
      <c r="D5633" s="248"/>
    </row>
    <row r="5634" spans="1:4">
      <c r="A5634" s="248"/>
      <c r="B5634" s="249"/>
      <c r="C5634" s="248"/>
      <c r="D5634" s="248"/>
    </row>
    <row r="5635" spans="1:4">
      <c r="A5635" s="248"/>
      <c r="B5635" s="249"/>
      <c r="C5635" s="248"/>
      <c r="D5635" s="248"/>
    </row>
    <row r="5636" spans="1:4">
      <c r="A5636" s="248"/>
      <c r="B5636" s="249"/>
      <c r="C5636" s="248"/>
      <c r="D5636" s="248"/>
    </row>
    <row r="5637" spans="1:4">
      <c r="A5637" s="246"/>
      <c r="B5637" s="246"/>
      <c r="C5637" s="246"/>
      <c r="D5637" s="247"/>
    </row>
    <row r="5638" spans="1:4">
      <c r="A5638" s="248"/>
      <c r="B5638" s="249"/>
      <c r="C5638" s="248"/>
      <c r="D5638" s="248"/>
    </row>
    <row r="5639" spans="1:4">
      <c r="A5639" s="248"/>
      <c r="B5639" s="249"/>
      <c r="C5639" s="248"/>
      <c r="D5639" s="248"/>
    </row>
    <row r="5640" spans="1:4">
      <c r="A5640" s="248"/>
      <c r="B5640" s="249"/>
      <c r="C5640" s="248"/>
      <c r="D5640" s="248"/>
    </row>
    <row r="5641" spans="1:4">
      <c r="A5641" s="248"/>
      <c r="B5641" s="249"/>
      <c r="C5641" s="248"/>
      <c r="D5641" s="248"/>
    </row>
    <row r="5642" spans="1:4">
      <c r="A5642" s="248"/>
      <c r="B5642" s="249"/>
      <c r="C5642" s="248"/>
      <c r="D5642" s="248"/>
    </row>
    <row r="5643" spans="1:4">
      <c r="A5643" s="248"/>
      <c r="B5643" s="249"/>
      <c r="C5643" s="248"/>
      <c r="D5643" s="248"/>
    </row>
    <row r="5644" spans="1:4">
      <c r="A5644" s="248"/>
      <c r="B5644" s="249"/>
      <c r="C5644" s="248"/>
      <c r="D5644" s="248"/>
    </row>
    <row r="5645" spans="1:4">
      <c r="A5645" s="248"/>
      <c r="B5645" s="249"/>
      <c r="C5645" s="248"/>
      <c r="D5645" s="248"/>
    </row>
    <row r="5646" spans="1:4">
      <c r="A5646" s="248"/>
      <c r="B5646" s="249"/>
      <c r="C5646" s="248"/>
      <c r="D5646" s="248"/>
    </row>
    <row r="5647" spans="1:4">
      <c r="A5647" s="246"/>
      <c r="B5647" s="246"/>
      <c r="C5647" s="246"/>
      <c r="D5647" s="247"/>
    </row>
    <row r="5648" spans="1:4">
      <c r="A5648" s="248"/>
      <c r="B5648" s="249"/>
      <c r="C5648" s="248"/>
      <c r="D5648" s="248"/>
    </row>
    <row r="5649" spans="1:4">
      <c r="A5649" s="248"/>
      <c r="B5649" s="249"/>
      <c r="C5649" s="248"/>
      <c r="D5649" s="248"/>
    </row>
    <row r="5650" spans="1:4">
      <c r="A5650" s="248"/>
      <c r="B5650" s="249"/>
      <c r="C5650" s="248"/>
      <c r="D5650" s="248"/>
    </row>
    <row r="5651" spans="1:4">
      <c r="A5651" s="248"/>
      <c r="B5651" s="249"/>
      <c r="C5651" s="248"/>
      <c r="D5651" s="248"/>
    </row>
    <row r="5652" spans="1:4">
      <c r="A5652" s="248"/>
      <c r="B5652" s="249"/>
      <c r="C5652" s="248"/>
      <c r="D5652" s="248"/>
    </row>
    <row r="5653" spans="1:4">
      <c r="A5653" s="251"/>
      <c r="B5653" s="251"/>
      <c r="C5653" s="251"/>
      <c r="D5653" s="252"/>
    </row>
    <row r="5654" spans="1:4">
      <c r="A5654" s="246"/>
      <c r="B5654" s="246"/>
      <c r="C5654" s="246"/>
      <c r="D5654" s="247"/>
    </row>
    <row r="5655" spans="1:4">
      <c r="A5655" s="248"/>
      <c r="B5655" s="249"/>
      <c r="C5655" s="248"/>
      <c r="D5655" s="248"/>
    </row>
    <row r="5656" spans="1:4">
      <c r="A5656" s="248"/>
      <c r="B5656" s="249"/>
      <c r="C5656" s="248"/>
      <c r="D5656" s="248"/>
    </row>
    <row r="5657" spans="1:4">
      <c r="A5657" s="248"/>
      <c r="B5657" s="249"/>
      <c r="C5657" s="248"/>
      <c r="D5657" s="248"/>
    </row>
    <row r="5658" spans="1:4">
      <c r="A5658" s="248"/>
      <c r="B5658" s="249"/>
      <c r="C5658" s="248"/>
      <c r="D5658" s="248"/>
    </row>
    <row r="5659" spans="1:4">
      <c r="A5659" s="248"/>
      <c r="B5659" s="249"/>
      <c r="C5659" s="248"/>
      <c r="D5659" s="248"/>
    </row>
    <row r="5660" spans="1:4">
      <c r="A5660" s="248"/>
      <c r="B5660" s="249"/>
      <c r="C5660" s="248"/>
      <c r="D5660" s="248"/>
    </row>
    <row r="5661" spans="1:4">
      <c r="A5661" s="248"/>
      <c r="B5661" s="249"/>
      <c r="C5661" s="248"/>
      <c r="D5661" s="248"/>
    </row>
    <row r="5662" spans="1:4">
      <c r="A5662" s="248"/>
      <c r="B5662" s="249"/>
      <c r="C5662" s="248"/>
      <c r="D5662" s="248"/>
    </row>
    <row r="5663" spans="1:4">
      <c r="A5663" s="248"/>
      <c r="B5663" s="249"/>
      <c r="C5663" s="248"/>
      <c r="D5663" s="248"/>
    </row>
    <row r="5664" spans="1:4">
      <c r="A5664" s="248"/>
      <c r="B5664" s="249"/>
      <c r="C5664" s="248"/>
      <c r="D5664" s="248"/>
    </row>
    <row r="5665" spans="1:4">
      <c r="A5665" s="248"/>
      <c r="B5665" s="249"/>
      <c r="C5665" s="248"/>
      <c r="D5665" s="248"/>
    </row>
    <row r="5666" spans="1:4">
      <c r="A5666" s="248"/>
      <c r="B5666" s="249"/>
      <c r="C5666" s="248"/>
      <c r="D5666" s="248"/>
    </row>
    <row r="5667" spans="1:4">
      <c r="A5667" s="248"/>
      <c r="B5667" s="249"/>
      <c r="C5667" s="248"/>
      <c r="D5667" s="248"/>
    </row>
    <row r="5668" spans="1:4">
      <c r="A5668" s="248"/>
      <c r="B5668" s="249"/>
      <c r="C5668" s="248"/>
      <c r="D5668" s="248"/>
    </row>
    <row r="5669" spans="1:4">
      <c r="A5669" s="248"/>
      <c r="B5669" s="249"/>
      <c r="C5669" s="248"/>
      <c r="D5669" s="248"/>
    </row>
    <row r="5670" spans="1:4">
      <c r="A5670" s="246"/>
      <c r="B5670" s="246"/>
      <c r="C5670" s="246"/>
      <c r="D5670" s="247"/>
    </row>
    <row r="5671" spans="1:4">
      <c r="A5671" s="248"/>
      <c r="B5671" s="249"/>
      <c r="C5671" s="248"/>
      <c r="D5671" s="248"/>
    </row>
    <row r="5672" spans="1:4">
      <c r="A5672" s="248"/>
      <c r="B5672" s="249"/>
      <c r="C5672" s="248"/>
      <c r="D5672" s="248"/>
    </row>
    <row r="5673" spans="1:4">
      <c r="A5673" s="248"/>
      <c r="B5673" s="249"/>
      <c r="C5673" s="248"/>
      <c r="D5673" s="248"/>
    </row>
    <row r="5674" spans="1:4">
      <c r="A5674" s="248"/>
      <c r="B5674" s="249"/>
      <c r="C5674" s="248"/>
      <c r="D5674" s="248"/>
    </row>
    <row r="5675" spans="1:4">
      <c r="A5675" s="248"/>
      <c r="B5675" s="249"/>
      <c r="C5675" s="248"/>
      <c r="D5675" s="248"/>
    </row>
    <row r="5676" spans="1:4">
      <c r="A5676" s="246"/>
      <c r="B5676" s="246"/>
      <c r="C5676" s="246"/>
      <c r="D5676" s="247"/>
    </row>
    <row r="5677" spans="1:4">
      <c r="A5677" s="248"/>
      <c r="B5677" s="249"/>
      <c r="C5677" s="248"/>
      <c r="D5677" s="248"/>
    </row>
    <row r="5678" spans="1:4">
      <c r="A5678" s="248"/>
      <c r="B5678" s="249"/>
      <c r="C5678" s="248"/>
      <c r="D5678" s="248"/>
    </row>
    <row r="5679" spans="1:4">
      <c r="A5679" s="248"/>
      <c r="B5679" s="249"/>
      <c r="C5679" s="248"/>
      <c r="D5679" s="248"/>
    </row>
    <row r="5680" spans="1:4">
      <c r="A5680" s="248"/>
      <c r="B5680" s="249"/>
      <c r="C5680" s="248"/>
      <c r="D5680" s="248"/>
    </row>
    <row r="5681" spans="1:4">
      <c r="A5681" s="248"/>
      <c r="B5681" s="249"/>
      <c r="C5681" s="248"/>
      <c r="D5681" s="248"/>
    </row>
    <row r="5682" spans="1:4">
      <c r="A5682" s="248"/>
      <c r="B5682" s="249"/>
      <c r="C5682" s="248"/>
      <c r="D5682" s="248"/>
    </row>
    <row r="5683" spans="1:4">
      <c r="A5683" s="248"/>
      <c r="B5683" s="249"/>
      <c r="C5683" s="248"/>
      <c r="D5683" s="248"/>
    </row>
    <row r="5684" spans="1:4">
      <c r="A5684" s="248"/>
      <c r="B5684" s="249"/>
      <c r="C5684" s="248"/>
      <c r="D5684" s="248"/>
    </row>
    <row r="5685" spans="1:4">
      <c r="A5685" s="248"/>
      <c r="B5685" s="249"/>
      <c r="C5685" s="248"/>
      <c r="D5685" s="248"/>
    </row>
    <row r="5686" spans="1:4">
      <c r="A5686" s="248"/>
      <c r="B5686" s="249"/>
      <c r="C5686" s="248"/>
      <c r="D5686" s="248"/>
    </row>
    <row r="5687" spans="1:4">
      <c r="A5687" s="248"/>
      <c r="B5687" s="249"/>
      <c r="C5687" s="248"/>
      <c r="D5687" s="248"/>
    </row>
    <row r="5688" spans="1:4">
      <c r="A5688" s="248"/>
      <c r="B5688" s="249"/>
      <c r="C5688" s="248"/>
      <c r="D5688" s="248"/>
    </row>
    <row r="5689" spans="1:4">
      <c r="A5689" s="251"/>
      <c r="B5689" s="251"/>
      <c r="C5689" s="251"/>
      <c r="D5689" s="252"/>
    </row>
    <row r="5690" spans="1:4">
      <c r="A5690" s="246"/>
      <c r="B5690" s="246"/>
      <c r="C5690" s="246"/>
      <c r="D5690" s="247"/>
    </row>
    <row r="5691" spans="1:4">
      <c r="A5691" s="248"/>
      <c r="B5691" s="249"/>
      <c r="C5691" s="248"/>
      <c r="D5691" s="248"/>
    </row>
    <row r="5692" spans="1:4">
      <c r="A5692" s="248"/>
      <c r="B5692" s="249"/>
      <c r="C5692" s="248"/>
      <c r="D5692" s="248"/>
    </row>
    <row r="5693" spans="1:4">
      <c r="A5693" s="248"/>
      <c r="B5693" s="249"/>
      <c r="C5693" s="248"/>
      <c r="D5693" s="248"/>
    </row>
    <row r="5694" spans="1:4">
      <c r="A5694" s="251"/>
      <c r="B5694" s="251"/>
      <c r="C5694" s="251"/>
      <c r="D5694" s="252"/>
    </row>
    <row r="5695" spans="1:4">
      <c r="A5695" s="246"/>
      <c r="B5695" s="246"/>
      <c r="C5695" s="246"/>
      <c r="D5695" s="247"/>
    </row>
    <row r="5696" spans="1:4">
      <c r="A5696" s="248"/>
      <c r="B5696" s="249"/>
      <c r="C5696" s="248"/>
      <c r="D5696" s="248"/>
    </row>
    <row r="5697" spans="1:4">
      <c r="A5697" s="248"/>
      <c r="B5697" s="249"/>
      <c r="C5697" s="248"/>
      <c r="D5697" s="248"/>
    </row>
    <row r="5698" spans="1:4">
      <c r="A5698" s="248"/>
      <c r="B5698" s="249"/>
      <c r="C5698" s="248"/>
      <c r="D5698" s="248"/>
    </row>
    <row r="5699" spans="1:4">
      <c r="A5699" s="246"/>
      <c r="B5699" s="246"/>
      <c r="C5699" s="246"/>
      <c r="D5699" s="247"/>
    </row>
    <row r="5700" spans="1:4">
      <c r="A5700" s="251"/>
      <c r="B5700" s="251"/>
      <c r="C5700" s="251"/>
      <c r="D5700" s="252"/>
    </row>
    <row r="5701" spans="1:4">
      <c r="A5701" s="251"/>
      <c r="B5701" s="251"/>
      <c r="C5701" s="251"/>
      <c r="D5701" s="252"/>
    </row>
    <row r="5702" spans="1:4">
      <c r="A5702" s="253"/>
      <c r="B5702" s="253"/>
      <c r="C5702" s="253"/>
      <c r="D5702" s="254"/>
    </row>
    <row r="5703" spans="1:4">
      <c r="A5703" s="246"/>
      <c r="B5703" s="246"/>
      <c r="C5703" s="246"/>
      <c r="D5703" s="247"/>
    </row>
    <row r="5704" spans="1:4">
      <c r="A5704" s="248"/>
      <c r="B5704" s="249"/>
      <c r="C5704" s="248"/>
      <c r="D5704" s="248"/>
    </row>
    <row r="5705" spans="1:4">
      <c r="A5705" s="248"/>
      <c r="B5705" s="249"/>
      <c r="C5705" s="248"/>
      <c r="D5705" s="248"/>
    </row>
    <row r="5706" spans="1:4">
      <c r="A5706" s="248"/>
      <c r="B5706" s="249"/>
      <c r="C5706" s="248"/>
      <c r="D5706" s="248"/>
    </row>
    <row r="5707" spans="1:4">
      <c r="A5707" s="248"/>
      <c r="B5707" s="249"/>
      <c r="C5707" s="248"/>
      <c r="D5707" s="248"/>
    </row>
    <row r="5708" spans="1:4">
      <c r="A5708" s="248"/>
      <c r="B5708" s="249"/>
      <c r="C5708" s="248"/>
      <c r="D5708" s="248"/>
    </row>
    <row r="5709" spans="1:4">
      <c r="A5709" s="248"/>
      <c r="B5709" s="249"/>
      <c r="C5709" s="248"/>
      <c r="D5709" s="248"/>
    </row>
    <row r="5710" spans="1:4">
      <c r="A5710" s="248"/>
      <c r="B5710" s="249"/>
      <c r="C5710" s="248"/>
      <c r="D5710" s="248"/>
    </row>
    <row r="5711" spans="1:4">
      <c r="A5711" s="248"/>
      <c r="B5711" s="249"/>
      <c r="C5711" s="248"/>
      <c r="D5711" s="248"/>
    </row>
    <row r="5712" spans="1:4">
      <c r="A5712" s="248"/>
      <c r="B5712" s="249"/>
      <c r="C5712" s="248"/>
      <c r="D5712" s="248"/>
    </row>
    <row r="5713" spans="1:4">
      <c r="A5713" s="248"/>
      <c r="B5713" s="249"/>
      <c r="C5713" s="248"/>
      <c r="D5713" s="248"/>
    </row>
    <row r="5714" spans="1:4">
      <c r="A5714" s="248"/>
      <c r="B5714" s="249"/>
      <c r="C5714" s="248"/>
      <c r="D5714" s="248"/>
    </row>
    <row r="5715" spans="1:4">
      <c r="A5715" s="248"/>
      <c r="B5715" s="249"/>
      <c r="C5715" s="248"/>
      <c r="D5715" s="248"/>
    </row>
    <row r="5716" spans="1:4">
      <c r="A5716" s="248"/>
      <c r="B5716" s="249"/>
      <c r="C5716" s="248"/>
      <c r="D5716" s="248"/>
    </row>
    <row r="5717" spans="1:4">
      <c r="A5717" s="248"/>
      <c r="B5717" s="249"/>
      <c r="C5717" s="248"/>
      <c r="D5717" s="248"/>
    </row>
    <row r="5718" spans="1:4">
      <c r="A5718" s="248"/>
      <c r="B5718" s="249"/>
      <c r="C5718" s="248"/>
      <c r="D5718" s="248"/>
    </row>
    <row r="5719" spans="1:4">
      <c r="A5719" s="248"/>
      <c r="B5719" s="249"/>
      <c r="C5719" s="248"/>
      <c r="D5719" s="248"/>
    </row>
    <row r="5720" spans="1:4">
      <c r="A5720" s="248"/>
      <c r="B5720" s="249"/>
      <c r="C5720" s="248"/>
      <c r="D5720" s="248"/>
    </row>
    <row r="5721" spans="1:4">
      <c r="A5721" s="248"/>
      <c r="B5721" s="249"/>
      <c r="C5721" s="248"/>
      <c r="D5721" s="248"/>
    </row>
    <row r="5722" spans="1:4">
      <c r="A5722" s="248"/>
      <c r="B5722" s="249"/>
      <c r="C5722" s="248"/>
      <c r="D5722" s="248"/>
    </row>
    <row r="5723" spans="1:4">
      <c r="A5723" s="248"/>
      <c r="B5723" s="249"/>
      <c r="C5723" s="248"/>
      <c r="D5723" s="248"/>
    </row>
    <row r="5724" spans="1:4">
      <c r="A5724" s="248"/>
      <c r="B5724" s="249"/>
      <c r="C5724" s="248"/>
      <c r="D5724" s="248"/>
    </row>
    <row r="5725" spans="1:4">
      <c r="A5725" s="246"/>
      <c r="B5725" s="246"/>
      <c r="C5725" s="246"/>
      <c r="D5725" s="247"/>
    </row>
    <row r="5726" spans="1:4">
      <c r="A5726" s="248"/>
      <c r="B5726" s="249"/>
      <c r="C5726" s="248"/>
      <c r="D5726" s="248"/>
    </row>
    <row r="5727" spans="1:4">
      <c r="A5727" s="248"/>
      <c r="B5727" s="249"/>
      <c r="C5727" s="248"/>
      <c r="D5727" s="248"/>
    </row>
    <row r="5728" spans="1:4">
      <c r="A5728" s="248"/>
      <c r="B5728" s="249"/>
      <c r="C5728" s="248"/>
      <c r="D5728" s="248"/>
    </row>
    <row r="5729" spans="1:4">
      <c r="A5729" s="248"/>
      <c r="B5729" s="249"/>
      <c r="C5729" s="248"/>
      <c r="D5729" s="248"/>
    </row>
    <row r="5730" spans="1:4">
      <c r="A5730" s="246"/>
      <c r="B5730" s="246"/>
      <c r="C5730" s="246"/>
      <c r="D5730" s="247"/>
    </row>
    <row r="5731" spans="1:4">
      <c r="A5731" s="248"/>
      <c r="B5731" s="249"/>
      <c r="C5731" s="248"/>
      <c r="D5731" s="248"/>
    </row>
    <row r="5732" spans="1:4">
      <c r="A5732" s="248"/>
      <c r="B5732" s="249"/>
      <c r="C5732" s="248"/>
      <c r="D5732" s="248"/>
    </row>
    <row r="5733" spans="1:4">
      <c r="A5733" s="251"/>
      <c r="B5733" s="251"/>
      <c r="C5733" s="251"/>
      <c r="D5733" s="252"/>
    </row>
    <row r="5734" spans="1:4">
      <c r="A5734" s="246"/>
      <c r="B5734" s="246"/>
      <c r="C5734" s="246"/>
      <c r="D5734" s="247"/>
    </row>
    <row r="5735" spans="1:4">
      <c r="A5735" s="248"/>
      <c r="B5735" s="249"/>
      <c r="C5735" s="248"/>
      <c r="D5735" s="248"/>
    </row>
    <row r="5736" spans="1:4">
      <c r="A5736" s="248"/>
      <c r="B5736" s="249"/>
      <c r="C5736" s="248"/>
      <c r="D5736" s="248"/>
    </row>
    <row r="5737" spans="1:4">
      <c r="A5737" s="248"/>
      <c r="B5737" s="249"/>
      <c r="C5737" s="248"/>
      <c r="D5737" s="248"/>
    </row>
    <row r="5738" spans="1:4">
      <c r="A5738" s="248"/>
      <c r="B5738" s="249"/>
      <c r="C5738" s="248"/>
      <c r="D5738" s="248"/>
    </row>
    <row r="5739" spans="1:4">
      <c r="A5739" s="248"/>
      <c r="B5739" s="249"/>
      <c r="C5739" s="248"/>
      <c r="D5739" s="248"/>
    </row>
    <row r="5740" spans="1:4">
      <c r="A5740" s="248"/>
      <c r="B5740" s="249"/>
      <c r="C5740" s="248"/>
      <c r="D5740" s="248"/>
    </row>
    <row r="5741" spans="1:4">
      <c r="A5741" s="248"/>
      <c r="B5741" s="249"/>
      <c r="C5741" s="248"/>
      <c r="D5741" s="248"/>
    </row>
    <row r="5742" spans="1:4">
      <c r="A5742" s="248"/>
      <c r="B5742" s="249"/>
      <c r="C5742" s="248"/>
      <c r="D5742" s="248"/>
    </row>
    <row r="5743" spans="1:4">
      <c r="A5743" s="248"/>
      <c r="B5743" s="249"/>
      <c r="C5743" s="248"/>
      <c r="D5743" s="248"/>
    </row>
    <row r="5744" spans="1:4">
      <c r="A5744" s="248"/>
      <c r="B5744" s="249"/>
      <c r="C5744" s="248"/>
      <c r="D5744" s="248"/>
    </row>
    <row r="5745" spans="1:4">
      <c r="A5745" s="248"/>
      <c r="B5745" s="249"/>
      <c r="C5745" s="248"/>
      <c r="D5745" s="248"/>
    </row>
    <row r="5746" spans="1:4">
      <c r="A5746" s="248"/>
      <c r="B5746" s="249"/>
      <c r="C5746" s="248"/>
      <c r="D5746" s="248"/>
    </row>
    <row r="5747" spans="1:4">
      <c r="A5747" s="248"/>
      <c r="B5747" s="249"/>
      <c r="C5747" s="248"/>
      <c r="D5747" s="248"/>
    </row>
    <row r="5748" spans="1:4">
      <c r="A5748" s="248"/>
      <c r="B5748" s="249"/>
      <c r="C5748" s="248"/>
      <c r="D5748" s="248"/>
    </row>
  </sheetData>
  <autoFilter ref="A2:D5748" xr:uid="{00000000-0009-0000-0000-000005000000}"/>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8"/>
  <sheetViews>
    <sheetView workbookViewId="0">
      <selection activeCell="I18" sqref="I18"/>
    </sheetView>
  </sheetViews>
  <sheetFormatPr defaultRowHeight="14.25"/>
  <sheetData>
    <row r="1" spans="1:1">
      <c r="A1" t="s">
        <v>928</v>
      </c>
    </row>
    <row r="2" spans="1:1">
      <c r="A2" t="s">
        <v>12617</v>
      </c>
    </row>
    <row r="3" spans="1:1">
      <c r="A3" t="s">
        <v>1943</v>
      </c>
    </row>
    <row r="4" spans="1:1">
      <c r="A4" t="s">
        <v>2099</v>
      </c>
    </row>
    <row r="5" spans="1:1">
      <c r="A5" t="s">
        <v>927</v>
      </c>
    </row>
    <row r="6" spans="1:1">
      <c r="A6" t="s">
        <v>1942</v>
      </c>
    </row>
    <row r="7" spans="1:1">
      <c r="A7" t="s">
        <v>929</v>
      </c>
    </row>
    <row r="8" spans="1:1">
      <c r="A8" t="s">
        <v>930</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499984740745262"/>
  </sheetPr>
  <dimension ref="A1:IW42"/>
  <sheetViews>
    <sheetView view="pageBreakPreview" zoomScale="115" zoomScaleNormal="100" zoomScaleSheetLayoutView="115" workbookViewId="0">
      <selection activeCell="C27" sqref="C27:D28"/>
    </sheetView>
  </sheetViews>
  <sheetFormatPr defaultRowHeight="12.75"/>
  <cols>
    <col min="1" max="1" width="15.625" style="46" customWidth="1"/>
    <col min="2" max="2" width="37.375" style="46" customWidth="1"/>
    <col min="3" max="3" width="10.875" style="47" customWidth="1"/>
    <col min="4" max="4" width="5.625" style="46" customWidth="1"/>
    <col min="5" max="5" width="10.125" style="46" customWidth="1"/>
    <col min="6" max="6" width="31.875" style="46" customWidth="1"/>
    <col min="7" max="257" width="8.5" style="46" customWidth="1"/>
    <col min="258" max="1024" width="8.5" style="52" customWidth="1"/>
    <col min="1025" max="16384" width="9" style="52"/>
  </cols>
  <sheetData>
    <row r="1" spans="1:8" s="43" customFormat="1" ht="30" customHeight="1">
      <c r="A1" s="339" t="s">
        <v>889</v>
      </c>
      <c r="B1" s="339"/>
      <c r="C1" s="339"/>
      <c r="D1" s="339"/>
      <c r="E1" s="45"/>
      <c r="F1" s="45"/>
      <c r="H1" s="44"/>
    </row>
    <row r="2" spans="1:8" s="45" customFormat="1" ht="15" customHeight="1">
      <c r="A2" s="65" t="s">
        <v>890</v>
      </c>
      <c r="B2" s="340" t="s">
        <v>7316</v>
      </c>
      <c r="C2" s="340"/>
      <c r="D2" s="340"/>
      <c r="E2" s="42"/>
    </row>
    <row r="3" spans="1:8" s="45" customFormat="1" ht="15" customHeight="1">
      <c r="A3" s="65" t="s">
        <v>891</v>
      </c>
      <c r="B3" s="341" t="s">
        <v>14222</v>
      </c>
      <c r="C3" s="341"/>
      <c r="D3" s="341"/>
      <c r="E3" s="42"/>
    </row>
    <row r="4" spans="1:8" s="45" customFormat="1" ht="15" customHeight="1">
      <c r="A4" s="65" t="s">
        <v>7242</v>
      </c>
      <c r="B4" s="342" t="s">
        <v>14665</v>
      </c>
      <c r="C4" s="342"/>
      <c r="D4" s="342"/>
      <c r="E4" s="42"/>
    </row>
    <row r="5" spans="1:8" ht="15" customHeight="1">
      <c r="A5" s="337" t="s">
        <v>892</v>
      </c>
      <c r="B5" s="337"/>
      <c r="C5" s="337"/>
      <c r="D5" s="337"/>
    </row>
    <row r="6" spans="1:8" ht="15" customHeight="1">
      <c r="B6" s="68" t="s">
        <v>893</v>
      </c>
      <c r="C6" s="67"/>
      <c r="D6" s="66"/>
    </row>
    <row r="7" spans="1:8" ht="15" customHeight="1">
      <c r="A7" s="337" t="s">
        <v>894</v>
      </c>
      <c r="B7" s="337"/>
      <c r="C7" s="337"/>
      <c r="D7" s="337"/>
    </row>
    <row r="8" spans="1:8" ht="15" customHeight="1">
      <c r="B8" s="68" t="s">
        <v>916</v>
      </c>
      <c r="C8" s="67"/>
      <c r="D8" s="66"/>
    </row>
    <row r="9" spans="1:8" ht="15" customHeight="1">
      <c r="A9" s="337" t="s">
        <v>896</v>
      </c>
      <c r="B9" s="337"/>
      <c r="C9" s="337"/>
      <c r="D9" s="337"/>
    </row>
    <row r="10" spans="1:8" ht="15" customHeight="1">
      <c r="A10" s="48"/>
      <c r="B10" s="69" t="s">
        <v>7257</v>
      </c>
      <c r="C10" s="70">
        <v>4</v>
      </c>
      <c r="D10" s="71" t="s">
        <v>897</v>
      </c>
      <c r="F10" s="49"/>
    </row>
    <row r="11" spans="1:8" ht="15" customHeight="1">
      <c r="A11" s="48"/>
      <c r="B11" s="69" t="s">
        <v>7258</v>
      </c>
      <c r="C11" s="70">
        <v>0.97</v>
      </c>
      <c r="D11" s="71" t="s">
        <v>897</v>
      </c>
      <c r="F11" s="49"/>
    </row>
    <row r="12" spans="1:8" ht="15" customHeight="1">
      <c r="A12" s="48"/>
      <c r="B12" s="69" t="s">
        <v>7259</v>
      </c>
      <c r="C12" s="70">
        <v>0.8</v>
      </c>
      <c r="D12" s="71" t="s">
        <v>897</v>
      </c>
      <c r="F12" s="49"/>
    </row>
    <row r="13" spans="1:8" ht="15" customHeight="1">
      <c r="A13" s="48"/>
      <c r="B13" s="69" t="s">
        <v>7260</v>
      </c>
      <c r="C13" s="70">
        <v>1.23</v>
      </c>
      <c r="D13" s="71" t="s">
        <v>897</v>
      </c>
      <c r="F13" s="49"/>
    </row>
    <row r="14" spans="1:8" ht="15" customHeight="1">
      <c r="B14" s="72"/>
      <c r="C14" s="73"/>
      <c r="D14" s="74"/>
      <c r="F14" s="49"/>
    </row>
    <row r="15" spans="1:8" ht="15" customHeight="1">
      <c r="A15" s="48"/>
      <c r="B15" s="69" t="s">
        <v>7261</v>
      </c>
      <c r="C15" s="70">
        <v>6.65</v>
      </c>
      <c r="D15" s="71" t="s">
        <v>897</v>
      </c>
      <c r="F15" s="49"/>
    </row>
    <row r="16" spans="1:8" ht="15" customHeight="1">
      <c r="D16" s="47"/>
    </row>
    <row r="17" spans="1:6" ht="15" customHeight="1">
      <c r="A17" s="337" t="s">
        <v>898</v>
      </c>
      <c r="B17" s="337"/>
      <c r="C17" s="337"/>
      <c r="D17" s="337"/>
    </row>
    <row r="18" spans="1:6" ht="15" customHeight="1">
      <c r="A18" s="66"/>
      <c r="B18" s="75" t="s">
        <v>899</v>
      </c>
      <c r="C18" s="76">
        <f>C23+C24+C25</f>
        <v>8.65</v>
      </c>
      <c r="D18" s="77" t="s">
        <v>897</v>
      </c>
    </row>
    <row r="19" spans="1:6" ht="15" customHeight="1">
      <c r="A19" s="66"/>
      <c r="B19" s="66"/>
      <c r="C19" s="66"/>
      <c r="D19" s="66"/>
    </row>
    <row r="20" spans="1:6" ht="15" customHeight="1">
      <c r="A20" s="66"/>
      <c r="B20" s="78" t="s">
        <v>900</v>
      </c>
      <c r="C20" s="70">
        <v>100</v>
      </c>
      <c r="D20" s="77" t="s">
        <v>897</v>
      </c>
    </row>
    <row r="21" spans="1:6" ht="15" customHeight="1">
      <c r="A21" s="66"/>
      <c r="B21" s="78" t="s">
        <v>901</v>
      </c>
      <c r="C21" s="70">
        <v>5</v>
      </c>
      <c r="D21" s="77" t="s">
        <v>897</v>
      </c>
    </row>
    <row r="22" spans="1:6" s="46" customFormat="1" ht="15" customHeight="1">
      <c r="C22" s="47"/>
      <c r="D22" s="67"/>
    </row>
    <row r="23" spans="1:6" ht="15" customHeight="1">
      <c r="B23" s="78" t="s">
        <v>902</v>
      </c>
      <c r="C23" s="79">
        <v>3</v>
      </c>
      <c r="D23" s="80" t="s">
        <v>897</v>
      </c>
      <c r="F23" s="49"/>
    </row>
    <row r="24" spans="1:6" ht="15" customHeight="1">
      <c r="B24" s="78" t="s">
        <v>903</v>
      </c>
      <c r="C24" s="79">
        <v>0.65</v>
      </c>
      <c r="D24" s="80" t="s">
        <v>897</v>
      </c>
    </row>
    <row r="25" spans="1:6" ht="15" customHeight="1">
      <c r="B25" s="78" t="s">
        <v>904</v>
      </c>
      <c r="C25" s="79">
        <f>ISS</f>
        <v>5</v>
      </c>
      <c r="D25" s="71" t="s">
        <v>897</v>
      </c>
    </row>
    <row r="26" spans="1:6" ht="15" customHeight="1">
      <c r="A26" s="337" t="s">
        <v>905</v>
      </c>
      <c r="B26" s="337"/>
      <c r="C26" s="337"/>
      <c r="D26" s="337"/>
    </row>
    <row r="27" spans="1:6" ht="15" customHeight="1">
      <c r="B27" s="47" t="s">
        <v>7262</v>
      </c>
      <c r="C27" s="338">
        <f>ROUND((((1+(AC+RIS+SG)/100)*(1+(DF/100))*(1+(LUC/100)))/(1-DT/100)-1),4)</f>
        <v>0.25</v>
      </c>
      <c r="D27" s="338"/>
      <c r="E27" s="346" t="str">
        <f>VERIFICA</f>
        <v>Atende</v>
      </c>
      <c r="F27" s="50"/>
    </row>
    <row r="28" spans="1:6" ht="15" customHeight="1">
      <c r="B28" s="47" t="s">
        <v>906</v>
      </c>
      <c r="C28" s="338"/>
      <c r="D28" s="338"/>
      <c r="E28" s="346"/>
      <c r="F28" s="51"/>
    </row>
    <row r="29" spans="1:6" ht="15" customHeight="1">
      <c r="C29" s="81"/>
    </row>
    <row r="30" spans="1:6" ht="15" customHeight="1">
      <c r="A30" s="343" t="s">
        <v>907</v>
      </c>
      <c r="B30" s="343"/>
      <c r="C30" s="343"/>
      <c r="D30" s="343"/>
    </row>
    <row r="31" spans="1:6" ht="15" customHeight="1">
      <c r="A31" s="343" t="str">
        <f>CONCATENATE("do ISS para ",B8," é de ",C20," %",", com a respectiva alíquota de ",C21,"  %")</f>
        <v>do ISS para Edificações é de 100 %, com a respectiva alíquota de 5  %</v>
      </c>
      <c r="B31" s="343"/>
      <c r="C31" s="343"/>
      <c r="D31" s="343"/>
    </row>
    <row r="32" spans="1:6" ht="15" customHeight="1">
      <c r="A32" s="82"/>
    </row>
    <row r="33" spans="1:4" ht="15" customHeight="1">
      <c r="A33" s="344" t="s">
        <v>908</v>
      </c>
      <c r="B33" s="344"/>
      <c r="C33" s="344"/>
      <c r="D33" s="344"/>
    </row>
    <row r="34" spans="1:4" ht="15" customHeight="1">
      <c r="A34" s="345" t="str">
        <f>CONCATENATE("elaboração do orçamento foi ",B6,", e que esta é a alternativa mais adequada para ")</f>
        <v xml:space="preserve">elaboração do orçamento foi Sem Desoneração, e que esta é a alternativa mais adequada para </v>
      </c>
      <c r="B34" s="345"/>
      <c r="C34" s="345"/>
      <c r="D34" s="345"/>
    </row>
    <row r="35" spans="1:4" ht="15" customHeight="1">
      <c r="A35" s="39" t="s">
        <v>909</v>
      </c>
      <c r="C35" s="39"/>
      <c r="D35" s="39"/>
    </row>
    <row r="36" spans="1:4" ht="15" customHeight="1">
      <c r="A36" s="39"/>
      <c r="C36" s="39"/>
      <c r="D36" s="39"/>
    </row>
    <row r="37" spans="1:4" ht="15" customHeight="1">
      <c r="A37" s="39"/>
      <c r="C37" s="39"/>
      <c r="D37" s="39"/>
    </row>
    <row r="38" spans="1:4" ht="15" customHeight="1">
      <c r="A38" s="48"/>
      <c r="B38" s="53" t="s">
        <v>16606</v>
      </c>
    </row>
    <row r="39" spans="1:4" ht="15" customHeight="1">
      <c r="A39" s="48"/>
      <c r="B39" s="54" t="s">
        <v>16607</v>
      </c>
    </row>
    <row r="40" spans="1:4" ht="15" customHeight="1">
      <c r="A40" s="48"/>
      <c r="B40" s="54"/>
    </row>
    <row r="41" spans="1:4" ht="15" customHeight="1"/>
    <row r="42" spans="1:4" ht="15" customHeight="1"/>
  </sheetData>
  <mergeCells count="15">
    <mergeCell ref="A30:D30"/>
    <mergeCell ref="A31:D31"/>
    <mergeCell ref="A33:D33"/>
    <mergeCell ref="A34:D34"/>
    <mergeCell ref="E27:E28"/>
    <mergeCell ref="A17:D17"/>
    <mergeCell ref="A26:D26"/>
    <mergeCell ref="C27:D28"/>
    <mergeCell ref="A1:D1"/>
    <mergeCell ref="B2:D2"/>
    <mergeCell ref="B3:D3"/>
    <mergeCell ref="A5:D5"/>
    <mergeCell ref="A7:D7"/>
    <mergeCell ref="A9:D9"/>
    <mergeCell ref="B4:D4"/>
  </mergeCells>
  <conditionalFormatting sqref="E27:F27">
    <cfRule type="cellIs" dxfId="1282" priority="1" stopIfTrue="1" operator="equal">
      <formula>"Atende"</formula>
    </cfRule>
  </conditionalFormatting>
  <dataValidations count="4">
    <dataValidation type="list" allowBlank="1" showErrorMessage="1" sqref="B6" xr:uid="{00000000-0002-0000-0700-000000000000}">
      <formula1>"Com Desoneração,Sem Desoneração"</formula1>
    </dataValidation>
    <dataValidation type="list" allowBlank="1" showErrorMessage="1" sqref="B8" xr:uid="{00000000-0002-0000-0700-000001000000}">
      <formula1>"Edificações,Fornecimento de Materiais e Equipamentos,Redes de Água, Esgoto ou Correlatas,Rodovias e Ferrovias,Portuárias, Marítimas e Fluviais,"</formula1>
    </dataValidation>
    <dataValidation type="decimal" allowBlank="1" showErrorMessage="1" errorTitle="Atenção" error="O valor deve estar entre 0 e 100" sqref="C20" xr:uid="{00000000-0002-0000-0700-000002000000}">
      <formula1>0</formula1>
      <formula2>100</formula2>
    </dataValidation>
    <dataValidation type="decimal" allowBlank="1" showErrorMessage="1" errorTitle="Atenção" error="O valor deve estar entre 2%  e  5%" sqref="C21" xr:uid="{00000000-0002-0000-0700-000003000000}">
      <formula1>2</formula1>
      <formula2>5</formula2>
    </dataValidation>
  </dataValidations>
  <printOptions horizontalCentered="1"/>
  <pageMargins left="0.78740157480314965" right="0.39370078740157483" top="1.5748031496062993" bottom="0.98425196850393704" header="0.39370078740157483" footer="0.39370078740157483"/>
  <pageSetup paperSize="9" fitToWidth="0" fitToHeight="0" pageOrder="overThenDown" orientation="portrait" useFirstPageNumber="1" r:id="rId1"/>
  <headerFooter alignWithMargins="0">
    <oddHeader xml:space="preserve">&amp;C&amp;G
</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W17"/>
  <sheetViews>
    <sheetView workbookViewId="0"/>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911</v>
      </c>
    </row>
    <row r="2" spans="1:13">
      <c r="A2" s="3"/>
    </row>
    <row r="3" spans="1:13" ht="12.75" customHeight="1">
      <c r="A3" s="348" t="s">
        <v>912</v>
      </c>
      <c r="B3" s="348" t="s">
        <v>913</v>
      </c>
      <c r="C3" s="348"/>
    </row>
    <row r="4" spans="1:13">
      <c r="A4" s="348"/>
      <c r="B4" s="4" t="s">
        <v>914</v>
      </c>
      <c r="C4" s="4" t="s">
        <v>915</v>
      </c>
      <c r="E4" s="5"/>
    </row>
    <row r="5" spans="1:13">
      <c r="A5" s="6" t="s">
        <v>916</v>
      </c>
      <c r="B5" s="7">
        <v>20.34</v>
      </c>
      <c r="C5" s="7">
        <v>25</v>
      </c>
    </row>
    <row r="6" spans="1:13">
      <c r="A6" s="6" t="s">
        <v>895</v>
      </c>
      <c r="B6" s="7">
        <v>11.1</v>
      </c>
      <c r="C6" s="7">
        <v>16.8</v>
      </c>
    </row>
    <row r="7" spans="1:13">
      <c r="A7" s="6" t="s">
        <v>917</v>
      </c>
      <c r="B7" s="7">
        <v>22.8</v>
      </c>
      <c r="C7" s="7">
        <v>30.95</v>
      </c>
    </row>
    <row r="8" spans="1:13">
      <c r="A8" s="6" t="s">
        <v>910</v>
      </c>
      <c r="B8" s="7">
        <v>20.76</v>
      </c>
      <c r="C8" s="7">
        <v>26.44</v>
      </c>
    </row>
    <row r="9" spans="1:13">
      <c r="A9" s="8" t="s">
        <v>918</v>
      </c>
      <c r="B9" s="7">
        <v>19.600000000000001</v>
      </c>
      <c r="C9" s="7">
        <v>24.23</v>
      </c>
    </row>
    <row r="10" spans="1:13">
      <c r="A10" s="348" t="s">
        <v>919</v>
      </c>
      <c r="B10" s="349" t="s">
        <v>27</v>
      </c>
      <c r="C10" s="349"/>
    </row>
    <row r="11" spans="1:13">
      <c r="A11" s="348"/>
      <c r="B11" s="4" t="s">
        <v>914</v>
      </c>
      <c r="C11" s="4" t="s">
        <v>915</v>
      </c>
    </row>
    <row r="12" spans="1:13">
      <c r="A12" s="6" t="str">
        <f>TIPO</f>
        <v>Edificações</v>
      </c>
      <c r="B12" s="7">
        <f>LOOKUP(A12,A5:A9,B5:B9)</f>
        <v>20.34</v>
      </c>
      <c r="C12" s="7">
        <f>LOOKUP(A12,A5:A9,C5:C9)</f>
        <v>25</v>
      </c>
    </row>
    <row r="14" spans="1:13">
      <c r="A14" s="348" t="s">
        <v>920</v>
      </c>
      <c r="B14" s="348"/>
      <c r="M14" s="9"/>
    </row>
    <row r="15" spans="1:13">
      <c r="A15" s="10" t="s">
        <v>959</v>
      </c>
      <c r="B15" s="29">
        <f>ROUND((((1+(AC+RIS+SG)/100)*(1+(DF/100))*(1+(LUC/100)))/(1-((BC/100)*ISS+COFINS+PIS+4.5)/100)-1),4)*100</f>
        <v>31.480000000000004</v>
      </c>
      <c r="M15" s="9"/>
    </row>
    <row r="16" spans="1:13">
      <c r="A16" s="11" t="s">
        <v>893</v>
      </c>
      <c r="B16" s="29">
        <f>ROUND((((1+(AC+RIS+SG)/100)*(1+(DF/100))*(1+(LUC/100)))/(1-((BC/100)*ISS+COFINS+PIS)/100)-1),4)*100</f>
        <v>25</v>
      </c>
    </row>
    <row r="17" spans="1:2">
      <c r="A17" s="347" t="str">
        <f>IF(B16&lt;B12,"Não Atende o Limite Inferior",IF(B16&gt;C12,"Não Atende o Limite Superior","Atende"))</f>
        <v>Atende</v>
      </c>
      <c r="B17" s="347"/>
    </row>
  </sheetData>
  <mergeCells count="6">
    <mergeCell ref="A17:B17"/>
    <mergeCell ref="A3:A4"/>
    <mergeCell ref="B3:C3"/>
    <mergeCell ref="A10:A11"/>
    <mergeCell ref="B10:C10"/>
    <mergeCell ref="A14:B14"/>
  </mergeCells>
  <conditionalFormatting sqref="A17">
    <cfRule type="cellIs" dxfId="1281"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20</vt:i4>
      </vt:variant>
      <vt:variant>
        <vt:lpstr>Intervalos Nomeados</vt:lpstr>
      </vt:variant>
      <vt:variant>
        <vt:i4>38</vt:i4>
      </vt:variant>
    </vt:vector>
  </HeadingPairs>
  <TitlesOfParts>
    <vt:vector size="58" baseType="lpstr">
      <vt:lpstr>CSINAPI</vt:lpstr>
      <vt:lpstr>CDER-ES</vt:lpstr>
      <vt:lpstr>ISINAPI</vt:lpstr>
      <vt:lpstr>IDER-ES</vt:lpstr>
      <vt:lpstr>CCESAN</vt:lpstr>
      <vt:lpstr>CSCORIO</vt:lpstr>
      <vt:lpstr>DADOS</vt:lpstr>
      <vt:lpstr>BDI</vt:lpstr>
      <vt:lpstr>Auxiliar</vt:lpstr>
      <vt:lpstr>ORCAMENTO</vt:lpstr>
      <vt:lpstr>MEMÓRIA DE CÁLCULO</vt:lpstr>
      <vt:lpstr>COMPOSICAO</vt:lpstr>
      <vt:lpstr>CRONOGRAMA</vt:lpstr>
      <vt:lpstr>MERCADO</vt:lpstr>
      <vt:lpstr>Pranchas</vt:lpstr>
      <vt:lpstr>QUADRO DE ÁREAS</vt:lpstr>
      <vt:lpstr>QUADRO DE ESQUADRIAS</vt:lpstr>
      <vt:lpstr>HIDRÁULICA</vt:lpstr>
      <vt:lpstr>SANITÁRIA</vt:lpstr>
      <vt:lpstr>DRENAGEM</vt:lpstr>
      <vt:lpstr>AC</vt:lpstr>
      <vt:lpstr>BDI!Area_de_impressao</vt:lpstr>
      <vt:lpstr>COMPOSICAO!Area_de_impressao</vt:lpstr>
      <vt:lpstr>CRONOGRAMA!Area_de_impressao</vt:lpstr>
      <vt:lpstr>'MEMÓRIA DE CÁLCULO'!Area_de_impressao</vt:lpstr>
      <vt:lpstr>MERCADO!Area_de_impressao</vt:lpstr>
      <vt:lpstr>ORCAMENTO!Area_de_impressao</vt:lpstr>
      <vt:lpstr>Pranchas!Area_de_impressao</vt:lpstr>
      <vt:lpstr>BC</vt:lpstr>
      <vt:lpstr>BDI</vt:lpstr>
      <vt:lpstr>CCESAN</vt:lpstr>
      <vt:lpstr>CIOPES</vt:lpstr>
      <vt:lpstr>COFINS</vt:lpstr>
      <vt:lpstr>COMP</vt:lpstr>
      <vt:lpstr>CONTRATO</vt:lpstr>
      <vt:lpstr>CSCORIO</vt:lpstr>
      <vt:lpstr>CSINAPI</vt:lpstr>
      <vt:lpstr>DADOS</vt:lpstr>
      <vt:lpstr>DF</vt:lpstr>
      <vt:lpstr>DT</vt:lpstr>
      <vt:lpstr>IIOPES</vt:lpstr>
      <vt:lpstr>ISINAPI</vt:lpstr>
      <vt:lpstr>ISS</vt:lpstr>
      <vt:lpstr>LUC</vt:lpstr>
      <vt:lpstr>MCALCULO</vt:lpstr>
      <vt:lpstr>MERC</vt:lpstr>
      <vt:lpstr>OBRA</vt:lpstr>
      <vt:lpstr>PIS</vt:lpstr>
      <vt:lpstr>PREV</vt:lpstr>
      <vt:lpstr>RIS</vt:lpstr>
      <vt:lpstr>SERVICOS</vt:lpstr>
      <vt:lpstr>SG</vt:lpstr>
      <vt:lpstr>TIPO</vt:lpstr>
      <vt:lpstr>COMPOSICAO!Titulos_de_impressao</vt:lpstr>
      <vt:lpstr>CRONOGRAMA!Titulos_de_impressao</vt:lpstr>
      <vt:lpstr>'MEMÓRIA DE CÁLCULO'!Titulos_de_impressao</vt:lpstr>
      <vt:lpstr>ORCAMENTO!Titulos_de_impressao</vt:lpstr>
      <vt:lpstr>VERIFICA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obras500063</cp:lastModifiedBy>
  <cp:revision>37</cp:revision>
  <cp:lastPrinted>2024-03-12T13:53:03Z</cp:lastPrinted>
  <dcterms:created xsi:type="dcterms:W3CDTF">2019-02-26T10:14:24Z</dcterms:created>
  <dcterms:modified xsi:type="dcterms:W3CDTF">2024-07-01T17:41:09Z</dcterms:modified>
</cp:coreProperties>
</file>